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harts/chart9.xml" ContentType="application/vnd.openxmlformats-officedocument.drawingml.chart+xml"/>
  <Override PartName="/xl/drawings/drawing6.xml" ContentType="application/vnd.openxmlformats-officedocument.drawing+xml"/>
  <Override PartName="/xl/comments5.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7.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User\Desktop\Video PLANMICC\"/>
    </mc:Choice>
  </mc:AlternateContent>
  <xr:revisionPtr revIDLastSave="0" documentId="8_{10B5CEB9-AA09-4880-8F4F-1CFEEDD2F4E1}" xr6:coauthVersionLast="47" xr6:coauthVersionMax="47" xr10:uidLastSave="{00000000-0000-0000-0000-000000000000}"/>
  <bookViews>
    <workbookView xWindow="-108" yWindow="-108" windowWidth="23256" windowHeight="12456" firstSheet="10" activeTab="12" xr2:uid="{00000000-000D-0000-FFFF-FFFF00000000}"/>
  </bookViews>
  <sheets>
    <sheet name="Petróleo Espinoza" sheetId="1" r:id="rId1"/>
    <sheet name="README" sheetId="2" r:id="rId2"/>
    <sheet name="BAU_Demands" sheetId="8" r:id="rId3"/>
    <sheet name="Políticas anunciadas" sheetId="3" r:id="rId4"/>
    <sheet name="Net Zero 2050" sheetId="4" r:id="rId5"/>
    <sheet name="Net Zero 2070" sheetId="5" r:id="rId6"/>
    <sheet name="Refineries" sheetId="6" r:id="rId7"/>
    <sheet name="New_Demands" sheetId="7" r:id="rId8"/>
    <sheet name="Biocombustibles" sheetId="9" r:id="rId9"/>
    <sheet name="Políticas anunciadas (ed)" sheetId="10" r:id="rId10"/>
    <sheet name="Net Zero 2050 (ed)" sheetId="11" r:id="rId11"/>
    <sheet name="Net Zero 2070 (ed)" sheetId="12" r:id="rId12"/>
    <sheet name="Electrical" sheetId="13" r:id="rId13"/>
    <sheet name="Smart Grids" sheetId="14" r:id="rId14"/>
    <sheet name="Generation_output" sheetId="15" r:id="rId15"/>
  </sheets>
  <externalReferences>
    <externalReference r:id="rId16"/>
    <externalReference r:id="rId17"/>
  </externalReferences>
  <definedNames>
    <definedName name="_xlnm._FilterDatabase" localSheetId="7" hidden="1">New_Demands!$A$1:$BM$1058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2" roundtripDataSignature="AMtx7mjSPL72BdGeZpStYyaTOFTn88efHA=="/>
    </ext>
  </extLst>
</workbook>
</file>

<file path=xl/calcChain.xml><?xml version="1.0" encoding="utf-8"?>
<calcChain xmlns="http://schemas.openxmlformats.org/spreadsheetml/2006/main">
  <c r="BK22" i="14" l="1"/>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BK17" i="14"/>
  <c r="BJ17" i="14"/>
  <c r="BI17" i="14"/>
  <c r="BH17" i="14"/>
  <c r="BG17" i="14"/>
  <c r="BF17" i="14"/>
  <c r="BE17" i="14"/>
  <c r="BD17"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BK15" i="14"/>
  <c r="BJ15" i="14"/>
  <c r="BI15" i="14"/>
  <c r="BH15" i="14"/>
  <c r="BG15" i="14"/>
  <c r="BF15" i="14"/>
  <c r="BE15" i="14"/>
  <c r="BD15"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BK14" i="14"/>
  <c r="BJ14" i="14"/>
  <c r="BI14" i="14"/>
  <c r="BH14" i="14"/>
  <c r="BG14" i="14"/>
  <c r="BF14" i="14"/>
  <c r="BE14" i="14"/>
  <c r="BD14"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BK13" i="14"/>
  <c r="BJ13" i="14"/>
  <c r="BI13" i="14"/>
  <c r="BH13" i="14"/>
  <c r="BG13" i="14"/>
  <c r="BF13" i="14"/>
  <c r="BE13" i="14"/>
  <c r="BD13"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BK12" i="14"/>
  <c r="BJ12" i="14"/>
  <c r="BI12" i="14"/>
  <c r="BH12" i="14"/>
  <c r="BG12" i="14"/>
  <c r="BF12" i="14"/>
  <c r="BE12" i="14"/>
  <c r="BD12"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BK11" i="14"/>
  <c r="BJ11" i="14"/>
  <c r="BI11" i="14"/>
  <c r="BH11" i="14"/>
  <c r="BG11" i="14"/>
  <c r="BF11" i="14"/>
  <c r="BE11" i="14"/>
  <c r="BD11"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BK10" i="14"/>
  <c r="BJ10" i="14"/>
  <c r="BI10" i="14"/>
  <c r="BH10" i="14"/>
  <c r="BG10" i="14"/>
  <c r="BF10" i="14"/>
  <c r="BE10" i="14"/>
  <c r="BD10"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BK9" i="14"/>
  <c r="BJ9" i="14"/>
  <c r="BI9" i="14"/>
  <c r="BH9" i="14"/>
  <c r="BG9" i="14"/>
  <c r="BF9" i="14"/>
  <c r="BE9" i="14"/>
  <c r="BD9"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BK8" i="14"/>
  <c r="BJ8" i="14"/>
  <c r="BI8" i="14"/>
  <c r="BH8" i="14"/>
  <c r="BG8" i="14"/>
  <c r="BF8" i="14"/>
  <c r="BE8" i="14"/>
  <c r="BD8"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BK7" i="14"/>
  <c r="BJ7" i="14"/>
  <c r="BI7" i="14"/>
  <c r="BH7" i="14"/>
  <c r="BG7" i="14"/>
  <c r="BF7" i="14"/>
  <c r="BE7" i="14"/>
  <c r="BD7"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BK6" i="14"/>
  <c r="BJ6" i="14"/>
  <c r="BI6" i="14"/>
  <c r="BH6" i="14"/>
  <c r="BG6" i="14"/>
  <c r="BF6" i="14"/>
  <c r="BE6" i="14"/>
  <c r="BD6"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BK5" i="14"/>
  <c r="BJ5" i="14"/>
  <c r="BI5" i="14"/>
  <c r="BH5" i="14"/>
  <c r="BG5" i="14"/>
  <c r="BF5" i="14"/>
  <c r="BE5" i="14"/>
  <c r="BD5" i="14"/>
  <c r="BC5" i="14"/>
  <c r="BB5" i="14"/>
  <c r="BA5" i="14"/>
  <c r="AZ5" i="14"/>
  <c r="AY5" i="14"/>
  <c r="AX5"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BK4" i="14"/>
  <c r="BJ4" i="14"/>
  <c r="BI4" i="14"/>
  <c r="BH4" i="14"/>
  <c r="BG4" i="14"/>
  <c r="BF4" i="14"/>
  <c r="BE4" i="14"/>
  <c r="BD4" i="14"/>
  <c r="BC4" i="14"/>
  <c r="BB4" i="14"/>
  <c r="BA4" i="14"/>
  <c r="AZ4" i="14"/>
  <c r="AY4" i="14"/>
  <c r="AX4" i="14"/>
  <c r="AW4" i="14"/>
  <c r="AV4" i="14"/>
  <c r="AU4" i="14"/>
  <c r="AT4" i="14"/>
  <c r="AS4" i="14"/>
  <c r="AR4" i="14"/>
  <c r="AQ4" i="14"/>
  <c r="AP4" i="14"/>
  <c r="AO4" i="14"/>
  <c r="AN4" i="14"/>
  <c r="AM4" i="14"/>
  <c r="AL4" i="14"/>
  <c r="AK4" i="14"/>
  <c r="AJ4" i="14"/>
  <c r="AI4" i="14"/>
  <c r="AH4" i="14"/>
  <c r="AG4" i="14"/>
  <c r="AF4" i="14"/>
  <c r="AE4" i="14"/>
  <c r="AD4" i="14"/>
  <c r="AC4" i="14"/>
  <c r="AB4" i="14"/>
  <c r="AA4" i="14"/>
  <c r="Z4" i="14"/>
  <c r="Y4" i="14"/>
  <c r="X4" i="14"/>
  <c r="W4" i="14"/>
  <c r="V4" i="14"/>
  <c r="U4" i="14"/>
  <c r="T4" i="14"/>
  <c r="S4" i="14"/>
  <c r="R4" i="14"/>
  <c r="Q4" i="14"/>
  <c r="P4" i="14"/>
  <c r="O4"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BK2" i="14"/>
  <c r="BJ2" i="14"/>
  <c r="BI2" i="14"/>
  <c r="BH2" i="14"/>
  <c r="BG2" i="14"/>
  <c r="BF2" i="14"/>
  <c r="BE2" i="14"/>
  <c r="BD2" i="14"/>
  <c r="BC2" i="14"/>
  <c r="BB2" i="14"/>
  <c r="BA2" i="14"/>
  <c r="AZ2" i="14"/>
  <c r="AY2" i="14"/>
  <c r="AX2" i="14"/>
  <c r="AW2" i="14"/>
  <c r="AV2" i="14"/>
  <c r="AU2" i="14"/>
  <c r="AT2" i="14"/>
  <c r="AS2" i="14"/>
  <c r="AR2" i="14"/>
  <c r="AQ2" i="14"/>
  <c r="AP2" i="14"/>
  <c r="AO2" i="14"/>
  <c r="AN2" i="14"/>
  <c r="AM2" i="14"/>
  <c r="AL2" i="14"/>
  <c r="AK2" i="14"/>
  <c r="AJ2" i="14"/>
  <c r="AI2" i="14"/>
  <c r="AH2" i="14"/>
  <c r="AG2" i="14"/>
  <c r="AF2" i="14"/>
  <c r="AE2" i="14"/>
  <c r="AD2" i="14"/>
  <c r="AC2" i="14"/>
  <c r="AB2" i="14"/>
  <c r="AA2" i="14"/>
  <c r="Z2" i="14"/>
  <c r="Y2" i="14"/>
  <c r="X2" i="14"/>
  <c r="W2" i="14"/>
  <c r="V2" i="14"/>
  <c r="U2" i="14"/>
  <c r="T2" i="14"/>
  <c r="S2" i="14"/>
  <c r="R2" i="14"/>
  <c r="Q2" i="14"/>
  <c r="P2" i="14"/>
  <c r="O2" i="14"/>
  <c r="BG37" i="13"/>
  <c r="BF37" i="13"/>
  <c r="BD37" i="13"/>
  <c r="BA37" i="13"/>
  <c r="AX37" i="13"/>
  <c r="AW37" i="13"/>
  <c r="AU37" i="13"/>
  <c r="AR37" i="13"/>
  <c r="AO37" i="13"/>
  <c r="AL37" i="13"/>
  <c r="AK37" i="13"/>
  <c r="AF37" i="13"/>
  <c r="AD37" i="13"/>
  <c r="AC37" i="13"/>
  <c r="AA37" i="13"/>
  <c r="Z37" i="13"/>
  <c r="T37" i="13"/>
  <c r="R37" i="13"/>
  <c r="Q37" i="13"/>
  <c r="P37" i="13"/>
  <c r="O37" i="13"/>
  <c r="N37" i="13"/>
  <c r="M37" i="13"/>
  <c r="K37" i="13"/>
  <c r="BG36" i="13"/>
  <c r="BF36" i="13"/>
  <c r="BE36" i="13"/>
  <c r="BE37" i="13" s="1"/>
  <c r="BD36" i="13"/>
  <c r="BC36" i="13"/>
  <c r="BC37" i="13" s="1"/>
  <c r="BB36" i="13"/>
  <c r="BB37" i="13" s="1"/>
  <c r="BA36" i="13"/>
  <c r="AZ36" i="13"/>
  <c r="AZ37" i="13" s="1"/>
  <c r="AY36" i="13"/>
  <c r="AY37" i="13" s="1"/>
  <c r="AX36" i="13"/>
  <c r="AW36" i="13"/>
  <c r="AV36" i="13"/>
  <c r="AV37" i="13" s="1"/>
  <c r="AU36" i="13"/>
  <c r="AT36" i="13"/>
  <c r="AT37" i="13" s="1"/>
  <c r="AS36" i="13"/>
  <c r="AS37" i="13" s="1"/>
  <c r="AR36" i="13"/>
  <c r="AQ36" i="13"/>
  <c r="AQ37" i="13" s="1"/>
  <c r="AP36" i="13"/>
  <c r="AP37" i="13" s="1"/>
  <c r="AO36" i="13"/>
  <c r="AN36" i="13"/>
  <c r="AN37" i="13" s="1"/>
  <c r="AM36" i="13"/>
  <c r="AM37" i="13" s="1"/>
  <c r="AL36" i="13"/>
  <c r="AK36" i="13"/>
  <c r="AJ36" i="13"/>
  <c r="AJ37" i="13" s="1"/>
  <c r="AI36" i="13"/>
  <c r="AI37" i="13" s="1"/>
  <c r="AH36" i="13"/>
  <c r="AH37" i="13" s="1"/>
  <c r="AG36" i="13"/>
  <c r="AG37" i="13" s="1"/>
  <c r="AF36" i="13"/>
  <c r="AE36" i="13"/>
  <c r="AE37" i="13" s="1"/>
  <c r="AD36" i="13"/>
  <c r="AC36" i="13"/>
  <c r="AB36" i="13"/>
  <c r="AB37" i="13" s="1"/>
  <c r="AA36" i="13"/>
  <c r="Z36" i="13"/>
  <c r="Y36" i="13"/>
  <c r="Y37" i="13" s="1"/>
  <c r="X36" i="13"/>
  <c r="X37" i="13" s="1"/>
  <c r="W36" i="13"/>
  <c r="W37" i="13" s="1"/>
  <c r="V36" i="13"/>
  <c r="V37" i="13" s="1"/>
  <c r="U36" i="13"/>
  <c r="U37" i="13" s="1"/>
  <c r="T36" i="13"/>
  <c r="S36" i="13"/>
  <c r="S37" i="13" s="1"/>
  <c r="R36" i="13"/>
  <c r="Q36" i="13"/>
  <c r="P36" i="13"/>
  <c r="O36" i="13"/>
  <c r="N36" i="13"/>
  <c r="M36" i="13"/>
  <c r="L36" i="13"/>
  <c r="L37" i="13" s="1"/>
  <c r="K36" i="13"/>
  <c r="J36" i="13"/>
  <c r="J37" i="13" s="1"/>
  <c r="I36" i="13"/>
  <c r="I37" i="13" s="1"/>
  <c r="H36" i="13"/>
  <c r="H37" i="13" s="1"/>
  <c r="G36" i="13"/>
  <c r="G37" i="13" s="1"/>
  <c r="BG33" i="13"/>
  <c r="BD33" i="13"/>
  <c r="AY33" i="13"/>
  <c r="AX33" i="13"/>
  <c r="AW33" i="13"/>
  <c r="AV33" i="13"/>
  <c r="AR33" i="13"/>
  <c r="AO33" i="13"/>
  <c r="AM33" i="13"/>
  <c r="AK33" i="13"/>
  <c r="AJ33" i="13"/>
  <c r="AD33" i="13"/>
  <c r="AC33" i="13"/>
  <c r="AA33" i="13"/>
  <c r="Z33" i="13"/>
  <c r="X33" i="13"/>
  <c r="T33" i="13"/>
  <c r="R33" i="13"/>
  <c r="P33" i="13"/>
  <c r="O33" i="13"/>
  <c r="N33" i="13"/>
  <c r="M33" i="13"/>
  <c r="L33" i="13"/>
  <c r="H33" i="13"/>
  <c r="BG32" i="13"/>
  <c r="BF32" i="13"/>
  <c r="BF33" i="13" s="1"/>
  <c r="BE32" i="13"/>
  <c r="BE33" i="13" s="1"/>
  <c r="BD32" i="13"/>
  <c r="BC32" i="13"/>
  <c r="BC33" i="13" s="1"/>
  <c r="BB32" i="13"/>
  <c r="BB33" i="13" s="1"/>
  <c r="BA32" i="13"/>
  <c r="BA33" i="13" s="1"/>
  <c r="AZ32" i="13"/>
  <c r="AZ33" i="13" s="1"/>
  <c r="AY32" i="13"/>
  <c r="AX32" i="13"/>
  <c r="AW32" i="13"/>
  <c r="AV32" i="13"/>
  <c r="AU32" i="13"/>
  <c r="AU33" i="13" s="1"/>
  <c r="AT32" i="13"/>
  <c r="AT33" i="13" s="1"/>
  <c r="AS32" i="13"/>
  <c r="AS33" i="13" s="1"/>
  <c r="AR32" i="13"/>
  <c r="AQ32" i="13"/>
  <c r="AQ33" i="13" s="1"/>
  <c r="AP32" i="13"/>
  <c r="AP33" i="13" s="1"/>
  <c r="AO32" i="13"/>
  <c r="AN32" i="13"/>
  <c r="AN33" i="13" s="1"/>
  <c r="AM32" i="13"/>
  <c r="AL32" i="13"/>
  <c r="AL33" i="13" s="1"/>
  <c r="AK32" i="13"/>
  <c r="AJ32" i="13"/>
  <c r="AI32" i="13"/>
  <c r="AI33" i="13" s="1"/>
  <c r="AH32" i="13"/>
  <c r="AH33" i="13" s="1"/>
  <c r="AG32" i="13"/>
  <c r="AG33" i="13" s="1"/>
  <c r="AF32" i="13"/>
  <c r="AF33" i="13" s="1"/>
  <c r="AE32" i="13"/>
  <c r="AE33" i="13" s="1"/>
  <c r="AD32" i="13"/>
  <c r="AC32" i="13"/>
  <c r="AB32" i="13"/>
  <c r="AB33" i="13" s="1"/>
  <c r="AA32" i="13"/>
  <c r="Z32" i="13"/>
  <c r="Y32" i="13"/>
  <c r="Y33" i="13" s="1"/>
  <c r="X32" i="13"/>
  <c r="W32" i="13"/>
  <c r="W33" i="13" s="1"/>
  <c r="V32" i="13"/>
  <c r="V33" i="13" s="1"/>
  <c r="U32" i="13"/>
  <c r="U33" i="13" s="1"/>
  <c r="T32" i="13"/>
  <c r="S32" i="13"/>
  <c r="S33" i="13" s="1"/>
  <c r="R32" i="13"/>
  <c r="Q32" i="13"/>
  <c r="Q33" i="13" s="1"/>
  <c r="P32" i="13"/>
  <c r="O32" i="13"/>
  <c r="N32" i="13"/>
  <c r="M32" i="13"/>
  <c r="L32" i="13"/>
  <c r="K32" i="13"/>
  <c r="K33" i="13" s="1"/>
  <c r="J32" i="13"/>
  <c r="J33" i="13" s="1"/>
  <c r="I32" i="13"/>
  <c r="I33" i="13" s="1"/>
  <c r="H32" i="13"/>
  <c r="G32" i="13"/>
  <c r="G33" i="13" s="1"/>
  <c r="BG29" i="13"/>
  <c r="BF29" i="13"/>
  <c r="BE29" i="13"/>
  <c r="BD29" i="13"/>
  <c r="BC29" i="13"/>
  <c r="BB29" i="13"/>
  <c r="BA29" i="13"/>
  <c r="AZ29" i="13"/>
  <c r="AY29" i="13"/>
  <c r="AX29" i="13"/>
  <c r="AW29" i="13"/>
  <c r="AV29" i="13"/>
  <c r="AU29" i="13"/>
  <c r="AT29" i="13"/>
  <c r="AS29" i="13"/>
  <c r="AR29" i="13"/>
  <c r="AQ29" i="13"/>
  <c r="AP29" i="13"/>
  <c r="AO29" i="13"/>
  <c r="AN29" i="13"/>
  <c r="AM29" i="13"/>
  <c r="AL29" i="13"/>
  <c r="AK29" i="13"/>
  <c r="AJ29" i="13"/>
  <c r="AI29" i="13"/>
  <c r="AH29" i="13"/>
  <c r="AG29" i="13"/>
  <c r="AF29" i="13"/>
  <c r="AE29" i="13"/>
  <c r="AD29" i="13"/>
  <c r="AC29" i="13"/>
  <c r="AB29" i="13"/>
  <c r="AA29" i="13"/>
  <c r="Z29" i="13"/>
  <c r="Y29" i="13"/>
  <c r="X29" i="13"/>
  <c r="X27" i="13"/>
  <c r="X28" i="13" s="1"/>
  <c r="BG25" i="13"/>
  <c r="BF25" i="13"/>
  <c r="BE25" i="13"/>
  <c r="BD25" i="13"/>
  <c r="BC25" i="13"/>
  <c r="BB25" i="13"/>
  <c r="BA25" i="13"/>
  <c r="AZ25" i="13"/>
  <c r="AY25" i="13"/>
  <c r="AX25" i="13"/>
  <c r="AW25" i="13"/>
  <c r="AV25" i="13"/>
  <c r="AU25" i="13"/>
  <c r="AT25" i="13"/>
  <c r="AS25"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P25" i="13"/>
  <c r="O25" i="13"/>
  <c r="N25" i="13"/>
  <c r="M25" i="13"/>
  <c r="L25" i="13"/>
  <c r="K25"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L18" i="13"/>
  <c r="K18"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M16" i="13"/>
  <c r="L16" i="13"/>
  <c r="K16" i="13"/>
  <c r="AZ15" i="13"/>
  <c r="AY15" i="13"/>
  <c r="AX15" i="13"/>
  <c r="AW15" i="13"/>
  <c r="AV15" i="13"/>
  <c r="AU15" i="13"/>
  <c r="AT15" i="13"/>
  <c r="AS15" i="13"/>
  <c r="AR15" i="13"/>
  <c r="AQ15" i="13"/>
  <c r="AP15" i="13"/>
  <c r="AO15" i="13"/>
  <c r="AN15" i="13"/>
  <c r="AM15" i="13"/>
  <c r="AL15" i="13"/>
  <c r="AK15" i="13"/>
  <c r="AJ15" i="13"/>
  <c r="AI15" i="13"/>
  <c r="AH15" i="13"/>
  <c r="AG15" i="13"/>
  <c r="AF15" i="13"/>
  <c r="AE15" i="13"/>
  <c r="AD15" i="13"/>
  <c r="AC15" i="13"/>
  <c r="AB15" i="13"/>
  <c r="AA15" i="13"/>
  <c r="Z15" i="13"/>
  <c r="Y15" i="13"/>
  <c r="X15" i="13"/>
  <c r="W15" i="13"/>
  <c r="V15" i="13"/>
  <c r="U15" i="13"/>
  <c r="T15" i="13"/>
  <c r="S15" i="13"/>
  <c r="R15" i="13"/>
  <c r="Q15" i="13"/>
  <c r="P15" i="13"/>
  <c r="O15" i="13"/>
  <c r="N15" i="13"/>
  <c r="M15" i="13"/>
  <c r="L15" i="13"/>
  <c r="BG14" i="13"/>
  <c r="BF14" i="13"/>
  <c r="BE14" i="13"/>
  <c r="BD14" i="13"/>
  <c r="BC14" i="13"/>
  <c r="BB14" i="13"/>
  <c r="BA14" i="13"/>
  <c r="AZ14" i="13"/>
  <c r="AY14" i="13"/>
  <c r="AX14" i="13"/>
  <c r="AW14" i="13"/>
  <c r="AV14" i="13"/>
  <c r="AU14" i="13"/>
  <c r="AT14" i="13"/>
  <c r="AS14" i="13"/>
  <c r="AR14" i="13"/>
  <c r="AQ14" i="13"/>
  <c r="AP14" i="13"/>
  <c r="AO14" i="13"/>
  <c r="AN14" i="13"/>
  <c r="AM14" i="13"/>
  <c r="AL14" i="13"/>
  <c r="AK14" i="13"/>
  <c r="AJ14" i="13"/>
  <c r="AI14" i="13"/>
  <c r="AH14" i="13"/>
  <c r="AG14" i="13"/>
  <c r="AF14" i="13"/>
  <c r="AE14" i="13"/>
  <c r="AD14" i="13"/>
  <c r="AC14" i="13"/>
  <c r="AB14" i="13"/>
  <c r="AA14" i="13"/>
  <c r="Z14" i="13"/>
  <c r="Y14" i="13"/>
  <c r="X14" i="13"/>
  <c r="W14" i="13"/>
  <c r="V14" i="13"/>
  <c r="U14" i="13"/>
  <c r="T14" i="13"/>
  <c r="S14" i="13"/>
  <c r="R14" i="13"/>
  <c r="Q14" i="13"/>
  <c r="P14" i="13"/>
  <c r="O14" i="13"/>
  <c r="N14" i="13"/>
  <c r="M14" i="13"/>
  <c r="L14" i="13"/>
  <c r="K14" i="13"/>
  <c r="BD13" i="13"/>
  <c r="BB13" i="13"/>
  <c r="AZ13" i="13"/>
  <c r="AX13" i="13"/>
  <c r="AW13" i="13"/>
  <c r="AS13" i="13"/>
  <c r="AR13" i="13"/>
  <c r="AO13" i="13"/>
  <c r="AL13" i="13"/>
  <c r="AK13" i="13"/>
  <c r="AI13" i="13"/>
  <c r="AF13" i="13"/>
  <c r="AD13" i="13"/>
  <c r="AB13" i="13"/>
  <c r="Z13" i="13"/>
  <c r="Y13" i="13"/>
  <c r="M13" i="13"/>
  <c r="K13" i="13"/>
  <c r="BG12" i="13"/>
  <c r="BG13" i="13" s="1"/>
  <c r="BF12" i="13"/>
  <c r="BF13" i="13" s="1"/>
  <c r="BE12" i="13"/>
  <c r="BE13" i="13" s="1"/>
  <c r="BD12" i="13"/>
  <c r="BC12" i="13"/>
  <c r="BC13" i="13" s="1"/>
  <c r="BB12" i="13"/>
  <c r="BA12" i="13"/>
  <c r="BA13" i="13" s="1"/>
  <c r="AZ12" i="13"/>
  <c r="AY12" i="13"/>
  <c r="AY13" i="13" s="1"/>
  <c r="AX12" i="13"/>
  <c r="AW12" i="13"/>
  <c r="AV12" i="13"/>
  <c r="AV13" i="13" s="1"/>
  <c r="AU12" i="13"/>
  <c r="AU13" i="13" s="1"/>
  <c r="AT12" i="13"/>
  <c r="AT13" i="13" s="1"/>
  <c r="AS12" i="13"/>
  <c r="AR12" i="13"/>
  <c r="AQ12" i="13"/>
  <c r="AQ13" i="13" s="1"/>
  <c r="AP12" i="13"/>
  <c r="AP13" i="13" s="1"/>
  <c r="AO12" i="13"/>
  <c r="AN12" i="13"/>
  <c r="AN13" i="13" s="1"/>
  <c r="AM12" i="13"/>
  <c r="AM13" i="13" s="1"/>
  <c r="AL12" i="13"/>
  <c r="AK12" i="13"/>
  <c r="AJ12" i="13"/>
  <c r="AJ13" i="13" s="1"/>
  <c r="AI12" i="13"/>
  <c r="AH12" i="13"/>
  <c r="AH13" i="13" s="1"/>
  <c r="AG12" i="13"/>
  <c r="AG13" i="13" s="1"/>
  <c r="AF12" i="13"/>
  <c r="AE12" i="13"/>
  <c r="AE13" i="13" s="1"/>
  <c r="AD12" i="13"/>
  <c r="AC12" i="13"/>
  <c r="AC13" i="13" s="1"/>
  <c r="AB12" i="13"/>
  <c r="AA12" i="13"/>
  <c r="AA13" i="13" s="1"/>
  <c r="Z12" i="13"/>
  <c r="Y12" i="13"/>
  <c r="X12" i="13"/>
  <c r="X13" i="13" s="1"/>
  <c r="W12" i="13"/>
  <c r="W13" i="13" s="1"/>
  <c r="V12" i="13"/>
  <c r="V13" i="13" s="1"/>
  <c r="U12" i="13"/>
  <c r="U13" i="13" s="1"/>
  <c r="T12" i="13"/>
  <c r="T13" i="13" s="1"/>
  <c r="S12" i="13"/>
  <c r="S13" i="13" s="1"/>
  <c r="R12" i="13"/>
  <c r="R13" i="13" s="1"/>
  <c r="Q12" i="13"/>
  <c r="Q13" i="13" s="1"/>
  <c r="P12" i="13"/>
  <c r="P13" i="13" s="1"/>
  <c r="O12" i="13"/>
  <c r="O13" i="13" s="1"/>
  <c r="N12" i="13"/>
  <c r="N13" i="13" s="1"/>
  <c r="M12" i="13"/>
  <c r="L12" i="13"/>
  <c r="L13" i="13" s="1"/>
  <c r="K12" i="13"/>
  <c r="BG11" i="13"/>
  <c r="BF11" i="13"/>
  <c r="BE11" i="13"/>
  <c r="BD11" i="13"/>
  <c r="BC11" i="13"/>
  <c r="BB11" i="13"/>
  <c r="BA11" i="13"/>
  <c r="AZ11" i="13"/>
  <c r="AY11" i="13"/>
  <c r="AX11"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S10" i="13"/>
  <c r="R10" i="13"/>
  <c r="Q10" i="13"/>
  <c r="P10" i="13"/>
  <c r="O10" i="13"/>
  <c r="N10" i="13"/>
  <c r="M10" i="13"/>
  <c r="L10" i="13"/>
  <c r="K10" i="13"/>
  <c r="AM8" i="13"/>
  <c r="AL8" i="13"/>
  <c r="AK8" i="13"/>
  <c r="AJ8" i="13"/>
  <c r="AI8" i="13"/>
  <c r="AH8" i="13"/>
  <c r="AG8" i="13"/>
  <c r="AF8" i="13"/>
  <c r="AE8" i="13"/>
  <c r="AD8" i="13"/>
  <c r="AC8" i="13"/>
  <c r="AB8" i="13"/>
  <c r="AA8" i="13"/>
  <c r="Z8" i="13"/>
  <c r="Y8" i="13"/>
  <c r="X8" i="13"/>
  <c r="W8" i="13"/>
  <c r="V8" i="13"/>
  <c r="U8" i="13"/>
  <c r="T8" i="13"/>
  <c r="S8" i="13"/>
  <c r="R8" i="13"/>
  <c r="Q8" i="13"/>
  <c r="P8" i="13"/>
  <c r="O8" i="13"/>
  <c r="N8" i="13"/>
  <c r="M8" i="13"/>
  <c r="L8" i="13"/>
  <c r="K8" i="13"/>
  <c r="AS7" i="13"/>
  <c r="AR7" i="13"/>
  <c r="AQ7" i="13"/>
  <c r="AP7" i="13"/>
  <c r="AO7" i="13"/>
  <c r="AN7" i="13"/>
  <c r="AM7" i="13"/>
  <c r="AL7" i="13"/>
  <c r="AK7" i="13"/>
  <c r="AJ7" i="13"/>
  <c r="AI7" i="13"/>
  <c r="AH7" i="13"/>
  <c r="AG7" i="13"/>
  <c r="AF7" i="13"/>
  <c r="AE7" i="13"/>
  <c r="AD7" i="13"/>
  <c r="AC7" i="13"/>
  <c r="AB7" i="13"/>
  <c r="AA7" i="13"/>
  <c r="Z7" i="13"/>
  <c r="Y7" i="13"/>
  <c r="X7" i="13"/>
  <c r="W7" i="13"/>
  <c r="V7" i="13"/>
  <c r="U7" i="13"/>
  <c r="T7" i="13"/>
  <c r="S7" i="13"/>
  <c r="R7" i="13"/>
  <c r="Q7" i="13"/>
  <c r="P7" i="13"/>
  <c r="O7" i="13"/>
  <c r="N7" i="13"/>
  <c r="M7" i="13"/>
  <c r="L7" i="13"/>
  <c r="AM6" i="13"/>
  <c r="AL6" i="13"/>
  <c r="AK6" i="13"/>
  <c r="AJ6" i="13"/>
  <c r="AI6" i="13"/>
  <c r="AH6" i="13"/>
  <c r="AG6" i="13"/>
  <c r="AF6" i="13"/>
  <c r="AE6" i="13"/>
  <c r="AD6" i="13"/>
  <c r="AC6" i="13"/>
  <c r="AB6" i="13"/>
  <c r="AA6" i="13"/>
  <c r="Z6" i="13"/>
  <c r="Y6" i="13"/>
  <c r="X6" i="13"/>
  <c r="W6" i="13"/>
  <c r="V6" i="13"/>
  <c r="U6" i="13"/>
  <c r="T6" i="13"/>
  <c r="S6" i="13"/>
  <c r="R6" i="13"/>
  <c r="Q6" i="13"/>
  <c r="P6" i="13"/>
  <c r="O6" i="13"/>
  <c r="N6" i="13"/>
  <c r="M6" i="13"/>
  <c r="L6" i="13"/>
  <c r="K6" i="13"/>
  <c r="BG5" i="13"/>
  <c r="AM5" i="13"/>
  <c r="AK5" i="13"/>
  <c r="AI5" i="13"/>
  <c r="AG5" i="13"/>
  <c r="AC5" i="13"/>
  <c r="AA5" i="13"/>
  <c r="X5" i="13"/>
  <c r="U5" i="13"/>
  <c r="S5" i="13"/>
  <c r="Q5" i="13"/>
  <c r="O5" i="13"/>
  <c r="M5" i="13"/>
  <c r="K5" i="13"/>
  <c r="BG4" i="13"/>
  <c r="BB4" i="13"/>
  <c r="BB5" i="13" s="1"/>
  <c r="AM4" i="13"/>
  <c r="AL4" i="13"/>
  <c r="AL5" i="13" s="1"/>
  <c r="AK4" i="13"/>
  <c r="AJ4" i="13"/>
  <c r="AJ5" i="13" s="1"/>
  <c r="AI4" i="13"/>
  <c r="AH4" i="13"/>
  <c r="AH5" i="13" s="1"/>
  <c r="AG4" i="13"/>
  <c r="AF4" i="13"/>
  <c r="AF5" i="13" s="1"/>
  <c r="AE4" i="13"/>
  <c r="AE5" i="13" s="1"/>
  <c r="AD4" i="13"/>
  <c r="AD5" i="13" s="1"/>
  <c r="AC4" i="13"/>
  <c r="AB4" i="13"/>
  <c r="AB5" i="13" s="1"/>
  <c r="AA4" i="13"/>
  <c r="Z4" i="13"/>
  <c r="Z5" i="13" s="1"/>
  <c r="Y4" i="13"/>
  <c r="Y5" i="13" s="1"/>
  <c r="X4" i="13"/>
  <c r="W4" i="13"/>
  <c r="W5" i="13" s="1"/>
  <c r="V4" i="13"/>
  <c r="V5" i="13" s="1"/>
  <c r="U4" i="13"/>
  <c r="T4" i="13"/>
  <c r="T5" i="13" s="1"/>
  <c r="S4" i="13"/>
  <c r="R4" i="13"/>
  <c r="R5" i="13" s="1"/>
  <c r="Q4" i="13"/>
  <c r="P4" i="13"/>
  <c r="P5" i="13" s="1"/>
  <c r="O4" i="13"/>
  <c r="N4" i="13"/>
  <c r="N5" i="13" s="1"/>
  <c r="M4" i="13"/>
  <c r="L4" i="13"/>
  <c r="L5" i="13" s="1"/>
  <c r="K4" i="13"/>
  <c r="BG3" i="13"/>
  <c r="BF3" i="13"/>
  <c r="BE3" i="13"/>
  <c r="BD3" i="13"/>
  <c r="BC3" i="13"/>
  <c r="BB3" i="13"/>
  <c r="BA3" i="13"/>
  <c r="AZ3" i="13"/>
  <c r="AY3" i="13"/>
  <c r="AX3"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BG2" i="13"/>
  <c r="AM2" i="13"/>
  <c r="AL2" i="13"/>
  <c r="AK2" i="13"/>
  <c r="AJ2" i="13"/>
  <c r="AI2" i="13"/>
  <c r="AH2" i="13"/>
  <c r="AG2" i="13"/>
  <c r="AF2" i="13"/>
  <c r="AE2" i="13"/>
  <c r="AD2" i="13"/>
  <c r="AC2" i="13"/>
  <c r="AB2" i="13"/>
  <c r="AA2" i="13"/>
  <c r="Z2" i="13"/>
  <c r="Y2" i="13"/>
  <c r="X2" i="13"/>
  <c r="W2" i="13"/>
  <c r="V2" i="13"/>
  <c r="U2" i="13"/>
  <c r="T2" i="13"/>
  <c r="S2" i="13"/>
  <c r="R2" i="13"/>
  <c r="Q2" i="13"/>
  <c r="P2" i="13"/>
  <c r="O2" i="13"/>
  <c r="N2" i="13"/>
  <c r="M2" i="13"/>
  <c r="L2" i="13"/>
  <c r="K2" i="13"/>
  <c r="BG122" i="12"/>
  <c r="BH122" i="12" s="1"/>
  <c r="BI122" i="12" s="1"/>
  <c r="BJ122" i="12" s="1"/>
  <c r="BK122" i="12" s="1"/>
  <c r="BL122" i="12" s="1"/>
  <c r="BM122" i="12" s="1"/>
  <c r="BN122" i="12" s="1"/>
  <c r="BO122" i="12" s="1"/>
  <c r="BP122" i="12" s="1"/>
  <c r="BQ122" i="12" s="1"/>
  <c r="BR122" i="12" s="1"/>
  <c r="BF122" i="12"/>
  <c r="BG121" i="12"/>
  <c r="BH121" i="12" s="1"/>
  <c r="BI121" i="12" s="1"/>
  <c r="BJ121" i="12" s="1"/>
  <c r="BK121" i="12" s="1"/>
  <c r="BL121" i="12" s="1"/>
  <c r="BM121" i="12" s="1"/>
  <c r="BN121" i="12" s="1"/>
  <c r="BO121" i="12" s="1"/>
  <c r="BP121" i="12" s="1"/>
  <c r="BQ121" i="12" s="1"/>
  <c r="BR121" i="12" s="1"/>
  <c r="BF121" i="12"/>
  <c r="Q84" i="12"/>
  <c r="R84" i="12" s="1"/>
  <c r="S84" i="12" s="1"/>
  <c r="T84" i="12" s="1"/>
  <c r="M84" i="12"/>
  <c r="N84" i="12" s="1"/>
  <c r="O84" i="12" s="1"/>
  <c r="L84" i="12"/>
  <c r="I84" i="12"/>
  <c r="J84" i="12" s="1"/>
  <c r="S77" i="12"/>
  <c r="T77" i="12" s="1"/>
  <c r="R77" i="12"/>
  <c r="Q77" i="12"/>
  <c r="N77" i="12"/>
  <c r="O77" i="12" s="1"/>
  <c r="M77" i="12"/>
  <c r="L77" i="12"/>
  <c r="J77" i="12"/>
  <c r="I77" i="12"/>
  <c r="BM69" i="12"/>
  <c r="BM63" i="12"/>
  <c r="BM62" i="12"/>
  <c r="Q60" i="12"/>
  <c r="R60" i="12" s="1"/>
  <c r="S60" i="12" s="1"/>
  <c r="T60" i="12" s="1"/>
  <c r="N60" i="12"/>
  <c r="O60" i="12" s="1"/>
  <c r="M60" i="12"/>
  <c r="L60" i="12"/>
  <c r="J60" i="12"/>
  <c r="I60" i="12"/>
  <c r="AF54" i="12"/>
  <c r="AG54" i="12" s="1"/>
  <c r="AH54" i="12" s="1"/>
  <c r="AI54" i="12" s="1"/>
  <c r="AB54" i="12"/>
  <c r="AC54" i="12" s="1"/>
  <c r="AD54" i="12" s="1"/>
  <c r="AA54" i="12"/>
  <c r="V54" i="12"/>
  <c r="W54" i="12" s="1"/>
  <c r="X54" i="12" s="1"/>
  <c r="Y54" i="12" s="1"/>
  <c r="R54" i="12"/>
  <c r="S54" i="12" s="1"/>
  <c r="T54" i="12" s="1"/>
  <c r="Q54" i="12"/>
  <c r="L54" i="12"/>
  <c r="M54" i="12" s="1"/>
  <c r="N54" i="12" s="1"/>
  <c r="O54" i="12" s="1"/>
  <c r="K54" i="12"/>
  <c r="J54" i="12"/>
  <c r="I54" i="12"/>
  <c r="S52" i="12"/>
  <c r="T52" i="12" s="1"/>
  <c r="R52" i="12"/>
  <c r="Q52" i="12"/>
  <c r="L52" i="12"/>
  <c r="M52" i="12" s="1"/>
  <c r="N52" i="12" s="1"/>
  <c r="O52" i="12" s="1"/>
  <c r="I52" i="12"/>
  <c r="J52" i="12" s="1"/>
  <c r="AJ47" i="12"/>
  <c r="AD47" i="12" s="1"/>
  <c r="AE47" i="12" s="1"/>
  <c r="AF47" i="12" s="1"/>
  <c r="AG47" i="12" s="1"/>
  <c r="AH47" i="12" s="1"/>
  <c r="AI47" i="12" s="1"/>
  <c r="AJ46" i="12"/>
  <c r="AD46" i="12"/>
  <c r="AE46" i="12" s="1"/>
  <c r="AF46" i="12" s="1"/>
  <c r="AG46" i="12" s="1"/>
  <c r="AH46" i="12" s="1"/>
  <c r="AI46" i="12" s="1"/>
  <c r="AJ45" i="12"/>
  <c r="AD45" i="12" s="1"/>
  <c r="AE45" i="12" s="1"/>
  <c r="AF45" i="12" s="1"/>
  <c r="AG45" i="12" s="1"/>
  <c r="AH45" i="12" s="1"/>
  <c r="AI45" i="12" s="1"/>
  <c r="AJ44" i="12"/>
  <c r="AE44" i="12"/>
  <c r="AF44" i="12" s="1"/>
  <c r="AG44" i="12" s="1"/>
  <c r="AH44" i="12" s="1"/>
  <c r="AI44" i="12" s="1"/>
  <c r="AD44" i="12"/>
  <c r="AJ43" i="12"/>
  <c r="AE43" i="12"/>
  <c r="AF43" i="12" s="1"/>
  <c r="AG43" i="12" s="1"/>
  <c r="AH43" i="12" s="1"/>
  <c r="AI43" i="12" s="1"/>
  <c r="AJ42" i="12"/>
  <c r="AE42" i="12"/>
  <c r="AF42" i="12" s="1"/>
  <c r="AG42" i="12" s="1"/>
  <c r="AH42" i="12" s="1"/>
  <c r="AI42" i="12" s="1"/>
  <c r="AD42" i="12"/>
  <c r="AJ41" i="12"/>
  <c r="AF41" i="12"/>
  <c r="AG41" i="12" s="1"/>
  <c r="AH41" i="12" s="1"/>
  <c r="AI41" i="12" s="1"/>
  <c r="AE41" i="12"/>
  <c r="AD41" i="12"/>
  <c r="AJ40" i="12"/>
  <c r="AD40" i="12" s="1"/>
  <c r="AE40" i="12"/>
  <c r="AF40" i="12" s="1"/>
  <c r="AG40" i="12" s="1"/>
  <c r="AH40" i="12" s="1"/>
  <c r="AI40" i="12" s="1"/>
  <c r="AJ39" i="12"/>
  <c r="AD39" i="12" s="1"/>
  <c r="AE39" i="12" s="1"/>
  <c r="AF39" i="12" s="1"/>
  <c r="AG39" i="12" s="1"/>
  <c r="AH39" i="12" s="1"/>
  <c r="AI39" i="12" s="1"/>
  <c r="AJ38" i="12"/>
  <c r="AD38" i="12"/>
  <c r="AE38" i="12" s="1"/>
  <c r="AF38" i="12" s="1"/>
  <c r="AG38" i="12" s="1"/>
  <c r="AH38" i="12" s="1"/>
  <c r="AI38" i="12" s="1"/>
  <c r="AJ37" i="12"/>
  <c r="AD37" i="12"/>
  <c r="AE37" i="12" s="1"/>
  <c r="AF37" i="12" s="1"/>
  <c r="AG37" i="12" s="1"/>
  <c r="AH37" i="12" s="1"/>
  <c r="AI37" i="12" s="1"/>
  <c r="AJ36" i="12"/>
  <c r="AF36" i="12"/>
  <c r="AG36" i="12" s="1"/>
  <c r="AH36" i="12" s="1"/>
  <c r="AI36" i="12" s="1"/>
  <c r="AE36" i="12"/>
  <c r="AD36" i="12" s="1"/>
  <c r="AJ35" i="12"/>
  <c r="AF35" i="12"/>
  <c r="AG35" i="12" s="1"/>
  <c r="AH35" i="12" s="1"/>
  <c r="AI35" i="12" s="1"/>
  <c r="AE35" i="12"/>
  <c r="AD35" i="12"/>
  <c r="AJ34" i="12"/>
  <c r="H34" i="12"/>
  <c r="I34" i="12" s="1"/>
  <c r="J34" i="12" s="1"/>
  <c r="K34" i="12" s="1"/>
  <c r="L34" i="12" s="1"/>
  <c r="M34" i="12" s="1"/>
  <c r="N34" i="12" s="1"/>
  <c r="O34" i="12" s="1"/>
  <c r="P34" i="12" s="1"/>
  <c r="Q34" i="12" s="1"/>
  <c r="R34" i="12" s="1"/>
  <c r="S34" i="12" s="1"/>
  <c r="T34" i="12" s="1"/>
  <c r="U34" i="12" s="1"/>
  <c r="V34" i="12" s="1"/>
  <c r="W34" i="12" s="1"/>
  <c r="X34" i="12" s="1"/>
  <c r="Y34" i="12" s="1"/>
  <c r="Z34" i="12" s="1"/>
  <c r="AA34" i="12" s="1"/>
  <c r="AB34" i="12" s="1"/>
  <c r="AC34" i="12" s="1"/>
  <c r="AD34" i="12" s="1"/>
  <c r="AE34" i="12" s="1"/>
  <c r="AF34" i="12" s="1"/>
  <c r="AG34" i="12" s="1"/>
  <c r="AH34" i="12" s="1"/>
  <c r="AI34" i="12" s="1"/>
  <c r="AJ33" i="12"/>
  <c r="L33" i="12"/>
  <c r="M33" i="12" s="1"/>
  <c r="N33" i="12" s="1"/>
  <c r="O33" i="12" s="1"/>
  <c r="P33" i="12" s="1"/>
  <c r="Q33" i="12" s="1"/>
  <c r="R33" i="12" s="1"/>
  <c r="S33" i="12" s="1"/>
  <c r="T33" i="12" s="1"/>
  <c r="U33" i="12" s="1"/>
  <c r="V33" i="12" s="1"/>
  <c r="W33" i="12" s="1"/>
  <c r="X33" i="12" s="1"/>
  <c r="Y33" i="12" s="1"/>
  <c r="Z33" i="12" s="1"/>
  <c r="AA33" i="12" s="1"/>
  <c r="AB33" i="12" s="1"/>
  <c r="AC33" i="12" s="1"/>
  <c r="AD33" i="12" s="1"/>
  <c r="AE33" i="12" s="1"/>
  <c r="AF33" i="12" s="1"/>
  <c r="AG33" i="12" s="1"/>
  <c r="AH33" i="12" s="1"/>
  <c r="AI33" i="12" s="1"/>
  <c r="K33" i="12"/>
  <c r="I33" i="12"/>
  <c r="H24" i="12"/>
  <c r="H23" i="12"/>
  <c r="R14" i="12"/>
  <c r="S14" i="12" s="1"/>
  <c r="T14" i="12" s="1"/>
  <c r="Q14" i="12"/>
  <c r="N14" i="12"/>
  <c r="O14" i="12" s="1"/>
  <c r="M14" i="12"/>
  <c r="L14" i="12"/>
  <c r="I14" i="12"/>
  <c r="J14" i="12" s="1"/>
  <c r="Q12" i="12"/>
  <c r="R12" i="12" s="1"/>
  <c r="S12" i="12" s="1"/>
  <c r="T12" i="12" s="1"/>
  <c r="M12" i="12"/>
  <c r="N12" i="12" s="1"/>
  <c r="O12" i="12" s="1"/>
  <c r="L12" i="12"/>
  <c r="I12" i="12"/>
  <c r="J12" i="12" s="1"/>
  <c r="Q11" i="12"/>
  <c r="R11" i="12" s="1"/>
  <c r="S11" i="12" s="1"/>
  <c r="T11" i="12" s="1"/>
  <c r="L11" i="12"/>
  <c r="M11" i="12" s="1"/>
  <c r="N11" i="12" s="1"/>
  <c r="O11" i="12" s="1"/>
  <c r="R10" i="12"/>
  <c r="S10" i="12" s="1"/>
  <c r="T10" i="12" s="1"/>
  <c r="Q10" i="12"/>
  <c r="N10" i="12"/>
  <c r="O10" i="12" s="1"/>
  <c r="L10" i="12"/>
  <c r="M10" i="12" s="1"/>
  <c r="Q9" i="12"/>
  <c r="R9" i="12" s="1"/>
  <c r="S9" i="12" s="1"/>
  <c r="T9" i="12" s="1"/>
  <c r="M9" i="12"/>
  <c r="N9" i="12" s="1"/>
  <c r="O9" i="12" s="1"/>
  <c r="L9" i="12"/>
  <c r="AJ7" i="12"/>
  <c r="AI7" i="12"/>
  <c r="AH7" i="12"/>
  <c r="AG7" i="12"/>
  <c r="AF7" i="12"/>
  <c r="AE7" i="12"/>
  <c r="AD7" i="12"/>
  <c r="AC7" i="12"/>
  <c r="AB7" i="12"/>
  <c r="AA7" i="12"/>
  <c r="Z7" i="12"/>
  <c r="Y7" i="12"/>
  <c r="X7" i="12"/>
  <c r="W7" i="12"/>
  <c r="V7" i="12"/>
  <c r="U7" i="12"/>
  <c r="T7" i="12"/>
  <c r="S7" i="12"/>
  <c r="R7" i="12"/>
  <c r="Q7" i="12"/>
  <c r="P7" i="12"/>
  <c r="O7" i="12"/>
  <c r="N7" i="12"/>
  <c r="M7" i="12"/>
  <c r="L7" i="12"/>
  <c r="K7" i="12"/>
  <c r="J7" i="12"/>
  <c r="I7" i="12"/>
  <c r="H7" i="12"/>
  <c r="AJ6" i="12"/>
  <c r="AI6" i="12"/>
  <c r="AH6" i="12"/>
  <c r="AG6" i="12"/>
  <c r="AF6" i="12"/>
  <c r="AE6" i="12"/>
  <c r="AD6" i="12"/>
  <c r="AC6" i="12"/>
  <c r="AB6" i="12"/>
  <c r="AA6" i="12"/>
  <c r="Z6" i="12"/>
  <c r="Y6" i="12"/>
  <c r="X6" i="12"/>
  <c r="W6" i="12"/>
  <c r="V6" i="12"/>
  <c r="U6" i="12"/>
  <c r="T6" i="12"/>
  <c r="S6" i="12"/>
  <c r="R6" i="12"/>
  <c r="Q6" i="12"/>
  <c r="P6" i="12"/>
  <c r="O6" i="12"/>
  <c r="N6" i="12"/>
  <c r="M6" i="12"/>
  <c r="L6" i="12"/>
  <c r="K6" i="12"/>
  <c r="J6" i="12"/>
  <c r="I6" i="12"/>
  <c r="H6" i="12"/>
  <c r="V160" i="11"/>
  <c r="U160" i="11"/>
  <c r="T160" i="11"/>
  <c r="S160" i="11"/>
  <c r="S159" i="11" s="1"/>
  <c r="T159" i="11" s="1"/>
  <c r="U159" i="11" s="1"/>
  <c r="V159" i="11" s="1"/>
  <c r="W159" i="11" s="1"/>
  <c r="R160" i="11"/>
  <c r="Q160" i="11"/>
  <c r="P160" i="11"/>
  <c r="O160" i="11"/>
  <c r="N160" i="11"/>
  <c r="M160" i="11"/>
  <c r="L160" i="11"/>
  <c r="K160" i="11"/>
  <c r="J160" i="11"/>
  <c r="AJ146" i="11"/>
  <c r="I146" i="11" s="1"/>
  <c r="J146" i="11" s="1"/>
  <c r="K146" i="11" s="1"/>
  <c r="L146" i="11" s="1"/>
  <c r="M146" i="11" s="1"/>
  <c r="N146" i="11" s="1"/>
  <c r="O146" i="11" s="1"/>
  <c r="P146" i="11" s="1"/>
  <c r="Q146" i="11" s="1"/>
  <c r="R146" i="11" s="1"/>
  <c r="S146" i="11" s="1"/>
  <c r="T146" i="11" s="1"/>
  <c r="U146" i="11" s="1"/>
  <c r="V146" i="11" s="1"/>
  <c r="W146" i="11" s="1"/>
  <c r="X146" i="11" s="1"/>
  <c r="Y146" i="11" s="1"/>
  <c r="Z146" i="11" s="1"/>
  <c r="AA146" i="11" s="1"/>
  <c r="AB146" i="11" s="1"/>
  <c r="AC146" i="11" s="1"/>
  <c r="AD146" i="11" s="1"/>
  <c r="AE146" i="11" s="1"/>
  <c r="AF146" i="11" s="1"/>
  <c r="AG146" i="11" s="1"/>
  <c r="AH146" i="11" s="1"/>
  <c r="AI146" i="11" s="1"/>
  <c r="X124" i="11"/>
  <c r="Y124" i="11" s="1"/>
  <c r="Z124" i="11" s="1"/>
  <c r="AA124" i="11" s="1"/>
  <c r="AB124" i="11" s="1"/>
  <c r="AC124" i="11" s="1"/>
  <c r="AD124" i="11" s="1"/>
  <c r="AE124" i="11" s="1"/>
  <c r="AF124" i="11" s="1"/>
  <c r="AG124" i="11" s="1"/>
  <c r="AH124" i="11" s="1"/>
  <c r="AI124" i="11" s="1"/>
  <c r="AJ124" i="11" s="1"/>
  <c r="AL124" i="11" s="1"/>
  <c r="AM124" i="11" s="1"/>
  <c r="AN124" i="11" s="1"/>
  <c r="AO124" i="11" s="1"/>
  <c r="AP124" i="11" s="1"/>
  <c r="AQ124" i="11" s="1"/>
  <c r="AR124" i="11" s="1"/>
  <c r="AS124" i="11" s="1"/>
  <c r="AT124" i="11" s="1"/>
  <c r="AU124" i="11" s="1"/>
  <c r="AV124" i="11" s="1"/>
  <c r="AW124" i="11" s="1"/>
  <c r="AX124" i="11" s="1"/>
  <c r="W124" i="11"/>
  <c r="U124" i="11"/>
  <c r="V124" i="11" s="1"/>
  <c r="T123" i="11"/>
  <c r="U123" i="11" s="1"/>
  <c r="V123" i="11" s="1"/>
  <c r="W123" i="11" s="1"/>
  <c r="X123" i="11" s="1"/>
  <c r="S119" i="11"/>
  <c r="R119" i="11"/>
  <c r="Q119" i="11"/>
  <c r="P119" i="11"/>
  <c r="O119" i="11"/>
  <c r="N119" i="11"/>
  <c r="M119" i="11"/>
  <c r="L119" i="11"/>
  <c r="K119" i="11"/>
  <c r="J119" i="11"/>
  <c r="I119" i="11"/>
  <c r="S118" i="11"/>
  <c r="R118" i="11"/>
  <c r="Q118" i="11"/>
  <c r="P118" i="11"/>
  <c r="O118" i="11"/>
  <c r="N118" i="11"/>
  <c r="M118" i="11"/>
  <c r="L118" i="11"/>
  <c r="K118" i="11"/>
  <c r="J118" i="11"/>
  <c r="I118" i="11"/>
  <c r="S82" i="11"/>
  <c r="T82" i="11" s="1"/>
  <c r="R82" i="11"/>
  <c r="Q82" i="11"/>
  <c r="L82" i="11"/>
  <c r="M82" i="11" s="1"/>
  <c r="N82" i="11" s="1"/>
  <c r="O82" i="11" s="1"/>
  <c r="J82" i="11"/>
  <c r="I82" i="11"/>
  <c r="Q77" i="11"/>
  <c r="R77" i="11" s="1"/>
  <c r="S77" i="11" s="1"/>
  <c r="T77" i="11" s="1"/>
  <c r="L77" i="11"/>
  <c r="M77" i="11" s="1"/>
  <c r="N77" i="11" s="1"/>
  <c r="O77" i="11" s="1"/>
  <c r="I77" i="11"/>
  <c r="J77" i="11" s="1"/>
  <c r="AI62" i="11"/>
  <c r="AF62" i="11"/>
  <c r="AG62" i="11" s="1"/>
  <c r="AH62" i="11" s="1"/>
  <c r="AA62" i="11"/>
  <c r="AB62" i="11" s="1"/>
  <c r="AC62" i="11" s="1"/>
  <c r="AD62" i="11" s="1"/>
  <c r="V62" i="11"/>
  <c r="W62" i="11" s="1"/>
  <c r="X62" i="11" s="1"/>
  <c r="Y62" i="11" s="1"/>
  <c r="R60" i="11"/>
  <c r="S60" i="11" s="1"/>
  <c r="T60" i="11" s="1"/>
  <c r="Q60" i="11"/>
  <c r="N60" i="11"/>
  <c r="O60" i="11" s="1"/>
  <c r="M60" i="11"/>
  <c r="L60" i="11"/>
  <c r="J60" i="11"/>
  <c r="I60" i="11"/>
  <c r="AG55" i="11"/>
  <c r="AH55" i="11" s="1"/>
  <c r="AI55" i="11" s="1"/>
  <c r="AF55" i="11"/>
  <c r="AD55" i="11"/>
  <c r="AB55" i="11"/>
  <c r="AC55" i="11" s="1"/>
  <c r="AA55" i="11"/>
  <c r="V55" i="11"/>
  <c r="W55" i="11" s="1"/>
  <c r="X55" i="11" s="1"/>
  <c r="Y55" i="11" s="1"/>
  <c r="R55" i="11"/>
  <c r="S55" i="11" s="1"/>
  <c r="T55" i="11" s="1"/>
  <c r="Q55" i="11"/>
  <c r="M55" i="11"/>
  <c r="N55" i="11" s="1"/>
  <c r="O55" i="11" s="1"/>
  <c r="L55" i="11"/>
  <c r="K55" i="11"/>
  <c r="I55" i="11" s="1"/>
  <c r="J55" i="11" s="1"/>
  <c r="S53" i="11"/>
  <c r="T53" i="11" s="1"/>
  <c r="R53" i="11"/>
  <c r="Q53" i="11"/>
  <c r="M53" i="11"/>
  <c r="N53" i="11" s="1"/>
  <c r="O53" i="11" s="1"/>
  <c r="L53" i="11"/>
  <c r="J53" i="11"/>
  <c r="I53" i="11"/>
  <c r="BD49" i="11"/>
  <c r="BB49" i="11"/>
  <c r="BD48" i="11"/>
  <c r="BB48" i="11"/>
  <c r="BD47" i="11"/>
  <c r="BB47" i="11"/>
  <c r="BD46" i="11"/>
  <c r="BB46" i="11"/>
  <c r="BD45" i="11"/>
  <c r="BB45" i="11"/>
  <c r="BD44" i="11"/>
  <c r="BB44" i="11"/>
  <c r="AR44" i="11"/>
  <c r="AR43" i="11"/>
  <c r="AR42" i="11"/>
  <c r="H25" i="11"/>
  <c r="H24" i="11"/>
  <c r="AJ23" i="11"/>
  <c r="AJ25" i="11" s="1"/>
  <c r="I23" i="11"/>
  <c r="I25" i="11" s="1"/>
  <c r="AJ22" i="11"/>
  <c r="AJ24" i="11" s="1"/>
  <c r="X7" i="11"/>
  <c r="W7" i="11"/>
  <c r="V7" i="11"/>
  <c r="U7" i="11"/>
  <c r="T7" i="11"/>
  <c r="S7" i="11"/>
  <c r="R7" i="11"/>
  <c r="Q7" i="11"/>
  <c r="P7" i="11"/>
  <c r="O7" i="11"/>
  <c r="N7" i="11"/>
  <c r="M7" i="11"/>
  <c r="L7" i="11"/>
  <c r="K7" i="11"/>
  <c r="J7" i="11"/>
  <c r="I7" i="11"/>
  <c r="H7" i="11"/>
  <c r="Z6" i="11"/>
  <c r="X6" i="11"/>
  <c r="W6" i="11"/>
  <c r="V6" i="11"/>
  <c r="U6" i="11"/>
  <c r="T6" i="11"/>
  <c r="S6" i="11"/>
  <c r="R6" i="11"/>
  <c r="Q6" i="11"/>
  <c r="P6" i="11"/>
  <c r="O6" i="11"/>
  <c r="N6" i="11"/>
  <c r="M6" i="11"/>
  <c r="L6" i="11"/>
  <c r="K6" i="11"/>
  <c r="J6" i="11"/>
  <c r="I6" i="11"/>
  <c r="H6" i="11"/>
  <c r="K3" i="11"/>
  <c r="L3" i="11" s="1"/>
  <c r="M3" i="11" s="1"/>
  <c r="N3" i="11" s="1"/>
  <c r="O3" i="11" s="1"/>
  <c r="P3" i="11" s="1"/>
  <c r="Q3" i="11" s="1"/>
  <c r="R3" i="11" s="1"/>
  <c r="S3" i="11" s="1"/>
  <c r="T3" i="11" s="1"/>
  <c r="U3" i="11" s="1"/>
  <c r="V3" i="11" s="1"/>
  <c r="W3" i="11" s="1"/>
  <c r="X3" i="11" s="1"/>
  <c r="Y3" i="11" s="1"/>
  <c r="J3" i="11"/>
  <c r="I3" i="11"/>
  <c r="Z2" i="11"/>
  <c r="AA2" i="11" s="1"/>
  <c r="Y2" i="11"/>
  <c r="Y6" i="11" s="1"/>
  <c r="H48" i="10"/>
  <c r="J36" i="10"/>
  <c r="K36" i="10" s="1"/>
  <c r="L36" i="10" s="1"/>
  <c r="M36" i="10" s="1"/>
  <c r="N36" i="10" s="1"/>
  <c r="O36" i="10" s="1"/>
  <c r="P36" i="10" s="1"/>
  <c r="Q36" i="10" s="1"/>
  <c r="R36" i="10" s="1"/>
  <c r="S36" i="10" s="1"/>
  <c r="T36" i="10" s="1"/>
  <c r="U36" i="10" s="1"/>
  <c r="V36" i="10" s="1"/>
  <c r="W36" i="10" s="1"/>
  <c r="X36" i="10" s="1"/>
  <c r="Y36" i="10" s="1"/>
  <c r="Z36" i="10" s="1"/>
  <c r="AA36" i="10" s="1"/>
  <c r="AB36" i="10" s="1"/>
  <c r="AC36" i="10" s="1"/>
  <c r="AD36" i="10" s="1"/>
  <c r="AE36" i="10" s="1"/>
  <c r="AF36" i="10" s="1"/>
  <c r="AG36" i="10" s="1"/>
  <c r="AH36" i="10" s="1"/>
  <c r="AI36" i="10" s="1"/>
  <c r="I36" i="10"/>
  <c r="H36" i="10"/>
  <c r="AJ35" i="10"/>
  <c r="Z35" i="10"/>
  <c r="AA35" i="10" s="1"/>
  <c r="AB35" i="10" s="1"/>
  <c r="AC35" i="10" s="1"/>
  <c r="AD35" i="10" s="1"/>
  <c r="AE35" i="10" s="1"/>
  <c r="AF35" i="10" s="1"/>
  <c r="AG35" i="10" s="1"/>
  <c r="AH35" i="10" s="1"/>
  <c r="AI35" i="10" s="1"/>
  <c r="M35" i="10"/>
  <c r="N35" i="10" s="1"/>
  <c r="O35" i="10" s="1"/>
  <c r="P35" i="10" s="1"/>
  <c r="Q35" i="10" s="1"/>
  <c r="R35" i="10" s="1"/>
  <c r="S35" i="10" s="1"/>
  <c r="T35" i="10" s="1"/>
  <c r="U35" i="10" s="1"/>
  <c r="V35" i="10" s="1"/>
  <c r="W35" i="10" s="1"/>
  <c r="X35" i="10" s="1"/>
  <c r="Y35" i="10" s="1"/>
  <c r="L35" i="10"/>
  <c r="K35" i="10"/>
  <c r="J35" i="10"/>
  <c r="AJ34" i="10"/>
  <c r="I34" i="10" s="1"/>
  <c r="J34" i="10" s="1"/>
  <c r="K34" i="10" s="1"/>
  <c r="L34" i="10" s="1"/>
  <c r="M34" i="10" s="1"/>
  <c r="N34" i="10" s="1"/>
  <c r="O34" i="10"/>
  <c r="P34" i="10" s="1"/>
  <c r="Q34" i="10" s="1"/>
  <c r="R34" i="10" s="1"/>
  <c r="S34" i="10" s="1"/>
  <c r="T34" i="10" s="1"/>
  <c r="U34" i="10" s="1"/>
  <c r="V34" i="10" s="1"/>
  <c r="W34" i="10" s="1"/>
  <c r="X34" i="10" s="1"/>
  <c r="Y34" i="10" s="1"/>
  <c r="Z34" i="10" s="1"/>
  <c r="AA34" i="10" s="1"/>
  <c r="AB34" i="10" s="1"/>
  <c r="AC34" i="10" s="1"/>
  <c r="AD34" i="10" s="1"/>
  <c r="AE34" i="10" s="1"/>
  <c r="AF34" i="10" s="1"/>
  <c r="AG34" i="10" s="1"/>
  <c r="AH34" i="10" s="1"/>
  <c r="AI34" i="10" s="1"/>
  <c r="H34" i="10"/>
  <c r="AD33" i="10"/>
  <c r="AE33" i="10" s="1"/>
  <c r="AF33" i="10" s="1"/>
  <c r="AG33" i="10" s="1"/>
  <c r="AH33" i="10" s="1"/>
  <c r="AI33" i="10" s="1"/>
  <c r="AJ33" i="10" s="1"/>
  <c r="AC33" i="10"/>
  <c r="AB33" i="10"/>
  <c r="AA33" i="10"/>
  <c r="S33" i="10"/>
  <c r="T33" i="10" s="1"/>
  <c r="U33" i="10" s="1"/>
  <c r="V33" i="10" s="1"/>
  <c r="W33" i="10" s="1"/>
  <c r="X33" i="10" s="1"/>
  <c r="Y33" i="10" s="1"/>
  <c r="Q33" i="10"/>
  <c r="R33" i="10" s="1"/>
  <c r="O33" i="10"/>
  <c r="N33" i="10"/>
  <c r="M33" i="10"/>
  <c r="L33" i="10"/>
  <c r="AA32" i="10"/>
  <c r="AB32" i="10" s="1"/>
  <c r="AC32" i="10" s="1"/>
  <c r="AD32" i="10" s="1"/>
  <c r="AE32" i="10" s="1"/>
  <c r="AF32" i="10" s="1"/>
  <c r="AG32" i="10" s="1"/>
  <c r="AH32" i="10" s="1"/>
  <c r="AI32" i="10" s="1"/>
  <c r="AJ32" i="10" s="1"/>
  <c r="Z32" i="10"/>
  <c r="P32" i="10"/>
  <c r="Q32" i="10" s="1"/>
  <c r="R32" i="10" s="1"/>
  <c r="S32" i="10" s="1"/>
  <c r="T32" i="10" s="1"/>
  <c r="U32" i="10" s="1"/>
  <c r="V32" i="10" s="1"/>
  <c r="W32" i="10" s="1"/>
  <c r="X32" i="10" s="1"/>
  <c r="Y32" i="10" s="1"/>
  <c r="K32" i="10"/>
  <c r="AA31" i="10"/>
  <c r="AB31" i="10" s="1"/>
  <c r="AC31" i="10" s="1"/>
  <c r="AD31" i="10" s="1"/>
  <c r="AE31" i="10" s="1"/>
  <c r="AF31" i="10" s="1"/>
  <c r="AG31" i="10" s="1"/>
  <c r="AH31" i="10" s="1"/>
  <c r="AI31" i="10" s="1"/>
  <c r="AJ31" i="10" s="1"/>
  <c r="Q31" i="10"/>
  <c r="R31" i="10" s="1"/>
  <c r="S31" i="10" s="1"/>
  <c r="T31" i="10" s="1"/>
  <c r="U31" i="10" s="1"/>
  <c r="V31" i="10" s="1"/>
  <c r="W31" i="10" s="1"/>
  <c r="X31" i="10" s="1"/>
  <c r="Y31" i="10" s="1"/>
  <c r="L31" i="10"/>
  <c r="M31" i="10" s="1"/>
  <c r="N31" i="10" s="1"/>
  <c r="O31" i="10" s="1"/>
  <c r="AB29" i="10"/>
  <c r="AC29" i="10" s="1"/>
  <c r="AD29" i="10" s="1"/>
  <c r="AE29" i="10" s="1"/>
  <c r="AF29" i="10" s="1"/>
  <c r="AG29" i="10" s="1"/>
  <c r="AH29" i="10" s="1"/>
  <c r="AI29" i="10" s="1"/>
  <c r="AJ29" i="10" s="1"/>
  <c r="AA29" i="10"/>
  <c r="W29" i="10"/>
  <c r="X29" i="10" s="1"/>
  <c r="Y29" i="10" s="1"/>
  <c r="S29" i="10"/>
  <c r="T29" i="10" s="1"/>
  <c r="U29" i="10" s="1"/>
  <c r="V29" i="10" s="1"/>
  <c r="Q29" i="10"/>
  <c r="R29" i="10" s="1"/>
  <c r="M29" i="10"/>
  <c r="N29" i="10" s="1"/>
  <c r="O29" i="10" s="1"/>
  <c r="L29" i="10"/>
  <c r="Z28" i="10"/>
  <c r="Q28" i="10" s="1"/>
  <c r="R28" i="10" s="1"/>
  <c r="S28" i="10" s="1"/>
  <c r="T28" i="10" s="1"/>
  <c r="U28" i="10" s="1"/>
  <c r="V28" i="10"/>
  <c r="W28" i="10" s="1"/>
  <c r="X28" i="10" s="1"/>
  <c r="Y28" i="10" s="1"/>
  <c r="P28" i="10"/>
  <c r="L28" i="10"/>
  <c r="M28" i="10" s="1"/>
  <c r="N28" i="10" s="1"/>
  <c r="O28" i="10" s="1"/>
  <c r="K28" i="10"/>
  <c r="AB27" i="10"/>
  <c r="AC27" i="10" s="1"/>
  <c r="AD27" i="10" s="1"/>
  <c r="AE27" i="10" s="1"/>
  <c r="AF27" i="10" s="1"/>
  <c r="AG27" i="10" s="1"/>
  <c r="AH27" i="10" s="1"/>
  <c r="AI27" i="10" s="1"/>
  <c r="AJ27" i="10" s="1"/>
  <c r="AA27" i="10"/>
  <c r="W27" i="10"/>
  <c r="X27" i="10" s="1"/>
  <c r="Y27" i="10" s="1"/>
  <c r="S27" i="10"/>
  <c r="T27" i="10" s="1"/>
  <c r="U27" i="10" s="1"/>
  <c r="V27" i="10" s="1"/>
  <c r="R27" i="10"/>
  <c r="Q27" i="10"/>
  <c r="L27" i="10"/>
  <c r="M27" i="10" s="1"/>
  <c r="N27" i="10" s="1"/>
  <c r="O27" i="10" s="1"/>
  <c r="J17" i="10"/>
  <c r="H17" i="10"/>
  <c r="J16" i="10"/>
  <c r="H16" i="10"/>
  <c r="X7" i="10"/>
  <c r="W7" i="10"/>
  <c r="V7" i="10"/>
  <c r="U7" i="10"/>
  <c r="T7" i="10"/>
  <c r="S7" i="10"/>
  <c r="R7" i="10"/>
  <c r="Q7" i="10"/>
  <c r="P7" i="10"/>
  <c r="O7" i="10"/>
  <c r="N7" i="10"/>
  <c r="M7" i="10"/>
  <c r="L7" i="10"/>
  <c r="K7" i="10"/>
  <c r="J7" i="10"/>
  <c r="I7" i="10"/>
  <c r="H7" i="10"/>
  <c r="Y6" i="10"/>
  <c r="X6" i="10"/>
  <c r="W6" i="10"/>
  <c r="V6" i="10"/>
  <c r="U6" i="10"/>
  <c r="T6" i="10"/>
  <c r="S6" i="10"/>
  <c r="R6" i="10"/>
  <c r="Q6" i="10"/>
  <c r="P6" i="10"/>
  <c r="O6" i="10"/>
  <c r="N6" i="10"/>
  <c r="M6" i="10"/>
  <c r="L6" i="10"/>
  <c r="K6" i="10"/>
  <c r="J6" i="10"/>
  <c r="I6" i="10"/>
  <c r="H6" i="10"/>
  <c r="V3" i="10"/>
  <c r="Z2" i="10"/>
  <c r="Y2" i="10"/>
  <c r="Y7" i="10" s="1"/>
  <c r="Y99" i="7"/>
  <c r="P99" i="7"/>
  <c r="O99" i="7"/>
  <c r="N99" i="7"/>
  <c r="M99" i="7"/>
  <c r="AD98" i="7"/>
  <c r="Y98" i="7"/>
  <c r="T98" i="7"/>
  <c r="Q98" i="7"/>
  <c r="P98" i="7"/>
  <c r="O98" i="7"/>
  <c r="N98" i="7"/>
  <c r="M98" i="7"/>
  <c r="AD97" i="7"/>
  <c r="Y97" i="7"/>
  <c r="T97" i="7"/>
  <c r="Q97" i="7"/>
  <c r="P97" i="7"/>
  <c r="O97" i="7"/>
  <c r="N97" i="7"/>
  <c r="M97" i="7"/>
  <c r="BM96" i="7"/>
  <c r="BL96" i="7"/>
  <c r="BK96" i="7"/>
  <c r="BJ96" i="7"/>
  <c r="BI96" i="7"/>
  <c r="BH96" i="7"/>
  <c r="BG96" i="7"/>
  <c r="BF96" i="7"/>
  <c r="BE96" i="7"/>
  <c r="BD96" i="7"/>
  <c r="BC96" i="7"/>
  <c r="BB96" i="7"/>
  <c r="BA96" i="7"/>
  <c r="AZ96" i="7"/>
  <c r="AY96" i="7"/>
  <c r="AX96" i="7"/>
  <c r="AW96" i="7"/>
  <c r="AV96" i="7"/>
  <c r="AU96" i="7"/>
  <c r="AT96" i="7"/>
  <c r="AS96" i="7"/>
  <c r="AR96" i="7"/>
  <c r="AQ96" i="7"/>
  <c r="AP96" i="7"/>
  <c r="AO96" i="7"/>
  <c r="AN96" i="7"/>
  <c r="AM96" i="7"/>
  <c r="AL96" i="7"/>
  <c r="AK96" i="7"/>
  <c r="AJ96" i="7"/>
  <c r="AI96" i="7"/>
  <c r="AH96" i="7"/>
  <c r="AG96" i="7"/>
  <c r="AF96" i="7"/>
  <c r="AE96" i="7"/>
  <c r="AD96" i="7"/>
  <c r="AC96" i="7"/>
  <c r="AB96" i="7"/>
  <c r="AA96" i="7"/>
  <c r="Z96" i="7"/>
  <c r="Y96" i="7"/>
  <c r="X96" i="7"/>
  <c r="W96" i="7"/>
  <c r="V96" i="7"/>
  <c r="U96" i="7"/>
  <c r="T96" i="7"/>
  <c r="S96" i="7"/>
  <c r="R96" i="7"/>
  <c r="Q96" i="7"/>
  <c r="P96" i="7"/>
  <c r="O96" i="7"/>
  <c r="N96" i="7"/>
  <c r="M96" i="7"/>
  <c r="AD95" i="7"/>
  <c r="Y95" i="7"/>
  <c r="T95" i="7"/>
  <c r="Q95" i="7"/>
  <c r="P95" i="7"/>
  <c r="O95" i="7"/>
  <c r="N95" i="7"/>
  <c r="M95" i="7"/>
  <c r="BM94" i="7"/>
  <c r="BL94" i="7"/>
  <c r="BK94" i="7"/>
  <c r="BJ94" i="7"/>
  <c r="BI94" i="7"/>
  <c r="BH94" i="7"/>
  <c r="BG94" i="7"/>
  <c r="BF94" i="7"/>
  <c r="BE94" i="7"/>
  <c r="BD94" i="7"/>
  <c r="BC94" i="7"/>
  <c r="BB94" i="7"/>
  <c r="BA94" i="7"/>
  <c r="AZ94" i="7"/>
  <c r="AY94" i="7"/>
  <c r="AX94" i="7"/>
  <c r="AW94" i="7"/>
  <c r="AV94" i="7"/>
  <c r="AU94" i="7"/>
  <c r="AT94" i="7"/>
  <c r="AS94" i="7"/>
  <c r="AR94" i="7"/>
  <c r="AQ94" i="7"/>
  <c r="AP94" i="7"/>
  <c r="AO94" i="7"/>
  <c r="AN94" i="7"/>
  <c r="AM94" i="7"/>
  <c r="AL94" i="7"/>
  <c r="AK94" i="7"/>
  <c r="AJ94" i="7"/>
  <c r="AI94" i="7"/>
  <c r="AH94" i="7"/>
  <c r="AG94" i="7"/>
  <c r="AF94" i="7"/>
  <c r="AE94" i="7"/>
  <c r="AD94" i="7"/>
  <c r="AC94" i="7"/>
  <c r="AB94" i="7"/>
  <c r="AA94" i="7"/>
  <c r="Z94" i="7"/>
  <c r="Y94" i="7"/>
  <c r="X94" i="7"/>
  <c r="W94" i="7"/>
  <c r="V94" i="7"/>
  <c r="U94" i="7"/>
  <c r="T94" i="7"/>
  <c r="S94" i="7"/>
  <c r="R94" i="7"/>
  <c r="Q94" i="7"/>
  <c r="P94" i="7"/>
  <c r="O94" i="7"/>
  <c r="N94" i="7"/>
  <c r="M94" i="7"/>
  <c r="AD93" i="7"/>
  <c r="Y93" i="7"/>
  <c r="T93" i="7"/>
  <c r="Q93" i="7"/>
  <c r="P93" i="7"/>
  <c r="O93" i="7"/>
  <c r="N93" i="7"/>
  <c r="M93" i="7"/>
  <c r="BM92" i="7"/>
  <c r="BL92" i="7"/>
  <c r="BK92" i="7"/>
  <c r="BJ92" i="7"/>
  <c r="BI92" i="7"/>
  <c r="BH92" i="7"/>
  <c r="BG92" i="7"/>
  <c r="BF92" i="7"/>
  <c r="BE92" i="7"/>
  <c r="BD92" i="7"/>
  <c r="BC92" i="7"/>
  <c r="BB92" i="7"/>
  <c r="BA92" i="7"/>
  <c r="AZ92" i="7"/>
  <c r="AY92" i="7"/>
  <c r="AX92" i="7"/>
  <c r="AW92" i="7"/>
  <c r="AV92" i="7"/>
  <c r="AU92" i="7"/>
  <c r="AT92" i="7"/>
  <c r="AS92" i="7"/>
  <c r="AR92" i="7"/>
  <c r="AQ92" i="7"/>
  <c r="AP92" i="7"/>
  <c r="AO92" i="7"/>
  <c r="AN92" i="7"/>
  <c r="AM92" i="7"/>
  <c r="AL92" i="7"/>
  <c r="AK92" i="7"/>
  <c r="AJ92" i="7"/>
  <c r="AI92" i="7"/>
  <c r="AH92" i="7"/>
  <c r="AG92" i="7"/>
  <c r="AF92" i="7"/>
  <c r="AE92" i="7"/>
  <c r="AD92" i="7"/>
  <c r="AC92" i="7"/>
  <c r="AB92" i="7"/>
  <c r="AA92" i="7"/>
  <c r="Z92" i="7"/>
  <c r="Y92" i="7"/>
  <c r="X92" i="7"/>
  <c r="W92" i="7"/>
  <c r="V92" i="7"/>
  <c r="U92" i="7"/>
  <c r="T92" i="7"/>
  <c r="S92" i="7"/>
  <c r="R92" i="7"/>
  <c r="Q92" i="7"/>
  <c r="P92" i="7"/>
  <c r="O92" i="7"/>
  <c r="N92" i="7"/>
  <c r="M92" i="7"/>
  <c r="AR91" i="7"/>
  <c r="AQ91" i="7"/>
  <c r="AP91" i="7"/>
  <c r="AO91" i="7"/>
  <c r="AN91" i="7"/>
  <c r="AM91" i="7"/>
  <c r="AL91" i="7"/>
  <c r="AK91" i="7"/>
  <c r="AJ91" i="7"/>
  <c r="AI91" i="7"/>
  <c r="AH91" i="7"/>
  <c r="AG91" i="7"/>
  <c r="AF91" i="7"/>
  <c r="AE91" i="7"/>
  <c r="AD91" i="7"/>
  <c r="AC91" i="7"/>
  <c r="AB91" i="7"/>
  <c r="AA91" i="7"/>
  <c r="Z91" i="7"/>
  <c r="Y91" i="7"/>
  <c r="X91" i="7"/>
  <c r="W91" i="7"/>
  <c r="V91" i="7"/>
  <c r="U91" i="7"/>
  <c r="T91" i="7"/>
  <c r="S91" i="7"/>
  <c r="R91" i="7"/>
  <c r="Q91" i="7"/>
  <c r="P91" i="7"/>
  <c r="O91" i="7"/>
  <c r="N91" i="7"/>
  <c r="M91" i="7"/>
  <c r="AD90" i="7"/>
  <c r="Y90" i="7"/>
  <c r="T90" i="7"/>
  <c r="Q90" i="7"/>
  <c r="P90" i="7"/>
  <c r="O90" i="7"/>
  <c r="N90" i="7"/>
  <c r="M90" i="7"/>
  <c r="BM89" i="7"/>
  <c r="BL89" i="7"/>
  <c r="BK89" i="7"/>
  <c r="BJ89" i="7"/>
  <c r="BI89" i="7"/>
  <c r="BH89" i="7"/>
  <c r="BG89" i="7"/>
  <c r="BF89" i="7"/>
  <c r="BE89" i="7"/>
  <c r="BD89" i="7"/>
  <c r="BC89" i="7"/>
  <c r="BB89" i="7"/>
  <c r="BA89" i="7"/>
  <c r="AZ89" i="7"/>
  <c r="AY89" i="7"/>
  <c r="AX89" i="7"/>
  <c r="AW89" i="7"/>
  <c r="AV89" i="7"/>
  <c r="AU89" i="7"/>
  <c r="AT89" i="7"/>
  <c r="AS89" i="7"/>
  <c r="AR89" i="7"/>
  <c r="AQ89" i="7"/>
  <c r="AP89" i="7"/>
  <c r="AO89" i="7"/>
  <c r="AN89" i="7"/>
  <c r="AM89" i="7"/>
  <c r="AL89" i="7"/>
  <c r="AK89" i="7"/>
  <c r="AJ89" i="7"/>
  <c r="AI89" i="7"/>
  <c r="AH89" i="7"/>
  <c r="AG89" i="7"/>
  <c r="AF89" i="7"/>
  <c r="AE89" i="7"/>
  <c r="AD89" i="7"/>
  <c r="AC89" i="7"/>
  <c r="AB89" i="7"/>
  <c r="AA89" i="7"/>
  <c r="Z89" i="7"/>
  <c r="Y89" i="7"/>
  <c r="X89" i="7"/>
  <c r="W89" i="7"/>
  <c r="V89" i="7"/>
  <c r="U89" i="7"/>
  <c r="T89" i="7"/>
  <c r="S89" i="7"/>
  <c r="R89" i="7"/>
  <c r="Q89" i="7"/>
  <c r="P89" i="7"/>
  <c r="O89" i="7"/>
  <c r="N89" i="7"/>
  <c r="M89" i="7"/>
  <c r="BM88" i="7"/>
  <c r="BL88" i="7"/>
  <c r="BK88" i="7"/>
  <c r="BJ88" i="7"/>
  <c r="BJ84" i="7" s="1"/>
  <c r="BI88" i="7"/>
  <c r="BH88" i="7"/>
  <c r="BG88" i="7"/>
  <c r="BF88" i="7"/>
  <c r="BF84" i="7" s="1"/>
  <c r="BE88" i="7"/>
  <c r="BD88" i="7"/>
  <c r="BC88" i="7"/>
  <c r="BB88" i="7"/>
  <c r="BA88" i="7"/>
  <c r="AZ88" i="7"/>
  <c r="AY88" i="7"/>
  <c r="AX88" i="7"/>
  <c r="AX84" i="7" s="1"/>
  <c r="AW88" i="7"/>
  <c r="AV88" i="7"/>
  <c r="AU88" i="7"/>
  <c r="AT88" i="7"/>
  <c r="AT84" i="7" s="1"/>
  <c r="AS88" i="7"/>
  <c r="AS84" i="7" s="1"/>
  <c r="AR88" i="7"/>
  <c r="AQ88" i="7"/>
  <c r="AP88" i="7"/>
  <c r="AO88" i="7"/>
  <c r="AN88" i="7"/>
  <c r="AM88" i="7"/>
  <c r="AL88" i="7"/>
  <c r="AL84" i="7" s="1"/>
  <c r="AK88" i="7"/>
  <c r="AJ88" i="7"/>
  <c r="AI88" i="7"/>
  <c r="AH88" i="7"/>
  <c r="AH84" i="7" s="1"/>
  <c r="AG88" i="7"/>
  <c r="AF88" i="7"/>
  <c r="AE88" i="7"/>
  <c r="AD88" i="7"/>
  <c r="AC88" i="7"/>
  <c r="AB88" i="7"/>
  <c r="AA88" i="7"/>
  <c r="Z88" i="7"/>
  <c r="Z84" i="7" s="1"/>
  <c r="Y88" i="7"/>
  <c r="X88" i="7"/>
  <c r="W88" i="7"/>
  <c r="V88" i="7"/>
  <c r="V84" i="7" s="1"/>
  <c r="U88" i="7"/>
  <c r="T88" i="7"/>
  <c r="S88" i="7"/>
  <c r="R88" i="7"/>
  <c r="Q88" i="7"/>
  <c r="P88" i="7"/>
  <c r="O88" i="7"/>
  <c r="N88" i="7"/>
  <c r="M88" i="7"/>
  <c r="BM87" i="7"/>
  <c r="BL87" i="7"/>
  <c r="BK87" i="7"/>
  <c r="BJ87" i="7"/>
  <c r="BI87" i="7"/>
  <c r="BH87" i="7"/>
  <c r="BG87" i="7"/>
  <c r="BF87" i="7"/>
  <c r="BE87" i="7"/>
  <c r="BD87" i="7"/>
  <c r="BC87" i="7"/>
  <c r="BB87" i="7"/>
  <c r="BA87" i="7"/>
  <c r="AZ87" i="7"/>
  <c r="AY87" i="7"/>
  <c r="AX87" i="7"/>
  <c r="AW87" i="7"/>
  <c r="AV87" i="7"/>
  <c r="AU87" i="7"/>
  <c r="AT87" i="7"/>
  <c r="AS87" i="7"/>
  <c r="AR87" i="7"/>
  <c r="AQ87" i="7"/>
  <c r="AP87" i="7"/>
  <c r="AO87" i="7"/>
  <c r="AN87" i="7"/>
  <c r="AM87" i="7"/>
  <c r="AL87" i="7"/>
  <c r="AK87" i="7"/>
  <c r="AJ87" i="7"/>
  <c r="AI87" i="7"/>
  <c r="AH87" i="7"/>
  <c r="AG87" i="7"/>
  <c r="AF87" i="7"/>
  <c r="AE87" i="7"/>
  <c r="AD87" i="7"/>
  <c r="AC87" i="7"/>
  <c r="AB87" i="7"/>
  <c r="AA87" i="7"/>
  <c r="Z87" i="7"/>
  <c r="Y87" i="7"/>
  <c r="X87" i="7"/>
  <c r="W87" i="7"/>
  <c r="V87" i="7"/>
  <c r="U87" i="7"/>
  <c r="T87" i="7"/>
  <c r="S87" i="7"/>
  <c r="R87" i="7"/>
  <c r="Q87" i="7"/>
  <c r="P87" i="7"/>
  <c r="O87" i="7"/>
  <c r="N87" i="7"/>
  <c r="M87" i="7"/>
  <c r="BM86" i="7"/>
  <c r="BL86" i="7"/>
  <c r="BK86" i="7"/>
  <c r="BJ86" i="7"/>
  <c r="BI86" i="7"/>
  <c r="BH86" i="7"/>
  <c r="BG86" i="7"/>
  <c r="BF86" i="7"/>
  <c r="BE86" i="7"/>
  <c r="BD86" i="7"/>
  <c r="BC86" i="7"/>
  <c r="BB86" i="7"/>
  <c r="BA86" i="7"/>
  <c r="AZ86" i="7"/>
  <c r="AY86" i="7"/>
  <c r="AX86" i="7"/>
  <c r="AW86" i="7"/>
  <c r="AV86" i="7"/>
  <c r="AU86" i="7"/>
  <c r="AT86" i="7"/>
  <c r="AS86" i="7"/>
  <c r="AR86" i="7"/>
  <c r="AQ86" i="7"/>
  <c r="AP86" i="7"/>
  <c r="AO86" i="7"/>
  <c r="AN86" i="7"/>
  <c r="AM86" i="7"/>
  <c r="AL86" i="7"/>
  <c r="AK86" i="7"/>
  <c r="AJ86" i="7"/>
  <c r="AI86" i="7"/>
  <c r="AH86" i="7"/>
  <c r="AG86" i="7"/>
  <c r="AF86" i="7"/>
  <c r="AE86" i="7"/>
  <c r="AD86" i="7"/>
  <c r="AC86" i="7"/>
  <c r="AB86" i="7"/>
  <c r="AA86" i="7"/>
  <c r="Z86" i="7"/>
  <c r="Y86" i="7"/>
  <c r="X86" i="7"/>
  <c r="W86" i="7"/>
  <c r="V86" i="7"/>
  <c r="U86" i="7"/>
  <c r="T86" i="7"/>
  <c r="S86" i="7"/>
  <c r="R86" i="7"/>
  <c r="Q86" i="7"/>
  <c r="P86" i="7"/>
  <c r="O86" i="7"/>
  <c r="N86" i="7"/>
  <c r="M86" i="7"/>
  <c r="P85" i="7"/>
  <c r="O85" i="7"/>
  <c r="N85" i="7"/>
  <c r="M85" i="7"/>
  <c r="BM84" i="7"/>
  <c r="BL84" i="7"/>
  <c r="BK84" i="7"/>
  <c r="BI84" i="7"/>
  <c r="BH84" i="7"/>
  <c r="BG84" i="7"/>
  <c r="BE84" i="7"/>
  <c r="BD84" i="7"/>
  <c r="BC84" i="7"/>
  <c r="BB84" i="7"/>
  <c r="BA84" i="7"/>
  <c r="AZ84" i="7"/>
  <c r="AY84" i="7"/>
  <c r="AW84" i="7"/>
  <c r="AV84" i="7"/>
  <c r="AU84" i="7"/>
  <c r="AR84" i="7"/>
  <c r="AQ84" i="7"/>
  <c r="AP84" i="7"/>
  <c r="AO84" i="7"/>
  <c r="AN84" i="7"/>
  <c r="AM84" i="7"/>
  <c r="AK84" i="7"/>
  <c r="AJ84" i="7"/>
  <c r="AI84" i="7"/>
  <c r="AG84" i="7"/>
  <c r="AF84" i="7"/>
  <c r="AE84" i="7"/>
  <c r="AD84" i="7"/>
  <c r="AC84" i="7"/>
  <c r="AB84" i="7"/>
  <c r="AA84" i="7"/>
  <c r="Y84" i="7"/>
  <c r="X84" i="7"/>
  <c r="W84" i="7"/>
  <c r="U84" i="7"/>
  <c r="T84" i="7"/>
  <c r="S84" i="7"/>
  <c r="R84" i="7"/>
  <c r="Q84" i="7"/>
  <c r="P84" i="7"/>
  <c r="O84" i="7"/>
  <c r="N84" i="7"/>
  <c r="M84" i="7"/>
  <c r="BM83" i="7"/>
  <c r="BL83" i="7"/>
  <c r="BK83" i="7"/>
  <c r="BJ83" i="7"/>
  <c r="BI83" i="7"/>
  <c r="BH83" i="7"/>
  <c r="BG83" i="7"/>
  <c r="BF83" i="7"/>
  <c r="BE83" i="7"/>
  <c r="BD83" i="7"/>
  <c r="BC83" i="7"/>
  <c r="BB83" i="7"/>
  <c r="BA83" i="7"/>
  <c r="AZ83" i="7"/>
  <c r="AY83" i="7"/>
  <c r="AX83" i="7"/>
  <c r="AW83" i="7"/>
  <c r="AV83" i="7"/>
  <c r="AU83" i="7"/>
  <c r="AT83" i="7"/>
  <c r="AS83" i="7"/>
  <c r="AR83" i="7"/>
  <c r="AQ83" i="7"/>
  <c r="AP83" i="7"/>
  <c r="AO83" i="7"/>
  <c r="AN83" i="7"/>
  <c r="AM83" i="7"/>
  <c r="AL83" i="7"/>
  <c r="AK83" i="7"/>
  <c r="AJ83" i="7"/>
  <c r="AI83" i="7"/>
  <c r="AH83" i="7"/>
  <c r="AG83" i="7"/>
  <c r="AF83" i="7"/>
  <c r="AE83" i="7"/>
  <c r="AD83" i="7"/>
  <c r="AC83" i="7"/>
  <c r="AB83" i="7"/>
  <c r="AA83" i="7"/>
  <c r="Z83" i="7"/>
  <c r="Y83" i="7"/>
  <c r="X83" i="7"/>
  <c r="W83" i="7"/>
  <c r="V83" i="7"/>
  <c r="U83" i="7"/>
  <c r="T83" i="7"/>
  <c r="S83" i="7"/>
  <c r="R83" i="7"/>
  <c r="Q83" i="7"/>
  <c r="P83" i="7"/>
  <c r="O83" i="7"/>
  <c r="N83" i="7"/>
  <c r="M83" i="7"/>
  <c r="BM82" i="7"/>
  <c r="BL82" i="7"/>
  <c r="BK82" i="7"/>
  <c r="BJ82" i="7"/>
  <c r="BI82" i="7"/>
  <c r="BH82" i="7"/>
  <c r="BG82" i="7"/>
  <c r="BF82" i="7"/>
  <c r="BE82" i="7"/>
  <c r="BD82" i="7"/>
  <c r="BC82" i="7"/>
  <c r="BB82" i="7"/>
  <c r="BA82" i="7"/>
  <c r="AZ82" i="7"/>
  <c r="AY82" i="7"/>
  <c r="AX82" i="7"/>
  <c r="AW82" i="7"/>
  <c r="AV82" i="7"/>
  <c r="AU82" i="7"/>
  <c r="AT82" i="7"/>
  <c r="AS82" i="7"/>
  <c r="AR82" i="7"/>
  <c r="AQ82" i="7"/>
  <c r="AP82" i="7"/>
  <c r="AO82" i="7"/>
  <c r="AN82" i="7"/>
  <c r="AM82" i="7"/>
  <c r="AL82" i="7"/>
  <c r="AK82" i="7"/>
  <c r="AJ82" i="7"/>
  <c r="AI82" i="7"/>
  <c r="AH82" i="7"/>
  <c r="AG82" i="7"/>
  <c r="AF82" i="7"/>
  <c r="AE82" i="7"/>
  <c r="AD82" i="7"/>
  <c r="AC82" i="7"/>
  <c r="AB82" i="7"/>
  <c r="AA82" i="7"/>
  <c r="Z82" i="7"/>
  <c r="Y82" i="7"/>
  <c r="X82" i="7"/>
  <c r="W82" i="7"/>
  <c r="V82" i="7"/>
  <c r="U82" i="7"/>
  <c r="T82" i="7"/>
  <c r="S82" i="7"/>
  <c r="R82" i="7"/>
  <c r="Q82" i="7"/>
  <c r="P82" i="7"/>
  <c r="O82" i="7"/>
  <c r="N82" i="7"/>
  <c r="M82" i="7"/>
  <c r="BM81" i="7"/>
  <c r="BL81" i="7"/>
  <c r="BK81" i="7"/>
  <c r="BJ81" i="7"/>
  <c r="BI81" i="7"/>
  <c r="BH81" i="7"/>
  <c r="BG81" i="7"/>
  <c r="BF81" i="7"/>
  <c r="BE81" i="7"/>
  <c r="BD81" i="7"/>
  <c r="BC81" i="7"/>
  <c r="BB81" i="7"/>
  <c r="BA81" i="7"/>
  <c r="AZ81" i="7"/>
  <c r="AY81" i="7"/>
  <c r="AX81" i="7"/>
  <c r="AW81" i="7"/>
  <c r="AV81" i="7"/>
  <c r="AU81" i="7"/>
  <c r="AT81" i="7"/>
  <c r="AS81" i="7"/>
  <c r="AR81" i="7"/>
  <c r="AQ81" i="7"/>
  <c r="AP81" i="7"/>
  <c r="AO81" i="7"/>
  <c r="AN81" i="7"/>
  <c r="AM81" i="7"/>
  <c r="AL81" i="7"/>
  <c r="AK81" i="7"/>
  <c r="AJ81" i="7"/>
  <c r="AI81" i="7"/>
  <c r="AH81" i="7"/>
  <c r="AG81" i="7"/>
  <c r="AF81" i="7"/>
  <c r="AE81" i="7"/>
  <c r="AD81" i="7"/>
  <c r="AC81" i="7"/>
  <c r="AB81" i="7"/>
  <c r="AA81" i="7"/>
  <c r="Z81" i="7"/>
  <c r="Y81" i="7"/>
  <c r="X81" i="7"/>
  <c r="W81" i="7"/>
  <c r="V81" i="7"/>
  <c r="U81" i="7"/>
  <c r="T81" i="7"/>
  <c r="S81" i="7"/>
  <c r="R81" i="7"/>
  <c r="Q81" i="7"/>
  <c r="P81" i="7"/>
  <c r="O81" i="7"/>
  <c r="N81" i="7"/>
  <c r="M81" i="7"/>
  <c r="BM80" i="7"/>
  <c r="BL80" i="7"/>
  <c r="BK80" i="7"/>
  <c r="BJ80" i="7"/>
  <c r="BI80" i="7"/>
  <c r="BH80" i="7"/>
  <c r="BG80" i="7"/>
  <c r="BF80" i="7"/>
  <c r="BE80" i="7"/>
  <c r="BD80" i="7"/>
  <c r="BC80" i="7"/>
  <c r="BB80" i="7"/>
  <c r="BA80" i="7"/>
  <c r="AZ80" i="7"/>
  <c r="AY80" i="7"/>
  <c r="AX80" i="7"/>
  <c r="AW80" i="7"/>
  <c r="AV80" i="7"/>
  <c r="AU80" i="7"/>
  <c r="AT80" i="7"/>
  <c r="AS80" i="7"/>
  <c r="AR80" i="7"/>
  <c r="AQ80" i="7"/>
  <c r="AP80" i="7"/>
  <c r="AO80" i="7"/>
  <c r="AN80" i="7"/>
  <c r="AM80" i="7"/>
  <c r="AL80" i="7"/>
  <c r="AK80" i="7"/>
  <c r="AJ80" i="7"/>
  <c r="AI80" i="7"/>
  <c r="AH80" i="7"/>
  <c r="AG80" i="7"/>
  <c r="AF80" i="7"/>
  <c r="AE80" i="7"/>
  <c r="AD80" i="7"/>
  <c r="AC80" i="7"/>
  <c r="AB80" i="7"/>
  <c r="AA80" i="7"/>
  <c r="Z80" i="7"/>
  <c r="Y80" i="7"/>
  <c r="X80" i="7"/>
  <c r="W80" i="7"/>
  <c r="V80" i="7"/>
  <c r="U80" i="7"/>
  <c r="T80" i="7"/>
  <c r="S80" i="7"/>
  <c r="R80" i="7"/>
  <c r="Q80" i="7"/>
  <c r="P80" i="7"/>
  <c r="O80" i="7"/>
  <c r="N80" i="7"/>
  <c r="M80" i="7"/>
  <c r="BM79" i="7"/>
  <c r="BL79" i="7"/>
  <c r="BK79" i="7"/>
  <c r="BJ79" i="7"/>
  <c r="BI79" i="7"/>
  <c r="BH79" i="7"/>
  <c r="BG79" i="7"/>
  <c r="BF79" i="7"/>
  <c r="BE79" i="7"/>
  <c r="BD79" i="7"/>
  <c r="BC79" i="7"/>
  <c r="BB79" i="7"/>
  <c r="BA79" i="7"/>
  <c r="AZ79" i="7"/>
  <c r="AY79" i="7"/>
  <c r="AX79" i="7"/>
  <c r="AW79" i="7"/>
  <c r="AV79" i="7"/>
  <c r="AU79" i="7"/>
  <c r="AT79" i="7"/>
  <c r="AS79" i="7"/>
  <c r="AR79" i="7"/>
  <c r="AQ79" i="7"/>
  <c r="AP79" i="7"/>
  <c r="AO79" i="7"/>
  <c r="AN79" i="7"/>
  <c r="AM79" i="7"/>
  <c r="AL79" i="7"/>
  <c r="AK79" i="7"/>
  <c r="AJ79" i="7"/>
  <c r="AI79" i="7"/>
  <c r="AH79" i="7"/>
  <c r="AG79" i="7"/>
  <c r="AF79" i="7"/>
  <c r="AE79" i="7"/>
  <c r="AD79" i="7"/>
  <c r="AC79" i="7"/>
  <c r="AB79" i="7"/>
  <c r="AA79" i="7"/>
  <c r="Z79" i="7"/>
  <c r="Y79" i="7"/>
  <c r="X79" i="7"/>
  <c r="W79" i="7"/>
  <c r="V79" i="7"/>
  <c r="U79" i="7"/>
  <c r="T79" i="7"/>
  <c r="S79" i="7"/>
  <c r="R79" i="7"/>
  <c r="Q79" i="7"/>
  <c r="P79" i="7"/>
  <c r="O79" i="7"/>
  <c r="N79" i="7"/>
  <c r="M79" i="7"/>
  <c r="BM78" i="7"/>
  <c r="BL78" i="7"/>
  <c r="BK78" i="7"/>
  <c r="BJ78" i="7"/>
  <c r="BI78" i="7"/>
  <c r="BH78" i="7"/>
  <c r="BG78" i="7"/>
  <c r="BF78" i="7"/>
  <c r="BE78" i="7"/>
  <c r="BD78" i="7"/>
  <c r="BC78" i="7"/>
  <c r="BB78" i="7"/>
  <c r="BA78" i="7"/>
  <c r="AZ78" i="7"/>
  <c r="AY78" i="7"/>
  <c r="AX78" i="7"/>
  <c r="AW78" i="7"/>
  <c r="AV78" i="7"/>
  <c r="AU78" i="7"/>
  <c r="AT78" i="7"/>
  <c r="AS78" i="7"/>
  <c r="AR78" i="7"/>
  <c r="AQ78" i="7"/>
  <c r="AP78" i="7"/>
  <c r="AO78" i="7"/>
  <c r="AN78" i="7"/>
  <c r="AM78" i="7"/>
  <c r="AL78" i="7"/>
  <c r="AK78" i="7"/>
  <c r="AJ78" i="7"/>
  <c r="AI78" i="7"/>
  <c r="AH78" i="7"/>
  <c r="AG78" i="7"/>
  <c r="AF78" i="7"/>
  <c r="AE78" i="7"/>
  <c r="AD78" i="7"/>
  <c r="AC78" i="7"/>
  <c r="AB78" i="7"/>
  <c r="AA78" i="7"/>
  <c r="Z78" i="7"/>
  <c r="Y78" i="7"/>
  <c r="X78" i="7"/>
  <c r="W78" i="7"/>
  <c r="V78" i="7"/>
  <c r="U78" i="7"/>
  <c r="T78" i="7"/>
  <c r="S78" i="7"/>
  <c r="R78" i="7"/>
  <c r="Q78" i="7"/>
  <c r="P78" i="7"/>
  <c r="O78" i="7"/>
  <c r="N78" i="7"/>
  <c r="M78" i="7"/>
  <c r="BM76" i="7"/>
  <c r="BL76" i="7"/>
  <c r="BK76" i="7"/>
  <c r="BJ76" i="7"/>
  <c r="BI76" i="7"/>
  <c r="BH76" i="7"/>
  <c r="BG76" i="7"/>
  <c r="BF76" i="7"/>
  <c r="BE76" i="7"/>
  <c r="BD76" i="7"/>
  <c r="BC76" i="7"/>
  <c r="BB76" i="7"/>
  <c r="BA76" i="7"/>
  <c r="AZ76" i="7"/>
  <c r="AY76" i="7"/>
  <c r="AX76" i="7"/>
  <c r="AW76" i="7"/>
  <c r="AV76" i="7"/>
  <c r="AU76" i="7"/>
  <c r="AT76" i="7"/>
  <c r="AS76" i="7"/>
  <c r="AR76" i="7"/>
  <c r="AQ76" i="7"/>
  <c r="AP76" i="7"/>
  <c r="AO76" i="7"/>
  <c r="AN76" i="7"/>
  <c r="AM76" i="7"/>
  <c r="AL76" i="7"/>
  <c r="AK76" i="7"/>
  <c r="AJ76" i="7"/>
  <c r="AI76" i="7"/>
  <c r="AH76" i="7"/>
  <c r="AG76" i="7"/>
  <c r="AF76" i="7"/>
  <c r="AE76" i="7"/>
  <c r="AD76" i="7"/>
  <c r="AC76" i="7"/>
  <c r="AB76" i="7"/>
  <c r="AA76" i="7"/>
  <c r="Z76" i="7"/>
  <c r="Y76" i="7"/>
  <c r="X76" i="7"/>
  <c r="W76" i="7"/>
  <c r="V76" i="7"/>
  <c r="U76" i="7"/>
  <c r="T76" i="7"/>
  <c r="S76" i="7"/>
  <c r="R76" i="7"/>
  <c r="Q76" i="7"/>
  <c r="P76" i="7"/>
  <c r="O76" i="7"/>
  <c r="N76" i="7"/>
  <c r="M76" i="7"/>
  <c r="BM75" i="7"/>
  <c r="BL75" i="7"/>
  <c r="BK75" i="7"/>
  <c r="BJ75" i="7"/>
  <c r="BI75" i="7"/>
  <c r="BH75" i="7"/>
  <c r="BG75" i="7"/>
  <c r="BF75" i="7"/>
  <c r="BE75" i="7"/>
  <c r="BD75" i="7"/>
  <c r="BC75" i="7"/>
  <c r="BB75" i="7"/>
  <c r="BA75" i="7"/>
  <c r="AZ75" i="7"/>
  <c r="AY75" i="7"/>
  <c r="AX75" i="7"/>
  <c r="AW75" i="7"/>
  <c r="AV75" i="7"/>
  <c r="AU75" i="7"/>
  <c r="AT75" i="7"/>
  <c r="AS75" i="7"/>
  <c r="AR75" i="7"/>
  <c r="AQ75" i="7"/>
  <c r="AP75" i="7"/>
  <c r="AO75" i="7"/>
  <c r="AN75" i="7"/>
  <c r="AM75" i="7"/>
  <c r="AL75" i="7"/>
  <c r="AK75" i="7"/>
  <c r="AJ75" i="7"/>
  <c r="AI75" i="7"/>
  <c r="AH75" i="7"/>
  <c r="AG75" i="7"/>
  <c r="AF75" i="7"/>
  <c r="AE75" i="7"/>
  <c r="AD75" i="7"/>
  <c r="AC75" i="7"/>
  <c r="AB75" i="7"/>
  <c r="AA75" i="7"/>
  <c r="Z75" i="7"/>
  <c r="Y75" i="7"/>
  <c r="Y74" i="7" s="1"/>
  <c r="X75" i="7"/>
  <c r="W75" i="7"/>
  <c r="V75" i="7"/>
  <c r="U75" i="7"/>
  <c r="T75" i="7"/>
  <c r="T74" i="7" s="1"/>
  <c r="S75" i="7"/>
  <c r="R75" i="7"/>
  <c r="Q75" i="7"/>
  <c r="P75" i="7"/>
  <c r="O75" i="7"/>
  <c r="N75" i="7"/>
  <c r="M75" i="7"/>
  <c r="AD74" i="7"/>
  <c r="P74" i="7"/>
  <c r="O74" i="7"/>
  <c r="N74" i="7"/>
  <c r="M74" i="7"/>
  <c r="BM73" i="7"/>
  <c r="BL73" i="7"/>
  <c r="BK73" i="7"/>
  <c r="BJ73" i="7"/>
  <c r="BI73" i="7"/>
  <c r="BH73" i="7"/>
  <c r="BG73" i="7"/>
  <c r="BF73" i="7"/>
  <c r="BE73" i="7"/>
  <c r="BD73" i="7"/>
  <c r="BC73" i="7"/>
  <c r="BB73" i="7"/>
  <c r="BA73" i="7"/>
  <c r="AZ73" i="7"/>
  <c r="AY73" i="7"/>
  <c r="AX73" i="7"/>
  <c r="AW73" i="7"/>
  <c r="AV73" i="7"/>
  <c r="AU73" i="7"/>
  <c r="AT73" i="7"/>
  <c r="AS73" i="7"/>
  <c r="AR73" i="7"/>
  <c r="AQ73" i="7"/>
  <c r="AP73" i="7"/>
  <c r="AO73" i="7"/>
  <c r="AN73" i="7"/>
  <c r="AM73" i="7"/>
  <c r="AL73" i="7"/>
  <c r="AK73" i="7"/>
  <c r="AJ73" i="7"/>
  <c r="AI73" i="7"/>
  <c r="AH73" i="7"/>
  <c r="AG73" i="7"/>
  <c r="AF73" i="7"/>
  <c r="AE73" i="7"/>
  <c r="AD73" i="7"/>
  <c r="AC73" i="7"/>
  <c r="AB73" i="7"/>
  <c r="AA73" i="7"/>
  <c r="Z73" i="7"/>
  <c r="Y73" i="7"/>
  <c r="X73" i="7"/>
  <c r="W73" i="7"/>
  <c r="V73" i="7"/>
  <c r="U73" i="7"/>
  <c r="T73" i="7"/>
  <c r="S73" i="7"/>
  <c r="R73" i="7"/>
  <c r="Q73" i="7"/>
  <c r="P73" i="7"/>
  <c r="O73" i="7"/>
  <c r="N73" i="7"/>
  <c r="M73" i="7"/>
  <c r="BM72" i="7"/>
  <c r="BL72" i="7"/>
  <c r="BK72" i="7"/>
  <c r="BJ72" i="7"/>
  <c r="BI72" i="7"/>
  <c r="BH72" i="7"/>
  <c r="BG72" i="7"/>
  <c r="BF72" i="7"/>
  <c r="BE72" i="7"/>
  <c r="BD72" i="7"/>
  <c r="BC72" i="7"/>
  <c r="BB72" i="7"/>
  <c r="BA72" i="7"/>
  <c r="AZ72" i="7"/>
  <c r="AY72" i="7"/>
  <c r="AX72" i="7"/>
  <c r="AW72" i="7"/>
  <c r="AV72" i="7"/>
  <c r="AU72" i="7"/>
  <c r="AT72" i="7"/>
  <c r="AS72" i="7"/>
  <c r="AR72" i="7"/>
  <c r="AQ72" i="7"/>
  <c r="AP72" i="7"/>
  <c r="AO72" i="7"/>
  <c r="AN72" i="7"/>
  <c r="AM72" i="7"/>
  <c r="AL72" i="7"/>
  <c r="AK72" i="7"/>
  <c r="AJ72" i="7"/>
  <c r="AI72" i="7"/>
  <c r="AH72" i="7"/>
  <c r="AG72" i="7"/>
  <c r="AF72" i="7"/>
  <c r="AE72" i="7"/>
  <c r="AD72" i="7"/>
  <c r="AC72" i="7"/>
  <c r="AB72" i="7"/>
  <c r="AA72" i="7"/>
  <c r="Z72" i="7"/>
  <c r="Y72" i="7"/>
  <c r="X72" i="7"/>
  <c r="W72" i="7"/>
  <c r="V72" i="7"/>
  <c r="U72" i="7"/>
  <c r="T72" i="7"/>
  <c r="S72" i="7"/>
  <c r="R72" i="7"/>
  <c r="Q72" i="7"/>
  <c r="P72" i="7"/>
  <c r="O72" i="7"/>
  <c r="N72" i="7"/>
  <c r="M72" i="7"/>
  <c r="BM71" i="7"/>
  <c r="BL71" i="7"/>
  <c r="BK71" i="7"/>
  <c r="BJ71" i="7"/>
  <c r="BI71" i="7"/>
  <c r="BH71" i="7"/>
  <c r="BG71" i="7"/>
  <c r="BF71" i="7"/>
  <c r="BE71" i="7"/>
  <c r="BD71" i="7"/>
  <c r="BC71" i="7"/>
  <c r="BB71" i="7"/>
  <c r="BA71" i="7"/>
  <c r="AZ71" i="7"/>
  <c r="AY71" i="7"/>
  <c r="AX71" i="7"/>
  <c r="AW71" i="7"/>
  <c r="AV71" i="7"/>
  <c r="AU71" i="7"/>
  <c r="AT71" i="7"/>
  <c r="AS71" i="7"/>
  <c r="AR71" i="7"/>
  <c r="AQ71" i="7"/>
  <c r="AP71" i="7"/>
  <c r="AO71" i="7"/>
  <c r="AN71" i="7"/>
  <c r="AM71" i="7"/>
  <c r="AL71" i="7"/>
  <c r="AK71" i="7"/>
  <c r="AJ71" i="7"/>
  <c r="AI71" i="7"/>
  <c r="AH71" i="7"/>
  <c r="AG71" i="7"/>
  <c r="AF71" i="7"/>
  <c r="AE71" i="7"/>
  <c r="AD71" i="7"/>
  <c r="AC71" i="7"/>
  <c r="AB71" i="7"/>
  <c r="AA71" i="7"/>
  <c r="Z71" i="7"/>
  <c r="Y71" i="7"/>
  <c r="X71" i="7"/>
  <c r="W71" i="7"/>
  <c r="V71" i="7"/>
  <c r="U71" i="7"/>
  <c r="T71" i="7"/>
  <c r="S71" i="7"/>
  <c r="R71" i="7"/>
  <c r="Q71" i="7"/>
  <c r="P71" i="7"/>
  <c r="O71" i="7"/>
  <c r="N71" i="7"/>
  <c r="M71" i="7"/>
  <c r="BM70" i="7"/>
  <c r="BL70" i="7"/>
  <c r="BK70" i="7"/>
  <c r="BJ70" i="7"/>
  <c r="BI70" i="7"/>
  <c r="BH70" i="7"/>
  <c r="BG70" i="7"/>
  <c r="BF70" i="7"/>
  <c r="BE70" i="7"/>
  <c r="BD70" i="7"/>
  <c r="BC70" i="7"/>
  <c r="BB70" i="7"/>
  <c r="BA70" i="7"/>
  <c r="AZ70" i="7"/>
  <c r="AY70" i="7"/>
  <c r="AX70" i="7"/>
  <c r="AW70" i="7"/>
  <c r="AV70" i="7"/>
  <c r="AU70" i="7"/>
  <c r="AT70" i="7"/>
  <c r="AS70" i="7"/>
  <c r="AR70" i="7"/>
  <c r="AQ70" i="7"/>
  <c r="AP70" i="7"/>
  <c r="AO70" i="7"/>
  <c r="AN70" i="7"/>
  <c r="AM70" i="7"/>
  <c r="AL70" i="7"/>
  <c r="AK70" i="7"/>
  <c r="AJ70" i="7"/>
  <c r="AI70" i="7"/>
  <c r="AH70" i="7"/>
  <c r="AG70" i="7"/>
  <c r="AF70" i="7"/>
  <c r="AE70" i="7"/>
  <c r="AD70" i="7"/>
  <c r="AC70" i="7"/>
  <c r="AB70" i="7"/>
  <c r="AA70" i="7"/>
  <c r="Z70" i="7"/>
  <c r="Y70" i="7"/>
  <c r="X70" i="7"/>
  <c r="W70" i="7"/>
  <c r="V70" i="7"/>
  <c r="U70" i="7"/>
  <c r="T70" i="7"/>
  <c r="S70" i="7"/>
  <c r="R70" i="7"/>
  <c r="Q70" i="7"/>
  <c r="P70" i="7"/>
  <c r="O70" i="7"/>
  <c r="N70" i="7"/>
  <c r="M70" i="7"/>
  <c r="BM69" i="7"/>
  <c r="BL69" i="7"/>
  <c r="BK69" i="7"/>
  <c r="BJ69" i="7"/>
  <c r="BI69" i="7"/>
  <c r="BH69" i="7"/>
  <c r="BG69" i="7"/>
  <c r="BF69" i="7"/>
  <c r="BE69" i="7"/>
  <c r="BD69" i="7"/>
  <c r="BC69" i="7"/>
  <c r="BB69" i="7"/>
  <c r="BA69" i="7"/>
  <c r="AZ69" i="7"/>
  <c r="AY69" i="7"/>
  <c r="AX69" i="7"/>
  <c r="AW69" i="7"/>
  <c r="AV69" i="7"/>
  <c r="AU69" i="7"/>
  <c r="AT69" i="7"/>
  <c r="AS69" i="7"/>
  <c r="AR69" i="7"/>
  <c r="AQ69" i="7"/>
  <c r="AP69" i="7"/>
  <c r="AO69" i="7"/>
  <c r="AN69" i="7"/>
  <c r="AM69" i="7"/>
  <c r="AL69" i="7"/>
  <c r="AK69" i="7"/>
  <c r="AJ69" i="7"/>
  <c r="AI69" i="7"/>
  <c r="AH69" i="7"/>
  <c r="AG69" i="7"/>
  <c r="AF69" i="7"/>
  <c r="AE69" i="7"/>
  <c r="AD69" i="7"/>
  <c r="AC69" i="7"/>
  <c r="AB69" i="7"/>
  <c r="AA69" i="7"/>
  <c r="Z69" i="7"/>
  <c r="Y69" i="7"/>
  <c r="X69" i="7"/>
  <c r="W69" i="7"/>
  <c r="V69" i="7"/>
  <c r="U69" i="7"/>
  <c r="T69" i="7"/>
  <c r="S69" i="7"/>
  <c r="R69" i="7"/>
  <c r="Q69" i="7"/>
  <c r="P69" i="7"/>
  <c r="O69" i="7"/>
  <c r="N69" i="7"/>
  <c r="M69" i="7"/>
  <c r="BM68" i="7"/>
  <c r="BL68" i="7"/>
  <c r="BK68" i="7"/>
  <c r="BJ68" i="7"/>
  <c r="BI68" i="7"/>
  <c r="BH68" i="7"/>
  <c r="BG68" i="7"/>
  <c r="BF68" i="7"/>
  <c r="BE68" i="7"/>
  <c r="BD68" i="7"/>
  <c r="BC68" i="7"/>
  <c r="BB68" i="7"/>
  <c r="BA68" i="7"/>
  <c r="AZ68" i="7"/>
  <c r="AY68" i="7"/>
  <c r="AX68" i="7"/>
  <c r="AW68" i="7"/>
  <c r="AV68" i="7"/>
  <c r="AU68" i="7"/>
  <c r="AT68" i="7"/>
  <c r="AS68" i="7"/>
  <c r="AR68" i="7"/>
  <c r="AQ68" i="7"/>
  <c r="AP68" i="7"/>
  <c r="AO68" i="7"/>
  <c r="AN68" i="7"/>
  <c r="AM68" i="7"/>
  <c r="AL68" i="7"/>
  <c r="AK68" i="7"/>
  <c r="AJ68" i="7"/>
  <c r="AI68" i="7"/>
  <c r="AH68" i="7"/>
  <c r="AG68" i="7"/>
  <c r="AF68" i="7"/>
  <c r="AE68" i="7"/>
  <c r="AD68" i="7"/>
  <c r="AC68" i="7"/>
  <c r="AB68" i="7"/>
  <c r="AA68" i="7"/>
  <c r="Z68" i="7"/>
  <c r="Y68" i="7"/>
  <c r="X68" i="7"/>
  <c r="W68" i="7"/>
  <c r="V68" i="7"/>
  <c r="U68" i="7"/>
  <c r="T68" i="7"/>
  <c r="S68" i="7"/>
  <c r="R68" i="7"/>
  <c r="Q68" i="7"/>
  <c r="P68" i="7"/>
  <c r="O68" i="7"/>
  <c r="N68" i="7"/>
  <c r="M68" i="7"/>
  <c r="BM67" i="7"/>
  <c r="BL67" i="7"/>
  <c r="BK67" i="7"/>
  <c r="BJ67" i="7"/>
  <c r="BI67" i="7"/>
  <c r="BH67" i="7"/>
  <c r="BG67" i="7"/>
  <c r="BF67" i="7"/>
  <c r="BE67" i="7"/>
  <c r="BD67" i="7"/>
  <c r="BC67" i="7"/>
  <c r="BB67" i="7"/>
  <c r="BA67" i="7"/>
  <c r="AZ67" i="7"/>
  <c r="AY67" i="7"/>
  <c r="AX67" i="7"/>
  <c r="AW67" i="7"/>
  <c r="AV67" i="7"/>
  <c r="AU67" i="7"/>
  <c r="AT67" i="7"/>
  <c r="AS67" i="7"/>
  <c r="AR67" i="7"/>
  <c r="AQ67" i="7"/>
  <c r="AP67" i="7"/>
  <c r="AO67" i="7"/>
  <c r="AN67" i="7"/>
  <c r="AM67" i="7"/>
  <c r="AL67" i="7"/>
  <c r="AK67" i="7"/>
  <c r="AJ67" i="7"/>
  <c r="AI67" i="7"/>
  <c r="AH67" i="7"/>
  <c r="AG67" i="7"/>
  <c r="AF67" i="7"/>
  <c r="AE67" i="7"/>
  <c r="AD67" i="7"/>
  <c r="AC67" i="7"/>
  <c r="AB67" i="7"/>
  <c r="AA67" i="7"/>
  <c r="Z67" i="7"/>
  <c r="Y67" i="7"/>
  <c r="X67" i="7"/>
  <c r="W67" i="7"/>
  <c r="V67" i="7"/>
  <c r="U67" i="7"/>
  <c r="T67" i="7"/>
  <c r="S67" i="7"/>
  <c r="R67" i="7"/>
  <c r="Q67" i="7"/>
  <c r="P67" i="7"/>
  <c r="O67" i="7"/>
  <c r="N67" i="7"/>
  <c r="M67" i="7"/>
  <c r="BM66" i="7"/>
  <c r="BL66" i="7"/>
  <c r="BK66" i="7"/>
  <c r="BJ66" i="7"/>
  <c r="BI66" i="7"/>
  <c r="BH66" i="7"/>
  <c r="BG66" i="7"/>
  <c r="BF66" i="7"/>
  <c r="BE66" i="7"/>
  <c r="BD66" i="7"/>
  <c r="BC66" i="7"/>
  <c r="BB66" i="7"/>
  <c r="BA66" i="7"/>
  <c r="AZ66" i="7"/>
  <c r="AY66" i="7"/>
  <c r="AX66" i="7"/>
  <c r="AW66" i="7"/>
  <c r="AV66" i="7"/>
  <c r="AU66" i="7"/>
  <c r="AT66" i="7"/>
  <c r="AS66" i="7"/>
  <c r="AR66" i="7"/>
  <c r="AQ66" i="7"/>
  <c r="AP66" i="7"/>
  <c r="AO66" i="7"/>
  <c r="AN66" i="7"/>
  <c r="AM66" i="7"/>
  <c r="AL66" i="7"/>
  <c r="AK66" i="7"/>
  <c r="AJ66" i="7"/>
  <c r="AI66" i="7"/>
  <c r="AH66" i="7"/>
  <c r="AG66" i="7"/>
  <c r="AF66" i="7"/>
  <c r="AE66" i="7"/>
  <c r="AD66" i="7"/>
  <c r="AC66" i="7"/>
  <c r="AB66" i="7"/>
  <c r="AA66" i="7"/>
  <c r="Z66" i="7"/>
  <c r="Y66" i="7"/>
  <c r="X66" i="7"/>
  <c r="W66" i="7"/>
  <c r="V66" i="7"/>
  <c r="U66" i="7"/>
  <c r="T66" i="7"/>
  <c r="S66" i="7"/>
  <c r="R66" i="7"/>
  <c r="Q66" i="7"/>
  <c r="P66" i="7"/>
  <c r="O66" i="7"/>
  <c r="N66" i="7"/>
  <c r="M66" i="7"/>
  <c r="BM65" i="7"/>
  <c r="BL65" i="7"/>
  <c r="BK65" i="7"/>
  <c r="BJ65" i="7"/>
  <c r="BI65" i="7"/>
  <c r="BH65" i="7"/>
  <c r="BG65" i="7"/>
  <c r="BF65" i="7"/>
  <c r="BE65" i="7"/>
  <c r="BD65" i="7"/>
  <c r="BC65" i="7"/>
  <c r="BB65" i="7"/>
  <c r="BA65" i="7"/>
  <c r="AZ65" i="7"/>
  <c r="AY65" i="7"/>
  <c r="AX65" i="7"/>
  <c r="AW65" i="7"/>
  <c r="AV65" i="7"/>
  <c r="AU65" i="7"/>
  <c r="AT65" i="7"/>
  <c r="AS65" i="7"/>
  <c r="AR65" i="7"/>
  <c r="AQ65" i="7"/>
  <c r="AP65" i="7"/>
  <c r="AO65" i="7"/>
  <c r="AN65" i="7"/>
  <c r="AM65" i="7"/>
  <c r="AL65" i="7"/>
  <c r="AK65" i="7"/>
  <c r="AJ65" i="7"/>
  <c r="AI65" i="7"/>
  <c r="AH65" i="7"/>
  <c r="AG65" i="7"/>
  <c r="AF65" i="7"/>
  <c r="AE65" i="7"/>
  <c r="AD65" i="7"/>
  <c r="AC65" i="7"/>
  <c r="AB65" i="7"/>
  <c r="AA65" i="7"/>
  <c r="Z65" i="7"/>
  <c r="Y65" i="7"/>
  <c r="X65" i="7"/>
  <c r="W65" i="7"/>
  <c r="V65" i="7"/>
  <c r="U65" i="7"/>
  <c r="T65" i="7"/>
  <c r="S65" i="7"/>
  <c r="R65" i="7"/>
  <c r="Q65" i="7"/>
  <c r="P65" i="7"/>
  <c r="O65" i="7"/>
  <c r="N65" i="7"/>
  <c r="M65" i="7"/>
  <c r="BM64" i="7"/>
  <c r="BL64" i="7"/>
  <c r="BK64" i="7"/>
  <c r="BJ64" i="7"/>
  <c r="BI64" i="7"/>
  <c r="BH64" i="7"/>
  <c r="BG64" i="7"/>
  <c r="BF64" i="7"/>
  <c r="BE64" i="7"/>
  <c r="BD64" i="7"/>
  <c r="BC64" i="7"/>
  <c r="BB64" i="7"/>
  <c r="BA64" i="7"/>
  <c r="AZ64" i="7"/>
  <c r="AY64" i="7"/>
  <c r="AX64" i="7"/>
  <c r="AW64" i="7"/>
  <c r="AV64" i="7"/>
  <c r="AU64" i="7"/>
  <c r="AT64" i="7"/>
  <c r="AS64" i="7"/>
  <c r="AR64" i="7"/>
  <c r="AQ64" i="7"/>
  <c r="AP64" i="7"/>
  <c r="AO64" i="7"/>
  <c r="AN64" i="7"/>
  <c r="AM64" i="7"/>
  <c r="AL64" i="7"/>
  <c r="AK64" i="7"/>
  <c r="AJ64" i="7"/>
  <c r="AI64" i="7"/>
  <c r="AH64" i="7"/>
  <c r="AG64" i="7"/>
  <c r="AF64" i="7"/>
  <c r="AE64" i="7"/>
  <c r="AD64" i="7"/>
  <c r="AC64" i="7"/>
  <c r="AB64" i="7"/>
  <c r="AA64" i="7"/>
  <c r="Z64" i="7"/>
  <c r="Y64" i="7"/>
  <c r="X64" i="7"/>
  <c r="W64" i="7"/>
  <c r="V64" i="7"/>
  <c r="U64" i="7"/>
  <c r="T64" i="7"/>
  <c r="S64" i="7"/>
  <c r="R64" i="7"/>
  <c r="Q64" i="7"/>
  <c r="P64" i="7"/>
  <c r="O64" i="7"/>
  <c r="N64" i="7"/>
  <c r="M64" i="7"/>
  <c r="BM63" i="7"/>
  <c r="BL63" i="7"/>
  <c r="BK63" i="7"/>
  <c r="BJ63" i="7"/>
  <c r="BI63" i="7"/>
  <c r="BH63" i="7"/>
  <c r="BG63" i="7"/>
  <c r="BF63" i="7"/>
  <c r="BE63" i="7"/>
  <c r="BD63" i="7"/>
  <c r="BC63" i="7"/>
  <c r="BB63" i="7"/>
  <c r="BA63" i="7"/>
  <c r="AZ63" i="7"/>
  <c r="AY63" i="7"/>
  <c r="AX63" i="7"/>
  <c r="AW63" i="7"/>
  <c r="AV63" i="7"/>
  <c r="AU63" i="7"/>
  <c r="AT63" i="7"/>
  <c r="AS63" i="7"/>
  <c r="AR63" i="7"/>
  <c r="AQ63" i="7"/>
  <c r="AP63" i="7"/>
  <c r="AO63" i="7"/>
  <c r="AN63" i="7"/>
  <c r="AM63" i="7"/>
  <c r="AL63" i="7"/>
  <c r="AK63" i="7"/>
  <c r="AJ63" i="7"/>
  <c r="AI63" i="7"/>
  <c r="AH63" i="7"/>
  <c r="AG63" i="7"/>
  <c r="AF63" i="7"/>
  <c r="AE63" i="7"/>
  <c r="AD63" i="7"/>
  <c r="AC63" i="7"/>
  <c r="AB63" i="7"/>
  <c r="AA63" i="7"/>
  <c r="Z63" i="7"/>
  <c r="Y63" i="7"/>
  <c r="X63" i="7"/>
  <c r="W63" i="7"/>
  <c r="V63" i="7"/>
  <c r="U63" i="7"/>
  <c r="T63" i="7"/>
  <c r="S63" i="7"/>
  <c r="R63" i="7"/>
  <c r="Q63" i="7"/>
  <c r="P63" i="7"/>
  <c r="O63" i="7"/>
  <c r="N63" i="7"/>
  <c r="M63" i="7"/>
  <c r="Q62" i="7"/>
  <c r="P62" i="7"/>
  <c r="O62" i="7"/>
  <c r="N62" i="7"/>
  <c r="M62" i="7"/>
  <c r="Q61" i="7"/>
  <c r="P61" i="7"/>
  <c r="O61" i="7"/>
  <c r="N61" i="7"/>
  <c r="M61" i="7"/>
  <c r="AR60" i="7"/>
  <c r="AQ60" i="7"/>
  <c r="AP60" i="7"/>
  <c r="AO60" i="7"/>
  <c r="AN60" i="7"/>
  <c r="AM60" i="7"/>
  <c r="AL60" i="7"/>
  <c r="AK60" i="7"/>
  <c r="AJ60" i="7"/>
  <c r="AI60" i="7"/>
  <c r="AH60" i="7"/>
  <c r="AG60" i="7"/>
  <c r="AF60" i="7"/>
  <c r="AE60" i="7"/>
  <c r="AD60" i="7"/>
  <c r="AC60" i="7"/>
  <c r="AB60" i="7"/>
  <c r="AA60" i="7"/>
  <c r="Z60" i="7"/>
  <c r="Y60" i="7"/>
  <c r="X60" i="7"/>
  <c r="W60" i="7"/>
  <c r="V60" i="7"/>
  <c r="U60" i="7"/>
  <c r="T60" i="7"/>
  <c r="S60" i="7"/>
  <c r="R60" i="7"/>
  <c r="Q60" i="7"/>
  <c r="P60" i="7"/>
  <c r="O60" i="7"/>
  <c r="N60" i="7"/>
  <c r="M60" i="7"/>
  <c r="Q59" i="7"/>
  <c r="P59" i="7"/>
  <c r="O59" i="7"/>
  <c r="N59" i="7"/>
  <c r="M59" i="7"/>
  <c r="Q58" i="7"/>
  <c r="Q57" i="7" s="1"/>
  <c r="P58" i="7"/>
  <c r="O58" i="7"/>
  <c r="N58" i="7"/>
  <c r="M58" i="7"/>
  <c r="P57" i="7"/>
  <c r="O57" i="7"/>
  <c r="N57" i="7"/>
  <c r="M57" i="7"/>
  <c r="BM56" i="7"/>
  <c r="BL56" i="7"/>
  <c r="BK56" i="7"/>
  <c r="BJ56" i="7"/>
  <c r="BI56" i="7"/>
  <c r="BH56" i="7"/>
  <c r="BG56" i="7"/>
  <c r="BF56" i="7"/>
  <c r="BE56" i="7"/>
  <c r="BD56" i="7"/>
  <c r="BC56" i="7"/>
  <c r="BB56" i="7"/>
  <c r="BA56" i="7"/>
  <c r="AZ56" i="7"/>
  <c r="AY56" i="7"/>
  <c r="AX56" i="7"/>
  <c r="AW56" i="7"/>
  <c r="AV56" i="7"/>
  <c r="AU56" i="7"/>
  <c r="AT56" i="7"/>
  <c r="AS56" i="7"/>
  <c r="AR56" i="7"/>
  <c r="AQ56" i="7"/>
  <c r="AP56" i="7"/>
  <c r="AO56" i="7"/>
  <c r="AN56" i="7"/>
  <c r="AM56" i="7"/>
  <c r="AL56" i="7"/>
  <c r="AK56" i="7"/>
  <c r="AJ56" i="7"/>
  <c r="AI56" i="7"/>
  <c r="AH56" i="7"/>
  <c r="AG56" i="7"/>
  <c r="AF56" i="7"/>
  <c r="AE56" i="7"/>
  <c r="AD56" i="7"/>
  <c r="AC56" i="7"/>
  <c r="AB56" i="7"/>
  <c r="AA56" i="7"/>
  <c r="Z56" i="7"/>
  <c r="Y56" i="7"/>
  <c r="X56" i="7"/>
  <c r="W56" i="7"/>
  <c r="V56" i="7"/>
  <c r="U56" i="7"/>
  <c r="T56" i="7"/>
  <c r="S56" i="7"/>
  <c r="R56" i="7"/>
  <c r="Q56" i="7"/>
  <c r="P56" i="7"/>
  <c r="O56" i="7"/>
  <c r="N56" i="7"/>
  <c r="M56" i="7"/>
  <c r="BM55" i="7"/>
  <c r="BL55" i="7"/>
  <c r="BK55" i="7"/>
  <c r="BJ55" i="7"/>
  <c r="BJ52" i="7" s="1"/>
  <c r="BI55" i="7"/>
  <c r="BH55" i="7"/>
  <c r="BG55" i="7"/>
  <c r="BF55" i="7"/>
  <c r="BF52" i="7" s="1"/>
  <c r="BE55" i="7"/>
  <c r="BD55" i="7"/>
  <c r="BD52" i="7" s="1"/>
  <c r="BC55" i="7"/>
  <c r="BB55" i="7"/>
  <c r="BA55" i="7"/>
  <c r="AZ55" i="7"/>
  <c r="AY55" i="7"/>
  <c r="AX55" i="7"/>
  <c r="AX52" i="7" s="1"/>
  <c r="AW55" i="7"/>
  <c r="AV55" i="7"/>
  <c r="AU55" i="7"/>
  <c r="AT55" i="7"/>
  <c r="AT52" i="7" s="1"/>
  <c r="AS55" i="7"/>
  <c r="AR55" i="7"/>
  <c r="AR52" i="7" s="1"/>
  <c r="AQ55" i="7"/>
  <c r="AP55" i="7"/>
  <c r="AO55" i="7"/>
  <c r="AN55" i="7"/>
  <c r="AM55" i="7"/>
  <c r="AL55" i="7"/>
  <c r="AL52" i="7" s="1"/>
  <c r="AK55" i="7"/>
  <c r="AJ55" i="7"/>
  <c r="AI55" i="7"/>
  <c r="AH55" i="7"/>
  <c r="AH52" i="7" s="1"/>
  <c r="AG55" i="7"/>
  <c r="AF55" i="7"/>
  <c r="AF52" i="7" s="1"/>
  <c r="AE55" i="7"/>
  <c r="AD55" i="7"/>
  <c r="AC55" i="7"/>
  <c r="AB55" i="7"/>
  <c r="AA55" i="7"/>
  <c r="Z55" i="7"/>
  <c r="Z52" i="7" s="1"/>
  <c r="Y55" i="7"/>
  <c r="X55" i="7"/>
  <c r="W55" i="7"/>
  <c r="V55" i="7"/>
  <c r="V52" i="7" s="1"/>
  <c r="U55" i="7"/>
  <c r="T55" i="7"/>
  <c r="T52" i="7" s="1"/>
  <c r="S55" i="7"/>
  <c r="R55" i="7"/>
  <c r="Q55" i="7"/>
  <c r="P55" i="7"/>
  <c r="O55" i="7"/>
  <c r="N55" i="7"/>
  <c r="M55" i="7"/>
  <c r="BM54" i="7"/>
  <c r="BL54" i="7"/>
  <c r="BK54" i="7"/>
  <c r="BK52" i="7" s="1"/>
  <c r="BJ54" i="7"/>
  <c r="BI54" i="7"/>
  <c r="BH54" i="7"/>
  <c r="BH52" i="7" s="1"/>
  <c r="BG54" i="7"/>
  <c r="BF54" i="7"/>
  <c r="BE54" i="7"/>
  <c r="BD54" i="7"/>
  <c r="BC54" i="7"/>
  <c r="BC52" i="7" s="1"/>
  <c r="BB54" i="7"/>
  <c r="BB52" i="7" s="1"/>
  <c r="BA54" i="7"/>
  <c r="AZ54" i="7"/>
  <c r="AY54" i="7"/>
  <c r="AY52" i="7" s="1"/>
  <c r="AX54" i="7"/>
  <c r="AW54" i="7"/>
  <c r="AV54" i="7"/>
  <c r="AV52" i="7" s="1"/>
  <c r="AU54" i="7"/>
  <c r="AT54" i="7"/>
  <c r="AS54" i="7"/>
  <c r="AR54" i="7"/>
  <c r="AQ54" i="7"/>
  <c r="AQ52" i="7" s="1"/>
  <c r="AP54" i="7"/>
  <c r="AP52" i="7" s="1"/>
  <c r="AO54" i="7"/>
  <c r="AN54" i="7"/>
  <c r="AM54" i="7"/>
  <c r="AM52" i="7" s="1"/>
  <c r="AL54" i="7"/>
  <c r="AK54" i="7"/>
  <c r="AJ54" i="7"/>
  <c r="AJ52" i="7" s="1"/>
  <c r="AI54" i="7"/>
  <c r="AH54" i="7"/>
  <c r="AG54" i="7"/>
  <c r="AF54" i="7"/>
  <c r="AE54" i="7"/>
  <c r="AE52" i="7" s="1"/>
  <c r="AD54" i="7"/>
  <c r="AD52" i="7" s="1"/>
  <c r="AC54" i="7"/>
  <c r="AB54" i="7"/>
  <c r="AA54" i="7"/>
  <c r="AA52" i="7" s="1"/>
  <c r="Z54" i="7"/>
  <c r="Y54" i="7"/>
  <c r="X54" i="7"/>
  <c r="X52" i="7" s="1"/>
  <c r="W54" i="7"/>
  <c r="V54" i="7"/>
  <c r="U54" i="7"/>
  <c r="T54" i="7"/>
  <c r="S54" i="7"/>
  <c r="S52" i="7" s="1"/>
  <c r="R54" i="7"/>
  <c r="R52" i="7" s="1"/>
  <c r="Q54" i="7"/>
  <c r="P54" i="7"/>
  <c r="O54" i="7"/>
  <c r="N54" i="7"/>
  <c r="M54" i="7"/>
  <c r="BM53" i="7"/>
  <c r="BL53" i="7"/>
  <c r="BK53" i="7"/>
  <c r="BJ53" i="7"/>
  <c r="BI53" i="7"/>
  <c r="BH53" i="7"/>
  <c r="BG53" i="7"/>
  <c r="BF53" i="7"/>
  <c r="BE53" i="7"/>
  <c r="BD53" i="7"/>
  <c r="BC53" i="7"/>
  <c r="BB53" i="7"/>
  <c r="BA53" i="7"/>
  <c r="AZ53" i="7"/>
  <c r="AY53" i="7"/>
  <c r="AX53" i="7"/>
  <c r="AW53" i="7"/>
  <c r="AV53" i="7"/>
  <c r="AU53" i="7"/>
  <c r="AT53" i="7"/>
  <c r="AS53" i="7"/>
  <c r="AR53" i="7"/>
  <c r="AQ53" i="7"/>
  <c r="AP53" i="7"/>
  <c r="AO53" i="7"/>
  <c r="AN53" i="7"/>
  <c r="AM53" i="7"/>
  <c r="AL53" i="7"/>
  <c r="AK53" i="7"/>
  <c r="AJ53" i="7"/>
  <c r="AI53" i="7"/>
  <c r="AH53" i="7"/>
  <c r="AG53" i="7"/>
  <c r="AF53" i="7"/>
  <c r="AE53" i="7"/>
  <c r="AD53" i="7"/>
  <c r="AC53" i="7"/>
  <c r="AB53" i="7"/>
  <c r="AA53" i="7"/>
  <c r="Z53" i="7"/>
  <c r="Y53" i="7"/>
  <c r="X53" i="7"/>
  <c r="W53" i="7"/>
  <c r="V53" i="7"/>
  <c r="U53" i="7"/>
  <c r="T53" i="7"/>
  <c r="S53" i="7"/>
  <c r="R53" i="7"/>
  <c r="Q53" i="7"/>
  <c r="P53" i="7"/>
  <c r="O53" i="7"/>
  <c r="N53" i="7"/>
  <c r="M53" i="7"/>
  <c r="BM52" i="7"/>
  <c r="BL52" i="7"/>
  <c r="BI52" i="7"/>
  <c r="BG52" i="7"/>
  <c r="BE52" i="7"/>
  <c r="BA52" i="7"/>
  <c r="AZ52" i="7"/>
  <c r="AW52" i="7"/>
  <c r="AU52" i="7"/>
  <c r="AS52" i="7"/>
  <c r="AO52" i="7"/>
  <c r="AN52" i="7"/>
  <c r="AK52" i="7"/>
  <c r="AI52" i="7"/>
  <c r="AG52" i="7"/>
  <c r="AC52" i="7"/>
  <c r="AB52" i="7"/>
  <c r="Y52" i="7"/>
  <c r="W52" i="7"/>
  <c r="U52" i="7"/>
  <c r="Q52" i="7"/>
  <c r="P52" i="7"/>
  <c r="O52" i="7"/>
  <c r="N52" i="7"/>
  <c r="M52" i="7"/>
  <c r="BM51" i="7"/>
  <c r="BL51" i="7"/>
  <c r="BK51" i="7"/>
  <c r="BJ51" i="7"/>
  <c r="BI51" i="7"/>
  <c r="BH51" i="7"/>
  <c r="BG51" i="7"/>
  <c r="BF51" i="7"/>
  <c r="BE51" i="7"/>
  <c r="BD51" i="7"/>
  <c r="BC51" i="7"/>
  <c r="BB51" i="7"/>
  <c r="BA51" i="7"/>
  <c r="AZ51" i="7"/>
  <c r="AY51" i="7"/>
  <c r="AX51" i="7"/>
  <c r="AW51" i="7"/>
  <c r="AV51" i="7"/>
  <c r="AU51" i="7"/>
  <c r="AT51" i="7"/>
  <c r="AS51" i="7"/>
  <c r="AR51" i="7"/>
  <c r="AQ51" i="7"/>
  <c r="AP51" i="7"/>
  <c r="AO51" i="7"/>
  <c r="AN51" i="7"/>
  <c r="AM51" i="7"/>
  <c r="AL51" i="7"/>
  <c r="AK51" i="7"/>
  <c r="AJ51" i="7"/>
  <c r="AI51" i="7"/>
  <c r="AH51" i="7"/>
  <c r="AG51" i="7"/>
  <c r="AF51" i="7"/>
  <c r="AE51" i="7"/>
  <c r="AD51" i="7"/>
  <c r="AC51" i="7"/>
  <c r="AB51" i="7"/>
  <c r="AA51" i="7"/>
  <c r="Z51" i="7"/>
  <c r="Y51" i="7"/>
  <c r="X51" i="7"/>
  <c r="W51" i="7"/>
  <c r="V51" i="7"/>
  <c r="U51" i="7"/>
  <c r="T51" i="7"/>
  <c r="S51" i="7"/>
  <c r="R51" i="7"/>
  <c r="Q51" i="7"/>
  <c r="P51" i="7"/>
  <c r="O51" i="7"/>
  <c r="N51" i="7"/>
  <c r="M51" i="7"/>
  <c r="BM50" i="7"/>
  <c r="BL50" i="7"/>
  <c r="BK50" i="7"/>
  <c r="BK48" i="7" s="1"/>
  <c r="BJ50" i="7"/>
  <c r="BJ48" i="7" s="1"/>
  <c r="BI50" i="7"/>
  <c r="BH50" i="7"/>
  <c r="BG50" i="7"/>
  <c r="BG48" i="7" s="1"/>
  <c r="BF50" i="7"/>
  <c r="BE50" i="7"/>
  <c r="BD50" i="7"/>
  <c r="BD48" i="7" s="1"/>
  <c r="BC50" i="7"/>
  <c r="BB50" i="7"/>
  <c r="BA50" i="7"/>
  <c r="AZ50" i="7"/>
  <c r="AY50" i="7"/>
  <c r="AY48" i="7" s="1"/>
  <c r="AX50" i="7"/>
  <c r="AX48" i="7" s="1"/>
  <c r="AW50" i="7"/>
  <c r="AV50" i="7"/>
  <c r="AU50" i="7"/>
  <c r="AU48" i="7" s="1"/>
  <c r="AT50" i="7"/>
  <c r="AS50" i="7"/>
  <c r="AR50" i="7"/>
  <c r="AR48" i="7" s="1"/>
  <c r="AQ50" i="7"/>
  <c r="AP50" i="7"/>
  <c r="AO50" i="7"/>
  <c r="AN50" i="7"/>
  <c r="AM50" i="7"/>
  <c r="AM48" i="7" s="1"/>
  <c r="AL50" i="7"/>
  <c r="AL48" i="7" s="1"/>
  <c r="AK50" i="7"/>
  <c r="AJ50" i="7"/>
  <c r="AI50" i="7"/>
  <c r="AI48" i="7" s="1"/>
  <c r="AH50" i="7"/>
  <c r="AG50" i="7"/>
  <c r="AF50" i="7"/>
  <c r="AF48" i="7" s="1"/>
  <c r="AE50" i="7"/>
  <c r="AD50" i="7"/>
  <c r="AC50" i="7"/>
  <c r="AB50" i="7"/>
  <c r="AA50" i="7"/>
  <c r="AA48" i="7" s="1"/>
  <c r="Z50" i="7"/>
  <c r="Z48" i="7" s="1"/>
  <c r="Y50" i="7"/>
  <c r="X50" i="7"/>
  <c r="W50" i="7"/>
  <c r="W48" i="7" s="1"/>
  <c r="V50" i="7"/>
  <c r="U50" i="7"/>
  <c r="T50" i="7"/>
  <c r="T48" i="7" s="1"/>
  <c r="S50" i="7"/>
  <c r="R50" i="7"/>
  <c r="Q50" i="7"/>
  <c r="P50" i="7"/>
  <c r="O50" i="7"/>
  <c r="N50" i="7"/>
  <c r="M50" i="7"/>
  <c r="BM49" i="7"/>
  <c r="BM48" i="7" s="1"/>
  <c r="BL49" i="7"/>
  <c r="BL48" i="7" s="1"/>
  <c r="BK49" i="7"/>
  <c r="BJ49" i="7"/>
  <c r="BI49" i="7"/>
  <c r="BH49" i="7"/>
  <c r="BG49" i="7"/>
  <c r="BF49" i="7"/>
  <c r="BE49" i="7"/>
  <c r="BD49" i="7"/>
  <c r="BC49" i="7"/>
  <c r="BC48" i="7" s="1"/>
  <c r="BB49" i="7"/>
  <c r="BA49" i="7"/>
  <c r="BA48" i="7" s="1"/>
  <c r="AZ49" i="7"/>
  <c r="AZ48" i="7" s="1"/>
  <c r="AY49" i="7"/>
  <c r="AX49" i="7"/>
  <c r="AW49" i="7"/>
  <c r="AV49" i="7"/>
  <c r="AU49" i="7"/>
  <c r="AT49" i="7"/>
  <c r="AS49" i="7"/>
  <c r="AR49" i="7"/>
  <c r="AQ49" i="7"/>
  <c r="AQ48" i="7" s="1"/>
  <c r="AP49" i="7"/>
  <c r="AO49" i="7"/>
  <c r="AO48" i="7" s="1"/>
  <c r="AN49" i="7"/>
  <c r="AN48" i="7" s="1"/>
  <c r="AM49" i="7"/>
  <c r="AL49" i="7"/>
  <c r="AK49" i="7"/>
  <c r="AJ49" i="7"/>
  <c r="AI49" i="7"/>
  <c r="AH49" i="7"/>
  <c r="AG49" i="7"/>
  <c r="AF49" i="7"/>
  <c r="AE49" i="7"/>
  <c r="AE48" i="7" s="1"/>
  <c r="AD49" i="7"/>
  <c r="AC49" i="7"/>
  <c r="AC48" i="7" s="1"/>
  <c r="AB49" i="7"/>
  <c r="AB48" i="7" s="1"/>
  <c r="AA49" i="7"/>
  <c r="Z49" i="7"/>
  <c r="Y49" i="7"/>
  <c r="X49" i="7"/>
  <c r="W49" i="7"/>
  <c r="V49" i="7"/>
  <c r="U49" i="7"/>
  <c r="T49" i="7"/>
  <c r="S49" i="7"/>
  <c r="S48" i="7" s="1"/>
  <c r="R49" i="7"/>
  <c r="Q49" i="7"/>
  <c r="Q48" i="7" s="1"/>
  <c r="P49" i="7"/>
  <c r="O49" i="7"/>
  <c r="N49" i="7"/>
  <c r="M49" i="7"/>
  <c r="BI48" i="7"/>
  <c r="BH48" i="7"/>
  <c r="BF48" i="7"/>
  <c r="BE48" i="7"/>
  <c r="BB48" i="7"/>
  <c r="AW48" i="7"/>
  <c r="AV48" i="7"/>
  <c r="AT48" i="7"/>
  <c r="AS48" i="7"/>
  <c r="AP48" i="7"/>
  <c r="AK48" i="7"/>
  <c r="AJ48" i="7"/>
  <c r="AH48" i="7"/>
  <c r="AG48" i="7"/>
  <c r="AD48" i="7"/>
  <c r="Y48" i="7"/>
  <c r="X48" i="7"/>
  <c r="V48" i="7"/>
  <c r="U48" i="7"/>
  <c r="R48" i="7"/>
  <c r="P48" i="7"/>
  <c r="O48" i="7"/>
  <c r="N48" i="7"/>
  <c r="M48" i="7"/>
  <c r="BM47" i="7"/>
  <c r="BL47" i="7"/>
  <c r="BK47" i="7"/>
  <c r="BJ47" i="7"/>
  <c r="BI47" i="7"/>
  <c r="BH47" i="7"/>
  <c r="BG47" i="7"/>
  <c r="BF47" i="7"/>
  <c r="BE47" i="7"/>
  <c r="BD47" i="7"/>
  <c r="BC47" i="7"/>
  <c r="BB47" i="7"/>
  <c r="BA47" i="7"/>
  <c r="AZ47" i="7"/>
  <c r="AY47" i="7"/>
  <c r="AX47" i="7"/>
  <c r="AW47" i="7"/>
  <c r="AV47" i="7"/>
  <c r="AU47" i="7"/>
  <c r="AT47" i="7"/>
  <c r="AS47" i="7"/>
  <c r="AR47" i="7"/>
  <c r="AQ47" i="7"/>
  <c r="AP47" i="7"/>
  <c r="AO47" i="7"/>
  <c r="AN47" i="7"/>
  <c r="AM47" i="7"/>
  <c r="AL47" i="7"/>
  <c r="AK47" i="7"/>
  <c r="AJ47" i="7"/>
  <c r="AI47" i="7"/>
  <c r="AH47" i="7"/>
  <c r="AG47" i="7"/>
  <c r="AF47" i="7"/>
  <c r="AE47" i="7"/>
  <c r="AD47" i="7"/>
  <c r="AC47" i="7"/>
  <c r="AB47" i="7"/>
  <c r="AA47" i="7"/>
  <c r="Z47" i="7"/>
  <c r="Y47" i="7"/>
  <c r="X47" i="7"/>
  <c r="W47" i="7"/>
  <c r="V47" i="7"/>
  <c r="U47" i="7"/>
  <c r="T47" i="7"/>
  <c r="S47" i="7"/>
  <c r="R47" i="7"/>
  <c r="Q47" i="7"/>
  <c r="P47" i="7"/>
  <c r="O47" i="7"/>
  <c r="N47" i="7"/>
  <c r="M47" i="7"/>
  <c r="BM46" i="7"/>
  <c r="BL46" i="7"/>
  <c r="BK46" i="7"/>
  <c r="BJ46" i="7"/>
  <c r="BI46" i="7"/>
  <c r="BH46" i="7"/>
  <c r="BG46" i="7"/>
  <c r="BF46" i="7"/>
  <c r="BE46" i="7"/>
  <c r="BD46" i="7"/>
  <c r="BC46" i="7"/>
  <c r="BB46" i="7"/>
  <c r="BA46" i="7"/>
  <c r="AZ46" i="7"/>
  <c r="AY46" i="7"/>
  <c r="AX46" i="7"/>
  <c r="AW46" i="7"/>
  <c r="AV46" i="7"/>
  <c r="AU46" i="7"/>
  <c r="AT46" i="7"/>
  <c r="AS46" i="7"/>
  <c r="AR46" i="7"/>
  <c r="AQ46" i="7"/>
  <c r="AP46" i="7"/>
  <c r="AO46" i="7"/>
  <c r="AN46" i="7"/>
  <c r="AM46" i="7"/>
  <c r="AL46" i="7"/>
  <c r="AK46" i="7"/>
  <c r="AJ46" i="7"/>
  <c r="AI46" i="7"/>
  <c r="AH46" i="7"/>
  <c r="AG46" i="7"/>
  <c r="AF46" i="7"/>
  <c r="AE46" i="7"/>
  <c r="AD46" i="7"/>
  <c r="AC46" i="7"/>
  <c r="AB46" i="7"/>
  <c r="AA46" i="7"/>
  <c r="Z46" i="7"/>
  <c r="Y46" i="7"/>
  <c r="X46" i="7"/>
  <c r="W46" i="7"/>
  <c r="V46" i="7"/>
  <c r="U46" i="7"/>
  <c r="T46" i="7"/>
  <c r="S46" i="7"/>
  <c r="R46" i="7"/>
  <c r="Q46" i="7"/>
  <c r="P46" i="7"/>
  <c r="O46" i="7"/>
  <c r="N46" i="7"/>
  <c r="M46" i="7"/>
  <c r="BM45" i="7"/>
  <c r="BL45" i="7"/>
  <c r="BK45" i="7"/>
  <c r="BJ45" i="7"/>
  <c r="BI45" i="7"/>
  <c r="BH45" i="7"/>
  <c r="BG45" i="7"/>
  <c r="BF45" i="7"/>
  <c r="BE45" i="7"/>
  <c r="BD45" i="7"/>
  <c r="BC45" i="7"/>
  <c r="BB45" i="7"/>
  <c r="BA45" i="7"/>
  <c r="AZ45" i="7"/>
  <c r="AY45" i="7"/>
  <c r="AX45" i="7"/>
  <c r="AW45" i="7"/>
  <c r="AV45" i="7"/>
  <c r="AU45" i="7"/>
  <c r="AT45" i="7"/>
  <c r="AS45" i="7"/>
  <c r="AR45" i="7"/>
  <c r="AQ45" i="7"/>
  <c r="AP45" i="7"/>
  <c r="AO45" i="7"/>
  <c r="AN45" i="7"/>
  <c r="AM45" i="7"/>
  <c r="AL45" i="7"/>
  <c r="AK45" i="7"/>
  <c r="AJ45" i="7"/>
  <c r="AI45" i="7"/>
  <c r="AH45" i="7"/>
  <c r="AG45" i="7"/>
  <c r="AF45" i="7"/>
  <c r="AE45" i="7"/>
  <c r="AD45" i="7"/>
  <c r="AC45" i="7"/>
  <c r="AB45" i="7"/>
  <c r="AA45" i="7"/>
  <c r="Z45" i="7"/>
  <c r="Y45" i="7"/>
  <c r="X45" i="7"/>
  <c r="W45" i="7"/>
  <c r="V45" i="7"/>
  <c r="U45" i="7"/>
  <c r="T45" i="7"/>
  <c r="S45" i="7"/>
  <c r="R45" i="7"/>
  <c r="Q45" i="7"/>
  <c r="P45" i="7"/>
  <c r="O45" i="7"/>
  <c r="N45" i="7"/>
  <c r="M45" i="7"/>
  <c r="AS44" i="7"/>
  <c r="AS42" i="7" s="1"/>
  <c r="AR44" i="7"/>
  <c r="AR42" i="7" s="1"/>
  <c r="AQ44" i="7"/>
  <c r="AP44" i="7"/>
  <c r="AO44" i="7"/>
  <c r="AO42" i="7" s="1"/>
  <c r="AN44" i="7"/>
  <c r="AM44" i="7"/>
  <c r="AL44" i="7"/>
  <c r="AL42" i="7" s="1"/>
  <c r="AK44" i="7"/>
  <c r="AJ44" i="7"/>
  <c r="AI44" i="7"/>
  <c r="AH44" i="7"/>
  <c r="AG44" i="7"/>
  <c r="AG42" i="7" s="1"/>
  <c r="AF44" i="7"/>
  <c r="AF42" i="7" s="1"/>
  <c r="AE44" i="7"/>
  <c r="AD44" i="7"/>
  <c r="AC44" i="7"/>
  <c r="AC42" i="7" s="1"/>
  <c r="AB44" i="7"/>
  <c r="AA44" i="7"/>
  <c r="Z44" i="7"/>
  <c r="Z42" i="7" s="1"/>
  <c r="Y44" i="7"/>
  <c r="X44" i="7"/>
  <c r="W44" i="7"/>
  <c r="V44" i="7"/>
  <c r="U44" i="7"/>
  <c r="U42" i="7" s="1"/>
  <c r="T44" i="7"/>
  <c r="T42" i="7" s="1"/>
  <c r="S44" i="7"/>
  <c r="R44" i="7"/>
  <c r="Q44" i="7"/>
  <c r="Q42" i="7" s="1"/>
  <c r="P44" i="7"/>
  <c r="O44" i="7"/>
  <c r="N44" i="7"/>
  <c r="M44" i="7"/>
  <c r="AS43" i="7"/>
  <c r="AR43" i="7"/>
  <c r="AQ43" i="7"/>
  <c r="AP43" i="7"/>
  <c r="AO43" i="7"/>
  <c r="AN43" i="7"/>
  <c r="AM43" i="7"/>
  <c r="AL43" i="7"/>
  <c r="AK43" i="7"/>
  <c r="AJ43" i="7"/>
  <c r="AI43" i="7"/>
  <c r="AH43" i="7"/>
  <c r="AG43" i="7"/>
  <c r="AF43" i="7"/>
  <c r="AE43" i="7"/>
  <c r="AD43" i="7"/>
  <c r="AC43" i="7"/>
  <c r="AB43" i="7"/>
  <c r="AA43" i="7"/>
  <c r="Z43" i="7"/>
  <c r="Y43" i="7"/>
  <c r="X43" i="7"/>
  <c r="W43" i="7"/>
  <c r="V43" i="7"/>
  <c r="U43" i="7"/>
  <c r="T43" i="7"/>
  <c r="S43" i="7"/>
  <c r="R43" i="7"/>
  <c r="Q43" i="7"/>
  <c r="P43" i="7"/>
  <c r="O43" i="7"/>
  <c r="N43" i="7"/>
  <c r="M43" i="7"/>
  <c r="AQ42" i="7"/>
  <c r="AP42" i="7"/>
  <c r="AN42" i="7"/>
  <c r="AM42" i="7"/>
  <c r="AK42" i="7"/>
  <c r="AJ42" i="7"/>
  <c r="AI42" i="7"/>
  <c r="AH42" i="7"/>
  <c r="AE42" i="7"/>
  <c r="AD42" i="7"/>
  <c r="AB42" i="7"/>
  <c r="AA42" i="7"/>
  <c r="Y42" i="7"/>
  <c r="X42" i="7"/>
  <c r="W42" i="7"/>
  <c r="V42" i="7"/>
  <c r="S42" i="7"/>
  <c r="R42" i="7"/>
  <c r="P42" i="7"/>
  <c r="O42" i="7"/>
  <c r="N42" i="7"/>
  <c r="M42" i="7"/>
  <c r="BM41" i="7"/>
  <c r="BL41" i="7"/>
  <c r="BK41" i="7"/>
  <c r="BJ41" i="7"/>
  <c r="BI41" i="7"/>
  <c r="BH41" i="7"/>
  <c r="BG41" i="7"/>
  <c r="BF41" i="7"/>
  <c r="BE41" i="7"/>
  <c r="BD41" i="7"/>
  <c r="BC41" i="7"/>
  <c r="BB41" i="7"/>
  <c r="BA41" i="7"/>
  <c r="AZ41" i="7"/>
  <c r="AY41" i="7"/>
  <c r="AX41" i="7"/>
  <c r="AW41" i="7"/>
  <c r="AV41" i="7"/>
  <c r="AU41" i="7"/>
  <c r="AT41" i="7"/>
  <c r="AS41" i="7"/>
  <c r="AR41" i="7"/>
  <c r="AQ41" i="7"/>
  <c r="AP41" i="7"/>
  <c r="AO41" i="7"/>
  <c r="AN41" i="7"/>
  <c r="AM41" i="7"/>
  <c r="AL41" i="7"/>
  <c r="AK41" i="7"/>
  <c r="AJ41" i="7"/>
  <c r="AI41" i="7"/>
  <c r="AH41" i="7"/>
  <c r="AG41" i="7"/>
  <c r="AF41" i="7"/>
  <c r="AE41" i="7"/>
  <c r="AD41" i="7"/>
  <c r="AC41" i="7"/>
  <c r="AB41" i="7"/>
  <c r="AA41" i="7"/>
  <c r="Z41" i="7"/>
  <c r="Y41" i="7"/>
  <c r="X41" i="7"/>
  <c r="W41" i="7"/>
  <c r="V41" i="7"/>
  <c r="U41" i="7"/>
  <c r="T41" i="7"/>
  <c r="S41" i="7"/>
  <c r="R41" i="7"/>
  <c r="Q41" i="7"/>
  <c r="P41" i="7"/>
  <c r="O41" i="7"/>
  <c r="N41" i="7"/>
  <c r="M41" i="7"/>
  <c r="BM40" i="7"/>
  <c r="BL40" i="7"/>
  <c r="BK40" i="7"/>
  <c r="BJ40" i="7"/>
  <c r="BI40" i="7"/>
  <c r="BH40" i="7"/>
  <c r="BG40" i="7"/>
  <c r="BF40" i="7"/>
  <c r="BE40" i="7"/>
  <c r="BD40" i="7"/>
  <c r="BC40" i="7"/>
  <c r="BB40" i="7"/>
  <c r="BA40" i="7"/>
  <c r="AZ40" i="7"/>
  <c r="AY40" i="7"/>
  <c r="AX40" i="7"/>
  <c r="AW40" i="7"/>
  <c r="AV40" i="7"/>
  <c r="AU40" i="7"/>
  <c r="AT40" i="7"/>
  <c r="AS40" i="7"/>
  <c r="AR40" i="7"/>
  <c r="AQ40" i="7"/>
  <c r="AP40" i="7"/>
  <c r="AO40" i="7"/>
  <c r="AN40" i="7"/>
  <c r="AM40" i="7"/>
  <c r="AL40" i="7"/>
  <c r="AK40" i="7"/>
  <c r="AJ40" i="7"/>
  <c r="AI40" i="7"/>
  <c r="AH40" i="7"/>
  <c r="AG40" i="7"/>
  <c r="AF40" i="7"/>
  <c r="AE40" i="7"/>
  <c r="AD40" i="7"/>
  <c r="AC40" i="7"/>
  <c r="AB40" i="7"/>
  <c r="AA40" i="7"/>
  <c r="Z40" i="7"/>
  <c r="Y40" i="7"/>
  <c r="X40" i="7"/>
  <c r="W40" i="7"/>
  <c r="V40" i="7"/>
  <c r="U40" i="7"/>
  <c r="T40" i="7"/>
  <c r="S40" i="7"/>
  <c r="R40" i="7"/>
  <c r="Q40" i="7"/>
  <c r="P40" i="7"/>
  <c r="O40" i="7"/>
  <c r="N40" i="7"/>
  <c r="M40" i="7"/>
  <c r="BM39" i="7"/>
  <c r="BL39" i="7"/>
  <c r="BK39" i="7"/>
  <c r="BJ39" i="7"/>
  <c r="BI39" i="7"/>
  <c r="BH39" i="7"/>
  <c r="BG39" i="7"/>
  <c r="BF39" i="7"/>
  <c r="BE39" i="7"/>
  <c r="BD39" i="7"/>
  <c r="BC39" i="7"/>
  <c r="BB39" i="7"/>
  <c r="BA39" i="7"/>
  <c r="AZ39" i="7"/>
  <c r="AY39" i="7"/>
  <c r="AX39" i="7"/>
  <c r="AW39" i="7"/>
  <c r="AV39" i="7"/>
  <c r="AU39" i="7"/>
  <c r="AT39" i="7"/>
  <c r="AS39" i="7"/>
  <c r="AR39" i="7"/>
  <c r="AQ39" i="7"/>
  <c r="AP39" i="7"/>
  <c r="AO39" i="7"/>
  <c r="AN39" i="7"/>
  <c r="AM39" i="7"/>
  <c r="AL39" i="7"/>
  <c r="AK39" i="7"/>
  <c r="AJ39" i="7"/>
  <c r="AI39" i="7"/>
  <c r="AH39" i="7"/>
  <c r="AG39" i="7"/>
  <c r="AF39" i="7"/>
  <c r="AE39" i="7"/>
  <c r="AD39" i="7"/>
  <c r="AC39" i="7"/>
  <c r="AB39" i="7"/>
  <c r="AA39" i="7"/>
  <c r="Z39" i="7"/>
  <c r="Y39" i="7"/>
  <c r="X39" i="7"/>
  <c r="W39" i="7"/>
  <c r="V39" i="7"/>
  <c r="U39" i="7"/>
  <c r="T39" i="7"/>
  <c r="S39" i="7"/>
  <c r="R39" i="7"/>
  <c r="Q39" i="7"/>
  <c r="P39" i="7"/>
  <c r="O39" i="7"/>
  <c r="N39" i="7"/>
  <c r="M39" i="7"/>
  <c r="BM38" i="7"/>
  <c r="BL38" i="7"/>
  <c r="BK38" i="7"/>
  <c r="BJ38" i="7"/>
  <c r="BI38" i="7"/>
  <c r="BH38" i="7"/>
  <c r="BG38" i="7"/>
  <c r="BF38" i="7"/>
  <c r="BE38" i="7"/>
  <c r="BD38" i="7"/>
  <c r="BC38" i="7"/>
  <c r="BB38" i="7"/>
  <c r="BA38" i="7"/>
  <c r="AZ38" i="7"/>
  <c r="AY38" i="7"/>
  <c r="AX38" i="7"/>
  <c r="AW38" i="7"/>
  <c r="AV38" i="7"/>
  <c r="AU38" i="7"/>
  <c r="AT38" i="7"/>
  <c r="AS38" i="7"/>
  <c r="AR38" i="7"/>
  <c r="AQ38" i="7"/>
  <c r="AP38" i="7"/>
  <c r="AO38" i="7"/>
  <c r="AN38" i="7"/>
  <c r="AM38" i="7"/>
  <c r="AL38" i="7"/>
  <c r="AK38" i="7"/>
  <c r="AJ38" i="7"/>
  <c r="AI38" i="7"/>
  <c r="AH38" i="7"/>
  <c r="AG38" i="7"/>
  <c r="AF38" i="7"/>
  <c r="AE38" i="7"/>
  <c r="AD38" i="7"/>
  <c r="AC38" i="7"/>
  <c r="AB38" i="7"/>
  <c r="AA38" i="7"/>
  <c r="Z38" i="7"/>
  <c r="Y38" i="7"/>
  <c r="X38" i="7"/>
  <c r="W38" i="7"/>
  <c r="V38" i="7"/>
  <c r="U38" i="7"/>
  <c r="T38" i="7"/>
  <c r="S38" i="7"/>
  <c r="R38" i="7"/>
  <c r="Q38" i="7"/>
  <c r="P38" i="7"/>
  <c r="O38" i="7"/>
  <c r="N38" i="7"/>
  <c r="M38" i="7"/>
  <c r="BM37" i="7"/>
  <c r="BL37" i="7"/>
  <c r="BK37" i="7"/>
  <c r="BJ37" i="7"/>
  <c r="BI37" i="7"/>
  <c r="BH37" i="7"/>
  <c r="BG37" i="7"/>
  <c r="BF37" i="7"/>
  <c r="BE37" i="7"/>
  <c r="BD37" i="7"/>
  <c r="BC37" i="7"/>
  <c r="BB37" i="7"/>
  <c r="BA37" i="7"/>
  <c r="AZ37" i="7"/>
  <c r="AY37" i="7"/>
  <c r="AX37" i="7"/>
  <c r="AW37" i="7"/>
  <c r="AV37" i="7"/>
  <c r="AU37" i="7"/>
  <c r="AT37" i="7"/>
  <c r="AS37" i="7"/>
  <c r="AR37" i="7"/>
  <c r="AQ37" i="7"/>
  <c r="AP37" i="7"/>
  <c r="AO37" i="7"/>
  <c r="AN37" i="7"/>
  <c r="AM37" i="7"/>
  <c r="AL37" i="7"/>
  <c r="AK37" i="7"/>
  <c r="AJ37" i="7"/>
  <c r="AI37" i="7"/>
  <c r="AH37" i="7"/>
  <c r="AG37" i="7"/>
  <c r="AF37" i="7"/>
  <c r="AE37" i="7"/>
  <c r="AD37" i="7"/>
  <c r="AC37" i="7"/>
  <c r="AB37" i="7"/>
  <c r="AA37" i="7"/>
  <c r="Z37" i="7"/>
  <c r="Y37" i="7"/>
  <c r="X37" i="7"/>
  <c r="W37" i="7"/>
  <c r="V37" i="7"/>
  <c r="U37" i="7"/>
  <c r="T37" i="7"/>
  <c r="S37" i="7"/>
  <c r="R37" i="7"/>
  <c r="Q37" i="7"/>
  <c r="P37" i="7"/>
  <c r="O37" i="7"/>
  <c r="N37" i="7"/>
  <c r="M37" i="7"/>
  <c r="BH36" i="7"/>
  <c r="BE36" i="7"/>
  <c r="AV36" i="7"/>
  <c r="AS36" i="7"/>
  <c r="AJ36" i="7"/>
  <c r="AG36" i="7"/>
  <c r="X36" i="7"/>
  <c r="U36" i="7"/>
  <c r="P36" i="7"/>
  <c r="O36" i="7"/>
  <c r="N36" i="7"/>
  <c r="M36" i="7"/>
  <c r="BM34" i="7"/>
  <c r="BL34" i="7"/>
  <c r="BK34" i="7"/>
  <c r="BJ34" i="7"/>
  <c r="BI34" i="7"/>
  <c r="BH34" i="7"/>
  <c r="BG34" i="7"/>
  <c r="BF34" i="7"/>
  <c r="BE34" i="7"/>
  <c r="BD34" i="7"/>
  <c r="BC34" i="7"/>
  <c r="BB34" i="7"/>
  <c r="BA34" i="7"/>
  <c r="AZ34" i="7"/>
  <c r="AY34" i="7"/>
  <c r="AX34" i="7"/>
  <c r="AW34" i="7"/>
  <c r="AV34" i="7"/>
  <c r="AU34" i="7"/>
  <c r="AT34" i="7"/>
  <c r="AS34" i="7"/>
  <c r="AR34" i="7"/>
  <c r="AQ34" i="7"/>
  <c r="AP34" i="7"/>
  <c r="AO34" i="7"/>
  <c r="AN34" i="7"/>
  <c r="AM34" i="7"/>
  <c r="AL34" i="7"/>
  <c r="AK34" i="7"/>
  <c r="AJ34" i="7"/>
  <c r="AI34" i="7"/>
  <c r="AH34" i="7"/>
  <c r="AG34" i="7"/>
  <c r="AF34" i="7"/>
  <c r="AE34" i="7"/>
  <c r="AD34" i="7"/>
  <c r="AC34" i="7"/>
  <c r="AB34" i="7"/>
  <c r="AA34" i="7"/>
  <c r="Z34" i="7"/>
  <c r="Y34" i="7"/>
  <c r="X34" i="7"/>
  <c r="W34" i="7"/>
  <c r="V34" i="7"/>
  <c r="U34" i="7"/>
  <c r="T34" i="7"/>
  <c r="S34" i="7"/>
  <c r="R34" i="7"/>
  <c r="Q34" i="7"/>
  <c r="P34" i="7"/>
  <c r="O34" i="7"/>
  <c r="N34" i="7"/>
  <c r="M34" i="7"/>
  <c r="BM33" i="7"/>
  <c r="BL33" i="7"/>
  <c r="BK33" i="7"/>
  <c r="BJ33" i="7"/>
  <c r="BI33" i="7"/>
  <c r="BH33" i="7"/>
  <c r="BG33" i="7"/>
  <c r="BF33" i="7"/>
  <c r="BE33" i="7"/>
  <c r="BD33" i="7"/>
  <c r="BC33" i="7"/>
  <c r="BB33" i="7"/>
  <c r="BA33" i="7"/>
  <c r="AZ33" i="7"/>
  <c r="AY33" i="7"/>
  <c r="AX33" i="7"/>
  <c r="AW33" i="7"/>
  <c r="AV33" i="7"/>
  <c r="AU33" i="7"/>
  <c r="AT33" i="7"/>
  <c r="AS33" i="7"/>
  <c r="AR33" i="7"/>
  <c r="AQ33" i="7"/>
  <c r="AP33" i="7"/>
  <c r="AO33" i="7"/>
  <c r="AN33" i="7"/>
  <c r="AM33" i="7"/>
  <c r="AL33" i="7"/>
  <c r="AK33" i="7"/>
  <c r="AJ33" i="7"/>
  <c r="AI33" i="7"/>
  <c r="AH33" i="7"/>
  <c r="AG33" i="7"/>
  <c r="AF33" i="7"/>
  <c r="AE33" i="7"/>
  <c r="AD33" i="7"/>
  <c r="AC33" i="7"/>
  <c r="AB33" i="7"/>
  <c r="AA33" i="7"/>
  <c r="Z33" i="7"/>
  <c r="Y33" i="7"/>
  <c r="Y31" i="7" s="1"/>
  <c r="X33" i="7"/>
  <c r="W33" i="7"/>
  <c r="V33" i="7"/>
  <c r="U33" i="7"/>
  <c r="T33" i="7"/>
  <c r="S33" i="7"/>
  <c r="R33" i="7"/>
  <c r="Q33" i="7"/>
  <c r="P33" i="7"/>
  <c r="O33" i="7"/>
  <c r="N33" i="7"/>
  <c r="M33" i="7"/>
  <c r="BM32" i="7"/>
  <c r="BM36" i="7" s="1"/>
  <c r="BL32" i="7"/>
  <c r="BL36" i="7" s="1"/>
  <c r="BK32" i="7"/>
  <c r="BK36" i="7" s="1"/>
  <c r="BJ32" i="7"/>
  <c r="BJ36" i="7" s="1"/>
  <c r="BI32" i="7"/>
  <c r="BI36" i="7" s="1"/>
  <c r="BH32" i="7"/>
  <c r="BG32" i="7"/>
  <c r="BG36" i="7" s="1"/>
  <c r="BF32" i="7"/>
  <c r="BF36" i="7" s="1"/>
  <c r="BE32" i="7"/>
  <c r="BD32" i="7"/>
  <c r="BD36" i="7" s="1"/>
  <c r="BC32" i="7"/>
  <c r="BC36" i="7" s="1"/>
  <c r="BB32" i="7"/>
  <c r="BB36" i="7" s="1"/>
  <c r="BA32" i="7"/>
  <c r="BA36" i="7" s="1"/>
  <c r="AZ32" i="7"/>
  <c r="AZ36" i="7" s="1"/>
  <c r="AY32" i="7"/>
  <c r="AY36" i="7" s="1"/>
  <c r="AX32" i="7"/>
  <c r="AX36" i="7" s="1"/>
  <c r="AW32" i="7"/>
  <c r="AW36" i="7" s="1"/>
  <c r="AV32" i="7"/>
  <c r="AU32" i="7"/>
  <c r="AU36" i="7" s="1"/>
  <c r="AT32" i="7"/>
  <c r="AT36" i="7" s="1"/>
  <c r="AS32" i="7"/>
  <c r="AR32" i="7"/>
  <c r="AR36" i="7" s="1"/>
  <c r="AQ32" i="7"/>
  <c r="AQ36" i="7" s="1"/>
  <c r="AP32" i="7"/>
  <c r="AP36" i="7" s="1"/>
  <c r="AO32" i="7"/>
  <c r="AO36" i="7" s="1"/>
  <c r="AN32" i="7"/>
  <c r="AN36" i="7" s="1"/>
  <c r="AM32" i="7"/>
  <c r="AM36" i="7" s="1"/>
  <c r="AL32" i="7"/>
  <c r="AL36" i="7" s="1"/>
  <c r="AK32" i="7"/>
  <c r="AK36" i="7" s="1"/>
  <c r="AJ32" i="7"/>
  <c r="AI32" i="7"/>
  <c r="AI36" i="7" s="1"/>
  <c r="AH32" i="7"/>
  <c r="AH36" i="7" s="1"/>
  <c r="AG32" i="7"/>
  <c r="AF32" i="7"/>
  <c r="AF36" i="7" s="1"/>
  <c r="AE32" i="7"/>
  <c r="AE36" i="7" s="1"/>
  <c r="AD32" i="7"/>
  <c r="AD36" i="7" s="1"/>
  <c r="AD31" i="7" s="1"/>
  <c r="AC32" i="7"/>
  <c r="AC36" i="7" s="1"/>
  <c r="AB32" i="7"/>
  <c r="AB36" i="7" s="1"/>
  <c r="AA32" i="7"/>
  <c r="AA36" i="7" s="1"/>
  <c r="Z32" i="7"/>
  <c r="Z36" i="7" s="1"/>
  <c r="Y32" i="7"/>
  <c r="Y36" i="7" s="1"/>
  <c r="X32" i="7"/>
  <c r="W32" i="7"/>
  <c r="W36" i="7" s="1"/>
  <c r="V32" i="7"/>
  <c r="V36" i="7" s="1"/>
  <c r="U32" i="7"/>
  <c r="T32" i="7"/>
  <c r="T36" i="7" s="1"/>
  <c r="T31" i="7" s="1"/>
  <c r="S32" i="7"/>
  <c r="S36" i="7" s="1"/>
  <c r="R32" i="7"/>
  <c r="R36" i="7" s="1"/>
  <c r="Q32" i="7"/>
  <c r="Q36" i="7" s="1"/>
  <c r="Q31" i="7" s="1"/>
  <c r="P32" i="7"/>
  <c r="O32" i="7"/>
  <c r="N32" i="7"/>
  <c r="M32" i="7"/>
  <c r="P31" i="7"/>
  <c r="O31" i="7"/>
  <c r="N31" i="7"/>
  <c r="M31" i="7"/>
  <c r="BM30" i="7"/>
  <c r="BL30" i="7"/>
  <c r="BK30" i="7"/>
  <c r="BJ30" i="7"/>
  <c r="BI30" i="7"/>
  <c r="BH30" i="7"/>
  <c r="BG30" i="7"/>
  <c r="BF30" i="7"/>
  <c r="BE30" i="7"/>
  <c r="BD30" i="7"/>
  <c r="BC30" i="7"/>
  <c r="BB30" i="7"/>
  <c r="BA30" i="7"/>
  <c r="AZ30" i="7"/>
  <c r="AY30" i="7"/>
  <c r="AX30" i="7"/>
  <c r="AW30" i="7"/>
  <c r="AV30" i="7"/>
  <c r="AU30" i="7"/>
  <c r="AT30" i="7"/>
  <c r="AS30" i="7"/>
  <c r="AR30" i="7"/>
  <c r="AQ30" i="7"/>
  <c r="AP30" i="7"/>
  <c r="AO30" i="7"/>
  <c r="AN30" i="7"/>
  <c r="AM30" i="7"/>
  <c r="AL30" i="7"/>
  <c r="AK30" i="7"/>
  <c r="AJ30" i="7"/>
  <c r="AI30" i="7"/>
  <c r="AH30" i="7"/>
  <c r="AG30" i="7"/>
  <c r="AF30" i="7"/>
  <c r="AE30" i="7"/>
  <c r="AD30" i="7"/>
  <c r="AC30" i="7"/>
  <c r="AB30" i="7"/>
  <c r="AA30" i="7"/>
  <c r="Z30" i="7"/>
  <c r="Y30" i="7"/>
  <c r="X30" i="7"/>
  <c r="W30" i="7"/>
  <c r="V30" i="7"/>
  <c r="U30" i="7"/>
  <c r="T30" i="7"/>
  <c r="S30" i="7"/>
  <c r="R30" i="7"/>
  <c r="Q30" i="7"/>
  <c r="P30" i="7"/>
  <c r="O30" i="7"/>
  <c r="N30" i="7"/>
  <c r="M30" i="7"/>
  <c r="BM29" i="7"/>
  <c r="BL29" i="7"/>
  <c r="BK29" i="7"/>
  <c r="BJ29" i="7"/>
  <c r="BI29" i="7"/>
  <c r="BH29" i="7"/>
  <c r="BG29" i="7"/>
  <c r="BF29" i="7"/>
  <c r="BE29" i="7"/>
  <c r="BD29" i="7"/>
  <c r="BC29" i="7"/>
  <c r="BB29" i="7"/>
  <c r="BA29" i="7"/>
  <c r="AZ29" i="7"/>
  <c r="AY29" i="7"/>
  <c r="AX29" i="7"/>
  <c r="AW29" i="7"/>
  <c r="AV29" i="7"/>
  <c r="AU29" i="7"/>
  <c r="AT29" i="7"/>
  <c r="AS29" i="7"/>
  <c r="AR29" i="7"/>
  <c r="AQ29" i="7"/>
  <c r="AP29" i="7"/>
  <c r="AO29" i="7"/>
  <c r="AN29" i="7"/>
  <c r="AM29" i="7"/>
  <c r="AL29" i="7"/>
  <c r="AK29" i="7"/>
  <c r="AJ29" i="7"/>
  <c r="AI29" i="7"/>
  <c r="AH29" i="7"/>
  <c r="AG29" i="7"/>
  <c r="AF29" i="7"/>
  <c r="AE29" i="7"/>
  <c r="AD29" i="7"/>
  <c r="AC29" i="7"/>
  <c r="AB29" i="7"/>
  <c r="AA29" i="7"/>
  <c r="Z29" i="7"/>
  <c r="Y29" i="7"/>
  <c r="X29" i="7"/>
  <c r="W29" i="7"/>
  <c r="V29" i="7"/>
  <c r="U29" i="7"/>
  <c r="T29" i="7"/>
  <c r="S29" i="7"/>
  <c r="R29" i="7"/>
  <c r="Q29" i="7"/>
  <c r="P29" i="7"/>
  <c r="O29" i="7"/>
  <c r="N29" i="7"/>
  <c r="M29" i="7"/>
  <c r="BM28" i="7"/>
  <c r="BL28" i="7"/>
  <c r="BK28" i="7"/>
  <c r="BJ28" i="7"/>
  <c r="BI28" i="7"/>
  <c r="BH28" i="7"/>
  <c r="BG28" i="7"/>
  <c r="BF28" i="7"/>
  <c r="BE28" i="7"/>
  <c r="BD28" i="7"/>
  <c r="BC28" i="7"/>
  <c r="BB28" i="7"/>
  <c r="BA28" i="7"/>
  <c r="AZ28" i="7"/>
  <c r="AY28" i="7"/>
  <c r="AX28" i="7"/>
  <c r="AW28" i="7"/>
  <c r="AV28" i="7"/>
  <c r="AU28" i="7"/>
  <c r="AT28" i="7"/>
  <c r="AS28" i="7"/>
  <c r="AR28" i="7"/>
  <c r="AQ28" i="7"/>
  <c r="AP28" i="7"/>
  <c r="AO28" i="7"/>
  <c r="AN28" i="7"/>
  <c r="AM28" i="7"/>
  <c r="AL28" i="7"/>
  <c r="AK28" i="7"/>
  <c r="AJ28" i="7"/>
  <c r="AI28" i="7"/>
  <c r="AH28" i="7"/>
  <c r="AG28" i="7"/>
  <c r="AF28" i="7"/>
  <c r="AE28" i="7"/>
  <c r="AD28" i="7"/>
  <c r="AC28" i="7"/>
  <c r="AB28" i="7"/>
  <c r="AA28" i="7"/>
  <c r="Z28" i="7"/>
  <c r="Y28" i="7"/>
  <c r="X28" i="7"/>
  <c r="W28" i="7"/>
  <c r="V28" i="7"/>
  <c r="U28" i="7"/>
  <c r="T28" i="7"/>
  <c r="S28" i="7"/>
  <c r="R28" i="7"/>
  <c r="Q28" i="7"/>
  <c r="P28" i="7"/>
  <c r="O28" i="7"/>
  <c r="N28" i="7"/>
  <c r="M28" i="7"/>
  <c r="BM27" i="7"/>
  <c r="BL27" i="7"/>
  <c r="BK27" i="7"/>
  <c r="BJ27" i="7"/>
  <c r="BI27" i="7"/>
  <c r="BH27" i="7"/>
  <c r="BG27" i="7"/>
  <c r="BF27" i="7"/>
  <c r="BE27" i="7"/>
  <c r="BD27" i="7"/>
  <c r="BC27" i="7"/>
  <c r="BB27" i="7"/>
  <c r="BA27" i="7"/>
  <c r="AZ27" i="7"/>
  <c r="AY27" i="7"/>
  <c r="AX27" i="7"/>
  <c r="AW27" i="7"/>
  <c r="AV27" i="7"/>
  <c r="AU27" i="7"/>
  <c r="AT27" i="7"/>
  <c r="AS27" i="7"/>
  <c r="AR27" i="7"/>
  <c r="AQ27" i="7"/>
  <c r="AP27" i="7"/>
  <c r="AO27" i="7"/>
  <c r="AN27" i="7"/>
  <c r="AM27" i="7"/>
  <c r="AL27" i="7"/>
  <c r="AK27" i="7"/>
  <c r="AJ27" i="7"/>
  <c r="AI27" i="7"/>
  <c r="AH27" i="7"/>
  <c r="AG27" i="7"/>
  <c r="AF27" i="7"/>
  <c r="AE27" i="7"/>
  <c r="AD27" i="7"/>
  <c r="AC27" i="7"/>
  <c r="AB27" i="7"/>
  <c r="AA27" i="7"/>
  <c r="Z27" i="7"/>
  <c r="Y27" i="7"/>
  <c r="X27" i="7"/>
  <c r="W27" i="7"/>
  <c r="V27" i="7"/>
  <c r="U27" i="7"/>
  <c r="T27" i="7"/>
  <c r="S27" i="7"/>
  <c r="R27" i="7"/>
  <c r="Q27" i="7"/>
  <c r="P27" i="7"/>
  <c r="O27" i="7"/>
  <c r="N27" i="7"/>
  <c r="M27" i="7"/>
  <c r="BM26" i="7"/>
  <c r="BL26" i="7"/>
  <c r="BK26" i="7"/>
  <c r="BJ26" i="7"/>
  <c r="BI26" i="7"/>
  <c r="BH26" i="7"/>
  <c r="BG26" i="7"/>
  <c r="BF26" i="7"/>
  <c r="BE26" i="7"/>
  <c r="BD26" i="7"/>
  <c r="BC26" i="7"/>
  <c r="BB26" i="7"/>
  <c r="BA26" i="7"/>
  <c r="AZ26" i="7"/>
  <c r="AY26" i="7"/>
  <c r="AX26" i="7"/>
  <c r="AW26" i="7"/>
  <c r="AV26" i="7"/>
  <c r="AU26" i="7"/>
  <c r="AT26" i="7"/>
  <c r="AS26" i="7"/>
  <c r="AR26" i="7"/>
  <c r="AQ26" i="7"/>
  <c r="AP26" i="7"/>
  <c r="AO26" i="7"/>
  <c r="AN26" i="7"/>
  <c r="AM26" i="7"/>
  <c r="AL26" i="7"/>
  <c r="AK26" i="7"/>
  <c r="AJ26" i="7"/>
  <c r="AI26" i="7"/>
  <c r="AH26" i="7"/>
  <c r="AG26" i="7"/>
  <c r="AF26" i="7"/>
  <c r="AE26" i="7"/>
  <c r="AD26" i="7"/>
  <c r="AC26" i="7"/>
  <c r="AB26" i="7"/>
  <c r="AA26" i="7"/>
  <c r="Z26" i="7"/>
  <c r="Y26" i="7"/>
  <c r="X26" i="7"/>
  <c r="W26" i="7"/>
  <c r="V26" i="7"/>
  <c r="U26" i="7"/>
  <c r="T26" i="7"/>
  <c r="S26" i="7"/>
  <c r="R26" i="7"/>
  <c r="Q26" i="7"/>
  <c r="P26" i="7"/>
  <c r="O26" i="7"/>
  <c r="N26" i="7"/>
  <c r="M26" i="7"/>
  <c r="BM25" i="7"/>
  <c r="BL25" i="7"/>
  <c r="BK25" i="7"/>
  <c r="BJ25" i="7"/>
  <c r="BI25" i="7"/>
  <c r="BH25" i="7"/>
  <c r="BG25" i="7"/>
  <c r="BF25" i="7"/>
  <c r="BE25" i="7"/>
  <c r="BD25" i="7"/>
  <c r="BC25" i="7"/>
  <c r="BB25" i="7"/>
  <c r="BA25" i="7"/>
  <c r="AZ25" i="7"/>
  <c r="AY25" i="7"/>
  <c r="AX25" i="7"/>
  <c r="AW25" i="7"/>
  <c r="AV25" i="7"/>
  <c r="AU25" i="7"/>
  <c r="AT25" i="7"/>
  <c r="AS25" i="7"/>
  <c r="AR25" i="7"/>
  <c r="AQ25" i="7"/>
  <c r="AP25" i="7"/>
  <c r="AO25" i="7"/>
  <c r="AN25" i="7"/>
  <c r="AM25" i="7"/>
  <c r="AL25" i="7"/>
  <c r="AK25" i="7"/>
  <c r="AJ25" i="7"/>
  <c r="AI25" i="7"/>
  <c r="AH25" i="7"/>
  <c r="AG25" i="7"/>
  <c r="AF25" i="7"/>
  <c r="AE25" i="7"/>
  <c r="AD25" i="7"/>
  <c r="AC25" i="7"/>
  <c r="AB25" i="7"/>
  <c r="AA25" i="7"/>
  <c r="Z25" i="7"/>
  <c r="Y25" i="7"/>
  <c r="X25" i="7"/>
  <c r="W25" i="7"/>
  <c r="V25" i="7"/>
  <c r="U25" i="7"/>
  <c r="T25" i="7"/>
  <c r="S25" i="7"/>
  <c r="R25" i="7"/>
  <c r="Q25" i="7"/>
  <c r="P25" i="7"/>
  <c r="O25" i="7"/>
  <c r="N25" i="7"/>
  <c r="M25"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Q20" i="7"/>
  <c r="P20" i="7"/>
  <c r="O20" i="7"/>
  <c r="N20" i="7"/>
  <c r="M20" i="7"/>
  <c r="Q19" i="7"/>
  <c r="P19" i="7"/>
  <c r="O19" i="7"/>
  <c r="N19" i="7"/>
  <c r="M19"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Q17" i="7"/>
  <c r="P17" i="7"/>
  <c r="O17" i="7"/>
  <c r="N17" i="7"/>
  <c r="M17" i="7"/>
  <c r="Q16" i="7"/>
  <c r="P16" i="7"/>
  <c r="O16" i="7"/>
  <c r="N16" i="7"/>
  <c r="M16" i="7"/>
  <c r="Q15" i="7"/>
  <c r="P15" i="7"/>
  <c r="O15" i="7"/>
  <c r="N15" i="7"/>
  <c r="M15" i="7"/>
  <c r="BM14" i="7"/>
  <c r="BL14" i="7"/>
  <c r="BK14" i="7"/>
  <c r="BJ14" i="7"/>
  <c r="BI14" i="7"/>
  <c r="BH14" i="7"/>
  <c r="BG14" i="7"/>
  <c r="BF14" i="7"/>
  <c r="BE14" i="7"/>
  <c r="BD14" i="7"/>
  <c r="BC14" i="7"/>
  <c r="BB14" i="7"/>
  <c r="BA14" i="7"/>
  <c r="AZ14" i="7"/>
  <c r="AY14" i="7"/>
  <c r="AX14" i="7"/>
  <c r="AW14" i="7"/>
  <c r="AV14" i="7"/>
  <c r="AU14" i="7"/>
  <c r="AT14" i="7"/>
  <c r="AS14" i="7"/>
  <c r="AR14" i="7"/>
  <c r="AQ14" i="7"/>
  <c r="AP14" i="7"/>
  <c r="AO14" i="7"/>
  <c r="AN14" i="7"/>
  <c r="AM14" i="7"/>
  <c r="AL14" i="7"/>
  <c r="AK14" i="7"/>
  <c r="AJ14" i="7"/>
  <c r="AI14" i="7"/>
  <c r="AH14" i="7"/>
  <c r="AG14" i="7"/>
  <c r="AF14" i="7"/>
  <c r="AE14" i="7"/>
  <c r="AD14" i="7"/>
  <c r="AC14" i="7"/>
  <c r="AB14" i="7"/>
  <c r="AA14" i="7"/>
  <c r="Z14" i="7"/>
  <c r="Y14" i="7"/>
  <c r="X14" i="7"/>
  <c r="W14" i="7"/>
  <c r="V14" i="7"/>
  <c r="U14" i="7"/>
  <c r="T14" i="7"/>
  <c r="S14" i="7"/>
  <c r="R14" i="7"/>
  <c r="Q14" i="7"/>
  <c r="P14" i="7"/>
  <c r="O14" i="7"/>
  <c r="N14" i="7"/>
  <c r="M14"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AL13" i="7"/>
  <c r="AK13" i="7"/>
  <c r="AK10" i="7" s="1"/>
  <c r="AJ13" i="7"/>
  <c r="AJ10" i="7" s="1"/>
  <c r="AI13" i="7"/>
  <c r="AH13" i="7"/>
  <c r="AG13" i="7"/>
  <c r="AF13" i="7"/>
  <c r="AE13" i="7"/>
  <c r="AD13" i="7"/>
  <c r="AC13" i="7"/>
  <c r="AB13" i="7"/>
  <c r="AA13" i="7"/>
  <c r="Z13" i="7"/>
  <c r="Y13" i="7"/>
  <c r="X13" i="7"/>
  <c r="W13" i="7"/>
  <c r="V13" i="7"/>
  <c r="U13" i="7"/>
  <c r="T13" i="7"/>
  <c r="S13" i="7"/>
  <c r="R13" i="7"/>
  <c r="Q13" i="7"/>
  <c r="P13" i="7"/>
  <c r="O13" i="7"/>
  <c r="N13" i="7"/>
  <c r="M13" i="7"/>
  <c r="BM12" i="7"/>
  <c r="BL12" i="7"/>
  <c r="BK12" i="7"/>
  <c r="BJ12" i="7"/>
  <c r="BI12" i="7"/>
  <c r="BH12" i="7"/>
  <c r="BG12" i="7"/>
  <c r="BF12" i="7"/>
  <c r="BE12" i="7"/>
  <c r="BD12" i="7"/>
  <c r="BC12" i="7"/>
  <c r="BB12" i="7"/>
  <c r="BA12" i="7"/>
  <c r="AZ12" i="7"/>
  <c r="AY12" i="7"/>
  <c r="AX12" i="7"/>
  <c r="AW12" i="7"/>
  <c r="AV12" i="7"/>
  <c r="AU12" i="7"/>
  <c r="AT12" i="7"/>
  <c r="AS12" i="7"/>
  <c r="AR12" i="7"/>
  <c r="AQ12" i="7"/>
  <c r="AQ10" i="7" s="1"/>
  <c r="AP12" i="7"/>
  <c r="AP10" i="7" s="1"/>
  <c r="AO12" i="7"/>
  <c r="AO10" i="7" s="1"/>
  <c r="AN12" i="7"/>
  <c r="AM12" i="7"/>
  <c r="AM10" i="7" s="1"/>
  <c r="AL12" i="7"/>
  <c r="AK12" i="7"/>
  <c r="AJ12" i="7"/>
  <c r="AI12" i="7"/>
  <c r="AH12" i="7"/>
  <c r="AG12" i="7"/>
  <c r="AF12" i="7"/>
  <c r="AE12" i="7"/>
  <c r="AE10" i="7" s="1"/>
  <c r="AD12" i="7"/>
  <c r="AD10" i="7" s="1"/>
  <c r="AC12" i="7"/>
  <c r="AB12" i="7"/>
  <c r="AB10" i="7" s="1"/>
  <c r="AA12" i="7"/>
  <c r="AA10" i="7" s="1"/>
  <c r="Z12" i="7"/>
  <c r="Y12" i="7"/>
  <c r="X12" i="7"/>
  <c r="W12" i="7"/>
  <c r="V12" i="7"/>
  <c r="V10" i="7" s="1"/>
  <c r="U12" i="7"/>
  <c r="T12" i="7"/>
  <c r="T10" i="7" s="1"/>
  <c r="S12" i="7"/>
  <c r="R12" i="7"/>
  <c r="R10" i="7" s="1"/>
  <c r="Q12" i="7"/>
  <c r="Q10" i="7" s="1"/>
  <c r="P12" i="7"/>
  <c r="O12" i="7"/>
  <c r="N12" i="7"/>
  <c r="M12" i="7"/>
  <c r="BM11" i="7"/>
  <c r="BL11" i="7"/>
  <c r="BK11" i="7"/>
  <c r="BJ11" i="7"/>
  <c r="BI11" i="7"/>
  <c r="BH11" i="7"/>
  <c r="BG11" i="7"/>
  <c r="BF11" i="7"/>
  <c r="BE11" i="7"/>
  <c r="BD11" i="7"/>
  <c r="BC11" i="7"/>
  <c r="BB11" i="7"/>
  <c r="BA11" i="7"/>
  <c r="AZ11" i="7"/>
  <c r="AY11" i="7"/>
  <c r="AX11" i="7"/>
  <c r="AW11" i="7"/>
  <c r="AV11" i="7"/>
  <c r="AU11" i="7"/>
  <c r="AT11" i="7"/>
  <c r="AS11" i="7"/>
  <c r="AR11" i="7"/>
  <c r="AQ11" i="7"/>
  <c r="AP11" i="7"/>
  <c r="AO11" i="7"/>
  <c r="AN11" i="7"/>
  <c r="AM11" i="7"/>
  <c r="AL11" i="7"/>
  <c r="AK11" i="7"/>
  <c r="AJ11" i="7"/>
  <c r="AI11" i="7"/>
  <c r="AH11" i="7"/>
  <c r="AG11" i="7"/>
  <c r="AF11" i="7"/>
  <c r="AE11" i="7"/>
  <c r="AD11" i="7"/>
  <c r="AC11" i="7"/>
  <c r="AB11" i="7"/>
  <c r="AA11" i="7"/>
  <c r="Z11" i="7"/>
  <c r="Y11" i="7"/>
  <c r="X11" i="7"/>
  <c r="W11" i="7"/>
  <c r="V11" i="7"/>
  <c r="U11" i="7"/>
  <c r="T11" i="7"/>
  <c r="S11" i="7"/>
  <c r="R11" i="7"/>
  <c r="Q11" i="7"/>
  <c r="P11" i="7"/>
  <c r="O11" i="7"/>
  <c r="N11" i="7"/>
  <c r="M11" i="7"/>
  <c r="AS10" i="7"/>
  <c r="AR10" i="7"/>
  <c r="AN10" i="7"/>
  <c r="AL10" i="7"/>
  <c r="AH10" i="7"/>
  <c r="AG10" i="7"/>
  <c r="AF10" i="7"/>
  <c r="AC10" i="7"/>
  <c r="Z10" i="7"/>
  <c r="Y10" i="7"/>
  <c r="X10" i="7"/>
  <c r="U10" i="7"/>
  <c r="S10" i="7"/>
  <c r="P10" i="7"/>
  <c r="O10" i="7"/>
  <c r="N10" i="7"/>
  <c r="M10" i="7"/>
  <c r="BM9" i="7"/>
  <c r="BL9" i="7"/>
  <c r="BK9" i="7"/>
  <c r="BJ9" i="7"/>
  <c r="BI9" i="7"/>
  <c r="BH9" i="7"/>
  <c r="BG9" i="7"/>
  <c r="BF9" i="7"/>
  <c r="BE9" i="7"/>
  <c r="BD9" i="7"/>
  <c r="BC9" i="7"/>
  <c r="BB9" i="7"/>
  <c r="BA9" i="7"/>
  <c r="AZ9" i="7"/>
  <c r="AY9" i="7"/>
  <c r="AX9" i="7"/>
  <c r="AW9" i="7"/>
  <c r="AV9" i="7"/>
  <c r="AU9" i="7"/>
  <c r="AT9" i="7"/>
  <c r="AS9" i="7"/>
  <c r="AR9" i="7"/>
  <c r="AQ9" i="7"/>
  <c r="AP9" i="7"/>
  <c r="AO9" i="7"/>
  <c r="AN9" i="7"/>
  <c r="AM9" i="7"/>
  <c r="AL9" i="7"/>
  <c r="AK9" i="7"/>
  <c r="AJ9" i="7"/>
  <c r="AI9" i="7"/>
  <c r="AH9" i="7"/>
  <c r="AG9" i="7"/>
  <c r="AF9" i="7"/>
  <c r="AE9" i="7"/>
  <c r="AD9" i="7"/>
  <c r="AC9" i="7"/>
  <c r="AB9" i="7"/>
  <c r="AA9" i="7"/>
  <c r="Z9" i="7"/>
  <c r="Y9" i="7"/>
  <c r="X9" i="7"/>
  <c r="W9" i="7"/>
  <c r="V9" i="7"/>
  <c r="U9" i="7"/>
  <c r="T9" i="7"/>
  <c r="S9" i="7"/>
  <c r="R9" i="7"/>
  <c r="Q9" i="7"/>
  <c r="P9" i="7"/>
  <c r="O9" i="7"/>
  <c r="N9" i="7"/>
  <c r="M9" i="7"/>
  <c r="AS8" i="7"/>
  <c r="AR8" i="7"/>
  <c r="AR6" i="7" s="1"/>
  <c r="AQ8" i="7"/>
  <c r="AQ6" i="7" s="1"/>
  <c r="AP8" i="7"/>
  <c r="AP6" i="7" s="1"/>
  <c r="AO8" i="7"/>
  <c r="AN8" i="7"/>
  <c r="AN6" i="7" s="1"/>
  <c r="AM8" i="7"/>
  <c r="AL8" i="7"/>
  <c r="AK8" i="7"/>
  <c r="AK6" i="7" s="1"/>
  <c r="AJ8" i="7"/>
  <c r="AI8" i="7"/>
  <c r="AH8" i="7"/>
  <c r="AH6" i="7" s="1"/>
  <c r="AG8" i="7"/>
  <c r="AF8" i="7"/>
  <c r="AF6" i="7" s="1"/>
  <c r="AE8" i="7"/>
  <c r="AE6" i="7" s="1"/>
  <c r="AD8" i="7"/>
  <c r="AD6" i="7" s="1"/>
  <c r="AC8" i="7"/>
  <c r="AB8" i="7"/>
  <c r="AB6" i="7" s="1"/>
  <c r="AA8" i="7"/>
  <c r="Z8" i="7"/>
  <c r="Y8" i="7"/>
  <c r="Y6" i="7" s="1"/>
  <c r="X8" i="7"/>
  <c r="W8" i="7"/>
  <c r="V8" i="7"/>
  <c r="V6" i="7" s="1"/>
  <c r="U8" i="7"/>
  <c r="T8" i="7"/>
  <c r="T6" i="7" s="1"/>
  <c r="S8" i="7"/>
  <c r="S6" i="7" s="1"/>
  <c r="R8" i="7"/>
  <c r="R6" i="7" s="1"/>
  <c r="Q8" i="7"/>
  <c r="P8" i="7"/>
  <c r="O8" i="7"/>
  <c r="N8" i="7"/>
  <c r="M8" i="7"/>
  <c r="AS7" i="7"/>
  <c r="AS6" i="7" s="1"/>
  <c r="AR7" i="7"/>
  <c r="AQ7" i="7"/>
  <c r="AP7" i="7"/>
  <c r="AO7" i="7"/>
  <c r="AN7" i="7"/>
  <c r="AM7" i="7"/>
  <c r="AL7" i="7"/>
  <c r="AK7" i="7"/>
  <c r="AJ7" i="7"/>
  <c r="AJ6" i="7" s="1"/>
  <c r="AI7" i="7"/>
  <c r="AI6" i="7" s="1"/>
  <c r="AH7" i="7"/>
  <c r="AG7" i="7"/>
  <c r="AG6" i="7" s="1"/>
  <c r="AF7" i="7"/>
  <c r="AE7" i="7"/>
  <c r="AD7" i="7"/>
  <c r="AC7" i="7"/>
  <c r="AB7" i="7"/>
  <c r="AA7" i="7"/>
  <c r="Z7" i="7"/>
  <c r="Y7" i="7"/>
  <c r="X7" i="7"/>
  <c r="X6" i="7" s="1"/>
  <c r="W7" i="7"/>
  <c r="W6" i="7" s="1"/>
  <c r="V7" i="7"/>
  <c r="U7" i="7"/>
  <c r="U6" i="7" s="1"/>
  <c r="T7" i="7"/>
  <c r="S7" i="7"/>
  <c r="R7" i="7"/>
  <c r="Q7" i="7"/>
  <c r="P7" i="7"/>
  <c r="O7" i="7"/>
  <c r="N7" i="7"/>
  <c r="M7" i="7"/>
  <c r="AO6" i="7"/>
  <c r="AM6" i="7"/>
  <c r="AL6" i="7"/>
  <c r="AC6" i="7"/>
  <c r="AA6" i="7"/>
  <c r="Z6" i="7"/>
  <c r="Q6" i="7"/>
  <c r="P6" i="7"/>
  <c r="O6" i="7"/>
  <c r="N6" i="7"/>
  <c r="M6" i="7"/>
  <c r="BM5" i="7"/>
  <c r="BL5" i="7"/>
  <c r="BK5" i="7"/>
  <c r="BJ5" i="7"/>
  <c r="BI5" i="7"/>
  <c r="BH5" i="7"/>
  <c r="BG5" i="7"/>
  <c r="BF5" i="7"/>
  <c r="BE5" i="7"/>
  <c r="BD5" i="7"/>
  <c r="BC5"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P5" i="7"/>
  <c r="O5" i="7"/>
  <c r="N5" i="7"/>
  <c r="M5" i="7"/>
  <c r="BM4" i="7"/>
  <c r="BL4" i="7"/>
  <c r="BK4" i="7"/>
  <c r="BJ4" i="7"/>
  <c r="BI4" i="7"/>
  <c r="BH4" i="7"/>
  <c r="BG4" i="7"/>
  <c r="BF4" i="7"/>
  <c r="BE4" i="7"/>
  <c r="BD4" i="7"/>
  <c r="BC4"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P4" i="7"/>
  <c r="O4" i="7"/>
  <c r="N4" i="7"/>
  <c r="M4" i="7"/>
  <c r="T3" i="7"/>
  <c r="U3" i="7" s="1"/>
  <c r="V3" i="7" s="1"/>
  <c r="W3" i="7" s="1"/>
  <c r="X3" i="7" s="1"/>
  <c r="Y3" i="7" s="1"/>
  <c r="Z3" i="7" s="1"/>
  <c r="AA3" i="7" s="1"/>
  <c r="AB3" i="7" s="1"/>
  <c r="AC3" i="7" s="1"/>
  <c r="S3" i="7"/>
  <c r="R3" i="7"/>
  <c r="Q3" i="7"/>
  <c r="P3" i="7"/>
  <c r="O3" i="7"/>
  <c r="N3" i="7"/>
  <c r="M3" i="7"/>
  <c r="BM2" i="7"/>
  <c r="BL2" i="7"/>
  <c r="BK2" i="7"/>
  <c r="BJ2" i="7"/>
  <c r="BI2" i="7"/>
  <c r="BH2" i="7"/>
  <c r="BG2" i="7"/>
  <c r="BF2" i="7"/>
  <c r="BE2" i="7"/>
  <c r="BD2" i="7"/>
  <c r="BC2" i="7"/>
  <c r="BB2" i="7"/>
  <c r="BA2" i="7"/>
  <c r="AZ2" i="7"/>
  <c r="AY2" i="7"/>
  <c r="AX2" i="7"/>
  <c r="AW2" i="7"/>
  <c r="AV2" i="7"/>
  <c r="AU2" i="7"/>
  <c r="AT2" i="7"/>
  <c r="AS2" i="7"/>
  <c r="AR2" i="7"/>
  <c r="AQ2" i="7"/>
  <c r="AP2" i="7"/>
  <c r="AO2" i="7"/>
  <c r="AN2" i="7"/>
  <c r="AM2" i="7"/>
  <c r="AL2" i="7"/>
  <c r="AK2" i="7"/>
  <c r="AJ2" i="7"/>
  <c r="AI2" i="7"/>
  <c r="AH2" i="7"/>
  <c r="AG2" i="7"/>
  <c r="AF2" i="7"/>
  <c r="AE2" i="7"/>
  <c r="AD2" i="7"/>
  <c r="AC2" i="7"/>
  <c r="AB2" i="7"/>
  <c r="AA2" i="7"/>
  <c r="Z2" i="7"/>
  <c r="Y2" i="7"/>
  <c r="X2" i="7"/>
  <c r="W2" i="7"/>
  <c r="V2" i="7"/>
  <c r="U2" i="7"/>
  <c r="T2" i="7"/>
  <c r="S2" i="7"/>
  <c r="R2" i="7"/>
  <c r="Q2" i="7"/>
  <c r="BI114" i="5"/>
  <c r="BJ114" i="5" s="1"/>
  <c r="BK114" i="5" s="1"/>
  <c r="BL114" i="5" s="1"/>
  <c r="BM114" i="5" s="1"/>
  <c r="BN114" i="5" s="1"/>
  <c r="BO114" i="5" s="1"/>
  <c r="BP114" i="5" s="1"/>
  <c r="BQ114" i="5" s="1"/>
  <c r="BR114" i="5" s="1"/>
  <c r="BS114" i="5" s="1"/>
  <c r="BT114" i="5" s="1"/>
  <c r="BH114" i="5"/>
  <c r="BH113" i="5"/>
  <c r="BI113" i="5" s="1"/>
  <c r="BJ113" i="5" s="1"/>
  <c r="BK113" i="5" s="1"/>
  <c r="BL113" i="5" s="1"/>
  <c r="BM113" i="5" s="1"/>
  <c r="BN113" i="5" s="1"/>
  <c r="BO113" i="5" s="1"/>
  <c r="BP113" i="5" s="1"/>
  <c r="BQ113" i="5" s="1"/>
  <c r="BR113" i="5" s="1"/>
  <c r="BS113" i="5" s="1"/>
  <c r="BT113" i="5" s="1"/>
  <c r="CM86" i="5"/>
  <c r="CP86" i="5" s="1"/>
  <c r="CK86" i="5"/>
  <c r="CH86" i="5"/>
  <c r="AK86" i="5"/>
  <c r="AS60" i="7" s="1"/>
  <c r="BC85" i="5"/>
  <c r="BB85" i="5"/>
  <c r="BA85" i="5"/>
  <c r="AZ85" i="5"/>
  <c r="AY85" i="5"/>
  <c r="AX85" i="5"/>
  <c r="AW85" i="5"/>
  <c r="AV85" i="5"/>
  <c r="AU85" i="5"/>
  <c r="AT85" i="5"/>
  <c r="AS85" i="5"/>
  <c r="AR85" i="5"/>
  <c r="AQ85" i="5"/>
  <c r="AP85" i="5"/>
  <c r="AO85" i="5"/>
  <c r="AN85" i="5"/>
  <c r="AM85" i="5"/>
  <c r="AL85" i="5"/>
  <c r="AK85" i="5"/>
  <c r="AJ85" i="5"/>
  <c r="AI85" i="5"/>
  <c r="AS58" i="7" s="1"/>
  <c r="AH85" i="5"/>
  <c r="AR58" i="7" s="1"/>
  <c r="AG85" i="5"/>
  <c r="AQ58" i="7" s="1"/>
  <c r="AQ57" i="7" s="1"/>
  <c r="AF85" i="5"/>
  <c r="AP58" i="7" s="1"/>
  <c r="AE85" i="5"/>
  <c r="AO58" i="7" s="1"/>
  <c r="AD85" i="5"/>
  <c r="AN58" i="7" s="1"/>
  <c r="AC85" i="5"/>
  <c r="AM58" i="7" s="1"/>
  <c r="AB85" i="5"/>
  <c r="AL58" i="7" s="1"/>
  <c r="AA85" i="5"/>
  <c r="AK58" i="7" s="1"/>
  <c r="Z85" i="5"/>
  <c r="AJ58" i="7" s="1"/>
  <c r="AJ57" i="7" s="1"/>
  <c r="Y85" i="5"/>
  <c r="AI58" i="7" s="1"/>
  <c r="X85" i="5"/>
  <c r="AH58" i="7" s="1"/>
  <c r="W85" i="5"/>
  <c r="AG58" i="7" s="1"/>
  <c r="V85" i="5"/>
  <c r="AF58" i="7" s="1"/>
  <c r="U85" i="5"/>
  <c r="AE58" i="7" s="1"/>
  <c r="AE57" i="7" s="1"/>
  <c r="T85" i="5"/>
  <c r="AD58" i="7" s="1"/>
  <c r="S85" i="5"/>
  <c r="AC58" i="7" s="1"/>
  <c r="R85" i="5"/>
  <c r="AB58" i="7" s="1"/>
  <c r="Q85" i="5"/>
  <c r="AA58" i="7" s="1"/>
  <c r="P85" i="5"/>
  <c r="Z58" i="7" s="1"/>
  <c r="O85" i="5"/>
  <c r="Y58" i="7" s="1"/>
  <c r="N85" i="5"/>
  <c r="X58" i="7" s="1"/>
  <c r="M85" i="5"/>
  <c r="W58" i="7" s="1"/>
  <c r="L85" i="5"/>
  <c r="V58" i="7" s="1"/>
  <c r="K85" i="5"/>
  <c r="U58" i="7" s="1"/>
  <c r="J85" i="5"/>
  <c r="T58" i="7" s="1"/>
  <c r="I85" i="5"/>
  <c r="S58" i="7" s="1"/>
  <c r="S57" i="7" s="1"/>
  <c r="H85" i="5"/>
  <c r="R58" i="7" s="1"/>
  <c r="BC84" i="5"/>
  <c r="BB84" i="5"/>
  <c r="BA84" i="5"/>
  <c r="AZ84" i="5"/>
  <c r="AY84" i="5"/>
  <c r="AX84" i="5"/>
  <c r="AW84" i="5"/>
  <c r="AV84" i="5"/>
  <c r="AU84" i="5"/>
  <c r="AT84" i="5"/>
  <c r="AS84" i="5"/>
  <c r="AR84" i="5"/>
  <c r="AQ84" i="5"/>
  <c r="AP84" i="5"/>
  <c r="AO84" i="5"/>
  <c r="AN84" i="5"/>
  <c r="AM84" i="5"/>
  <c r="AL84" i="5"/>
  <c r="AK84" i="5"/>
  <c r="AJ84" i="5"/>
  <c r="AI84" i="5"/>
  <c r="AS59" i="7" s="1"/>
  <c r="AH84" i="5"/>
  <c r="AR59" i="7" s="1"/>
  <c r="AG84" i="5"/>
  <c r="AQ59" i="7" s="1"/>
  <c r="AF84" i="5"/>
  <c r="AP59" i="7" s="1"/>
  <c r="AE84" i="5"/>
  <c r="AO59" i="7" s="1"/>
  <c r="AD84" i="5"/>
  <c r="AN59" i="7" s="1"/>
  <c r="AC84" i="5"/>
  <c r="AM59" i="7" s="1"/>
  <c r="AB84" i="5"/>
  <c r="AL59" i="7" s="1"/>
  <c r="AA84" i="5"/>
  <c r="AK59" i="7" s="1"/>
  <c r="Z84" i="5"/>
  <c r="AJ59" i="7" s="1"/>
  <c r="Y84" i="5"/>
  <c r="AI59" i="7" s="1"/>
  <c r="X84" i="5"/>
  <c r="AH59" i="7" s="1"/>
  <c r="W84" i="5"/>
  <c r="AG59" i="7" s="1"/>
  <c r="V84" i="5"/>
  <c r="AF59" i="7" s="1"/>
  <c r="U84" i="5"/>
  <c r="AE59" i="7" s="1"/>
  <c r="T84" i="5"/>
  <c r="AD59" i="7" s="1"/>
  <c r="S84" i="5"/>
  <c r="AC59" i="7" s="1"/>
  <c r="R84" i="5"/>
  <c r="AB59" i="7" s="1"/>
  <c r="Q84" i="5"/>
  <c r="AA59" i="7" s="1"/>
  <c r="P84" i="5"/>
  <c r="Z59" i="7" s="1"/>
  <c r="O84" i="5"/>
  <c r="Y59" i="7" s="1"/>
  <c r="N84" i="5"/>
  <c r="X59" i="7" s="1"/>
  <c r="M84" i="5"/>
  <c r="W59" i="7" s="1"/>
  <c r="L84" i="5"/>
  <c r="V59" i="7" s="1"/>
  <c r="K84" i="5"/>
  <c r="U59" i="7" s="1"/>
  <c r="J84" i="5"/>
  <c r="T59" i="7" s="1"/>
  <c r="I84" i="5"/>
  <c r="S59" i="7" s="1"/>
  <c r="H84" i="5"/>
  <c r="R59" i="7" s="1"/>
  <c r="BC83" i="5"/>
  <c r="BB83" i="5"/>
  <c r="BA83" i="5"/>
  <c r="AZ83" i="5"/>
  <c r="AY83" i="5"/>
  <c r="AX83" i="5"/>
  <c r="AW83" i="5"/>
  <c r="AV83" i="5"/>
  <c r="AU83" i="5"/>
  <c r="AT83" i="5"/>
  <c r="AS83" i="5"/>
  <c r="AR83" i="5"/>
  <c r="AQ83" i="5"/>
  <c r="AP83" i="5"/>
  <c r="AO83" i="5"/>
  <c r="AN83" i="5"/>
  <c r="AM83" i="5"/>
  <c r="AL83" i="5"/>
  <c r="AK83" i="5"/>
  <c r="AJ83" i="5"/>
  <c r="AI83" i="5"/>
  <c r="AS61" i="7" s="1"/>
  <c r="AH83" i="5"/>
  <c r="AR61" i="7" s="1"/>
  <c r="AG83" i="5"/>
  <c r="AQ61" i="7" s="1"/>
  <c r="AF83" i="5"/>
  <c r="AP61" i="7" s="1"/>
  <c r="AE83" i="5"/>
  <c r="AO61" i="7" s="1"/>
  <c r="AD83" i="5"/>
  <c r="AN61" i="7" s="1"/>
  <c r="AC83" i="5"/>
  <c r="AM61" i="7" s="1"/>
  <c r="AB83" i="5"/>
  <c r="AL61" i="7" s="1"/>
  <c r="AA83" i="5"/>
  <c r="AK61" i="7" s="1"/>
  <c r="Z83" i="5"/>
  <c r="AJ61" i="7" s="1"/>
  <c r="Y83" i="5"/>
  <c r="AI61" i="7" s="1"/>
  <c r="X83" i="5"/>
  <c r="AH61" i="7" s="1"/>
  <c r="W83" i="5"/>
  <c r="AG61" i="7" s="1"/>
  <c r="V83" i="5"/>
  <c r="AF61" i="7" s="1"/>
  <c r="U83" i="5"/>
  <c r="AE61" i="7" s="1"/>
  <c r="T83" i="5"/>
  <c r="AD61" i="7" s="1"/>
  <c r="S83" i="5"/>
  <c r="AC61" i="7" s="1"/>
  <c r="R83" i="5"/>
  <c r="AB61" i="7" s="1"/>
  <c r="Q83" i="5"/>
  <c r="AA61" i="7" s="1"/>
  <c r="P83" i="5"/>
  <c r="Z61" i="7" s="1"/>
  <c r="O83" i="5"/>
  <c r="Y61" i="7" s="1"/>
  <c r="N83" i="5"/>
  <c r="X61" i="7" s="1"/>
  <c r="M83" i="5"/>
  <c r="W61" i="7" s="1"/>
  <c r="L83" i="5"/>
  <c r="V61" i="7" s="1"/>
  <c r="K83" i="5"/>
  <c r="U61" i="7" s="1"/>
  <c r="J83" i="5"/>
  <c r="T61" i="7" s="1"/>
  <c r="I83" i="5"/>
  <c r="S61" i="7" s="1"/>
  <c r="H83" i="5"/>
  <c r="R61" i="7" s="1"/>
  <c r="BC82" i="5"/>
  <c r="BB82" i="5"/>
  <c r="BA82" i="5"/>
  <c r="AZ82" i="5"/>
  <c r="AY82" i="5"/>
  <c r="AX82" i="5"/>
  <c r="AW82" i="5"/>
  <c r="AV82" i="5"/>
  <c r="AU82" i="5"/>
  <c r="AT82" i="5"/>
  <c r="AS82" i="5"/>
  <c r="AR82" i="5"/>
  <c r="AQ82" i="5"/>
  <c r="AP82" i="5"/>
  <c r="AO82" i="5"/>
  <c r="AN82" i="5"/>
  <c r="AM82" i="5"/>
  <c r="AL82" i="5"/>
  <c r="AK82" i="5"/>
  <c r="AJ82" i="5"/>
  <c r="AI82" i="5"/>
  <c r="AS62" i="7" s="1"/>
  <c r="AH82" i="5"/>
  <c r="AR62" i="7" s="1"/>
  <c r="AG82" i="5"/>
  <c r="AQ62" i="7" s="1"/>
  <c r="AF82" i="5"/>
  <c r="AP62" i="7" s="1"/>
  <c r="AE82" i="5"/>
  <c r="AO62" i="7" s="1"/>
  <c r="AD82" i="5"/>
  <c r="AN62" i="7" s="1"/>
  <c r="AC82" i="5"/>
  <c r="AM62" i="7" s="1"/>
  <c r="AB82" i="5"/>
  <c r="AL62" i="7" s="1"/>
  <c r="AA82" i="5"/>
  <c r="AK62" i="7" s="1"/>
  <c r="Z82" i="5"/>
  <c r="AJ62" i="7" s="1"/>
  <c r="Y82" i="5"/>
  <c r="AI62" i="7" s="1"/>
  <c r="X82" i="5"/>
  <c r="AH62" i="7" s="1"/>
  <c r="W82" i="5"/>
  <c r="AG62" i="7" s="1"/>
  <c r="V82" i="5"/>
  <c r="AF62" i="7" s="1"/>
  <c r="U82" i="5"/>
  <c r="AE62" i="7" s="1"/>
  <c r="T82" i="5"/>
  <c r="AD62" i="7" s="1"/>
  <c r="S82" i="5"/>
  <c r="AC62" i="7" s="1"/>
  <c r="R82" i="5"/>
  <c r="AB62" i="7" s="1"/>
  <c r="Q82" i="5"/>
  <c r="AA62" i="7" s="1"/>
  <c r="P82" i="5"/>
  <c r="Z62" i="7" s="1"/>
  <c r="O82" i="5"/>
  <c r="Y62" i="7" s="1"/>
  <c r="N82" i="5"/>
  <c r="X62" i="7" s="1"/>
  <c r="M82" i="5"/>
  <c r="W62" i="7" s="1"/>
  <c r="L82" i="5"/>
  <c r="V62" i="7" s="1"/>
  <c r="K82" i="5"/>
  <c r="U62" i="7" s="1"/>
  <c r="J82" i="5"/>
  <c r="T62" i="7" s="1"/>
  <c r="I82" i="5"/>
  <c r="S62" i="7" s="1"/>
  <c r="H82" i="5"/>
  <c r="R62" i="7" s="1"/>
  <c r="CF68" i="5"/>
  <c r="CI68" i="5" s="1"/>
  <c r="CK68" i="5" s="1"/>
  <c r="CN68" i="5" s="1"/>
  <c r="X68" i="5"/>
  <c r="Y68" i="5" s="1"/>
  <c r="Z68" i="5" s="1"/>
  <c r="AA68" i="5" s="1"/>
  <c r="AB68" i="5" s="1"/>
  <c r="W68" i="5"/>
  <c r="V68" i="5"/>
  <c r="U68" i="5"/>
  <c r="S68" i="5"/>
  <c r="Q68" i="5"/>
  <c r="R68" i="5" s="1"/>
  <c r="AB74" i="7" s="1"/>
  <c r="P68" i="5"/>
  <c r="L68" i="5"/>
  <c r="M68" i="5" s="1"/>
  <c r="N68" i="5" s="1"/>
  <c r="K68" i="5"/>
  <c r="U74" i="7" s="1"/>
  <c r="I68" i="5"/>
  <c r="H68" i="5"/>
  <c r="BO65" i="5"/>
  <c r="BO57" i="5"/>
  <c r="BO56" i="5"/>
  <c r="W165" i="4"/>
  <c r="V165" i="4"/>
  <c r="U165" i="4"/>
  <c r="T165" i="4"/>
  <c r="S165" i="4"/>
  <c r="R165" i="4"/>
  <c r="Q165" i="4"/>
  <c r="P165" i="4"/>
  <c r="O165" i="4"/>
  <c r="N165" i="4"/>
  <c r="M165" i="4"/>
  <c r="L165" i="4"/>
  <c r="K165" i="4"/>
  <c r="U164" i="4"/>
  <c r="V164" i="4" s="1"/>
  <c r="W164" i="4" s="1"/>
  <c r="X164" i="4" s="1"/>
  <c r="T164" i="4"/>
  <c r="AK151" i="4"/>
  <c r="J151" i="4" s="1"/>
  <c r="K151" i="4" s="1"/>
  <c r="L151" i="4" s="1"/>
  <c r="M151" i="4" s="1"/>
  <c r="N151" i="4" s="1"/>
  <c r="O151" i="4" s="1"/>
  <c r="P151" i="4" s="1"/>
  <c r="Q151" i="4" s="1"/>
  <c r="R151" i="4" s="1"/>
  <c r="S151" i="4" s="1"/>
  <c r="T151" i="4" s="1"/>
  <c r="U151" i="4" s="1"/>
  <c r="V151" i="4" s="1"/>
  <c r="W151" i="4" s="1"/>
  <c r="X151" i="4" s="1"/>
  <c r="Y151" i="4" s="1"/>
  <c r="Z151" i="4" s="1"/>
  <c r="AA151" i="4" s="1"/>
  <c r="AB151" i="4" s="1"/>
  <c r="AC151" i="4" s="1"/>
  <c r="AD151" i="4" s="1"/>
  <c r="AE151" i="4" s="1"/>
  <c r="AF151" i="4" s="1"/>
  <c r="AG151" i="4" s="1"/>
  <c r="AH151" i="4" s="1"/>
  <c r="AI151" i="4" s="1"/>
  <c r="AJ151" i="4" s="1"/>
  <c r="BG150" i="4"/>
  <c r="V129" i="4"/>
  <c r="W129" i="4" s="1"/>
  <c r="X129" i="4" s="1"/>
  <c r="Y129" i="4" s="1"/>
  <c r="Z129" i="4" s="1"/>
  <c r="AA129" i="4" s="1"/>
  <c r="AB129" i="4" s="1"/>
  <c r="AC129" i="4" s="1"/>
  <c r="AD129" i="4" s="1"/>
  <c r="AE129" i="4" s="1"/>
  <c r="AF129" i="4" s="1"/>
  <c r="AG129" i="4" s="1"/>
  <c r="AH129" i="4" s="1"/>
  <c r="AI129" i="4" s="1"/>
  <c r="AJ129" i="4" s="1"/>
  <c r="AK129" i="4" s="1"/>
  <c r="BJ131" i="4" s="1"/>
  <c r="BK125" i="4" s="1"/>
  <c r="BL125" i="4" s="1"/>
  <c r="BG128" i="4" s="1"/>
  <c r="U128" i="4"/>
  <c r="V128" i="4" s="1"/>
  <c r="BM125" i="4"/>
  <c r="BM124" i="4" s="1"/>
  <c r="T124" i="4"/>
  <c r="S124" i="4"/>
  <c r="R124" i="4"/>
  <c r="Q124" i="4"/>
  <c r="P124" i="4"/>
  <c r="O124" i="4"/>
  <c r="N124" i="4"/>
  <c r="M124" i="4"/>
  <c r="L124" i="4"/>
  <c r="K124" i="4"/>
  <c r="J124" i="4"/>
  <c r="T123" i="4"/>
  <c r="S123" i="4"/>
  <c r="R123" i="4"/>
  <c r="Q123" i="4"/>
  <c r="P123" i="4"/>
  <c r="O123" i="4"/>
  <c r="N123" i="4"/>
  <c r="M123" i="4"/>
  <c r="L123" i="4"/>
  <c r="K123" i="4"/>
  <c r="J123" i="4"/>
  <c r="BE96" i="4"/>
  <c r="BM7" i="7" s="1"/>
  <c r="BD96" i="4"/>
  <c r="BL7" i="7" s="1"/>
  <c r="BC96" i="4"/>
  <c r="BK7" i="7" s="1"/>
  <c r="BB96" i="4"/>
  <c r="BJ7" i="7" s="1"/>
  <c r="BA96" i="4"/>
  <c r="BI7" i="7" s="1"/>
  <c r="AZ96" i="4"/>
  <c r="BH7" i="7" s="1"/>
  <c r="AY96" i="4"/>
  <c r="BG7" i="7" s="1"/>
  <c r="AX96" i="4"/>
  <c r="BF7" i="7" s="1"/>
  <c r="AW96" i="4"/>
  <c r="BE7" i="7" s="1"/>
  <c r="AV96" i="4"/>
  <c r="BD7" i="7" s="1"/>
  <c r="AU96" i="4"/>
  <c r="BC7" i="7" s="1"/>
  <c r="AT96" i="4"/>
  <c r="BB7" i="7" s="1"/>
  <c r="AS96" i="4"/>
  <c r="BA7" i="7" s="1"/>
  <c r="AR96" i="4"/>
  <c r="AZ7" i="7" s="1"/>
  <c r="AQ96" i="4"/>
  <c r="AY7" i="7" s="1"/>
  <c r="AP96" i="4"/>
  <c r="AX7" i="7" s="1"/>
  <c r="AO96" i="4"/>
  <c r="AW7" i="7" s="1"/>
  <c r="AN96" i="4"/>
  <c r="AV7" i="7" s="1"/>
  <c r="AM96" i="4"/>
  <c r="AU7" i="7" s="1"/>
  <c r="AL96" i="4"/>
  <c r="AT7" i="7" s="1"/>
  <c r="BE95" i="4"/>
  <c r="BM8" i="7" s="1"/>
  <c r="BD95" i="4"/>
  <c r="BL8" i="7" s="1"/>
  <c r="BC95" i="4"/>
  <c r="BK8" i="7" s="1"/>
  <c r="BB95" i="4"/>
  <c r="BJ8" i="7" s="1"/>
  <c r="BA95" i="4"/>
  <c r="BI8" i="7" s="1"/>
  <c r="BI6" i="7" s="1"/>
  <c r="AZ95" i="4"/>
  <c r="BH8" i="7" s="1"/>
  <c r="AY95" i="4"/>
  <c r="BG8" i="7" s="1"/>
  <c r="BG6" i="7" s="1"/>
  <c r="AX95" i="4"/>
  <c r="BF8" i="7" s="1"/>
  <c r="AW95" i="4"/>
  <c r="BE8" i="7" s="1"/>
  <c r="AV95" i="4"/>
  <c r="BD8" i="7" s="1"/>
  <c r="BD6" i="7" s="1"/>
  <c r="AU95" i="4"/>
  <c r="BC8" i="7" s="1"/>
  <c r="AT95" i="4"/>
  <c r="BB8" i="7" s="1"/>
  <c r="BB6" i="7" s="1"/>
  <c r="AS95" i="4"/>
  <c r="BA8" i="7" s="1"/>
  <c r="AR95" i="4"/>
  <c r="AZ8" i="7" s="1"/>
  <c r="AQ95" i="4"/>
  <c r="AY8" i="7" s="1"/>
  <c r="AP95" i="4"/>
  <c r="AX8" i="7" s="1"/>
  <c r="AO95" i="4"/>
  <c r="AW8" i="7" s="1"/>
  <c r="AW6" i="7" s="1"/>
  <c r="AN95" i="4"/>
  <c r="AV8" i="7" s="1"/>
  <c r="AM95" i="4"/>
  <c r="AU8" i="7" s="1"/>
  <c r="AU6" i="7" s="1"/>
  <c r="AL95" i="4"/>
  <c r="AT8" i="7" s="1"/>
  <c r="BE94" i="4"/>
  <c r="BD94" i="4"/>
  <c r="BC94" i="4"/>
  <c r="BB94" i="4"/>
  <c r="BA94" i="4"/>
  <c r="AZ94" i="4"/>
  <c r="AY94" i="4"/>
  <c r="AX94" i="4"/>
  <c r="AW94" i="4"/>
  <c r="AV94" i="4"/>
  <c r="AU94" i="4"/>
  <c r="AT94" i="4"/>
  <c r="AS94" i="4"/>
  <c r="AR94" i="4"/>
  <c r="AQ94" i="4"/>
  <c r="AP94" i="4"/>
  <c r="AO94" i="4"/>
  <c r="AN94" i="4"/>
  <c r="AM94" i="4"/>
  <c r="AL94" i="4"/>
  <c r="AN89" i="4"/>
  <c r="AL89" i="4"/>
  <c r="AM89" i="4" s="1"/>
  <c r="V87" i="4"/>
  <c r="Q87" i="4"/>
  <c r="L87" i="4"/>
  <c r="I87" i="4"/>
  <c r="CM85" i="4"/>
  <c r="CP85" i="4" s="1"/>
  <c r="CK85" i="4"/>
  <c r="CH85" i="4"/>
  <c r="AK85" i="4"/>
  <c r="AS20" i="7" s="1"/>
  <c r="BE84" i="4"/>
  <c r="BD84" i="4"/>
  <c r="BC84" i="4"/>
  <c r="BB84" i="4"/>
  <c r="BA84" i="4"/>
  <c r="AZ84" i="4"/>
  <c r="AY84" i="4"/>
  <c r="AX84" i="4"/>
  <c r="AW84" i="4"/>
  <c r="AV84" i="4"/>
  <c r="AU84" i="4"/>
  <c r="AT84" i="4"/>
  <c r="AS84" i="4"/>
  <c r="AR84" i="4"/>
  <c r="AQ84" i="4"/>
  <c r="AP84" i="4"/>
  <c r="AO84" i="4"/>
  <c r="AN84" i="4"/>
  <c r="AM84" i="4"/>
  <c r="AL84" i="4"/>
  <c r="AJ84" i="4"/>
  <c r="AR16" i="7" s="1"/>
  <c r="AI84" i="4"/>
  <c r="AQ16" i="7" s="1"/>
  <c r="AH84" i="4"/>
  <c r="AP16" i="7" s="1"/>
  <c r="AG84" i="4"/>
  <c r="AO16" i="7" s="1"/>
  <c r="AF84" i="4"/>
  <c r="AN16" i="7" s="1"/>
  <c r="AE84" i="4"/>
  <c r="AM16" i="7" s="1"/>
  <c r="AD84" i="4"/>
  <c r="AL16" i="7" s="1"/>
  <c r="AC84" i="4"/>
  <c r="AK16" i="7" s="1"/>
  <c r="AB84" i="4"/>
  <c r="AJ16" i="7" s="1"/>
  <c r="AJ15" i="7" s="1"/>
  <c r="AA84" i="4"/>
  <c r="AI16" i="7" s="1"/>
  <c r="Z84" i="4"/>
  <c r="AH16" i="7" s="1"/>
  <c r="Y84" i="4"/>
  <c r="AG16" i="7" s="1"/>
  <c r="X84" i="4"/>
  <c r="AF16" i="7" s="1"/>
  <c r="W84" i="4"/>
  <c r="AE16" i="7" s="1"/>
  <c r="V84" i="4"/>
  <c r="AD16" i="7" s="1"/>
  <c r="U84" i="4"/>
  <c r="AC16" i="7" s="1"/>
  <c r="T84" i="4"/>
  <c r="AB16" i="7" s="1"/>
  <c r="S84" i="4"/>
  <c r="AA16" i="7" s="1"/>
  <c r="R84" i="4"/>
  <c r="Z16" i="7" s="1"/>
  <c r="Q84" i="4"/>
  <c r="Y16" i="7" s="1"/>
  <c r="P84" i="4"/>
  <c r="X16" i="7" s="1"/>
  <c r="X15" i="7" s="1"/>
  <c r="O84" i="4"/>
  <c r="W16" i="7" s="1"/>
  <c r="N84" i="4"/>
  <c r="V16" i="7" s="1"/>
  <c r="M84" i="4"/>
  <c r="U16" i="7" s="1"/>
  <c r="L84" i="4"/>
  <c r="T16" i="7" s="1"/>
  <c r="K84" i="4"/>
  <c r="S16" i="7" s="1"/>
  <c r="J84" i="4"/>
  <c r="R16" i="7" s="1"/>
  <c r="BE83" i="4"/>
  <c r="BD83" i="4"/>
  <c r="BC83" i="4"/>
  <c r="BB83" i="4"/>
  <c r="BA83" i="4"/>
  <c r="AZ83" i="4"/>
  <c r="AY83" i="4"/>
  <c r="AX83" i="4"/>
  <c r="AW83" i="4"/>
  <c r="AV83" i="4"/>
  <c r="AU83" i="4"/>
  <c r="AT83" i="4"/>
  <c r="AS83" i="4"/>
  <c r="AR83" i="4"/>
  <c r="AQ83" i="4"/>
  <c r="AP83" i="4"/>
  <c r="AO83" i="4"/>
  <c r="AN83" i="4"/>
  <c r="AM83" i="4"/>
  <c r="AL83" i="4"/>
  <c r="AJ83" i="4"/>
  <c r="AR17" i="7" s="1"/>
  <c r="AI83" i="4"/>
  <c r="AQ17" i="7" s="1"/>
  <c r="AH83" i="4"/>
  <c r="AP17" i="7" s="1"/>
  <c r="AG83" i="4"/>
  <c r="AO17" i="7" s="1"/>
  <c r="AF83" i="4"/>
  <c r="AN17" i="7" s="1"/>
  <c r="AE83" i="4"/>
  <c r="AM17" i="7" s="1"/>
  <c r="AD83" i="4"/>
  <c r="AL17" i="7" s="1"/>
  <c r="AC83" i="4"/>
  <c r="AK17" i="7" s="1"/>
  <c r="AB83" i="4"/>
  <c r="AJ17" i="7" s="1"/>
  <c r="AA83" i="4"/>
  <c r="AI17" i="7" s="1"/>
  <c r="Z83" i="4"/>
  <c r="AH17" i="7" s="1"/>
  <c r="Y83" i="4"/>
  <c r="AG17" i="7" s="1"/>
  <c r="X83" i="4"/>
  <c r="AF17" i="7" s="1"/>
  <c r="W83" i="4"/>
  <c r="AE17" i="7" s="1"/>
  <c r="V83" i="4"/>
  <c r="AD17" i="7" s="1"/>
  <c r="U83" i="4"/>
  <c r="AC17" i="7" s="1"/>
  <c r="T83" i="4"/>
  <c r="AB17" i="7" s="1"/>
  <c r="S83" i="4"/>
  <c r="AA17" i="7" s="1"/>
  <c r="R83" i="4"/>
  <c r="Z17" i="7" s="1"/>
  <c r="Q83" i="4"/>
  <c r="Y17" i="7" s="1"/>
  <c r="P83" i="4"/>
  <c r="X17" i="7" s="1"/>
  <c r="O83" i="4"/>
  <c r="W17" i="7" s="1"/>
  <c r="N83" i="4"/>
  <c r="V17" i="7" s="1"/>
  <c r="M83" i="4"/>
  <c r="U17" i="7" s="1"/>
  <c r="L83" i="4"/>
  <c r="T17" i="7" s="1"/>
  <c r="K83" i="4"/>
  <c r="S17" i="7" s="1"/>
  <c r="J83" i="4"/>
  <c r="R17" i="7" s="1"/>
  <c r="BE82" i="4"/>
  <c r="BD82" i="4"/>
  <c r="BC82" i="4"/>
  <c r="BB82" i="4"/>
  <c r="BA82" i="4"/>
  <c r="AZ82" i="4"/>
  <c r="AY82" i="4"/>
  <c r="AX82" i="4"/>
  <c r="AW82" i="4"/>
  <c r="AV82" i="4"/>
  <c r="AU82" i="4"/>
  <c r="AT82" i="4"/>
  <c r="AS82" i="4"/>
  <c r="AR82" i="4"/>
  <c r="AQ82" i="4"/>
  <c r="AP82" i="4"/>
  <c r="AO82" i="4"/>
  <c r="AN82" i="4"/>
  <c r="AM82" i="4"/>
  <c r="AL82" i="4"/>
  <c r="AJ82" i="4"/>
  <c r="AR19" i="7" s="1"/>
  <c r="AI82" i="4"/>
  <c r="AQ19" i="7" s="1"/>
  <c r="AH82" i="4"/>
  <c r="AP19" i="7" s="1"/>
  <c r="AG82" i="4"/>
  <c r="AO19" i="7" s="1"/>
  <c r="AF82" i="4"/>
  <c r="AN19" i="7" s="1"/>
  <c r="AE82" i="4"/>
  <c r="AM19" i="7" s="1"/>
  <c r="AD82" i="4"/>
  <c r="AL19" i="7" s="1"/>
  <c r="AC82" i="4"/>
  <c r="AK19" i="7" s="1"/>
  <c r="AB82" i="4"/>
  <c r="AJ19" i="7" s="1"/>
  <c r="AA82" i="4"/>
  <c r="AI19" i="7" s="1"/>
  <c r="Z82" i="4"/>
  <c r="AH19" i="7" s="1"/>
  <c r="Y82" i="4"/>
  <c r="AG19" i="7" s="1"/>
  <c r="X82" i="4"/>
  <c r="AF19" i="7" s="1"/>
  <c r="W82" i="4"/>
  <c r="AE19" i="7" s="1"/>
  <c r="V82" i="4"/>
  <c r="AD19" i="7" s="1"/>
  <c r="U82" i="4"/>
  <c r="AC19" i="7" s="1"/>
  <c r="T82" i="4"/>
  <c r="AB19" i="7" s="1"/>
  <c r="S82" i="4"/>
  <c r="AA19" i="7" s="1"/>
  <c r="R82" i="4"/>
  <c r="Z19" i="7" s="1"/>
  <c r="Q82" i="4"/>
  <c r="Y19" i="7" s="1"/>
  <c r="P82" i="4"/>
  <c r="X19" i="7" s="1"/>
  <c r="O82" i="4"/>
  <c r="W19" i="7" s="1"/>
  <c r="N82" i="4"/>
  <c r="V19" i="7" s="1"/>
  <c r="M82" i="4"/>
  <c r="U19" i="7" s="1"/>
  <c r="L82" i="4"/>
  <c r="T19" i="7" s="1"/>
  <c r="K82" i="4"/>
  <c r="S19" i="7" s="1"/>
  <c r="J82" i="4"/>
  <c r="R19" i="7" s="1"/>
  <c r="BE81" i="4"/>
  <c r="BD81" i="4"/>
  <c r="BC81" i="4"/>
  <c r="BB81" i="4"/>
  <c r="BA81" i="4"/>
  <c r="AZ81" i="4"/>
  <c r="AY81" i="4"/>
  <c r="AX81" i="4"/>
  <c r="AW81" i="4"/>
  <c r="AV81" i="4"/>
  <c r="AU81" i="4"/>
  <c r="AT81" i="4"/>
  <c r="AS81" i="4"/>
  <c r="AR81" i="4"/>
  <c r="AQ81" i="4"/>
  <c r="AP81" i="4"/>
  <c r="AO81" i="4"/>
  <c r="AN81" i="4"/>
  <c r="AM81" i="4"/>
  <c r="AL81" i="4"/>
  <c r="AJ81" i="4"/>
  <c r="AR20" i="7" s="1"/>
  <c r="AI81" i="4"/>
  <c r="AQ20" i="7" s="1"/>
  <c r="AH81" i="4"/>
  <c r="AP20" i="7" s="1"/>
  <c r="AG81" i="4"/>
  <c r="AO20" i="7" s="1"/>
  <c r="AF81" i="4"/>
  <c r="AN20" i="7" s="1"/>
  <c r="AE81" i="4"/>
  <c r="AM20" i="7" s="1"/>
  <c r="AD81" i="4"/>
  <c r="AL20" i="7" s="1"/>
  <c r="AC81" i="4"/>
  <c r="AK20" i="7" s="1"/>
  <c r="AB81" i="4"/>
  <c r="AJ20" i="7" s="1"/>
  <c r="AA81" i="4"/>
  <c r="AI20" i="7" s="1"/>
  <c r="Z81" i="4"/>
  <c r="AH20" i="7" s="1"/>
  <c r="Y81" i="4"/>
  <c r="AG20" i="7" s="1"/>
  <c r="X81" i="4"/>
  <c r="AF20" i="7" s="1"/>
  <c r="W81" i="4"/>
  <c r="AE20" i="7" s="1"/>
  <c r="V81" i="4"/>
  <c r="AD20" i="7" s="1"/>
  <c r="U81" i="4"/>
  <c r="AC20" i="7" s="1"/>
  <c r="T81" i="4"/>
  <c r="AB20" i="7" s="1"/>
  <c r="S81" i="4"/>
  <c r="AA20" i="7" s="1"/>
  <c r="R81" i="4"/>
  <c r="Z20" i="7" s="1"/>
  <c r="Q81" i="4"/>
  <c r="Y20" i="7" s="1"/>
  <c r="P81" i="4"/>
  <c r="X20" i="7" s="1"/>
  <c r="O81" i="4"/>
  <c r="W20" i="7" s="1"/>
  <c r="N81" i="4"/>
  <c r="V20" i="7" s="1"/>
  <c r="M81" i="4"/>
  <c r="U20" i="7" s="1"/>
  <c r="L81" i="4"/>
  <c r="T20" i="7" s="1"/>
  <c r="K81" i="4"/>
  <c r="S20" i="7" s="1"/>
  <c r="J81" i="4"/>
  <c r="R20" i="7" s="1"/>
  <c r="BD70" i="4"/>
  <c r="AR70" i="4"/>
  <c r="AS70" i="4" s="1"/>
  <c r="AT70" i="4" s="1"/>
  <c r="AU70" i="4" s="1"/>
  <c r="AV70" i="4" s="1"/>
  <c r="AW70" i="4" s="1"/>
  <c r="AX70" i="4" s="1"/>
  <c r="AY70" i="4" s="1"/>
  <c r="AZ70" i="4" s="1"/>
  <c r="BA70" i="4" s="1"/>
  <c r="BB70" i="4" s="1"/>
  <c r="BC70" i="4" s="1"/>
  <c r="BK35" i="7" s="1"/>
  <c r="AP70" i="4"/>
  <c r="AQ70" i="4" s="1"/>
  <c r="AO70" i="4"/>
  <c r="AN70" i="4"/>
  <c r="AL70" i="4"/>
  <c r="AM70" i="4" s="1"/>
  <c r="CK68" i="4"/>
  <c r="CM68" i="4" s="1"/>
  <c r="CP68" i="4" s="1"/>
  <c r="CH68" i="4"/>
  <c r="Y68" i="4"/>
  <c r="Z68" i="4" s="1"/>
  <c r="AA68" i="4" s="1"/>
  <c r="AI31" i="7" s="1"/>
  <c r="W68" i="4"/>
  <c r="X68" i="4" s="1"/>
  <c r="U68" i="4"/>
  <c r="T68" i="4"/>
  <c r="S68" i="4"/>
  <c r="R68" i="4"/>
  <c r="N68" i="4"/>
  <c r="O68" i="4" s="1"/>
  <c r="M68" i="4"/>
  <c r="J68" i="4"/>
  <c r="K68" i="4" s="1"/>
  <c r="BE67" i="4"/>
  <c r="BD67" i="4"/>
  <c r="BC67" i="4"/>
  <c r="BB67" i="4"/>
  <c r="BA67" i="4"/>
  <c r="AZ67" i="4"/>
  <c r="AY67" i="4"/>
  <c r="AX67" i="4"/>
  <c r="AW67" i="4"/>
  <c r="AV67" i="4"/>
  <c r="AU67" i="4"/>
  <c r="AT67" i="4"/>
  <c r="AS67" i="4"/>
  <c r="AR67" i="4"/>
  <c r="AQ67" i="4"/>
  <c r="AP67" i="4"/>
  <c r="AO67" i="4"/>
  <c r="AN67" i="4"/>
  <c r="AM67" i="4"/>
  <c r="AL67" i="4"/>
  <c r="BE64" i="4"/>
  <c r="BM44" i="7" s="1"/>
  <c r="BM42" i="7" s="1"/>
  <c r="BD64" i="4"/>
  <c r="BL44" i="7" s="1"/>
  <c r="BL42" i="7" s="1"/>
  <c r="BC64" i="4"/>
  <c r="BK44" i="7" s="1"/>
  <c r="BK42" i="7" s="1"/>
  <c r="BB64" i="4"/>
  <c r="BJ44" i="7" s="1"/>
  <c r="BJ42" i="7" s="1"/>
  <c r="BA64" i="4"/>
  <c r="BI44" i="7" s="1"/>
  <c r="BI42" i="7" s="1"/>
  <c r="AZ64" i="4"/>
  <c r="BH44" i="7" s="1"/>
  <c r="BH42" i="7" s="1"/>
  <c r="AY64" i="4"/>
  <c r="BG44" i="7" s="1"/>
  <c r="BG42" i="7" s="1"/>
  <c r="AX64" i="4"/>
  <c r="BF44" i="7" s="1"/>
  <c r="BF42" i="7" s="1"/>
  <c r="AW64" i="4"/>
  <c r="BE44" i="7" s="1"/>
  <c r="BE42" i="7" s="1"/>
  <c r="AV64" i="4"/>
  <c r="BD44" i="7" s="1"/>
  <c r="BD42" i="7" s="1"/>
  <c r="AU64" i="4"/>
  <c r="BC44" i="7" s="1"/>
  <c r="BC42" i="7" s="1"/>
  <c r="AT64" i="4"/>
  <c r="BB44" i="7" s="1"/>
  <c r="BB42" i="7" s="1"/>
  <c r="AS64" i="4"/>
  <c r="BA44" i="7" s="1"/>
  <c r="BA42" i="7" s="1"/>
  <c r="AR64" i="4"/>
  <c r="AZ44" i="7" s="1"/>
  <c r="AZ42" i="7" s="1"/>
  <c r="AQ64" i="4"/>
  <c r="AY44" i="7" s="1"/>
  <c r="AY42" i="7" s="1"/>
  <c r="AP64" i="4"/>
  <c r="AX44" i="7" s="1"/>
  <c r="AX42" i="7" s="1"/>
  <c r="AO64" i="4"/>
  <c r="AW44" i="7" s="1"/>
  <c r="AW42" i="7" s="1"/>
  <c r="AN64" i="4"/>
  <c r="AV44" i="7" s="1"/>
  <c r="AV42" i="7" s="1"/>
  <c r="AM64" i="4"/>
  <c r="AU44" i="7" s="1"/>
  <c r="AU42" i="7" s="1"/>
  <c r="AL64" i="4"/>
  <c r="AT44" i="7" s="1"/>
  <c r="AT42" i="7" s="1"/>
  <c r="BE63" i="4"/>
  <c r="BM43" i="7" s="1"/>
  <c r="BD63" i="4"/>
  <c r="BL43" i="7" s="1"/>
  <c r="BC63" i="4"/>
  <c r="BK43" i="7" s="1"/>
  <c r="BB63" i="4"/>
  <c r="BJ43" i="7" s="1"/>
  <c r="BA63" i="4"/>
  <c r="BI43" i="7" s="1"/>
  <c r="AZ63" i="4"/>
  <c r="BH43" i="7" s="1"/>
  <c r="AY63" i="4"/>
  <c r="BG43" i="7" s="1"/>
  <c r="AX63" i="4"/>
  <c r="BF43" i="7" s="1"/>
  <c r="AW63" i="4"/>
  <c r="BE43" i="7" s="1"/>
  <c r="AV63" i="4"/>
  <c r="BD43" i="7" s="1"/>
  <c r="AU63" i="4"/>
  <c r="BC43" i="7" s="1"/>
  <c r="AT63" i="4"/>
  <c r="BB43" i="7" s="1"/>
  <c r="AS63" i="4"/>
  <c r="BA43" i="7" s="1"/>
  <c r="AR63" i="4"/>
  <c r="AZ43" i="7" s="1"/>
  <c r="AQ63" i="4"/>
  <c r="AY43" i="7" s="1"/>
  <c r="AP63" i="4"/>
  <c r="AX43" i="7" s="1"/>
  <c r="AO63" i="4"/>
  <c r="AW43" i="7" s="1"/>
  <c r="AN63" i="4"/>
  <c r="AV43" i="7" s="1"/>
  <c r="AM63" i="4"/>
  <c r="AU43" i="7" s="1"/>
  <c r="AL63" i="4"/>
  <c r="AT43" i="7" s="1"/>
  <c r="F62" i="4"/>
  <c r="E62" i="4"/>
  <c r="D62" i="4"/>
  <c r="AO59" i="4"/>
  <c r="AP59" i="4" s="1"/>
  <c r="AQ59" i="4" s="1"/>
  <c r="AR59" i="4" s="1"/>
  <c r="AS59" i="4" s="1"/>
  <c r="AT59" i="4" s="1"/>
  <c r="AU59" i="4" s="1"/>
  <c r="AV59" i="4" s="1"/>
  <c r="AW59" i="4" s="1"/>
  <c r="AX59" i="4" s="1"/>
  <c r="AY59" i="4" s="1"/>
  <c r="AZ59" i="4" s="1"/>
  <c r="BA59" i="4" s="1"/>
  <c r="BB59" i="4" s="1"/>
  <c r="BC59" i="4" s="1"/>
  <c r="BD59" i="4" s="1"/>
  <c r="BE59" i="4" s="1"/>
  <c r="BG59" i="4" s="1"/>
  <c r="AM59" i="4"/>
  <c r="AN59" i="4" s="1"/>
  <c r="AL59" i="4"/>
  <c r="M59" i="4"/>
  <c r="DL53" i="4"/>
  <c r="DJ53" i="4"/>
  <c r="DK53" i="4" s="1"/>
  <c r="DH53" i="4"/>
  <c r="AJ42" i="4" s="1"/>
  <c r="AN53" i="4"/>
  <c r="AO53" i="4" s="1"/>
  <c r="AP53" i="4" s="1"/>
  <c r="AQ53" i="4" s="1"/>
  <c r="AR53" i="4" s="1"/>
  <c r="AS53" i="4" s="1"/>
  <c r="AT53" i="4" s="1"/>
  <c r="AU53" i="4" s="1"/>
  <c r="AV53" i="4" s="1"/>
  <c r="AW53" i="4" s="1"/>
  <c r="AX53" i="4" s="1"/>
  <c r="AY53" i="4" s="1"/>
  <c r="AZ53" i="4" s="1"/>
  <c r="BA53" i="4" s="1"/>
  <c r="BB53" i="4" s="1"/>
  <c r="BC53" i="4" s="1"/>
  <c r="BD53" i="4" s="1"/>
  <c r="BE53" i="4" s="1"/>
  <c r="AM53" i="4"/>
  <c r="AL53" i="4"/>
  <c r="DJ52" i="4"/>
  <c r="DK52" i="4" s="1"/>
  <c r="AM33" i="4" s="1"/>
  <c r="BZ52" i="4"/>
  <c r="BX52" i="4"/>
  <c r="AN52" i="4"/>
  <c r="AO52" i="4" s="1"/>
  <c r="AP52" i="4" s="1"/>
  <c r="AQ52" i="4" s="1"/>
  <c r="AR52" i="4" s="1"/>
  <c r="AS52" i="4" s="1"/>
  <c r="AT52" i="4" s="1"/>
  <c r="AU52" i="4" s="1"/>
  <c r="AV52" i="4" s="1"/>
  <c r="AW52" i="4" s="1"/>
  <c r="AX52" i="4" s="1"/>
  <c r="AY52" i="4" s="1"/>
  <c r="AZ52" i="4" s="1"/>
  <c r="BA52" i="4" s="1"/>
  <c r="BB52" i="4" s="1"/>
  <c r="BC52" i="4" s="1"/>
  <c r="BD52" i="4" s="1"/>
  <c r="BE52" i="4" s="1"/>
  <c r="AM52" i="4"/>
  <c r="AL52" i="4"/>
  <c r="BZ51" i="4"/>
  <c r="BX51" i="4"/>
  <c r="BD51" i="4"/>
  <c r="BE51" i="4" s="1"/>
  <c r="AO51" i="4"/>
  <c r="AP51" i="4" s="1"/>
  <c r="AQ51" i="4" s="1"/>
  <c r="AR51" i="4" s="1"/>
  <c r="AS51" i="4" s="1"/>
  <c r="AT51" i="4" s="1"/>
  <c r="AU51" i="4" s="1"/>
  <c r="AV51" i="4" s="1"/>
  <c r="AW51" i="4" s="1"/>
  <c r="AX51" i="4" s="1"/>
  <c r="AY51" i="4" s="1"/>
  <c r="AZ51" i="4" s="1"/>
  <c r="BA51" i="4" s="1"/>
  <c r="BB51" i="4" s="1"/>
  <c r="BC51" i="4" s="1"/>
  <c r="AM51" i="4"/>
  <c r="AN51" i="4" s="1"/>
  <c r="AL51" i="4"/>
  <c r="BZ50" i="4"/>
  <c r="BX50" i="4"/>
  <c r="AP50" i="4"/>
  <c r="AQ50" i="4" s="1"/>
  <c r="AR50" i="4" s="1"/>
  <c r="AS50" i="4" s="1"/>
  <c r="AT50" i="4" s="1"/>
  <c r="AU50" i="4" s="1"/>
  <c r="AV50" i="4" s="1"/>
  <c r="AW50" i="4" s="1"/>
  <c r="AX50" i="4" s="1"/>
  <c r="AY50" i="4" s="1"/>
  <c r="AZ50" i="4" s="1"/>
  <c r="BA50" i="4" s="1"/>
  <c r="BB50" i="4" s="1"/>
  <c r="BC50" i="4" s="1"/>
  <c r="BD50" i="4" s="1"/>
  <c r="BE50" i="4" s="1"/>
  <c r="AO50" i="4"/>
  <c r="AL50" i="4"/>
  <c r="AM50" i="4" s="1"/>
  <c r="AN50" i="4" s="1"/>
  <c r="BZ49" i="4"/>
  <c r="BX49" i="4"/>
  <c r="AO49" i="4"/>
  <c r="AP49" i="4" s="1"/>
  <c r="AQ49" i="4" s="1"/>
  <c r="AR49" i="4" s="1"/>
  <c r="AS49" i="4" s="1"/>
  <c r="AT49" i="4" s="1"/>
  <c r="AU49" i="4" s="1"/>
  <c r="AV49" i="4" s="1"/>
  <c r="AW49" i="4" s="1"/>
  <c r="AX49" i="4" s="1"/>
  <c r="AY49" i="4" s="1"/>
  <c r="AZ49" i="4" s="1"/>
  <c r="BA49" i="4" s="1"/>
  <c r="BB49" i="4" s="1"/>
  <c r="BC49" i="4" s="1"/>
  <c r="BD49" i="4" s="1"/>
  <c r="BE49" i="4" s="1"/>
  <c r="AN49" i="4"/>
  <c r="AM49" i="4"/>
  <c r="AL49" i="4"/>
  <c r="DH48" i="4"/>
  <c r="AJ31" i="4" s="1"/>
  <c r="DD48" i="4"/>
  <c r="DC48" i="4"/>
  <c r="DB48" i="4"/>
  <c r="DA48" i="4"/>
  <c r="CO48" i="4"/>
  <c r="CN48" i="4"/>
  <c r="CM48" i="4"/>
  <c r="CL48" i="4"/>
  <c r="CK48" i="4"/>
  <c r="M31" i="4" s="1"/>
  <c r="CH48" i="4"/>
  <c r="CG48" i="4"/>
  <c r="BZ48" i="4"/>
  <c r="BX48" i="4"/>
  <c r="AO48" i="4"/>
  <c r="AP48" i="4" s="1"/>
  <c r="AQ48" i="4" s="1"/>
  <c r="AR48" i="4" s="1"/>
  <c r="AS48" i="4" s="1"/>
  <c r="AT48" i="4" s="1"/>
  <c r="AU48" i="4" s="1"/>
  <c r="AV48" i="4" s="1"/>
  <c r="AW48" i="4" s="1"/>
  <c r="AX48" i="4" s="1"/>
  <c r="AY48" i="4" s="1"/>
  <c r="AZ48" i="4" s="1"/>
  <c r="BA48" i="4" s="1"/>
  <c r="BB48" i="4" s="1"/>
  <c r="BC48" i="4" s="1"/>
  <c r="BD48" i="4" s="1"/>
  <c r="BE48" i="4" s="1"/>
  <c r="AM48" i="4"/>
  <c r="AN48" i="4" s="1"/>
  <c r="AL48" i="4"/>
  <c r="BZ47" i="4"/>
  <c r="BX47" i="4"/>
  <c r="BN47" i="4"/>
  <c r="AN47" i="4"/>
  <c r="AO47" i="4" s="1"/>
  <c r="AP47" i="4" s="1"/>
  <c r="AQ47" i="4" s="1"/>
  <c r="AR47" i="4" s="1"/>
  <c r="AS47" i="4" s="1"/>
  <c r="AT47" i="4" s="1"/>
  <c r="AU47" i="4" s="1"/>
  <c r="AV47" i="4" s="1"/>
  <c r="AW47" i="4" s="1"/>
  <c r="AX47" i="4" s="1"/>
  <c r="AY47" i="4" s="1"/>
  <c r="AZ47" i="4" s="1"/>
  <c r="BA47" i="4" s="1"/>
  <c r="BB47" i="4" s="1"/>
  <c r="BC47" i="4" s="1"/>
  <c r="BD47" i="4" s="1"/>
  <c r="BE47" i="4" s="1"/>
  <c r="AM47" i="4"/>
  <c r="AL47" i="4"/>
  <c r="BN46" i="4"/>
  <c r="BA46" i="4"/>
  <c r="BB46" i="4" s="1"/>
  <c r="BC46" i="4" s="1"/>
  <c r="BD46" i="4" s="1"/>
  <c r="BE46" i="4" s="1"/>
  <c r="AP46" i="4"/>
  <c r="AQ46" i="4" s="1"/>
  <c r="AR46" i="4" s="1"/>
  <c r="AS46" i="4" s="1"/>
  <c r="AT46" i="4" s="1"/>
  <c r="AU46" i="4" s="1"/>
  <c r="AV46" i="4" s="1"/>
  <c r="AW46" i="4" s="1"/>
  <c r="AX46" i="4" s="1"/>
  <c r="AY46" i="4" s="1"/>
  <c r="AZ46" i="4" s="1"/>
  <c r="AN46" i="4"/>
  <c r="AO46" i="4" s="1"/>
  <c r="AL46" i="4"/>
  <c r="AM46" i="4" s="1"/>
  <c r="BN45" i="4"/>
  <c r="AP45" i="4"/>
  <c r="AQ45" i="4" s="1"/>
  <c r="AR45" i="4" s="1"/>
  <c r="AS45" i="4" s="1"/>
  <c r="AT45" i="4" s="1"/>
  <c r="AU45" i="4" s="1"/>
  <c r="AV45" i="4" s="1"/>
  <c r="AW45" i="4" s="1"/>
  <c r="AX45" i="4" s="1"/>
  <c r="AY45" i="4" s="1"/>
  <c r="AZ45" i="4" s="1"/>
  <c r="BA45" i="4" s="1"/>
  <c r="BB45" i="4" s="1"/>
  <c r="BC45" i="4" s="1"/>
  <c r="BD45" i="4" s="1"/>
  <c r="BE45" i="4" s="1"/>
  <c r="AM45" i="4"/>
  <c r="AN45" i="4" s="1"/>
  <c r="AO45" i="4" s="1"/>
  <c r="AL45" i="4"/>
  <c r="L44" i="4"/>
  <c r="K44" i="4"/>
  <c r="J44" i="4"/>
  <c r="CL43" i="4"/>
  <c r="I43" i="4"/>
  <c r="AM42" i="4"/>
  <c r="AL42" i="4"/>
  <c r="AK42" i="4"/>
  <c r="AG42" i="4"/>
  <c r="AF42" i="4"/>
  <c r="AE42" i="4"/>
  <c r="AD42" i="4"/>
  <c r="AC42" i="4"/>
  <c r="AB42" i="4"/>
  <c r="AA42" i="4"/>
  <c r="Z42" i="4"/>
  <c r="Y42" i="4"/>
  <c r="X42" i="4"/>
  <c r="W42" i="4"/>
  <c r="V42" i="4"/>
  <c r="U42" i="4"/>
  <c r="T42" i="4"/>
  <c r="S42" i="4"/>
  <c r="R42" i="4"/>
  <c r="Q42" i="4"/>
  <c r="P42" i="4"/>
  <c r="O42" i="4"/>
  <c r="N42" i="4"/>
  <c r="M42" i="4"/>
  <c r="L42" i="4"/>
  <c r="K42" i="4"/>
  <c r="J42" i="4"/>
  <c r="I42" i="4"/>
  <c r="DU41" i="4"/>
  <c r="DV41" i="4" s="1"/>
  <c r="BP41" i="4"/>
  <c r="BQ41" i="4" s="1"/>
  <c r="BN41" i="4"/>
  <c r="BO41" i="4" s="1"/>
  <c r="BO42" i="4" s="1"/>
  <c r="AL41" i="4"/>
  <c r="AM41" i="4" s="1"/>
  <c r="AN41" i="4" s="1"/>
  <c r="AO41" i="4" s="1"/>
  <c r="AP41" i="4" s="1"/>
  <c r="AQ41" i="4" s="1"/>
  <c r="AR41" i="4" s="1"/>
  <c r="AS41" i="4" s="1"/>
  <c r="AT41" i="4" s="1"/>
  <c r="AU41" i="4" s="1"/>
  <c r="AV41" i="4" s="1"/>
  <c r="AW41" i="4" s="1"/>
  <c r="AX41" i="4" s="1"/>
  <c r="AY41" i="4" s="1"/>
  <c r="AZ41" i="4" s="1"/>
  <c r="BA41" i="4" s="1"/>
  <c r="BB41" i="4" s="1"/>
  <c r="BC41" i="4" s="1"/>
  <c r="BD41" i="4" s="1"/>
  <c r="BE41" i="4" s="1"/>
  <c r="AK41" i="4"/>
  <c r="AJ41" i="4"/>
  <c r="AI41" i="4"/>
  <c r="AH41" i="4"/>
  <c r="AG41" i="4"/>
  <c r="AF41" i="4"/>
  <c r="AE41" i="4"/>
  <c r="AD41" i="4"/>
  <c r="AC41" i="4"/>
  <c r="AB41" i="4"/>
  <c r="AA41" i="4"/>
  <c r="Z41" i="4"/>
  <c r="Y41" i="4"/>
  <c r="X41" i="4"/>
  <c r="W41" i="4"/>
  <c r="V41" i="4"/>
  <c r="U41" i="4"/>
  <c r="T41" i="4"/>
  <c r="S41" i="4"/>
  <c r="R41" i="4"/>
  <c r="Q41" i="4"/>
  <c r="P41" i="4"/>
  <c r="O41" i="4"/>
  <c r="N41" i="4"/>
  <c r="M41" i="4"/>
  <c r="L41" i="4"/>
  <c r="K41" i="4"/>
  <c r="J41" i="4"/>
  <c r="I41" i="4"/>
  <c r="N40" i="4"/>
  <c r="L40" i="4"/>
  <c r="K40" i="4"/>
  <c r="I40" i="4"/>
  <c r="N39" i="4"/>
  <c r="N44" i="4" s="1"/>
  <c r="M39" i="4"/>
  <c r="L39" i="4"/>
  <c r="K39" i="4"/>
  <c r="J39" i="4"/>
  <c r="J40" i="4" s="1"/>
  <c r="I39" i="4"/>
  <c r="I44" i="4" s="1"/>
  <c r="CM38" i="4"/>
  <c r="CM43" i="4" s="1"/>
  <c r="O39" i="4" s="1"/>
  <c r="BO38" i="4"/>
  <c r="AN38" i="4"/>
  <c r="AO38" i="4" s="1"/>
  <c r="AP38" i="4" s="1"/>
  <c r="AQ38" i="4" s="1"/>
  <c r="AR38" i="4" s="1"/>
  <c r="AS38" i="4" s="1"/>
  <c r="AT38" i="4" s="1"/>
  <c r="AU38" i="4" s="1"/>
  <c r="AV38" i="4" s="1"/>
  <c r="AW38" i="4" s="1"/>
  <c r="AX38" i="4" s="1"/>
  <c r="AY38" i="4" s="1"/>
  <c r="AZ38" i="4" s="1"/>
  <c r="BA38" i="4" s="1"/>
  <c r="BB38" i="4" s="1"/>
  <c r="BC38" i="4" s="1"/>
  <c r="BD38" i="4" s="1"/>
  <c r="BE38" i="4" s="1"/>
  <c r="AL38" i="4"/>
  <c r="AM38" i="4" s="1"/>
  <c r="AV37" i="4"/>
  <c r="AW37" i="4" s="1"/>
  <c r="AX37" i="4" s="1"/>
  <c r="AY37" i="4" s="1"/>
  <c r="AZ37" i="4" s="1"/>
  <c r="BA37" i="4" s="1"/>
  <c r="BB37" i="4" s="1"/>
  <c r="BC37" i="4" s="1"/>
  <c r="BD37" i="4" s="1"/>
  <c r="BE37" i="4" s="1"/>
  <c r="AM37" i="4"/>
  <c r="AN37" i="4" s="1"/>
  <c r="AO37" i="4" s="1"/>
  <c r="AP37" i="4" s="1"/>
  <c r="AQ37" i="4" s="1"/>
  <c r="AR37" i="4" s="1"/>
  <c r="AS37" i="4" s="1"/>
  <c r="AT37" i="4" s="1"/>
  <c r="AU37" i="4" s="1"/>
  <c r="AL37" i="4"/>
  <c r="AM36" i="4"/>
  <c r="AN36" i="4" s="1"/>
  <c r="AO36" i="4" s="1"/>
  <c r="AP36" i="4" s="1"/>
  <c r="AQ36" i="4" s="1"/>
  <c r="AR36" i="4" s="1"/>
  <c r="AS36" i="4" s="1"/>
  <c r="AT36" i="4" s="1"/>
  <c r="AU36" i="4" s="1"/>
  <c r="AV36" i="4" s="1"/>
  <c r="AW36" i="4" s="1"/>
  <c r="AX36" i="4" s="1"/>
  <c r="AY36" i="4" s="1"/>
  <c r="AZ36" i="4" s="1"/>
  <c r="BA36" i="4" s="1"/>
  <c r="BB36" i="4" s="1"/>
  <c r="BC36" i="4" s="1"/>
  <c r="BD36" i="4" s="1"/>
  <c r="BE36" i="4" s="1"/>
  <c r="AL36" i="4"/>
  <c r="O35" i="4"/>
  <c r="L34" i="4"/>
  <c r="BG33" i="4"/>
  <c r="AL33" i="4"/>
  <c r="AK33" i="4"/>
  <c r="AJ33" i="4"/>
  <c r="AI33" i="4"/>
  <c r="AH33" i="4"/>
  <c r="AG33" i="4"/>
  <c r="AF33" i="4"/>
  <c r="AE33" i="4"/>
  <c r="AD33" i="4"/>
  <c r="AC33" i="4"/>
  <c r="AB33" i="4"/>
  <c r="AA33" i="4"/>
  <c r="Z33" i="4"/>
  <c r="Y33" i="4"/>
  <c r="X33" i="4"/>
  <c r="W33" i="4"/>
  <c r="V33" i="4"/>
  <c r="U33" i="4"/>
  <c r="T33" i="4"/>
  <c r="S33" i="4"/>
  <c r="R33" i="4"/>
  <c r="Q33" i="4"/>
  <c r="P33" i="4"/>
  <c r="O33" i="4"/>
  <c r="O34" i="4" s="1"/>
  <c r="N33" i="4"/>
  <c r="M33" i="4"/>
  <c r="M34" i="4" s="1"/>
  <c r="L33" i="4"/>
  <c r="K33" i="4"/>
  <c r="J33" i="4"/>
  <c r="I33" i="4"/>
  <c r="AN32" i="4"/>
  <c r="AO32" i="4" s="1"/>
  <c r="AP32" i="4" s="1"/>
  <c r="AQ32" i="4" s="1"/>
  <c r="AR32" i="4" s="1"/>
  <c r="AS32" i="4" s="1"/>
  <c r="AT32" i="4" s="1"/>
  <c r="AU32" i="4" s="1"/>
  <c r="AV32" i="4" s="1"/>
  <c r="AW32" i="4" s="1"/>
  <c r="AX32" i="4" s="1"/>
  <c r="AY32" i="4" s="1"/>
  <c r="AZ32" i="4" s="1"/>
  <c r="BA32" i="4" s="1"/>
  <c r="BB32" i="4" s="1"/>
  <c r="BC32" i="4" s="1"/>
  <c r="BD32" i="4" s="1"/>
  <c r="BE32" i="4" s="1"/>
  <c r="AL32" i="4"/>
  <c r="AM32" i="4" s="1"/>
  <c r="AQ31" i="4"/>
  <c r="AR31" i="4" s="1"/>
  <c r="AS31" i="4" s="1"/>
  <c r="AT31" i="4" s="1"/>
  <c r="AU31" i="4" s="1"/>
  <c r="AV31" i="4" s="1"/>
  <c r="AW31" i="4" s="1"/>
  <c r="AX31" i="4" s="1"/>
  <c r="AY31" i="4" s="1"/>
  <c r="AZ31" i="4" s="1"/>
  <c r="BA31" i="4" s="1"/>
  <c r="BB31" i="4" s="1"/>
  <c r="BC31" i="4" s="1"/>
  <c r="BD31" i="4" s="1"/>
  <c r="BE31" i="4" s="1"/>
  <c r="AL31" i="4"/>
  <c r="AM31" i="4" s="1"/>
  <c r="AN31" i="4" s="1"/>
  <c r="AO31" i="4" s="1"/>
  <c r="AP31" i="4" s="1"/>
  <c r="AK31" i="4"/>
  <c r="AI31" i="4"/>
  <c r="AH31" i="4"/>
  <c r="AG31" i="4"/>
  <c r="AF31" i="4"/>
  <c r="AE31" i="4"/>
  <c r="AD31" i="4"/>
  <c r="AC31" i="4"/>
  <c r="AB31" i="4"/>
  <c r="AA31" i="4"/>
  <c r="Z31" i="4"/>
  <c r="Y31" i="4"/>
  <c r="X31" i="4"/>
  <c r="W31" i="4"/>
  <c r="V31" i="4"/>
  <c r="U31" i="4"/>
  <c r="T31" i="4"/>
  <c r="S31" i="4"/>
  <c r="R31" i="4"/>
  <c r="Q31" i="4"/>
  <c r="P31" i="4"/>
  <c r="O31" i="4"/>
  <c r="N31" i="4"/>
  <c r="L31" i="4"/>
  <c r="K31" i="4"/>
  <c r="J31" i="4"/>
  <c r="I31" i="4"/>
  <c r="O30" i="4"/>
  <c r="M30" i="4"/>
  <c r="I30" i="4"/>
  <c r="CC29" i="4"/>
  <c r="CD29" i="4" s="1"/>
  <c r="CE29" i="4" s="1"/>
  <c r="CF29" i="4" s="1"/>
  <c r="CG29" i="4" s="1"/>
  <c r="CH29" i="4" s="1"/>
  <c r="CI29" i="4" s="1"/>
  <c r="CJ29" i="4" s="1"/>
  <c r="CK29" i="4" s="1"/>
  <c r="CL29" i="4" s="1"/>
  <c r="CM29" i="4" s="1"/>
  <c r="CN29" i="4" s="1"/>
  <c r="CO29" i="4" s="1"/>
  <c r="CP29" i="4" s="1"/>
  <c r="CQ29" i="4" s="1"/>
  <c r="CR29" i="4" s="1"/>
  <c r="CS29" i="4" s="1"/>
  <c r="CT29" i="4" s="1"/>
  <c r="CU29" i="4" s="1"/>
  <c r="CV29" i="4" s="1"/>
  <c r="CW29" i="4" s="1"/>
  <c r="CX29" i="4" s="1"/>
  <c r="CY29" i="4" s="1"/>
  <c r="CZ29" i="4" s="1"/>
  <c r="P29" i="4"/>
  <c r="P35" i="4" s="1"/>
  <c r="O29" i="4"/>
  <c r="N29" i="4"/>
  <c r="N35" i="4" s="1"/>
  <c r="M29" i="4"/>
  <c r="M35" i="4" s="1"/>
  <c r="L29" i="4"/>
  <c r="L30" i="4" s="1"/>
  <c r="K29" i="4"/>
  <c r="J29" i="4"/>
  <c r="J34" i="4" s="1"/>
  <c r="I29" i="4"/>
  <c r="CO28" i="4"/>
  <c r="CP28" i="4" s="1"/>
  <c r="CQ28" i="4" s="1"/>
  <c r="CR28" i="4" s="1"/>
  <c r="CS28" i="4" s="1"/>
  <c r="CT28" i="4" s="1"/>
  <c r="CU28" i="4" s="1"/>
  <c r="CV28" i="4" s="1"/>
  <c r="CW28" i="4" s="1"/>
  <c r="CX28" i="4" s="1"/>
  <c r="CY28" i="4" s="1"/>
  <c r="CZ28" i="4" s="1"/>
  <c r="CJ28" i="4"/>
  <c r="CK28" i="4" s="1"/>
  <c r="CL28" i="4" s="1"/>
  <c r="CM28" i="4" s="1"/>
  <c r="CN28" i="4" s="1"/>
  <c r="CD28" i="4"/>
  <c r="CE28" i="4" s="1"/>
  <c r="CF28" i="4" s="1"/>
  <c r="CG28" i="4" s="1"/>
  <c r="CH28" i="4" s="1"/>
  <c r="CI28" i="4" s="1"/>
  <c r="CC28" i="4"/>
  <c r="AK28" i="4"/>
  <c r="AL28" i="4" s="1"/>
  <c r="AM28" i="4" s="1"/>
  <c r="AN28" i="4" s="1"/>
  <c r="AO28" i="4" s="1"/>
  <c r="AP28" i="4" s="1"/>
  <c r="AQ28" i="4" s="1"/>
  <c r="AR28" i="4" s="1"/>
  <c r="AS28" i="4" s="1"/>
  <c r="AT28" i="4" s="1"/>
  <c r="AU28" i="4" s="1"/>
  <c r="AV28" i="4" s="1"/>
  <c r="AW28" i="4" s="1"/>
  <c r="AX28" i="4" s="1"/>
  <c r="AY28" i="4" s="1"/>
  <c r="AZ28" i="4" s="1"/>
  <c r="BA28" i="4" s="1"/>
  <c r="BB28" i="4" s="1"/>
  <c r="BC28" i="4" s="1"/>
  <c r="BD28" i="4" s="1"/>
  <c r="BE28" i="4" s="1"/>
  <c r="CN27" i="4"/>
  <c r="CO27" i="4" s="1"/>
  <c r="CP27" i="4" s="1"/>
  <c r="CQ27" i="4" s="1"/>
  <c r="CR27" i="4" s="1"/>
  <c r="CS27" i="4" s="1"/>
  <c r="CT27" i="4" s="1"/>
  <c r="CU27" i="4" s="1"/>
  <c r="CV27" i="4" s="1"/>
  <c r="CW27" i="4" s="1"/>
  <c r="CX27" i="4" s="1"/>
  <c r="CY27" i="4" s="1"/>
  <c r="CZ27" i="4" s="1"/>
  <c r="DA27" i="4" s="1"/>
  <c r="DB27" i="4" s="1"/>
  <c r="DC27" i="4" s="1"/>
  <c r="DD27" i="4" s="1"/>
  <c r="DE27" i="4" s="1"/>
  <c r="DF27" i="4" s="1"/>
  <c r="DG27" i="4" s="1"/>
  <c r="DH27" i="4" s="1"/>
  <c r="DI27" i="4" s="1"/>
  <c r="CB27" i="4"/>
  <c r="CC27" i="4" s="1"/>
  <c r="CD27" i="4" s="1"/>
  <c r="CE27" i="4" s="1"/>
  <c r="CF27" i="4" s="1"/>
  <c r="CG27" i="4" s="1"/>
  <c r="CH27" i="4" s="1"/>
  <c r="CI27" i="4" s="1"/>
  <c r="CJ27" i="4" s="1"/>
  <c r="CK27" i="4" s="1"/>
  <c r="CL27" i="4" s="1"/>
  <c r="CM27" i="4" s="1"/>
  <c r="AK27" i="4"/>
  <c r="AL27" i="4" s="1"/>
  <c r="AM27" i="4" s="1"/>
  <c r="AN27" i="4" s="1"/>
  <c r="AO27" i="4" s="1"/>
  <c r="AP27" i="4" s="1"/>
  <c r="AQ27" i="4" s="1"/>
  <c r="AR27" i="4" s="1"/>
  <c r="AS27" i="4" s="1"/>
  <c r="AT27" i="4" s="1"/>
  <c r="AU27" i="4" s="1"/>
  <c r="AV27" i="4" s="1"/>
  <c r="AW27" i="4" s="1"/>
  <c r="AX27" i="4" s="1"/>
  <c r="AY27" i="4" s="1"/>
  <c r="AZ27" i="4" s="1"/>
  <c r="BA27" i="4" s="1"/>
  <c r="BB27" i="4" s="1"/>
  <c r="BC27" i="4" s="1"/>
  <c r="BD27" i="4" s="1"/>
  <c r="BE27" i="4" s="1"/>
  <c r="AV26" i="4"/>
  <c r="AW26" i="4" s="1"/>
  <c r="AX26" i="4" s="1"/>
  <c r="AY26" i="4" s="1"/>
  <c r="AZ26" i="4" s="1"/>
  <c r="BA26" i="4" s="1"/>
  <c r="BB26" i="4" s="1"/>
  <c r="BC26" i="4" s="1"/>
  <c r="BD26" i="4" s="1"/>
  <c r="BE26" i="4" s="1"/>
  <c r="AQ26" i="4"/>
  <c r="AR26" i="4" s="1"/>
  <c r="AS26" i="4" s="1"/>
  <c r="AT26" i="4" s="1"/>
  <c r="AU26" i="4" s="1"/>
  <c r="AL26" i="4"/>
  <c r="AM26" i="4" s="1"/>
  <c r="AN26" i="4" s="1"/>
  <c r="AO26" i="4" s="1"/>
  <c r="AP26" i="4" s="1"/>
  <c r="S26" i="4"/>
  <c r="T26" i="4" s="1"/>
  <c r="U26" i="4" s="1"/>
  <c r="V26" i="4" s="1"/>
  <c r="W26" i="4" s="1"/>
  <c r="X26" i="4" s="1"/>
  <c r="Y26" i="4" s="1"/>
  <c r="Z26" i="4" s="1"/>
  <c r="AA26" i="4" s="1"/>
  <c r="AB26" i="4" s="1"/>
  <c r="AC26" i="4" s="1"/>
  <c r="AD26" i="4" s="1"/>
  <c r="AE26" i="4" s="1"/>
  <c r="AF26" i="4" s="1"/>
  <c r="AG26" i="4" s="1"/>
  <c r="AH26" i="4" s="1"/>
  <c r="AI26" i="4" s="1"/>
  <c r="AJ26" i="4" s="1"/>
  <c r="E26" i="4"/>
  <c r="B26" i="4"/>
  <c r="W25" i="4"/>
  <c r="X25" i="4" s="1"/>
  <c r="Y25" i="4" s="1"/>
  <c r="Z25" i="4" s="1"/>
  <c r="AA25" i="4" s="1"/>
  <c r="AB25" i="4" s="1"/>
  <c r="AC25" i="4" s="1"/>
  <c r="AD25" i="4" s="1"/>
  <c r="AE25" i="4" s="1"/>
  <c r="AF25" i="4" s="1"/>
  <c r="AG25" i="4" s="1"/>
  <c r="AH25" i="4" s="1"/>
  <c r="AI25" i="4" s="1"/>
  <c r="AJ25" i="4" s="1"/>
  <c r="AK25" i="4" s="1"/>
  <c r="AL25" i="4" s="1"/>
  <c r="AM25" i="4" s="1"/>
  <c r="AN25" i="4" s="1"/>
  <c r="AO25" i="4" s="1"/>
  <c r="AP25" i="4" s="1"/>
  <c r="AQ25" i="4" s="1"/>
  <c r="AR25" i="4" s="1"/>
  <c r="AS25" i="4" s="1"/>
  <c r="AT25" i="4" s="1"/>
  <c r="AU25" i="4" s="1"/>
  <c r="AV25" i="4" s="1"/>
  <c r="AW25" i="4" s="1"/>
  <c r="AX25" i="4" s="1"/>
  <c r="AY25" i="4" s="1"/>
  <c r="AZ25" i="4" s="1"/>
  <c r="BA25" i="4" s="1"/>
  <c r="BB25" i="4" s="1"/>
  <c r="BC25" i="4" s="1"/>
  <c r="BD25" i="4" s="1"/>
  <c r="BE25" i="4" s="1"/>
  <c r="V25" i="4"/>
  <c r="Q25" i="4"/>
  <c r="L25" i="4"/>
  <c r="I25" i="4"/>
  <c r="F25" i="4"/>
  <c r="E25" i="4"/>
  <c r="B25" i="4"/>
  <c r="AL23" i="4"/>
  <c r="BR22" i="4"/>
  <c r="BL22" i="4"/>
  <c r="BR21" i="4"/>
  <c r="BT20" i="4"/>
  <c r="BS20" i="4"/>
  <c r="BR20" i="4"/>
  <c r="AM20" i="4"/>
  <c r="AL20" i="4"/>
  <c r="AN8" i="13" s="1"/>
  <c r="AL19" i="4"/>
  <c r="BA18" i="4"/>
  <c r="AN18" i="4"/>
  <c r="AM18" i="4"/>
  <c r="AO4" i="13" s="1"/>
  <c r="AO5" i="13" s="1"/>
  <c r="AL18" i="4"/>
  <c r="AN4" i="13" s="1"/>
  <c r="AN5" i="13" s="1"/>
  <c r="AM16" i="4"/>
  <c r="AL16" i="4"/>
  <c r="AN2" i="13" s="1"/>
  <c r="BM15" i="4"/>
  <c r="M12" i="4"/>
  <c r="L12" i="4"/>
  <c r="K12" i="4"/>
  <c r="J12" i="4"/>
  <c r="I12" i="4"/>
  <c r="F12" i="4"/>
  <c r="D12" i="4"/>
  <c r="C12" i="4"/>
  <c r="M11" i="4"/>
  <c r="L11" i="4"/>
  <c r="K11" i="4"/>
  <c r="J11" i="4"/>
  <c r="I11" i="4"/>
  <c r="F11" i="4"/>
  <c r="D11" i="4"/>
  <c r="C11" i="4"/>
  <c r="M10" i="4"/>
  <c r="L10" i="4"/>
  <c r="K10" i="4"/>
  <c r="J10" i="4"/>
  <c r="I10" i="4"/>
  <c r="F10" i="4"/>
  <c r="D10" i="4"/>
  <c r="C10" i="4"/>
  <c r="M9" i="4"/>
  <c r="L9" i="4"/>
  <c r="K9" i="4"/>
  <c r="J9" i="4"/>
  <c r="I9" i="4"/>
  <c r="F9" i="4"/>
  <c r="D9" i="4"/>
  <c r="C9" i="4"/>
  <c r="M8" i="4"/>
  <c r="L8" i="4"/>
  <c r="K8" i="4"/>
  <c r="J8" i="4"/>
  <c r="I8" i="4"/>
  <c r="F8" i="4"/>
  <c r="D8" i="4"/>
  <c r="C8" i="4"/>
  <c r="M7" i="4"/>
  <c r="L7" i="4"/>
  <c r="K7" i="4"/>
  <c r="J7" i="4"/>
  <c r="I7" i="4"/>
  <c r="F7" i="4"/>
  <c r="D7" i="4"/>
  <c r="C7" i="4"/>
  <c r="F6" i="4"/>
  <c r="D6" i="4"/>
  <c r="C6" i="4"/>
  <c r="BV5" i="4"/>
  <c r="BL5" i="4"/>
  <c r="BL15" i="4" s="1"/>
  <c r="BE5" i="4"/>
  <c r="BD5" i="4"/>
  <c r="BC5" i="4"/>
  <c r="BB5" i="4"/>
  <c r="BA5" i="4"/>
  <c r="AZ5" i="4"/>
  <c r="AY5" i="4"/>
  <c r="AX5" i="4"/>
  <c r="AW5" i="4"/>
  <c r="AV5" i="4"/>
  <c r="AU5" i="4"/>
  <c r="AT5" i="4"/>
  <c r="AS5" i="4"/>
  <c r="AR5" i="4"/>
  <c r="AQ5" i="4"/>
  <c r="AP5" i="4"/>
  <c r="AO5" i="4"/>
  <c r="AN5" i="4"/>
  <c r="AM5" i="4"/>
  <c r="AL5" i="4"/>
  <c r="AK5" i="4"/>
  <c r="AJ5" i="4"/>
  <c r="AI5" i="4"/>
  <c r="AH5" i="4"/>
  <c r="AG5" i="4"/>
  <c r="AF5" i="4"/>
  <c r="AE5" i="4"/>
  <c r="AD5" i="4"/>
  <c r="AC5" i="4"/>
  <c r="AB5" i="4"/>
  <c r="AA5" i="4"/>
  <c r="Z5" i="4"/>
  <c r="Y5" i="4"/>
  <c r="X5" i="4"/>
  <c r="W5" i="4"/>
  <c r="V5" i="4"/>
  <c r="U5" i="4"/>
  <c r="T5" i="4"/>
  <c r="S5" i="4"/>
  <c r="R5" i="4"/>
  <c r="Q5" i="4"/>
  <c r="P5" i="4"/>
  <c r="O5" i="4"/>
  <c r="N5" i="4"/>
  <c r="BH3" i="4"/>
  <c r="BG3" i="4"/>
  <c r="BH2" i="4"/>
  <c r="BH13" i="4" s="1"/>
  <c r="BG2" i="4"/>
  <c r="BG14" i="4" s="1"/>
  <c r="X70" i="3"/>
  <c r="W70" i="3"/>
  <c r="R70" i="3"/>
  <c r="M70" i="3"/>
  <c r="J70" i="3"/>
  <c r="Y68" i="3"/>
  <c r="X68" i="3"/>
  <c r="W68" i="3"/>
  <c r="T68" i="3"/>
  <c r="S68" i="3"/>
  <c r="R68" i="3"/>
  <c r="N68" i="3"/>
  <c r="M68" i="3"/>
  <c r="J68" i="3"/>
  <c r="CP66" i="3"/>
  <c r="CM66" i="3"/>
  <c r="CH66" i="3"/>
  <c r="CJ62" i="3" s="1"/>
  <c r="AK66" i="3"/>
  <c r="X63" i="3"/>
  <c r="W63" i="3"/>
  <c r="AE97" i="7" s="1"/>
  <c r="S63" i="3"/>
  <c r="AA97" i="7" s="1"/>
  <c r="R63" i="3"/>
  <c r="Z97" i="7" s="1"/>
  <c r="M63" i="3"/>
  <c r="U97" i="7" s="1"/>
  <c r="J63" i="3"/>
  <c r="R97" i="7" s="1"/>
  <c r="CH62" i="3"/>
  <c r="CH61" i="3"/>
  <c r="S61" i="3"/>
  <c r="R61" i="3"/>
  <c r="Z99" i="7" s="1"/>
  <c r="P61" i="3"/>
  <c r="X99" i="7" s="1"/>
  <c r="O61" i="3"/>
  <c r="W99" i="7" s="1"/>
  <c r="N61" i="3"/>
  <c r="V99" i="7" s="1"/>
  <c r="M61" i="3"/>
  <c r="U99" i="7" s="1"/>
  <c r="L61" i="3"/>
  <c r="T99" i="7" s="1"/>
  <c r="K61" i="3"/>
  <c r="S99" i="7" s="1"/>
  <c r="J61" i="3"/>
  <c r="R99" i="7" s="1"/>
  <c r="I61" i="3"/>
  <c r="Q99" i="7" s="1"/>
  <c r="DL60" i="3"/>
  <c r="Z42" i="3" s="1"/>
  <c r="DJ60" i="3"/>
  <c r="X42" i="3" s="1"/>
  <c r="DH60" i="3"/>
  <c r="V42" i="3" s="1"/>
  <c r="DG60" i="3"/>
  <c r="DF60" i="3"/>
  <c r="DC60" i="3"/>
  <c r="DB60" i="3"/>
  <c r="P42" i="3" s="1"/>
  <c r="DA60" i="3"/>
  <c r="CZ60" i="3"/>
  <c r="N42" i="3" s="1"/>
  <c r="CY60" i="3"/>
  <c r="CX60" i="3"/>
  <c r="CU60" i="3"/>
  <c r="DM59" i="3"/>
  <c r="DL59" i="3"/>
  <c r="DK59" i="3"/>
  <c r="Y49" i="3" s="1"/>
  <c r="DJ59" i="3"/>
  <c r="DI59" i="3"/>
  <c r="DI60" i="3" s="1"/>
  <c r="DH59" i="3"/>
  <c r="V49" i="3" s="1"/>
  <c r="DG59" i="3"/>
  <c r="U49" i="3" s="1"/>
  <c r="DF59" i="3"/>
  <c r="DE59" i="3"/>
  <c r="DE60" i="3" s="1"/>
  <c r="DD59" i="3"/>
  <c r="DD60" i="3" s="1"/>
  <c r="R42" i="3" s="1"/>
  <c r="CH59" i="3"/>
  <c r="W59" i="3"/>
  <c r="AE98" i="7" s="1"/>
  <c r="R59" i="3"/>
  <c r="Z98" i="7" s="1"/>
  <c r="M59" i="3"/>
  <c r="K59" i="3"/>
  <c r="S98" i="7" s="1"/>
  <c r="J59" i="3"/>
  <c r="R98" i="7" s="1"/>
  <c r="DM58" i="3"/>
  <c r="DM60" i="3" s="1"/>
  <c r="CP58" i="3"/>
  <c r="CM58" i="3"/>
  <c r="CH58" i="3"/>
  <c r="CG58" i="3"/>
  <c r="CH64" i="3" s="1"/>
  <c r="CP57" i="3"/>
  <c r="CM57" i="3"/>
  <c r="DM56" i="3"/>
  <c r="AA40" i="3" s="1"/>
  <c r="AB40" i="3" s="1"/>
  <c r="DK56" i="3"/>
  <c r="DI56" i="3"/>
  <c r="W40" i="3" s="1"/>
  <c r="DG56" i="3"/>
  <c r="U40" i="3" s="1"/>
  <c r="DC56" i="3"/>
  <c r="Q40" i="3" s="1"/>
  <c r="DB56" i="3"/>
  <c r="P40" i="3" s="1"/>
  <c r="DA56" i="3"/>
  <c r="CY56" i="3"/>
  <c r="CX56" i="3"/>
  <c r="CU56" i="3"/>
  <c r="I40" i="3" s="1"/>
  <c r="CM56" i="3"/>
  <c r="CP56" i="3" s="1"/>
  <c r="AW56" i="3"/>
  <c r="AX56" i="3" s="1"/>
  <c r="AY56" i="3" s="1"/>
  <c r="AZ56" i="3" s="1"/>
  <c r="BA56" i="3" s="1"/>
  <c r="BB56" i="3" s="1"/>
  <c r="BC56" i="3" s="1"/>
  <c r="BD56" i="3" s="1"/>
  <c r="BE56" i="3" s="1"/>
  <c r="AV56" i="3"/>
  <c r="AN56" i="3"/>
  <c r="AO56" i="3" s="1"/>
  <c r="AP56" i="3" s="1"/>
  <c r="AQ56" i="3" s="1"/>
  <c r="AR56" i="3" s="1"/>
  <c r="AS56" i="3" s="1"/>
  <c r="AT56" i="3" s="1"/>
  <c r="AU56" i="3" s="1"/>
  <c r="AL56" i="3"/>
  <c r="AM56" i="3" s="1"/>
  <c r="DM55" i="3"/>
  <c r="DL55" i="3"/>
  <c r="DL56" i="3" s="1"/>
  <c r="DK55" i="3"/>
  <c r="DJ55" i="3"/>
  <c r="X47" i="3" s="1"/>
  <c r="DI55" i="3"/>
  <c r="DH55" i="3"/>
  <c r="DG55" i="3"/>
  <c r="DF55" i="3"/>
  <c r="DE55" i="3"/>
  <c r="DE56" i="3" s="1"/>
  <c r="S40" i="3" s="1"/>
  <c r="DD55" i="3"/>
  <c r="DC55" i="3"/>
  <c r="DB55" i="3"/>
  <c r="P47" i="3" s="1"/>
  <c r="DA55" i="3"/>
  <c r="CZ55" i="3"/>
  <c r="CZ56" i="3" s="1"/>
  <c r="CU55" i="3"/>
  <c r="CP55" i="3"/>
  <c r="CM55" i="3"/>
  <c r="U55" i="3"/>
  <c r="N55" i="3"/>
  <c r="CG54" i="3"/>
  <c r="CM54" i="3" s="1"/>
  <c r="CP54" i="3" s="1"/>
  <c r="U54" i="3"/>
  <c r="K54" i="3"/>
  <c r="K55" i="3" s="1"/>
  <c r="X53" i="3"/>
  <c r="X54" i="3" s="1"/>
  <c r="X55" i="3" s="1"/>
  <c r="T53" i="3"/>
  <c r="T54" i="3" s="1"/>
  <c r="T55" i="3" s="1"/>
  <c r="P53" i="3"/>
  <c r="P54" i="3" s="1"/>
  <c r="P55" i="3" s="1"/>
  <c r="N53" i="3"/>
  <c r="N54" i="3" s="1"/>
  <c r="K53" i="3"/>
  <c r="DL52" i="3"/>
  <c r="Z38" i="3" s="1"/>
  <c r="Z53" i="3" s="1"/>
  <c r="Z54" i="3" s="1"/>
  <c r="Z55" i="3" s="1"/>
  <c r="DD52" i="3"/>
  <c r="DC52" i="3"/>
  <c r="Q38" i="3" s="1"/>
  <c r="Q53" i="3" s="1"/>
  <c r="Q54" i="3" s="1"/>
  <c r="Q55" i="3" s="1"/>
  <c r="DB52" i="3"/>
  <c r="DA52" i="3"/>
  <c r="CZ52" i="3"/>
  <c r="CY52" i="3"/>
  <c r="M38" i="3" s="1"/>
  <c r="M53" i="3" s="1"/>
  <c r="M54" i="3" s="1"/>
  <c r="M55" i="3" s="1"/>
  <c r="CX52" i="3"/>
  <c r="CU52" i="3"/>
  <c r="I38" i="3" s="1"/>
  <c r="I53" i="3" s="1"/>
  <c r="I54" i="3" s="1"/>
  <c r="I55" i="3" s="1"/>
  <c r="CJ52" i="3"/>
  <c r="CK52" i="3" s="1"/>
  <c r="CI52" i="3"/>
  <c r="AN52" i="3"/>
  <c r="AO52" i="3" s="1"/>
  <c r="AP52" i="3" s="1"/>
  <c r="AQ52" i="3" s="1"/>
  <c r="AR52" i="3" s="1"/>
  <c r="AS52" i="3" s="1"/>
  <c r="AT52" i="3" s="1"/>
  <c r="AU52" i="3" s="1"/>
  <c r="AV52" i="3" s="1"/>
  <c r="AW52" i="3" s="1"/>
  <c r="AX52" i="3" s="1"/>
  <c r="AY52" i="3" s="1"/>
  <c r="AZ52" i="3" s="1"/>
  <c r="BA52" i="3" s="1"/>
  <c r="BB52" i="3" s="1"/>
  <c r="BC52" i="3" s="1"/>
  <c r="BD52" i="3" s="1"/>
  <c r="BE52" i="3" s="1"/>
  <c r="AM52" i="3"/>
  <c r="AL52" i="3"/>
  <c r="R52" i="3"/>
  <c r="S52" i="3" s="1"/>
  <c r="T52" i="3" s="1"/>
  <c r="U52" i="3" s="1"/>
  <c r="V52" i="3" s="1"/>
  <c r="W52" i="3" s="1"/>
  <c r="X52" i="3" s="1"/>
  <c r="Y52" i="3" s="1"/>
  <c r="Z52" i="3" s="1"/>
  <c r="AA52" i="3" s="1"/>
  <c r="AB52" i="3" s="1"/>
  <c r="AC52" i="3" s="1"/>
  <c r="AD52" i="3" s="1"/>
  <c r="AE52" i="3" s="1"/>
  <c r="AF52" i="3" s="1"/>
  <c r="AG52" i="3" s="1"/>
  <c r="AH52" i="3" s="1"/>
  <c r="AI52" i="3" s="1"/>
  <c r="AJ52" i="3" s="1"/>
  <c r="P52" i="3"/>
  <c r="Q52" i="3" s="1"/>
  <c r="L52" i="3"/>
  <c r="M52" i="3" s="1"/>
  <c r="N52" i="3" s="1"/>
  <c r="O52" i="3" s="1"/>
  <c r="J52" i="3"/>
  <c r="K52" i="3" s="1"/>
  <c r="I52" i="3"/>
  <c r="DM51" i="3"/>
  <c r="DM52" i="3" s="1"/>
  <c r="DL51" i="3"/>
  <c r="Z45" i="3" s="1"/>
  <c r="DK51" i="3"/>
  <c r="DJ51" i="3"/>
  <c r="DJ52" i="3" s="1"/>
  <c r="DI51" i="3"/>
  <c r="DI52" i="3" s="1"/>
  <c r="W38" i="3" s="1"/>
  <c r="W53" i="3" s="1"/>
  <c r="W54" i="3" s="1"/>
  <c r="W55" i="3" s="1"/>
  <c r="DH51" i="3"/>
  <c r="DG51" i="3"/>
  <c r="DG52" i="3" s="1"/>
  <c r="U38" i="3" s="1"/>
  <c r="U53" i="3" s="1"/>
  <c r="DF51" i="3"/>
  <c r="DF52" i="3" s="1"/>
  <c r="DE51" i="3"/>
  <c r="DE52" i="3" s="1"/>
  <c r="DD51" i="3"/>
  <c r="CI51" i="3"/>
  <c r="CJ51" i="3" s="1"/>
  <c r="CK51" i="3" s="1"/>
  <c r="AO51" i="3"/>
  <c r="AP51" i="3" s="1"/>
  <c r="AQ51" i="3" s="1"/>
  <c r="AR51" i="3" s="1"/>
  <c r="AS51" i="3" s="1"/>
  <c r="AT51" i="3" s="1"/>
  <c r="AU51" i="3" s="1"/>
  <c r="AV51" i="3" s="1"/>
  <c r="AW51" i="3" s="1"/>
  <c r="AX51" i="3" s="1"/>
  <c r="AY51" i="3" s="1"/>
  <c r="AZ51" i="3" s="1"/>
  <c r="BA51" i="3" s="1"/>
  <c r="BB51" i="3" s="1"/>
  <c r="BC51" i="3" s="1"/>
  <c r="BD51" i="3" s="1"/>
  <c r="BE51" i="3" s="1"/>
  <c r="AN51" i="3"/>
  <c r="AL51" i="3"/>
  <c r="AM51" i="3" s="1"/>
  <c r="AK51" i="3"/>
  <c r="L51" i="3"/>
  <c r="CJ50" i="3"/>
  <c r="CK50" i="3" s="1"/>
  <c r="CI50" i="3"/>
  <c r="AL50" i="3"/>
  <c r="AM50" i="3" s="1"/>
  <c r="AN50" i="3" s="1"/>
  <c r="AO50" i="3" s="1"/>
  <c r="AP50" i="3" s="1"/>
  <c r="AQ50" i="3" s="1"/>
  <c r="AR50" i="3" s="1"/>
  <c r="AS50" i="3" s="1"/>
  <c r="AT50" i="3" s="1"/>
  <c r="AU50" i="3" s="1"/>
  <c r="AV50" i="3" s="1"/>
  <c r="AW50" i="3" s="1"/>
  <c r="AX50" i="3" s="1"/>
  <c r="AY50" i="3" s="1"/>
  <c r="AZ50" i="3" s="1"/>
  <c r="BA50" i="3" s="1"/>
  <c r="BB50" i="3" s="1"/>
  <c r="BC50" i="3" s="1"/>
  <c r="BD50" i="3" s="1"/>
  <c r="BE50" i="3" s="1"/>
  <c r="AK50" i="3"/>
  <c r="L50" i="3"/>
  <c r="M50" i="3" s="1"/>
  <c r="N50" i="3" s="1"/>
  <c r="O50" i="3" s="1"/>
  <c r="P50" i="3" s="1"/>
  <c r="Q50" i="3" s="1"/>
  <c r="R50" i="3" s="1"/>
  <c r="S50" i="3" s="1"/>
  <c r="T50" i="3" s="1"/>
  <c r="U50" i="3" s="1"/>
  <c r="V50" i="3" s="1"/>
  <c r="W50" i="3" s="1"/>
  <c r="X50" i="3" s="1"/>
  <c r="Y50" i="3" s="1"/>
  <c r="Z50" i="3" s="1"/>
  <c r="AA50" i="3" s="1"/>
  <c r="AB50" i="3" s="1"/>
  <c r="AC50" i="3" s="1"/>
  <c r="AD50" i="3" s="1"/>
  <c r="AE50" i="3" s="1"/>
  <c r="AF50" i="3" s="1"/>
  <c r="AG50" i="3" s="1"/>
  <c r="AH50" i="3" s="1"/>
  <c r="AI50" i="3" s="1"/>
  <c r="AJ50" i="3" s="1"/>
  <c r="K50" i="3"/>
  <c r="J50" i="3"/>
  <c r="I50" i="3"/>
  <c r="CC49" i="3"/>
  <c r="CD49" i="3" s="1"/>
  <c r="CE49" i="3" s="1"/>
  <c r="CF49" i="3" s="1"/>
  <c r="CG49" i="3" s="1"/>
  <c r="CH49" i="3" s="1"/>
  <c r="CI49" i="3" s="1"/>
  <c r="CJ49" i="3" s="1"/>
  <c r="CK49" i="3" s="1"/>
  <c r="CB49" i="3"/>
  <c r="BW49" i="3"/>
  <c r="BX49" i="3" s="1"/>
  <c r="BY49" i="3" s="1"/>
  <c r="BZ49" i="3" s="1"/>
  <c r="BR49" i="3"/>
  <c r="BS49" i="3" s="1"/>
  <c r="BT49" i="3" s="1"/>
  <c r="BU49" i="3" s="1"/>
  <c r="BV49" i="3" s="1"/>
  <c r="BN49" i="3"/>
  <c r="BO49" i="3" s="1"/>
  <c r="BP49" i="3" s="1"/>
  <c r="BM49" i="3"/>
  <c r="BC49" i="3"/>
  <c r="BD49" i="3" s="1"/>
  <c r="BE49" i="3" s="1"/>
  <c r="AF49" i="3"/>
  <c r="AG49" i="3" s="1"/>
  <c r="AH49" i="3" s="1"/>
  <c r="AI49" i="3" s="1"/>
  <c r="AJ49" i="3" s="1"/>
  <c r="AK49" i="3" s="1"/>
  <c r="AL49" i="3" s="1"/>
  <c r="AM49" i="3" s="1"/>
  <c r="AN49" i="3" s="1"/>
  <c r="AO49" i="3" s="1"/>
  <c r="AP49" i="3" s="1"/>
  <c r="AQ49" i="3" s="1"/>
  <c r="AR49" i="3" s="1"/>
  <c r="AS49" i="3" s="1"/>
  <c r="AT49" i="3" s="1"/>
  <c r="AU49" i="3" s="1"/>
  <c r="AV49" i="3" s="1"/>
  <c r="AW49" i="3" s="1"/>
  <c r="AX49" i="3" s="1"/>
  <c r="AY49" i="3" s="1"/>
  <c r="AZ49" i="3" s="1"/>
  <c r="BA49" i="3" s="1"/>
  <c r="BB49" i="3" s="1"/>
  <c r="AE49" i="3"/>
  <c r="AD49" i="3"/>
  <c r="AB49" i="3"/>
  <c r="AC49" i="3" s="1"/>
  <c r="AA49" i="3"/>
  <c r="Z49" i="3"/>
  <c r="X49" i="3"/>
  <c r="W49" i="3"/>
  <c r="T49" i="3"/>
  <c r="S49" i="3"/>
  <c r="R49" i="3"/>
  <c r="Q49" i="3"/>
  <c r="P49" i="3"/>
  <c r="O49" i="3"/>
  <c r="N49" i="3"/>
  <c r="M49" i="3"/>
  <c r="L49" i="3"/>
  <c r="K49" i="3"/>
  <c r="J49" i="3"/>
  <c r="I49" i="3"/>
  <c r="CA48" i="3"/>
  <c r="CB48" i="3" s="1"/>
  <c r="CC48" i="3" s="1"/>
  <c r="CD48" i="3" s="1"/>
  <c r="CE48" i="3" s="1"/>
  <c r="CF48" i="3" s="1"/>
  <c r="CG48" i="3" s="1"/>
  <c r="CH48" i="3" s="1"/>
  <c r="CI48" i="3" s="1"/>
  <c r="CJ48" i="3" s="1"/>
  <c r="CK48" i="3" s="1"/>
  <c r="BQ48" i="3"/>
  <c r="BO48" i="3"/>
  <c r="BP48" i="3" s="1"/>
  <c r="BM48" i="3"/>
  <c r="BN48" i="3" s="1"/>
  <c r="BL48" i="3"/>
  <c r="K48" i="3"/>
  <c r="CD47" i="3"/>
  <c r="CE47" i="3" s="1"/>
  <c r="CF47" i="3" s="1"/>
  <c r="CG47" i="3" s="1"/>
  <c r="CH47" i="3" s="1"/>
  <c r="CI47" i="3" s="1"/>
  <c r="CJ47" i="3" s="1"/>
  <c r="CK47" i="3" s="1"/>
  <c r="CB47" i="3"/>
  <c r="CC47" i="3" s="1"/>
  <c r="BU47" i="3"/>
  <c r="BV47" i="3" s="1"/>
  <c r="BW47" i="3" s="1"/>
  <c r="BX47" i="3" s="1"/>
  <c r="BY47" i="3" s="1"/>
  <c r="BZ47" i="3" s="1"/>
  <c r="BS47" i="3"/>
  <c r="BT47" i="3" s="1"/>
  <c r="BR47" i="3"/>
  <c r="BP47" i="3"/>
  <c r="BN47" i="3"/>
  <c r="BO47" i="3" s="1"/>
  <c r="BM47" i="3"/>
  <c r="AH47" i="3"/>
  <c r="AI47" i="3" s="1"/>
  <c r="AJ47" i="3" s="1"/>
  <c r="AK47" i="3" s="1"/>
  <c r="AL47" i="3" s="1"/>
  <c r="AM47" i="3" s="1"/>
  <c r="AN47" i="3" s="1"/>
  <c r="AO47" i="3" s="1"/>
  <c r="AP47" i="3" s="1"/>
  <c r="AQ47" i="3" s="1"/>
  <c r="AR47" i="3" s="1"/>
  <c r="AS47" i="3" s="1"/>
  <c r="AT47" i="3" s="1"/>
  <c r="AU47" i="3" s="1"/>
  <c r="AV47" i="3" s="1"/>
  <c r="AW47" i="3" s="1"/>
  <c r="AX47" i="3" s="1"/>
  <c r="AY47" i="3" s="1"/>
  <c r="AZ47" i="3" s="1"/>
  <c r="BA47" i="3" s="1"/>
  <c r="BB47" i="3" s="1"/>
  <c r="BC47" i="3" s="1"/>
  <c r="BD47" i="3" s="1"/>
  <c r="BE47" i="3" s="1"/>
  <c r="AC47" i="3"/>
  <c r="AD47" i="3" s="1"/>
  <c r="AE47" i="3" s="1"/>
  <c r="AF47" i="3" s="1"/>
  <c r="AG47" i="3" s="1"/>
  <c r="AA47" i="3"/>
  <c r="AB47" i="3" s="1"/>
  <c r="Y47" i="3"/>
  <c r="W47" i="3"/>
  <c r="U47" i="3"/>
  <c r="U48" i="3" s="1"/>
  <c r="S47" i="3"/>
  <c r="Q47" i="3"/>
  <c r="O47" i="3"/>
  <c r="O48" i="3" s="1"/>
  <c r="M47" i="3"/>
  <c r="M48" i="3" s="1"/>
  <c r="L47" i="3"/>
  <c r="K47" i="3"/>
  <c r="J47" i="3"/>
  <c r="J48" i="3" s="1"/>
  <c r="I47" i="3"/>
  <c r="I48" i="3" s="1"/>
  <c r="DL46" i="3"/>
  <c r="Z36" i="3" s="1"/>
  <c r="Z37" i="3" s="1"/>
  <c r="DJ46" i="3"/>
  <c r="DH46" i="3"/>
  <c r="DD46" i="3"/>
  <c r="R36" i="3" s="1"/>
  <c r="R37" i="3" s="1"/>
  <c r="DL45" i="3"/>
  <c r="DK45" i="3"/>
  <c r="DK46" i="3" s="1"/>
  <c r="Y36" i="3" s="1"/>
  <c r="DJ45" i="3"/>
  <c r="DI45" i="3"/>
  <c r="DH45" i="3"/>
  <c r="DG45" i="3"/>
  <c r="U43" i="3" s="1"/>
  <c r="U44" i="3" s="1"/>
  <c r="DF45" i="3"/>
  <c r="T43" i="3" s="1"/>
  <c r="T44" i="3" s="1"/>
  <c r="DE45" i="3"/>
  <c r="DD45" i="3"/>
  <c r="DC45" i="3"/>
  <c r="DC46" i="3" s="1"/>
  <c r="CC45" i="3"/>
  <c r="CD45" i="3" s="1"/>
  <c r="CE45" i="3" s="1"/>
  <c r="CF45" i="3" s="1"/>
  <c r="CG45" i="3" s="1"/>
  <c r="CH45" i="3" s="1"/>
  <c r="CI45" i="3" s="1"/>
  <c r="CJ45" i="3" s="1"/>
  <c r="CK45" i="3" s="1"/>
  <c r="CB45" i="3"/>
  <c r="BS45" i="3"/>
  <c r="BT45" i="3" s="1"/>
  <c r="BU45" i="3" s="1"/>
  <c r="BV45" i="3" s="1"/>
  <c r="BW45" i="3" s="1"/>
  <c r="BX45" i="3" s="1"/>
  <c r="BY45" i="3" s="1"/>
  <c r="BZ45" i="3" s="1"/>
  <c r="BR45" i="3"/>
  <c r="BO45" i="3"/>
  <c r="BP45" i="3" s="1"/>
  <c r="BN45" i="3"/>
  <c r="BM45" i="3"/>
  <c r="AK45" i="3"/>
  <c r="AL45" i="3" s="1"/>
  <c r="AM45" i="3" s="1"/>
  <c r="AN45" i="3" s="1"/>
  <c r="AO45" i="3" s="1"/>
  <c r="AP45" i="3" s="1"/>
  <c r="AQ45" i="3" s="1"/>
  <c r="AR45" i="3" s="1"/>
  <c r="AS45" i="3" s="1"/>
  <c r="AT45" i="3" s="1"/>
  <c r="AU45" i="3" s="1"/>
  <c r="AV45" i="3" s="1"/>
  <c r="AW45" i="3" s="1"/>
  <c r="AX45" i="3" s="1"/>
  <c r="AY45" i="3" s="1"/>
  <c r="AZ45" i="3" s="1"/>
  <c r="BA45" i="3" s="1"/>
  <c r="BB45" i="3" s="1"/>
  <c r="BC45" i="3" s="1"/>
  <c r="BD45" i="3" s="1"/>
  <c r="BE45" i="3" s="1"/>
  <c r="AE45" i="3"/>
  <c r="AF45" i="3" s="1"/>
  <c r="AG45" i="3" s="1"/>
  <c r="AH45" i="3" s="1"/>
  <c r="AI45" i="3" s="1"/>
  <c r="AJ45" i="3" s="1"/>
  <c r="AC45" i="3"/>
  <c r="AD45" i="3" s="1"/>
  <c r="AA45" i="3"/>
  <c r="AB45" i="3" s="1"/>
  <c r="X45" i="3"/>
  <c r="W45" i="3"/>
  <c r="U45" i="3"/>
  <c r="T45" i="3"/>
  <c r="S45" i="3"/>
  <c r="R45" i="3"/>
  <c r="Q45" i="3"/>
  <c r="P45" i="3"/>
  <c r="O45" i="3"/>
  <c r="N45" i="3"/>
  <c r="M45" i="3"/>
  <c r="L45" i="3"/>
  <c r="K45" i="3"/>
  <c r="J45" i="3"/>
  <c r="I45" i="3"/>
  <c r="CC44" i="3"/>
  <c r="CD44" i="3" s="1"/>
  <c r="CE44" i="3" s="1"/>
  <c r="CF44" i="3" s="1"/>
  <c r="CG44" i="3" s="1"/>
  <c r="CH44" i="3" s="1"/>
  <c r="CI44" i="3" s="1"/>
  <c r="CJ44" i="3" s="1"/>
  <c r="CK44" i="3" s="1"/>
  <c r="CB44" i="3"/>
  <c r="CA44" i="3"/>
  <c r="BZ44" i="3"/>
  <c r="BV44" i="3"/>
  <c r="BW44" i="3" s="1"/>
  <c r="BX44" i="3" s="1"/>
  <c r="BY44" i="3" s="1"/>
  <c r="BT44" i="3"/>
  <c r="BU44" i="3" s="1"/>
  <c r="BR44" i="3"/>
  <c r="BS44" i="3" s="1"/>
  <c r="BQ44" i="3"/>
  <c r="BM44" i="3"/>
  <c r="BN44" i="3" s="1"/>
  <c r="BO44" i="3" s="1"/>
  <c r="BP44" i="3" s="1"/>
  <c r="BL44" i="3"/>
  <c r="Z44" i="3"/>
  <c r="R44" i="3"/>
  <c r="N44" i="3"/>
  <c r="L44" i="3"/>
  <c r="K44" i="3"/>
  <c r="J44" i="3"/>
  <c r="DC43" i="3"/>
  <c r="CX43" i="3"/>
  <c r="CG43" i="3"/>
  <c r="CH43" i="3" s="1"/>
  <c r="CI43" i="3" s="1"/>
  <c r="CJ43" i="3" s="1"/>
  <c r="CK43" i="3" s="1"/>
  <c r="CC43" i="3"/>
  <c r="CD43" i="3" s="1"/>
  <c r="CE43" i="3" s="1"/>
  <c r="CF43" i="3" s="1"/>
  <c r="CB43" i="3"/>
  <c r="BT43" i="3"/>
  <c r="BU43" i="3" s="1"/>
  <c r="BV43" i="3" s="1"/>
  <c r="BW43" i="3" s="1"/>
  <c r="BX43" i="3" s="1"/>
  <c r="BY43" i="3" s="1"/>
  <c r="BZ43" i="3" s="1"/>
  <c r="BR43" i="3"/>
  <c r="BS43" i="3" s="1"/>
  <c r="BO43" i="3"/>
  <c r="BP43" i="3" s="1"/>
  <c r="BM43" i="3"/>
  <c r="BN43" i="3" s="1"/>
  <c r="Z43" i="3"/>
  <c r="X43" i="3"/>
  <c r="X44" i="3" s="1"/>
  <c r="V43" i="3"/>
  <c r="V44" i="3" s="1"/>
  <c r="R43" i="3"/>
  <c r="Q43" i="3"/>
  <c r="Q44" i="3" s="1"/>
  <c r="P43" i="3"/>
  <c r="P44" i="3" s="1"/>
  <c r="O43" i="3"/>
  <c r="O44" i="3" s="1"/>
  <c r="N43" i="3"/>
  <c r="M43" i="3"/>
  <c r="M44" i="3" s="1"/>
  <c r="L43" i="3"/>
  <c r="K43" i="3"/>
  <c r="J43" i="3"/>
  <c r="I43" i="3"/>
  <c r="I44" i="3" s="1"/>
  <c r="DM42" i="3"/>
  <c r="DC42" i="3"/>
  <c r="CX42" i="3"/>
  <c r="CK42" i="3"/>
  <c r="CJ42" i="3"/>
  <c r="CI42" i="3"/>
  <c r="AS42" i="3"/>
  <c r="AT42" i="3" s="1"/>
  <c r="AU42" i="3" s="1"/>
  <c r="AV42" i="3" s="1"/>
  <c r="AW42" i="3" s="1"/>
  <c r="AX42" i="3" s="1"/>
  <c r="AY42" i="3" s="1"/>
  <c r="AZ42" i="3" s="1"/>
  <c r="BA42" i="3" s="1"/>
  <c r="BB42" i="3" s="1"/>
  <c r="BC42" i="3" s="1"/>
  <c r="BD42" i="3" s="1"/>
  <c r="BE42" i="3" s="1"/>
  <c r="AA42" i="3"/>
  <c r="AB42" i="3" s="1"/>
  <c r="AC42" i="3" s="1"/>
  <c r="AD42" i="3" s="1"/>
  <c r="AE42" i="3" s="1"/>
  <c r="AF42" i="3" s="1"/>
  <c r="AG42" i="3" s="1"/>
  <c r="AH42" i="3" s="1"/>
  <c r="AI42" i="3" s="1"/>
  <c r="AJ42" i="3" s="1"/>
  <c r="AK42" i="3" s="1"/>
  <c r="AL42" i="3" s="1"/>
  <c r="AM42" i="3" s="1"/>
  <c r="AN42" i="3" s="1"/>
  <c r="AO42" i="3" s="1"/>
  <c r="AP42" i="3" s="1"/>
  <c r="AQ42" i="3" s="1"/>
  <c r="AR42" i="3" s="1"/>
  <c r="W42" i="3"/>
  <c r="U42" i="3"/>
  <c r="T42" i="3"/>
  <c r="S42" i="3"/>
  <c r="Q42" i="3"/>
  <c r="O42" i="3"/>
  <c r="M42" i="3"/>
  <c r="L42" i="3"/>
  <c r="K42" i="3"/>
  <c r="J42" i="3"/>
  <c r="I42" i="3"/>
  <c r="CJ41" i="3"/>
  <c r="CK41" i="3" s="1"/>
  <c r="CI41" i="3"/>
  <c r="CJ40" i="3"/>
  <c r="CK40" i="3" s="1"/>
  <c r="AF40" i="3"/>
  <c r="AG40" i="3" s="1"/>
  <c r="AH40" i="3" s="1"/>
  <c r="AI40" i="3" s="1"/>
  <c r="AJ40" i="3" s="1"/>
  <c r="AK40" i="3" s="1"/>
  <c r="AL40" i="3" s="1"/>
  <c r="AM40" i="3" s="1"/>
  <c r="AN40" i="3" s="1"/>
  <c r="AO40" i="3" s="1"/>
  <c r="AP40" i="3" s="1"/>
  <c r="AQ40" i="3" s="1"/>
  <c r="AR40" i="3" s="1"/>
  <c r="AS40" i="3" s="1"/>
  <c r="AT40" i="3" s="1"/>
  <c r="AU40" i="3" s="1"/>
  <c r="AV40" i="3" s="1"/>
  <c r="AW40" i="3" s="1"/>
  <c r="AX40" i="3" s="1"/>
  <c r="AY40" i="3" s="1"/>
  <c r="AZ40" i="3" s="1"/>
  <c r="BA40" i="3" s="1"/>
  <c r="BB40" i="3" s="1"/>
  <c r="BC40" i="3" s="1"/>
  <c r="BD40" i="3" s="1"/>
  <c r="BE40" i="3" s="1"/>
  <c r="AC40" i="3"/>
  <c r="AD40" i="3" s="1"/>
  <c r="AE40" i="3" s="1"/>
  <c r="Z40" i="3"/>
  <c r="Z41" i="3" s="1"/>
  <c r="Y40" i="3"/>
  <c r="Y41" i="3" s="1"/>
  <c r="O40" i="3"/>
  <c r="O41" i="3" s="1"/>
  <c r="N40" i="3"/>
  <c r="M40" i="3"/>
  <c r="M41" i="3" s="1"/>
  <c r="L40" i="3"/>
  <c r="L41" i="3" s="1"/>
  <c r="K40" i="3"/>
  <c r="J40" i="3"/>
  <c r="J41" i="3" s="1"/>
  <c r="CD39" i="3"/>
  <c r="AA38" i="3"/>
  <c r="X38" i="3"/>
  <c r="T38" i="3"/>
  <c r="S38" i="3"/>
  <c r="S53" i="3" s="1"/>
  <c r="S54" i="3" s="1"/>
  <c r="S55" i="3" s="1"/>
  <c r="R38" i="3"/>
  <c r="R53" i="3" s="1"/>
  <c r="R54" i="3" s="1"/>
  <c r="R55" i="3" s="1"/>
  <c r="P38" i="3"/>
  <c r="O38" i="3"/>
  <c r="O53" i="3" s="1"/>
  <c r="O54" i="3" s="1"/>
  <c r="O55" i="3" s="1"/>
  <c r="N38" i="3"/>
  <c r="L38" i="3"/>
  <c r="L53" i="3" s="1"/>
  <c r="L54" i="3" s="1"/>
  <c r="L55" i="3" s="1"/>
  <c r="K38" i="3"/>
  <c r="J38" i="3"/>
  <c r="J53" i="3" s="1"/>
  <c r="J54" i="3" s="1"/>
  <c r="J55" i="3" s="1"/>
  <c r="Y37" i="3"/>
  <c r="V37" i="3"/>
  <c r="O37" i="3"/>
  <c r="M37" i="3"/>
  <c r="CK40" i="4" s="1"/>
  <c r="K37" i="3"/>
  <c r="CI40" i="4" s="1"/>
  <c r="J37" i="3"/>
  <c r="CH40" i="4" s="1"/>
  <c r="X36" i="3"/>
  <c r="X37" i="3" s="1"/>
  <c r="V36" i="3"/>
  <c r="Q36" i="3"/>
  <c r="Q37" i="3" s="1"/>
  <c r="P36" i="3"/>
  <c r="P37" i="3" s="1"/>
  <c r="O36" i="3"/>
  <c r="N36" i="3"/>
  <c r="M36" i="3"/>
  <c r="L36" i="3"/>
  <c r="L37" i="3" s="1"/>
  <c r="CJ40" i="4" s="1"/>
  <c r="K36" i="3"/>
  <c r="K41" i="3" s="1"/>
  <c r="J36" i="3"/>
  <c r="I36" i="3"/>
  <c r="I41" i="3" s="1"/>
  <c r="AN34" i="3"/>
  <c r="AO34" i="3" s="1"/>
  <c r="AP34" i="3" s="1"/>
  <c r="AQ34" i="3" s="1"/>
  <c r="AR34" i="3" s="1"/>
  <c r="AS34" i="3" s="1"/>
  <c r="AT34" i="3" s="1"/>
  <c r="AU34" i="3" s="1"/>
  <c r="AV34" i="3" s="1"/>
  <c r="AW34" i="3" s="1"/>
  <c r="AX34" i="3" s="1"/>
  <c r="AY34" i="3" s="1"/>
  <c r="AZ34" i="3" s="1"/>
  <c r="BA34" i="3" s="1"/>
  <c r="BB34" i="3" s="1"/>
  <c r="BC34" i="3" s="1"/>
  <c r="BD34" i="3" s="1"/>
  <c r="BE34" i="3" s="1"/>
  <c r="AC34" i="3"/>
  <c r="AD34" i="3" s="1"/>
  <c r="AE34" i="3" s="1"/>
  <c r="AF34" i="3" s="1"/>
  <c r="AG34" i="3" s="1"/>
  <c r="AH34" i="3" s="1"/>
  <c r="AI34" i="3" s="1"/>
  <c r="AJ34" i="3" s="1"/>
  <c r="AK34" i="3" s="1"/>
  <c r="AL34" i="3" s="1"/>
  <c r="AM34" i="3" s="1"/>
  <c r="AB34" i="3"/>
  <c r="Z34" i="3"/>
  <c r="AA34" i="3" s="1"/>
  <c r="Y34" i="3"/>
  <c r="X34" i="3"/>
  <c r="W34" i="3"/>
  <c r="R34" i="3"/>
  <c r="N34" i="3"/>
  <c r="N25" i="4" s="1"/>
  <c r="M34" i="3"/>
  <c r="M25" i="4" s="1"/>
  <c r="J34" i="3"/>
  <c r="CK33" i="3"/>
  <c r="BO30" i="3"/>
  <c r="AM30" i="3"/>
  <c r="AN30" i="3" s="1"/>
  <c r="AO30" i="3" s="1"/>
  <c r="AP30" i="3" s="1"/>
  <c r="AQ30" i="3" s="1"/>
  <c r="AR30" i="3" s="1"/>
  <c r="AS30" i="3" s="1"/>
  <c r="AT30" i="3" s="1"/>
  <c r="AU30" i="3" s="1"/>
  <c r="AV30" i="3" s="1"/>
  <c r="AW30" i="3" s="1"/>
  <c r="AX30" i="3" s="1"/>
  <c r="AY30" i="3" s="1"/>
  <c r="AZ30" i="3" s="1"/>
  <c r="BA30" i="3" s="1"/>
  <c r="BB30" i="3" s="1"/>
  <c r="BC30" i="3" s="1"/>
  <c r="BD30" i="3" s="1"/>
  <c r="BE30" i="3" s="1"/>
  <c r="AK30" i="3"/>
  <c r="AL30" i="3" s="1"/>
  <c r="AJ30" i="3"/>
  <c r="AI30" i="3"/>
  <c r="AH30" i="3"/>
  <c r="AG30" i="3"/>
  <c r="AF30" i="3"/>
  <c r="AE30" i="3"/>
  <c r="AD30" i="3"/>
  <c r="AC30" i="3"/>
  <c r="AB30" i="3"/>
  <c r="AA30" i="3"/>
  <c r="Z30" i="3"/>
  <c r="Y30" i="3"/>
  <c r="X30" i="3"/>
  <c r="W30" i="3"/>
  <c r="V30" i="3"/>
  <c r="U30" i="3"/>
  <c r="T30" i="3"/>
  <c r="S30" i="3"/>
  <c r="R30" i="3"/>
  <c r="Q30" i="3"/>
  <c r="P30" i="3"/>
  <c r="O30" i="3"/>
  <c r="N30" i="3"/>
  <c r="M30" i="3"/>
  <c r="L30" i="3"/>
  <c r="K30" i="3"/>
  <c r="J30" i="3"/>
  <c r="I30" i="3"/>
  <c r="CS29" i="3"/>
  <c r="CJ29" i="3" s="1"/>
  <c r="CR29" i="3"/>
  <c r="CQ29" i="3"/>
  <c r="CP29" i="3"/>
  <c r="CN33" i="3" s="1"/>
  <c r="CO29" i="3"/>
  <c r="CH33" i="3" s="1"/>
  <c r="CN29" i="3"/>
  <c r="CL29" i="3"/>
  <c r="CK29" i="3"/>
  <c r="CI29" i="3"/>
  <c r="CH29" i="3"/>
  <c r="CG29" i="3"/>
  <c r="CF29" i="3"/>
  <c r="CE29" i="3"/>
  <c r="CR28" i="3"/>
  <c r="CQ28" i="3"/>
  <c r="CP28" i="3"/>
  <c r="CO28" i="3"/>
  <c r="CN28" i="3"/>
  <c r="CM28" i="3"/>
  <c r="CL28" i="3"/>
  <c r="CK28" i="3"/>
  <c r="CJ28" i="3"/>
  <c r="CI28" i="3"/>
  <c r="CH28" i="3"/>
  <c r="K26" i="3"/>
  <c r="J26" i="3"/>
  <c r="L25" i="3"/>
  <c r="I25" i="3"/>
  <c r="L23" i="3"/>
  <c r="K23" i="3"/>
  <c r="M29" i="13" s="1"/>
  <c r="J23" i="3"/>
  <c r="L29" i="13" s="1"/>
  <c r="I23" i="3"/>
  <c r="K29" i="13" s="1"/>
  <c r="CH18" i="3"/>
  <c r="CH19" i="3" s="1"/>
  <c r="CH17" i="3"/>
  <c r="CG17" i="3"/>
  <c r="CF17" i="3"/>
  <c r="CE17" i="3"/>
  <c r="W16" i="3"/>
  <c r="Y27" i="13" s="1"/>
  <c r="Y28" i="13" s="1"/>
  <c r="I16" i="3"/>
  <c r="K27" i="13" s="1"/>
  <c r="K28" i="13" s="1"/>
  <c r="CI15" i="3"/>
  <c r="W15" i="3"/>
  <c r="Y26" i="13" s="1"/>
  <c r="V15" i="3"/>
  <c r="X26" i="13" s="1"/>
  <c r="K15" i="3"/>
  <c r="M26" i="13" s="1"/>
  <c r="J15" i="3"/>
  <c r="L26" i="13" s="1"/>
  <c r="I15" i="3"/>
  <c r="K26" i="13" s="1"/>
  <c r="BD14" i="3"/>
  <c r="AZ14" i="3"/>
  <c r="AY14" i="3"/>
  <c r="AX14" i="3"/>
  <c r="AR14" i="3"/>
  <c r="AM14" i="3"/>
  <c r="AF14" i="3"/>
  <c r="AA14" i="3"/>
  <c r="H14" i="3"/>
  <c r="AZ13" i="3"/>
  <c r="AX13" i="3"/>
  <c r="AU13" i="3"/>
  <c r="AT13" i="3"/>
  <c r="AO13" i="3"/>
  <c r="AN13" i="3"/>
  <c r="AL13" i="3"/>
  <c r="AH13" i="3"/>
  <c r="AB13" i="3"/>
  <c r="N6" i="3"/>
  <c r="N6" i="4" s="1"/>
  <c r="CV5" i="3"/>
  <c r="CU5" i="3"/>
  <c r="CS5" i="3"/>
  <c r="CR5" i="3"/>
  <c r="CI5" i="3"/>
  <c r="CI6" i="3" s="1"/>
  <c r="I2" i="3" s="1"/>
  <c r="CI3" i="3"/>
  <c r="CJ3" i="3" s="1"/>
  <c r="CJ5" i="3" s="1"/>
  <c r="CH3" i="3"/>
  <c r="CX2" i="3"/>
  <c r="CX5" i="3" s="1"/>
  <c r="CW2" i="3"/>
  <c r="CW5" i="3" s="1"/>
  <c r="CV2" i="3"/>
  <c r="CU2" i="3"/>
  <c r="CT2" i="3"/>
  <c r="CT5" i="3" s="1"/>
  <c r="CS2" i="3"/>
  <c r="CR2" i="3"/>
  <c r="CQ2" i="3"/>
  <c r="CQ5" i="3" s="1"/>
  <c r="CP2" i="3"/>
  <c r="CO2" i="3"/>
  <c r="CN2" i="3"/>
  <c r="CM2" i="3"/>
  <c r="CL2" i="3"/>
  <c r="CK2" i="3"/>
  <c r="CJ2" i="3"/>
  <c r="CI2" i="3"/>
  <c r="BE2" i="3"/>
  <c r="BE2" i="4" s="1"/>
  <c r="BD2" i="3"/>
  <c r="BD2" i="4" s="1"/>
  <c r="BD13" i="4" s="1"/>
  <c r="BC2" i="3"/>
  <c r="BC2" i="4" s="1"/>
  <c r="BB2" i="3"/>
  <c r="BB2" i="4" s="1"/>
  <c r="BA2" i="3"/>
  <c r="BA13" i="3" s="1"/>
  <c r="AZ2" i="3"/>
  <c r="AZ2" i="4" s="1"/>
  <c r="AY2" i="3"/>
  <c r="AY2" i="4" s="1"/>
  <c r="AX2" i="3"/>
  <c r="AX2" i="4" s="1"/>
  <c r="AW2" i="3"/>
  <c r="AW2" i="4" s="1"/>
  <c r="AV2" i="3"/>
  <c r="AU2" i="3"/>
  <c r="AU2" i="4" s="1"/>
  <c r="AT2" i="3"/>
  <c r="AT2" i="4" s="1"/>
  <c r="AS2" i="3"/>
  <c r="AS2" i="4" s="1"/>
  <c r="AR2" i="3"/>
  <c r="AR2" i="4" s="1"/>
  <c r="AQ2" i="3"/>
  <c r="AQ2" i="4" s="1"/>
  <c r="AP2" i="3"/>
  <c r="AP2" i="4" s="1"/>
  <c r="AO2" i="3"/>
  <c r="AN2" i="3"/>
  <c r="AN2" i="4" s="1"/>
  <c r="AM2" i="3"/>
  <c r="AM2" i="4" s="1"/>
  <c r="AL2" i="3"/>
  <c r="AL2" i="4" s="1"/>
  <c r="AK2" i="3"/>
  <c r="AK2" i="4" s="1"/>
  <c r="AJ2" i="3"/>
  <c r="AI2" i="3"/>
  <c r="AI2" i="4" s="1"/>
  <c r="AH2" i="3"/>
  <c r="AH2" i="4" s="1"/>
  <c r="AG2" i="3"/>
  <c r="AG2" i="4" s="1"/>
  <c r="AF2" i="3"/>
  <c r="AF2" i="4" s="1"/>
  <c r="AE2" i="3"/>
  <c r="AE2" i="4" s="1"/>
  <c r="AD2" i="3"/>
  <c r="AD2" i="4" s="1"/>
  <c r="AC2" i="3"/>
  <c r="AB2" i="3"/>
  <c r="AB2" i="4" s="1"/>
  <c r="AA2" i="3"/>
  <c r="AA2" i="4" s="1"/>
  <c r="Z2" i="3"/>
  <c r="Z2" i="4" s="1"/>
  <c r="Y2" i="3"/>
  <c r="Y2" i="4" s="1"/>
  <c r="H2" i="3"/>
  <c r="H2" i="4" s="1"/>
  <c r="V28" i="1"/>
  <c r="AY27" i="1"/>
  <c r="AJ27" i="1"/>
  <c r="AY26" i="1"/>
  <c r="AR26" i="1"/>
  <c r="AR27" i="1" s="1"/>
  <c r="AO26" i="1"/>
  <c r="AO27" i="1" s="1"/>
  <c r="AM26" i="1"/>
  <c r="AM27" i="1" s="1"/>
  <c r="AJ26" i="1"/>
  <c r="AF26" i="1"/>
  <c r="AF27" i="1" s="1"/>
  <c r="X26" i="1"/>
  <c r="X27" i="1" s="1"/>
  <c r="AZ25" i="1"/>
  <c r="AY25" i="1"/>
  <c r="AX25" i="1"/>
  <c r="AW25" i="1"/>
  <c r="AV25" i="1"/>
  <c r="AU25" i="1"/>
  <c r="AT25" i="1"/>
  <c r="AS25" i="1"/>
  <c r="AR25" i="1"/>
  <c r="AQ25" i="1"/>
  <c r="AP25" i="1"/>
  <c r="AO25" i="1"/>
  <c r="AN25" i="1"/>
  <c r="AM25" i="1"/>
  <c r="AL25" i="1"/>
  <c r="AK25" i="1"/>
  <c r="AJ25" i="1"/>
  <c r="AI25" i="1"/>
  <c r="AH25" i="1"/>
  <c r="AG25" i="1"/>
  <c r="AF25" i="1"/>
  <c r="AE25" i="1"/>
  <c r="AD25" i="1"/>
  <c r="AC25" i="1"/>
  <c r="AC26" i="1" s="1"/>
  <c r="AC27" i="1" s="1"/>
  <c r="AB25" i="1"/>
  <c r="AA25" i="1"/>
  <c r="Z25" i="1"/>
  <c r="Y25" i="1"/>
  <c r="X25" i="1"/>
  <c r="W25" i="1"/>
  <c r="V25" i="1"/>
  <c r="U25" i="1"/>
  <c r="T25" i="1"/>
  <c r="AA26" i="1" s="1"/>
  <c r="AA27" i="1" s="1"/>
  <c r="S25" i="1"/>
  <c r="R25" i="1"/>
  <c r="Q25" i="1"/>
  <c r="P25" i="1"/>
  <c r="O25" i="1"/>
  <c r="N25" i="1"/>
  <c r="M25" i="1"/>
  <c r="L25" i="1"/>
  <c r="K25" i="1"/>
  <c r="J25" i="1"/>
  <c r="I25" i="1"/>
  <c r="H25" i="1"/>
  <c r="G25" i="1"/>
  <c r="F25" i="1"/>
  <c r="E25" i="1"/>
  <c r="D25" i="1"/>
  <c r="C25" i="1"/>
  <c r="B25" i="1"/>
  <c r="AZ12" i="1"/>
  <c r="AY12" i="1"/>
  <c r="AX12" i="1"/>
  <c r="AW12" i="1"/>
  <c r="AV12" i="1"/>
  <c r="AU12" i="1"/>
  <c r="AT12" i="1"/>
  <c r="AS12" i="1"/>
  <c r="AR12" i="1"/>
  <c r="AQ12" i="1"/>
  <c r="AP12" i="1"/>
  <c r="AO12" i="1"/>
  <c r="AN12" i="1"/>
  <c r="AM12" i="1"/>
  <c r="AL12" i="1"/>
  <c r="AK12" i="1"/>
  <c r="AJ12" i="1"/>
  <c r="AI12" i="1"/>
  <c r="AH12" i="1"/>
  <c r="AG12" i="1"/>
  <c r="AF12" i="1"/>
  <c r="AE12" i="1"/>
  <c r="AD12" i="1"/>
  <c r="AC12" i="1"/>
  <c r="AB12" i="1"/>
  <c r="AA12" i="1"/>
  <c r="Z12" i="1"/>
  <c r="Y12" i="1"/>
  <c r="X12" i="1"/>
  <c r="AZ11" i="1"/>
  <c r="AY11" i="1"/>
  <c r="AX11" i="1"/>
  <c r="AW11" i="1"/>
  <c r="AV11" i="1"/>
  <c r="AU11" i="1"/>
  <c r="AT11" i="1"/>
  <c r="AS11" i="1"/>
  <c r="AR11" i="1"/>
  <c r="AQ11" i="1"/>
  <c r="AP11" i="1"/>
  <c r="AO11" i="1"/>
  <c r="AN11" i="1"/>
  <c r="AM11" i="1"/>
  <c r="AL11" i="1"/>
  <c r="AK11" i="1"/>
  <c r="AJ11" i="1"/>
  <c r="AI11" i="1"/>
  <c r="AH11" i="1"/>
  <c r="AG11" i="1"/>
  <c r="AF11" i="1"/>
  <c r="AE11" i="1"/>
  <c r="AD11" i="1"/>
  <c r="AC11" i="1"/>
  <c r="AB11" i="1"/>
  <c r="AA11" i="1"/>
  <c r="Z11" i="1"/>
  <c r="Y11" i="1"/>
  <c r="X11" i="1"/>
  <c r="I2" i="4" l="1"/>
  <c r="I14" i="4" s="1"/>
  <c r="I14" i="3"/>
  <c r="AP26" i="1"/>
  <c r="AP27" i="1" s="1"/>
  <c r="CK3" i="3"/>
  <c r="CL3" i="3" s="1"/>
  <c r="CM3" i="3" s="1"/>
  <c r="AV26" i="1"/>
  <c r="AV27" i="1" s="1"/>
  <c r="N29" i="13"/>
  <c r="M23" i="3"/>
  <c r="DK52" i="3"/>
  <c r="Y38" i="3" s="1"/>
  <c r="Y53" i="3" s="1"/>
  <c r="Y54" i="3" s="1"/>
  <c r="Y55" i="3" s="1"/>
  <c r="Y45" i="3"/>
  <c r="CJ6" i="3"/>
  <c r="CI18" i="3"/>
  <c r="CI19" i="3" s="1"/>
  <c r="CI17" i="3"/>
  <c r="CJ15" i="3"/>
  <c r="W48" i="3"/>
  <c r="AC2" i="4"/>
  <c r="AC14" i="3"/>
  <c r="BA2" i="4"/>
  <c r="BA14" i="3"/>
  <c r="DH56" i="3"/>
  <c r="V40" i="3" s="1"/>
  <c r="V41" i="3" s="1"/>
  <c r="V47" i="3"/>
  <c r="V48" i="3" s="1"/>
  <c r="AO2" i="4"/>
  <c r="AO14" i="3"/>
  <c r="AX26" i="1"/>
  <c r="AX27" i="1" s="1"/>
  <c r="AL26" i="1"/>
  <c r="AL27" i="1" s="1"/>
  <c r="Z26" i="1"/>
  <c r="Z27" i="1" s="1"/>
  <c r="AW26" i="1"/>
  <c r="AW27" i="1" s="1"/>
  <c r="AK26" i="1"/>
  <c r="AK27" i="1" s="1"/>
  <c r="Y26" i="1"/>
  <c r="Y27" i="1" s="1"/>
  <c r="AU26" i="1"/>
  <c r="AU27" i="1" s="1"/>
  <c r="AI26" i="1"/>
  <c r="AI27" i="1" s="1"/>
  <c r="AS26" i="1"/>
  <c r="AS27" i="1" s="1"/>
  <c r="AG26" i="1"/>
  <c r="AG27" i="1" s="1"/>
  <c r="AT26" i="1"/>
  <c r="AT27" i="1" s="1"/>
  <c r="AH26" i="1"/>
  <c r="AH27" i="1" s="1"/>
  <c r="AQ26" i="1"/>
  <c r="AQ27" i="1" s="1"/>
  <c r="AE26" i="1"/>
  <c r="AE27" i="1" s="1"/>
  <c r="AZ26" i="1"/>
  <c r="AZ27" i="1" s="1"/>
  <c r="AN26" i="1"/>
  <c r="AN27" i="1" s="1"/>
  <c r="AB26" i="1"/>
  <c r="AB27" i="1" s="1"/>
  <c r="AD26" i="1"/>
  <c r="AD27" i="1" s="1"/>
  <c r="AC13" i="3"/>
  <c r="AA99" i="7"/>
  <c r="T61" i="3"/>
  <c r="AV2" i="4"/>
  <c r="AV14" i="3"/>
  <c r="AV13" i="3"/>
  <c r="AJ2" i="4"/>
  <c r="AJ14" i="3"/>
  <c r="AJ13" i="3"/>
  <c r="CK5" i="3"/>
  <c r="AK13" i="4"/>
  <c r="AK14" i="4"/>
  <c r="CL5" i="3"/>
  <c r="Y13" i="4"/>
  <c r="Y14" i="4"/>
  <c r="AW13" i="4"/>
  <c r="AW14" i="4"/>
  <c r="AD13" i="3"/>
  <c r="AP13" i="3"/>
  <c r="BB13" i="3"/>
  <c r="AB14" i="3"/>
  <c r="AN14" i="3"/>
  <c r="CL33" i="3"/>
  <c r="J25" i="4"/>
  <c r="K34" i="3"/>
  <c r="K25" i="4" s="1"/>
  <c r="AS91" i="7"/>
  <c r="AL66" i="3"/>
  <c r="Z14" i="4"/>
  <c r="Z13" i="4"/>
  <c r="AL14" i="4"/>
  <c r="AL13" i="4"/>
  <c r="AX14" i="4"/>
  <c r="AX13" i="4"/>
  <c r="AE13" i="3"/>
  <c r="AQ13" i="3"/>
  <c r="BC13" i="3"/>
  <c r="P41" i="3"/>
  <c r="V45" i="3"/>
  <c r="DH52" i="3"/>
  <c r="V38" i="3" s="1"/>
  <c r="V53" i="3" s="1"/>
  <c r="V54" i="3" s="1"/>
  <c r="V55" i="3" s="1"/>
  <c r="H13" i="3"/>
  <c r="AF13" i="3"/>
  <c r="AR13" i="3"/>
  <c r="BD13" i="3"/>
  <c r="AD14" i="3"/>
  <c r="AP14" i="3"/>
  <c r="BB14" i="3"/>
  <c r="Q41" i="3"/>
  <c r="AA13" i="4"/>
  <c r="AA14" i="4"/>
  <c r="AM14" i="4"/>
  <c r="AM13" i="4"/>
  <c r="AY13" i="4"/>
  <c r="AY14" i="4"/>
  <c r="AB14" i="4"/>
  <c r="AB13" i="4"/>
  <c r="AN14" i="4"/>
  <c r="AN13" i="4"/>
  <c r="AZ14" i="4"/>
  <c r="AZ13" i="4"/>
  <c r="O6" i="3"/>
  <c r="AG13" i="3"/>
  <c r="AS13" i="3"/>
  <c r="BE13" i="3"/>
  <c r="AE14" i="3"/>
  <c r="AQ14" i="3"/>
  <c r="BC14" i="3"/>
  <c r="O34" i="3"/>
  <c r="AA53" i="3"/>
  <c r="AA54" i="3" s="1"/>
  <c r="AA55" i="3" s="1"/>
  <c r="AB38" i="3"/>
  <c r="BD14" i="4"/>
  <c r="BB13" i="4"/>
  <c r="BB14" i="4"/>
  <c r="AI13" i="3"/>
  <c r="AG14" i="3"/>
  <c r="AS14" i="3"/>
  <c r="BE14" i="3"/>
  <c r="R25" i="4"/>
  <c r="S34" i="3"/>
  <c r="I37" i="3"/>
  <c r="CG40" i="4" s="1"/>
  <c r="AD13" i="4"/>
  <c r="AD14" i="4"/>
  <c r="AP13" i="4"/>
  <c r="AP14" i="4"/>
  <c r="AE14" i="4"/>
  <c r="AE13" i="4"/>
  <c r="AQ14" i="4"/>
  <c r="AQ13" i="4"/>
  <c r="BC14" i="4"/>
  <c r="BC13" i="4"/>
  <c r="AH14" i="3"/>
  <c r="AT14" i="3"/>
  <c r="L48" i="3"/>
  <c r="H13" i="4"/>
  <c r="H14" i="4"/>
  <c r="AF13" i="4"/>
  <c r="AF14" i="4"/>
  <c r="AR13" i="4"/>
  <c r="AR14" i="4"/>
  <c r="Y13" i="3"/>
  <c r="AK13" i="3"/>
  <c r="AW13" i="3"/>
  <c r="AI14" i="3"/>
  <c r="AU14" i="3"/>
  <c r="DI46" i="3"/>
  <c r="W36" i="3" s="1"/>
  <c r="W43" i="3"/>
  <c r="W44" i="3" s="1"/>
  <c r="AS13" i="4"/>
  <c r="AS14" i="4"/>
  <c r="Z13" i="3"/>
  <c r="CI33" i="3"/>
  <c r="CP34" i="3" s="1"/>
  <c r="AG13" i="4"/>
  <c r="AG14" i="4"/>
  <c r="BE13" i="4"/>
  <c r="BE14" i="4"/>
  <c r="AH13" i="4"/>
  <c r="AH14" i="4"/>
  <c r="AT13" i="4"/>
  <c r="AT14" i="4"/>
  <c r="AA13" i="3"/>
  <c r="AM13" i="3"/>
  <c r="AY13" i="3"/>
  <c r="Y14" i="3"/>
  <c r="AK14" i="3"/>
  <c r="AW14" i="3"/>
  <c r="L15" i="3"/>
  <c r="X15" i="3"/>
  <c r="J16" i="3"/>
  <c r="X16" i="3"/>
  <c r="Q48" i="3"/>
  <c r="AI13" i="4"/>
  <c r="AI14" i="4"/>
  <c r="AU13" i="4"/>
  <c r="AU14" i="4"/>
  <c r="Z14" i="3"/>
  <c r="AL14" i="3"/>
  <c r="N37" i="3"/>
  <c r="N41" i="3"/>
  <c r="S48" i="3"/>
  <c r="AF97" i="7"/>
  <c r="Y63" i="3"/>
  <c r="CM29" i="3"/>
  <c r="DF46" i="3"/>
  <c r="T36" i="3" s="1"/>
  <c r="T37" i="3" s="1"/>
  <c r="DD56" i="3"/>
  <c r="R40" i="3" s="1"/>
  <c r="R41" i="3" s="1"/>
  <c r="R47" i="3"/>
  <c r="R48" i="3" s="1"/>
  <c r="S43" i="3"/>
  <c r="S44" i="3" s="1"/>
  <c r="DE46" i="3"/>
  <c r="S36" i="3" s="1"/>
  <c r="S37" i="3" s="1"/>
  <c r="DG46" i="3"/>
  <c r="U36" i="3" s="1"/>
  <c r="AF93" i="7"/>
  <c r="X87" i="4"/>
  <c r="T47" i="3"/>
  <c r="T48" i="3" s="1"/>
  <c r="DF56" i="3"/>
  <c r="T40" i="3" s="1"/>
  <c r="T41" i="3" s="1"/>
  <c r="AG93" i="7"/>
  <c r="Y87" i="4"/>
  <c r="Z68" i="3"/>
  <c r="K51" i="3"/>
  <c r="M51" i="3"/>
  <c r="N51" i="3" s="1"/>
  <c r="O51" i="3" s="1"/>
  <c r="P51" i="3" s="1"/>
  <c r="Q51" i="3" s="1"/>
  <c r="R51" i="3" s="1"/>
  <c r="S51" i="3" s="1"/>
  <c r="T51" i="3" s="1"/>
  <c r="U51" i="3" s="1"/>
  <c r="V51" i="3" s="1"/>
  <c r="W51" i="3" s="1"/>
  <c r="X51" i="3" s="1"/>
  <c r="Y51" i="3" s="1"/>
  <c r="Z51" i="3" s="1"/>
  <c r="AA51" i="3" s="1"/>
  <c r="AB51" i="3" s="1"/>
  <c r="AC51" i="3" s="1"/>
  <c r="AD51" i="3" s="1"/>
  <c r="AE51" i="3" s="1"/>
  <c r="AF51" i="3" s="1"/>
  <c r="AG51" i="3" s="1"/>
  <c r="AH51" i="3" s="1"/>
  <c r="AI51" i="3" s="1"/>
  <c r="AJ51" i="3" s="1"/>
  <c r="CK66" i="3"/>
  <c r="Z47" i="3"/>
  <c r="Z48" i="3" s="1"/>
  <c r="X48" i="3"/>
  <c r="DK60" i="3"/>
  <c r="Y42" i="3" s="1"/>
  <c r="R93" i="7"/>
  <c r="J87" i="4"/>
  <c r="K68" i="3"/>
  <c r="DM46" i="3"/>
  <c r="AA36" i="3" s="1"/>
  <c r="AA48" i="3"/>
  <c r="AB48" i="3" s="1"/>
  <c r="AC48" i="3" s="1"/>
  <c r="AD48" i="3" s="1"/>
  <c r="AE48" i="3" s="1"/>
  <c r="AF48" i="3" s="1"/>
  <c r="AG48" i="3" s="1"/>
  <c r="AH48" i="3" s="1"/>
  <c r="AI48" i="3" s="1"/>
  <c r="AJ48" i="3" s="1"/>
  <c r="AK48" i="3" s="1"/>
  <c r="AL48" i="3" s="1"/>
  <c r="AM48" i="3" s="1"/>
  <c r="AN48" i="3" s="1"/>
  <c r="AO48" i="3" s="1"/>
  <c r="AP48" i="3" s="1"/>
  <c r="AQ48" i="3" s="1"/>
  <c r="AR48" i="3" s="1"/>
  <c r="AS48" i="3" s="1"/>
  <c r="AT48" i="3" s="1"/>
  <c r="AU48" i="3" s="1"/>
  <c r="AV48" i="3" s="1"/>
  <c r="AW48" i="3" s="1"/>
  <c r="AX48" i="3" s="1"/>
  <c r="AY48" i="3" s="1"/>
  <c r="AZ48" i="3" s="1"/>
  <c r="BA48" i="3" s="1"/>
  <c r="BB48" i="3" s="1"/>
  <c r="BC48" i="3" s="1"/>
  <c r="BD48" i="3" s="1"/>
  <c r="BE48" i="3" s="1"/>
  <c r="BR48" i="3"/>
  <c r="BS48" i="3" s="1"/>
  <c r="BT48" i="3" s="1"/>
  <c r="BU48" i="3" s="1"/>
  <c r="BV48" i="3" s="1"/>
  <c r="BW48" i="3" s="1"/>
  <c r="BX48" i="3" s="1"/>
  <c r="BY48" i="3" s="1"/>
  <c r="BZ48" i="3" s="1"/>
  <c r="U95" i="7"/>
  <c r="U90" i="7"/>
  <c r="Y43" i="3"/>
  <c r="DM45" i="3"/>
  <c r="AA43" i="3" s="1"/>
  <c r="DJ56" i="3"/>
  <c r="X40" i="3" s="1"/>
  <c r="X41" i="3" s="1"/>
  <c r="U98" i="7"/>
  <c r="N59" i="3"/>
  <c r="N70" i="3"/>
  <c r="N47" i="3"/>
  <c r="N48" i="3" s="1"/>
  <c r="P48" i="3"/>
  <c r="V93" i="7"/>
  <c r="N87" i="4"/>
  <c r="Z95" i="7"/>
  <c r="Z90" i="7"/>
  <c r="BG13" i="4"/>
  <c r="BH14" i="4"/>
  <c r="BC4" i="13"/>
  <c r="BC5" i="13" s="1"/>
  <c r="BB18" i="4"/>
  <c r="L35" i="4"/>
  <c r="N63" i="3"/>
  <c r="O68" i="3"/>
  <c r="S70" i="3"/>
  <c r="M44" i="4"/>
  <c r="M40" i="4"/>
  <c r="AN6" i="13"/>
  <c r="AM19" i="4"/>
  <c r="AO8" i="13"/>
  <c r="AN20" i="4"/>
  <c r="O43" i="4"/>
  <c r="O40" i="4"/>
  <c r="O44" i="4"/>
  <c r="X59" i="3"/>
  <c r="CH60" i="3"/>
  <c r="Z93" i="7"/>
  <c r="R87" i="4"/>
  <c r="AO2" i="13"/>
  <c r="AN16" i="4"/>
  <c r="K34" i="4"/>
  <c r="K35" i="4"/>
  <c r="K30" i="4"/>
  <c r="CH65" i="3"/>
  <c r="AA93" i="7"/>
  <c r="S87" i="4"/>
  <c r="AE90" i="7"/>
  <c r="AE95" i="7"/>
  <c r="AB93" i="7"/>
  <c r="T87" i="4"/>
  <c r="AF95" i="7"/>
  <c r="AF90" i="7"/>
  <c r="AP4" i="13"/>
  <c r="AP5" i="13" s="1"/>
  <c r="AO18" i="4"/>
  <c r="T63" i="3"/>
  <c r="U68" i="3"/>
  <c r="R95" i="7"/>
  <c r="R90" i="7"/>
  <c r="Y70" i="3"/>
  <c r="AR3" i="14"/>
  <c r="AM23" i="4"/>
  <c r="N30" i="4"/>
  <c r="N34" i="4"/>
  <c r="CH63" i="3"/>
  <c r="AE93" i="7"/>
  <c r="W87" i="4"/>
  <c r="K70" i="3"/>
  <c r="S59" i="3"/>
  <c r="K63" i="3"/>
  <c r="S97" i="7" s="1"/>
  <c r="U93" i="7"/>
  <c r="M87" i="4"/>
  <c r="BQ42" i="4"/>
  <c r="BR41" i="4"/>
  <c r="N59" i="4"/>
  <c r="O59" i="4" s="1"/>
  <c r="P59" i="4" s="1"/>
  <c r="Q59" i="4" s="1"/>
  <c r="R59" i="4" s="1"/>
  <c r="S59" i="4" s="1"/>
  <c r="T59" i="4" s="1"/>
  <c r="U59" i="4" s="1"/>
  <c r="V59" i="4" s="1"/>
  <c r="W59" i="4" s="1"/>
  <c r="X59" i="4" s="1"/>
  <c r="Y59" i="4" s="1"/>
  <c r="Z59" i="4" s="1"/>
  <c r="AA59" i="4" s="1"/>
  <c r="AB59" i="4" s="1"/>
  <c r="AC59" i="4" s="1"/>
  <c r="AD59" i="4" s="1"/>
  <c r="AE59" i="4" s="1"/>
  <c r="AF59" i="4" s="1"/>
  <c r="AG59" i="4" s="1"/>
  <c r="AH59" i="4" s="1"/>
  <c r="AI59" i="4" s="1"/>
  <c r="J27" i="4"/>
  <c r="K27" i="4" s="1"/>
  <c r="L27" i="4" s="1"/>
  <c r="M27" i="4" s="1"/>
  <c r="N27" i="4" s="1"/>
  <c r="O27" i="4" s="1"/>
  <c r="P27" i="4" s="1"/>
  <c r="Q27" i="4" s="1"/>
  <c r="R27" i="4" s="1"/>
  <c r="S27" i="4" s="1"/>
  <c r="T27" i="4" s="1"/>
  <c r="U27" i="4" s="1"/>
  <c r="V27" i="4" s="1"/>
  <c r="W27" i="4" s="1"/>
  <c r="X27" i="4" s="1"/>
  <c r="Y27" i="4" s="1"/>
  <c r="Z27" i="4" s="1"/>
  <c r="AA27" i="4" s="1"/>
  <c r="J28" i="4"/>
  <c r="K28" i="4" s="1"/>
  <c r="L28" i="4" s="1"/>
  <c r="M28" i="4" s="1"/>
  <c r="N28" i="4" s="1"/>
  <c r="O28" i="4" s="1"/>
  <c r="P28" i="4" s="1"/>
  <c r="Q28" i="4" s="1"/>
  <c r="R28" i="4" s="1"/>
  <c r="S28" i="4" s="1"/>
  <c r="T28" i="4" s="1"/>
  <c r="U28" i="4" s="1"/>
  <c r="V28" i="4" s="1"/>
  <c r="W28" i="4" s="1"/>
  <c r="X28" i="4" s="1"/>
  <c r="Y28" i="4" s="1"/>
  <c r="Z28" i="4" s="1"/>
  <c r="AA28" i="4" s="1"/>
  <c r="CN38" i="4"/>
  <c r="DW41" i="4"/>
  <c r="I35" i="4"/>
  <c r="I34" i="4"/>
  <c r="J35" i="4"/>
  <c r="AN42" i="4"/>
  <c r="DM53" i="4"/>
  <c r="AB68" i="4"/>
  <c r="AC68" i="4" s="1"/>
  <c r="AD68" i="4" s="1"/>
  <c r="AE68" i="4" s="1"/>
  <c r="AF68" i="4" s="1"/>
  <c r="AG68" i="4" s="1"/>
  <c r="AH68" i="4" s="1"/>
  <c r="AI68" i="4" s="1"/>
  <c r="AJ68" i="4" s="1"/>
  <c r="AK68" i="4" s="1"/>
  <c r="AL68" i="4" s="1"/>
  <c r="AM68" i="4" s="1"/>
  <c r="AN68" i="4" s="1"/>
  <c r="AO68" i="4" s="1"/>
  <c r="AP68" i="4" s="1"/>
  <c r="AQ68" i="4" s="1"/>
  <c r="AR68" i="4" s="1"/>
  <c r="AS68" i="4" s="1"/>
  <c r="AT68" i="4" s="1"/>
  <c r="AU68" i="4" s="1"/>
  <c r="AV68" i="4" s="1"/>
  <c r="AW68" i="4" s="1"/>
  <c r="AX68" i="4" s="1"/>
  <c r="AY68" i="4" s="1"/>
  <c r="AZ68" i="4" s="1"/>
  <c r="BA68" i="4" s="1"/>
  <c r="BB68" i="4" s="1"/>
  <c r="BC68" i="4" s="1"/>
  <c r="BD68" i="4" s="1"/>
  <c r="BE68" i="4" s="1"/>
  <c r="BL35" i="7"/>
  <c r="BE70" i="4"/>
  <c r="BM35" i="7" s="1"/>
  <c r="J30" i="4"/>
  <c r="BP42" i="4"/>
  <c r="I13" i="4" s="1"/>
  <c r="W31" i="7"/>
  <c r="P68" i="4"/>
  <c r="X31" i="7" s="1"/>
  <c r="P30" i="4"/>
  <c r="P34" i="4"/>
  <c r="DL52" i="4"/>
  <c r="AU19" i="7"/>
  <c r="BG20" i="7"/>
  <c r="AV10" i="7"/>
  <c r="AO89" i="4"/>
  <c r="AP89" i="4" s="1"/>
  <c r="AQ89" i="4" s="1"/>
  <c r="DG53" i="4"/>
  <c r="AW17" i="7"/>
  <c r="BI17" i="7"/>
  <c r="Y15" i="7"/>
  <c r="AK15" i="7"/>
  <c r="AX16" i="7"/>
  <c r="AV6" i="7"/>
  <c r="BH6" i="7"/>
  <c r="AL74" i="7"/>
  <c r="AC68" i="5"/>
  <c r="AD68" i="5" s="1"/>
  <c r="AV20" i="7"/>
  <c r="BJ17" i="7"/>
  <c r="Z15" i="7"/>
  <c r="AL15" i="7"/>
  <c r="X57" i="7"/>
  <c r="AY17" i="7"/>
  <c r="AA15" i="7"/>
  <c r="AM15" i="7"/>
  <c r="AX6" i="7"/>
  <c r="BJ6" i="7"/>
  <c r="AT10" i="7"/>
  <c r="AB15" i="7"/>
  <c r="AN15" i="7"/>
  <c r="AY6" i="7"/>
  <c r="BK6" i="7"/>
  <c r="AF31" i="7"/>
  <c r="AZ19" i="7"/>
  <c r="BL19" i="7"/>
  <c r="AC15" i="7"/>
  <c r="AO15" i="7"/>
  <c r="BB16" i="7"/>
  <c r="AZ6" i="7"/>
  <c r="BL6" i="7"/>
  <c r="BB17" i="7"/>
  <c r="R15" i="7"/>
  <c r="AD15" i="7"/>
  <c r="AP15" i="7"/>
  <c r="BC16" i="7"/>
  <c r="BA6" i="7"/>
  <c r="BM6" i="7"/>
  <c r="W128" i="4"/>
  <c r="X128" i="4" s="1"/>
  <c r="Y128" i="4" s="1"/>
  <c r="Z128" i="4" s="1"/>
  <c r="AA128" i="4" s="1"/>
  <c r="AB128" i="4" s="1"/>
  <c r="AC128" i="4" s="1"/>
  <c r="AD128" i="4" s="1"/>
  <c r="AE128" i="4" s="1"/>
  <c r="AF128" i="4" s="1"/>
  <c r="AG128" i="4" s="1"/>
  <c r="AH128" i="4" s="1"/>
  <c r="AI128" i="4" s="1"/>
  <c r="AJ128" i="4" s="1"/>
  <c r="AK128" i="4" s="1"/>
  <c r="BJ130" i="4" s="1"/>
  <c r="BK124" i="4" s="1"/>
  <c r="BL124" i="4" s="1"/>
  <c r="BG127" i="4" s="1"/>
  <c r="S15" i="7"/>
  <c r="AE15" i="7"/>
  <c r="AQ15" i="7"/>
  <c r="BG31" i="7"/>
  <c r="T15" i="7"/>
  <c r="AF15" i="7"/>
  <c r="AR15" i="7"/>
  <c r="BE16" i="7"/>
  <c r="BC6" i="7"/>
  <c r="U15" i="7"/>
  <c r="AG15" i="7"/>
  <c r="AT16" i="7"/>
  <c r="BD20" i="7"/>
  <c r="BE6" i="7"/>
  <c r="W15" i="7"/>
  <c r="AI15" i="7"/>
  <c r="AT6" i="7"/>
  <c r="BF6" i="7"/>
  <c r="AW10" i="7"/>
  <c r="V15" i="7"/>
  <c r="AH15" i="7"/>
  <c r="AA57" i="7"/>
  <c r="AM57" i="7"/>
  <c r="U31" i="7"/>
  <c r="R74" i="7"/>
  <c r="AT19" i="7"/>
  <c r="BF19" i="7"/>
  <c r="AB57" i="7"/>
  <c r="AN57" i="7"/>
  <c r="AS16" i="7"/>
  <c r="AS17" i="7"/>
  <c r="BH17" i="7"/>
  <c r="AC57" i="7"/>
  <c r="AO57" i="7"/>
  <c r="AG31" i="7"/>
  <c r="R57" i="7"/>
  <c r="AD57" i="7"/>
  <c r="AP57" i="7"/>
  <c r="S31" i="7"/>
  <c r="AE31" i="7"/>
  <c r="AQ31" i="7"/>
  <c r="BC31" i="7"/>
  <c r="AJ31" i="7"/>
  <c r="BI19" i="7"/>
  <c r="BN125" i="4"/>
  <c r="BO125" i="4" s="1"/>
  <c r="BP125" i="4" s="1"/>
  <c r="BQ125" i="4" s="1"/>
  <c r="BR125" i="4" s="1"/>
  <c r="BS125" i="4" s="1"/>
  <c r="BT125" i="4" s="1"/>
  <c r="AL86" i="5"/>
  <c r="AS31" i="7"/>
  <c r="AK74" i="7"/>
  <c r="AA74" i="7"/>
  <c r="AM74" i="7"/>
  <c r="X74" i="7"/>
  <c r="BJ19" i="7"/>
  <c r="AZ16" i="7"/>
  <c r="T57" i="7"/>
  <c r="AF57" i="7"/>
  <c r="AR57" i="7"/>
  <c r="AS19" i="7"/>
  <c r="AV31" i="7"/>
  <c r="BA16" i="7"/>
  <c r="BM16" i="7"/>
  <c r="U57" i="7"/>
  <c r="AG57" i="7"/>
  <c r="AS57" i="7"/>
  <c r="AA31" i="7"/>
  <c r="AM31" i="7"/>
  <c r="AY31" i="7"/>
  <c r="BK31" i="7"/>
  <c r="V31" i="7"/>
  <c r="AH31" i="7"/>
  <c r="AT31" i="7"/>
  <c r="BF31" i="7"/>
  <c r="BE31" i="7"/>
  <c r="BM17" i="7"/>
  <c r="AT59" i="7"/>
  <c r="V57" i="7"/>
  <c r="AH57" i="7"/>
  <c r="AT58" i="7"/>
  <c r="W10" i="7"/>
  <c r="AI10" i="7"/>
  <c r="AU10" i="7"/>
  <c r="AB31" i="7"/>
  <c r="AN31" i="7"/>
  <c r="AZ31" i="7"/>
  <c r="BL31" i="7"/>
  <c r="BH31" i="7"/>
  <c r="AL85" i="4"/>
  <c r="AM85" i="4" s="1"/>
  <c r="AN85" i="4" s="1"/>
  <c r="AO85" i="4" s="1"/>
  <c r="AP85" i="4" s="1"/>
  <c r="AQ85" i="4" s="1"/>
  <c r="AR85" i="4" s="1"/>
  <c r="AS85" i="4" s="1"/>
  <c r="AT85" i="4" s="1"/>
  <c r="AU85" i="4" s="1"/>
  <c r="AV85" i="4" s="1"/>
  <c r="AW85" i="4" s="1"/>
  <c r="AX85" i="4" s="1"/>
  <c r="AY85" i="4" s="1"/>
  <c r="AZ85" i="4" s="1"/>
  <c r="BA85" i="4" s="1"/>
  <c r="BB85" i="4" s="1"/>
  <c r="BC85" i="4" s="1"/>
  <c r="BD85" i="4" s="1"/>
  <c r="BE85" i="4" s="1"/>
  <c r="BM20" i="7" s="1"/>
  <c r="W57" i="7"/>
  <c r="AI57" i="7"/>
  <c r="AC31" i="7"/>
  <c r="AO31" i="7"/>
  <c r="BA31" i="7"/>
  <c r="BM31" i="7"/>
  <c r="R31" i="7"/>
  <c r="AP31" i="7"/>
  <c r="BB31" i="7"/>
  <c r="AK31" i="7"/>
  <c r="AW31" i="7"/>
  <c r="BI31" i="7"/>
  <c r="BD17" i="7"/>
  <c r="Y57" i="7"/>
  <c r="AK57" i="7"/>
  <c r="Z31" i="7"/>
  <c r="AL31" i="7"/>
  <c r="AX31" i="7"/>
  <c r="BJ31" i="7"/>
  <c r="Z57" i="7"/>
  <c r="AL57" i="7"/>
  <c r="AF74" i="7"/>
  <c r="V74" i="7"/>
  <c r="AH74" i="7"/>
  <c r="AJ74" i="7"/>
  <c r="Z74" i="7"/>
  <c r="Q74" i="7"/>
  <c r="AC74" i="7"/>
  <c r="S74" i="7"/>
  <c r="AE74" i="7"/>
  <c r="AA2" i="10"/>
  <c r="Z7" i="10"/>
  <c r="Z6" i="10"/>
  <c r="AG74" i="7"/>
  <c r="Y123" i="11"/>
  <c r="Z123" i="11" s="1"/>
  <c r="AA123" i="11" s="1"/>
  <c r="AB123" i="11" s="1"/>
  <c r="AC123" i="11" s="1"/>
  <c r="AD123" i="11" s="1"/>
  <c r="AE123" i="11" s="1"/>
  <c r="AF123" i="11" s="1"/>
  <c r="AG123" i="11" s="1"/>
  <c r="AH123" i="11" s="1"/>
  <c r="AI123" i="11" s="1"/>
  <c r="AJ123" i="11" s="1"/>
  <c r="AL123" i="11" s="1"/>
  <c r="AM123" i="11" s="1"/>
  <c r="AN123" i="11" s="1"/>
  <c r="AO123" i="11" s="1"/>
  <c r="AP123" i="11" s="1"/>
  <c r="AQ123" i="11" s="1"/>
  <c r="AR123" i="11" s="1"/>
  <c r="AS123" i="11" s="1"/>
  <c r="AT123" i="11" s="1"/>
  <c r="AU123" i="11" s="1"/>
  <c r="AV123" i="11" s="1"/>
  <c r="AW123" i="11" s="1"/>
  <c r="AX123" i="11" s="1"/>
  <c r="AA7" i="11"/>
  <c r="AA6" i="11"/>
  <c r="AB2" i="11"/>
  <c r="W74" i="7"/>
  <c r="AI74" i="7"/>
  <c r="AA28" i="10"/>
  <c r="AB28" i="10" s="1"/>
  <c r="AC28" i="10" s="1"/>
  <c r="AD28" i="10" s="1"/>
  <c r="AE28" i="10" s="1"/>
  <c r="AF28" i="10" s="1"/>
  <c r="AG28" i="10" s="1"/>
  <c r="AH28" i="10" s="1"/>
  <c r="AI28" i="10" s="1"/>
  <c r="AJ28" i="10" s="1"/>
  <c r="I22" i="11"/>
  <c r="Y7" i="11"/>
  <c r="Z7" i="11"/>
  <c r="J23" i="11"/>
  <c r="L32" i="10"/>
  <c r="M32" i="10" s="1"/>
  <c r="N32" i="10" s="1"/>
  <c r="O32" i="10" s="1"/>
  <c r="AD43" i="12"/>
  <c r="CR30" i="3" l="1"/>
  <c r="CG30" i="3"/>
  <c r="CH34" i="3"/>
  <c r="CO30" i="3" s="1"/>
  <c r="CI30" i="3"/>
  <c r="CH30" i="3"/>
  <c r="CK34" i="3"/>
  <c r="CN30" i="3" s="1"/>
  <c r="CF30" i="3"/>
  <c r="CE30" i="3"/>
  <c r="CJ30" i="3"/>
  <c r="CQ30" i="3"/>
  <c r="AT57" i="7"/>
  <c r="U41" i="3"/>
  <c r="U37" i="3"/>
  <c r="AV17" i="7"/>
  <c r="BG17" i="7"/>
  <c r="BH16" i="7"/>
  <c r="AX17" i="7"/>
  <c r="AX15" i="7" s="1"/>
  <c r="AU20" i="7"/>
  <c r="BR42" i="4"/>
  <c r="AS3" i="14"/>
  <c r="AN23" i="4"/>
  <c r="O29" i="13"/>
  <c r="N23" i="3"/>
  <c r="I24" i="11"/>
  <c r="J22" i="11"/>
  <c r="BL16" i="7"/>
  <c r="AU17" i="7"/>
  <c r="AV16" i="7"/>
  <c r="BF16" i="7"/>
  <c r="BD16" i="7"/>
  <c r="BK17" i="7"/>
  <c r="BH20" i="7"/>
  <c r="BG19" i="7"/>
  <c r="AO42" i="4"/>
  <c r="DN53" i="4"/>
  <c r="CK60" i="3"/>
  <c r="CM60" i="3" s="1"/>
  <c r="CP60" i="3" s="1"/>
  <c r="N8" i="3" s="1"/>
  <c r="CI62" i="3"/>
  <c r="AC13" i="4"/>
  <c r="AC14" i="4"/>
  <c r="AA90" i="7"/>
  <c r="AA95" i="7"/>
  <c r="T70" i="3"/>
  <c r="CI34" i="3"/>
  <c r="AJ14" i="4"/>
  <c r="AJ13" i="4"/>
  <c r="W93" i="7"/>
  <c r="O87" i="4"/>
  <c r="P68" i="3"/>
  <c r="AB36" i="3"/>
  <c r="AA41" i="3"/>
  <c r="AB41" i="3" s="1"/>
  <c r="AC41" i="3" s="1"/>
  <c r="AD41" i="3" s="1"/>
  <c r="AE41" i="3" s="1"/>
  <c r="AF41" i="3" s="1"/>
  <c r="AG41" i="3" s="1"/>
  <c r="AH41" i="3" s="1"/>
  <c r="AI41" i="3" s="1"/>
  <c r="AJ41" i="3" s="1"/>
  <c r="AK41" i="3" s="1"/>
  <c r="AL41" i="3" s="1"/>
  <c r="AM41" i="3" s="1"/>
  <c r="AN41" i="3" s="1"/>
  <c r="AO41" i="3" s="1"/>
  <c r="AP41" i="3" s="1"/>
  <c r="AQ41" i="3" s="1"/>
  <c r="AR41" i="3" s="1"/>
  <c r="AS41" i="3" s="1"/>
  <c r="AT41" i="3" s="1"/>
  <c r="AU41" i="3" s="1"/>
  <c r="AV41" i="3" s="1"/>
  <c r="AW41" i="3" s="1"/>
  <c r="AX41" i="3" s="1"/>
  <c r="AY41" i="3" s="1"/>
  <c r="AZ41" i="3" s="1"/>
  <c r="BA41" i="3" s="1"/>
  <c r="BB41" i="3" s="1"/>
  <c r="BC41" i="3" s="1"/>
  <c r="BD41" i="3" s="1"/>
  <c r="BE41" i="3" s="1"/>
  <c r="AA37" i="3"/>
  <c r="AH93" i="7"/>
  <c r="Z87" i="4"/>
  <c r="AA68" i="3"/>
  <c r="CJ17" i="3"/>
  <c r="CJ18" i="3" s="1"/>
  <c r="CJ19" i="3" s="1"/>
  <c r="CK15" i="3"/>
  <c r="AT60" i="7"/>
  <c r="AM86" i="5"/>
  <c r="AX19" i="7"/>
  <c r="BE20" i="7"/>
  <c r="BM19" i="7"/>
  <c r="BM15" i="7" s="1"/>
  <c r="BK20" i="7"/>
  <c r="AZ17" i="7"/>
  <c r="AZ15" i="7" s="1"/>
  <c r="AW20" i="7"/>
  <c r="BH19" i="7"/>
  <c r="BB20" i="7"/>
  <c r="V97" i="7"/>
  <c r="O63" i="3"/>
  <c r="V90" i="7"/>
  <c r="V95" i="7"/>
  <c r="O70" i="3"/>
  <c r="S93" i="7"/>
  <c r="K87" i="4"/>
  <c r="AT91" i="7"/>
  <c r="AM66" i="3"/>
  <c r="CN3" i="3"/>
  <c r="CM5" i="3"/>
  <c r="AB7" i="11"/>
  <c r="AB6" i="11"/>
  <c r="AC2" i="11"/>
  <c r="AT61" i="7"/>
  <c r="BE17" i="7"/>
  <c r="BC17" i="7"/>
  <c r="BC15" i="7" s="1"/>
  <c r="BA19" i="7"/>
  <c r="AY20" i="7"/>
  <c r="BK19" i="7"/>
  <c r="AU31" i="7"/>
  <c r="AV19" i="7"/>
  <c r="BB19" i="7"/>
  <c r="BB15" i="7" s="1"/>
  <c r="BF20" i="7"/>
  <c r="AA98" i="7"/>
  <c r="T59" i="3"/>
  <c r="AC93" i="7"/>
  <c r="U87" i="4"/>
  <c r="CK65" i="3"/>
  <c r="CM65" i="3" s="1"/>
  <c r="CP65" i="3" s="1"/>
  <c r="V98" i="7"/>
  <c r="O59" i="3"/>
  <c r="O6" i="4"/>
  <c r="P6" i="3"/>
  <c r="AO14" i="4"/>
  <c r="AO13" i="4"/>
  <c r="BI20" i="7"/>
  <c r="BG16" i="7"/>
  <c r="BG15" i="7" s="1"/>
  <c r="BL20" i="7"/>
  <c r="BD31" i="7"/>
  <c r="AY19" i="7"/>
  <c r="AN74" i="7"/>
  <c r="AE68" i="5"/>
  <c r="BJ20" i="7"/>
  <c r="AT20" i="7"/>
  <c r="DX41" i="4"/>
  <c r="S90" i="7"/>
  <c r="S95" i="7"/>
  <c r="AB97" i="7"/>
  <c r="U63" i="3"/>
  <c r="AC97" i="7" s="1"/>
  <c r="AP8" i="13"/>
  <c r="AO20" i="4"/>
  <c r="BD4" i="13"/>
  <c r="BD5" i="13" s="1"/>
  <c r="BC18" i="4"/>
  <c r="AG97" i="7"/>
  <c r="Z63" i="3"/>
  <c r="Z27" i="13"/>
  <c r="Z28" i="13" s="1"/>
  <c r="Y16" i="3"/>
  <c r="CM33" i="3"/>
  <c r="AV14" i="4"/>
  <c r="AV13" i="4"/>
  <c r="J2" i="3"/>
  <c r="CK6" i="3"/>
  <c r="S41" i="3"/>
  <c r="AG95" i="7"/>
  <c r="AG90" i="7"/>
  <c r="Z70" i="3"/>
  <c r="AF98" i="7"/>
  <c r="Y59" i="3"/>
  <c r="AS15" i="7"/>
  <c r="BL17" i="7"/>
  <c r="BD19" i="7"/>
  <c r="AT62" i="7"/>
  <c r="AU16" i="7"/>
  <c r="AU15" i="7" s="1"/>
  <c r="AZ20" i="7"/>
  <c r="AR31" i="7"/>
  <c r="BK16" i="7"/>
  <c r="AX20" i="7"/>
  <c r="BA20" i="7"/>
  <c r="CN43" i="4"/>
  <c r="P39" i="4" s="1"/>
  <c r="CO38" i="4"/>
  <c r="AQ4" i="13"/>
  <c r="AQ5" i="13" s="1"/>
  <c r="AP18" i="4"/>
  <c r="L27" i="13"/>
  <c r="L28" i="13" s="1"/>
  <c r="K16" i="3"/>
  <c r="W41" i="3"/>
  <c r="W37" i="3"/>
  <c r="AB99" i="7"/>
  <c r="U61" i="3"/>
  <c r="BE15" i="7"/>
  <c r="BN124" i="4"/>
  <c r="BO124" i="4" s="1"/>
  <c r="BP124" i="4" s="1"/>
  <c r="BQ124" i="4" s="1"/>
  <c r="BR124" i="4" s="1"/>
  <c r="BS124" i="4" s="1"/>
  <c r="BT124" i="4" s="1"/>
  <c r="AY16" i="7"/>
  <c r="AY15" i="7" s="1"/>
  <c r="DF53" i="4"/>
  <c r="AH42" i="4" s="1"/>
  <c r="AI42" i="4"/>
  <c r="DM52" i="4"/>
  <c r="AN33" i="4"/>
  <c r="AJ22" i="12"/>
  <c r="AB28" i="4"/>
  <c r="AC28" i="4" s="1"/>
  <c r="AD28" i="4" s="1"/>
  <c r="AE28" i="4" s="1"/>
  <c r="AF28" i="4" s="1"/>
  <c r="AG28" i="4" s="1"/>
  <c r="AH28" i="4" s="1"/>
  <c r="AO6" i="13"/>
  <c r="AN19" i="4"/>
  <c r="AA44" i="3"/>
  <c r="AB43" i="3"/>
  <c r="Z26" i="13"/>
  <c r="Y15" i="3"/>
  <c r="AB53" i="3"/>
  <c r="AB54" i="3" s="1"/>
  <c r="AB55" i="3" s="1"/>
  <c r="AC38" i="3"/>
  <c r="I13" i="3"/>
  <c r="BF17" i="7"/>
  <c r="BC19" i="7"/>
  <c r="BA17" i="7"/>
  <c r="BA15" i="7" s="1"/>
  <c r="AW19" i="7"/>
  <c r="BI16" i="7"/>
  <c r="BI15" i="7" s="1"/>
  <c r="AT17" i="7"/>
  <c r="AT15" i="7" s="1"/>
  <c r="AR89" i="4"/>
  <c r="AY10" i="7"/>
  <c r="BC20" i="7"/>
  <c r="AJ21" i="12"/>
  <c r="AB27" i="4"/>
  <c r="AC27" i="4" s="1"/>
  <c r="AD27" i="4" s="1"/>
  <c r="AE27" i="4" s="1"/>
  <c r="AF27" i="4" s="1"/>
  <c r="AG27" i="4" s="1"/>
  <c r="AH27" i="4" s="1"/>
  <c r="CI64" i="3"/>
  <c r="CK64" i="3" s="1"/>
  <c r="CM64" i="3" s="1"/>
  <c r="CP64" i="3" s="1"/>
  <c r="N12" i="3" s="1"/>
  <c r="CK63" i="3"/>
  <c r="CM63" i="3" s="1"/>
  <c r="CP63" i="3" s="1"/>
  <c r="N11" i="3" s="1"/>
  <c r="AP2" i="13"/>
  <c r="AO16" i="4"/>
  <c r="Y44" i="3"/>
  <c r="Y48" i="3"/>
  <c r="N26" i="13"/>
  <c r="M15" i="3"/>
  <c r="S25" i="4"/>
  <c r="T34" i="3"/>
  <c r="AB2" i="10"/>
  <c r="AA6" i="10"/>
  <c r="AA7" i="10"/>
  <c r="K23" i="11"/>
  <c r="J25" i="11"/>
  <c r="AW16" i="7"/>
  <c r="BE19" i="7"/>
  <c r="BJ16" i="7"/>
  <c r="AX10" i="7"/>
  <c r="O25" i="4"/>
  <c r="P34" i="3"/>
  <c r="P25" i="4" s="1"/>
  <c r="CL34" i="3"/>
  <c r="BA14" i="4"/>
  <c r="BA13" i="4"/>
  <c r="CO3" i="3" l="1"/>
  <c r="CN5" i="3"/>
  <c r="AC99" i="7"/>
  <c r="V61" i="3"/>
  <c r="BK15" i="7"/>
  <c r="W98" i="7"/>
  <c r="P59" i="3"/>
  <c r="X98" i="7" s="1"/>
  <c r="BD15" i="7"/>
  <c r="AB44" i="3"/>
  <c r="AC43" i="3"/>
  <c r="BJ15" i="7"/>
  <c r="AP6" i="13"/>
  <c r="AO19" i="4"/>
  <c r="AQ8" i="13"/>
  <c r="AP20" i="4"/>
  <c r="BF15" i="7"/>
  <c r="K2" i="3"/>
  <c r="CL6" i="3"/>
  <c r="AB37" i="3"/>
  <c r="AC36" i="3"/>
  <c r="AV15" i="7"/>
  <c r="W95" i="7"/>
  <c r="W90" i="7"/>
  <c r="P70" i="3"/>
  <c r="X93" i="7"/>
  <c r="P87" i="4"/>
  <c r="AW15" i="7"/>
  <c r="J2" i="4"/>
  <c r="J14" i="3"/>
  <c r="J13" i="3"/>
  <c r="AU60" i="7"/>
  <c r="AN86" i="5"/>
  <c r="AU59" i="7"/>
  <c r="AU62" i="7"/>
  <c r="AU58" i="7"/>
  <c r="AU61" i="7"/>
  <c r="CK61" i="3"/>
  <c r="CM61" i="3" s="1"/>
  <c r="CP61" i="3" s="1"/>
  <c r="N9" i="3" s="1"/>
  <c r="CK62" i="3"/>
  <c r="CM62" i="3" s="1"/>
  <c r="CP62" i="3" s="1"/>
  <c r="N10" i="3" s="1"/>
  <c r="CK59" i="3"/>
  <c r="CM59" i="3" s="1"/>
  <c r="CP59" i="3" s="1"/>
  <c r="N7" i="3" s="1"/>
  <c r="BL15" i="7"/>
  <c r="BH15" i="7"/>
  <c r="AQ2" i="13"/>
  <c r="AP16" i="4"/>
  <c r="AI28" i="4"/>
  <c r="AJ28" i="4" s="1"/>
  <c r="BG28" i="4"/>
  <c r="N11" i="4"/>
  <c r="O11" i="3"/>
  <c r="AB98" i="7"/>
  <c r="U59" i="3"/>
  <c r="AC98" i="7" s="1"/>
  <c r="AD2" i="11"/>
  <c r="AC7" i="11"/>
  <c r="AC6" i="11"/>
  <c r="N8" i="4"/>
  <c r="O8" i="3"/>
  <c r="AT3" i="14"/>
  <c r="AO23" i="4"/>
  <c r="AS89" i="4"/>
  <c r="AZ10" i="7"/>
  <c r="BE4" i="13"/>
  <c r="BE5" i="13" s="1"/>
  <c r="BD18" i="4"/>
  <c r="BF4" i="13" s="1"/>
  <c r="BF5" i="13" s="1"/>
  <c r="AF68" i="5"/>
  <c r="AO74" i="7"/>
  <c r="AU91" i="7"/>
  <c r="AN66" i="3"/>
  <c r="CM34" i="3"/>
  <c r="CP33" i="3"/>
  <c r="W97" i="7"/>
  <c r="P63" i="3"/>
  <c r="X97" i="7" s="1"/>
  <c r="CK17" i="3"/>
  <c r="CL15" i="3"/>
  <c r="CK18" i="3"/>
  <c r="CK19" i="3" s="1"/>
  <c r="J24" i="11"/>
  <c r="K22" i="11"/>
  <c r="AH90" i="7"/>
  <c r="AH95" i="7"/>
  <c r="AA70" i="3"/>
  <c r="AB95" i="7"/>
  <c r="AB90" i="7"/>
  <c r="U70" i="3"/>
  <c r="O26" i="13"/>
  <c r="N15" i="3"/>
  <c r="AO33" i="4"/>
  <c r="DN52" i="4"/>
  <c r="BG27" i="4"/>
  <c r="AI27" i="4"/>
  <c r="AJ27" i="4" s="1"/>
  <c r="AA27" i="13"/>
  <c r="AA28" i="13" s="1"/>
  <c r="Z16" i="3"/>
  <c r="DY41" i="4"/>
  <c r="DO53" i="4"/>
  <c r="AP42" i="4"/>
  <c r="AJ24" i="12"/>
  <c r="I22" i="12"/>
  <c r="M27" i="13"/>
  <c r="M28" i="13" s="1"/>
  <c r="L16" i="3"/>
  <c r="K25" i="11"/>
  <c r="L23" i="11"/>
  <c r="N12" i="4"/>
  <c r="O12" i="3"/>
  <c r="AR4" i="13"/>
  <c r="AR5" i="13" s="1"/>
  <c r="AQ18" i="4"/>
  <c r="AC53" i="3"/>
  <c r="AC54" i="3" s="1"/>
  <c r="AC55" i="3" s="1"/>
  <c r="AD38" i="3"/>
  <c r="AC2" i="10"/>
  <c r="AB7" i="10"/>
  <c r="AB6" i="10"/>
  <c r="I21" i="12"/>
  <c r="AJ23" i="12"/>
  <c r="CO42" i="4"/>
  <c r="Q29" i="4" s="1"/>
  <c r="CO43" i="4"/>
  <c r="Q39" i="4" s="1"/>
  <c r="CP38" i="4"/>
  <c r="AG98" i="7"/>
  <c r="Z59" i="3"/>
  <c r="P29" i="13"/>
  <c r="O23" i="3"/>
  <c r="T25" i="4"/>
  <c r="U34" i="3"/>
  <c r="U25" i="4" s="1"/>
  <c r="AA26" i="13"/>
  <c r="Z15" i="3"/>
  <c r="P43" i="4"/>
  <c r="P44" i="4"/>
  <c r="P40" i="4"/>
  <c r="AH97" i="7"/>
  <c r="AA63" i="3"/>
  <c r="P6" i="4"/>
  <c r="Q6" i="3"/>
  <c r="AI93" i="7"/>
  <c r="AA87" i="4"/>
  <c r="AB68" i="3"/>
  <c r="DO52" i="4" l="1"/>
  <c r="AP33" i="4"/>
  <c r="O11" i="4"/>
  <c r="P11" i="3"/>
  <c r="AU57" i="7"/>
  <c r="AJ93" i="7"/>
  <c r="AB87" i="4"/>
  <c r="AC68" i="3"/>
  <c r="I24" i="12"/>
  <c r="J22" i="12"/>
  <c r="P26" i="13"/>
  <c r="O15" i="3"/>
  <c r="AT89" i="4"/>
  <c r="BA10" i="7"/>
  <c r="AC44" i="3"/>
  <c r="AD43" i="3"/>
  <c r="Q34" i="4"/>
  <c r="Q30" i="4"/>
  <c r="Q35" i="4"/>
  <c r="AC7" i="10"/>
  <c r="AC6" i="10"/>
  <c r="AD2" i="10"/>
  <c r="AU3" i="14"/>
  <c r="AP23" i="4"/>
  <c r="AV60" i="7"/>
  <c r="AO86" i="5"/>
  <c r="AV61" i="7"/>
  <c r="AV59" i="7"/>
  <c r="AV58" i="7"/>
  <c r="AV62" i="7"/>
  <c r="AC37" i="3"/>
  <c r="AD36" i="3"/>
  <c r="J21" i="12"/>
  <c r="I23" i="12"/>
  <c r="Q29" i="13"/>
  <c r="P23" i="3"/>
  <c r="AD53" i="3"/>
  <c r="AD54" i="3" s="1"/>
  <c r="AD55" i="3" s="1"/>
  <c r="AE38" i="3"/>
  <c r="AC95" i="7"/>
  <c r="AC90" i="7"/>
  <c r="AR2" i="13"/>
  <c r="AQ16" i="4"/>
  <c r="DP53" i="4"/>
  <c r="AQ42" i="4"/>
  <c r="CK30" i="3"/>
  <c r="CL30" i="3"/>
  <c r="CN34" i="3"/>
  <c r="CP30" i="3" s="1"/>
  <c r="CM30" i="3"/>
  <c r="O8" i="4"/>
  <c r="P8" i="3"/>
  <c r="CM6" i="3"/>
  <c r="L2" i="3"/>
  <c r="K2" i="4"/>
  <c r="K14" i="3"/>
  <c r="K13" i="3"/>
  <c r="AB26" i="13"/>
  <c r="AA15" i="3"/>
  <c r="N27" i="13"/>
  <c r="N28" i="13" s="1"/>
  <c r="M16" i="3"/>
  <c r="Q6" i="4"/>
  <c r="R6" i="3"/>
  <c r="AS4" i="13"/>
  <c r="AS5" i="13" s="1"/>
  <c r="AR18" i="4"/>
  <c r="AI97" i="7"/>
  <c r="AB63" i="3"/>
  <c r="DZ41" i="4"/>
  <c r="AI95" i="7"/>
  <c r="AI90" i="7"/>
  <c r="AB70" i="3"/>
  <c r="AV91" i="7"/>
  <c r="AO66" i="3"/>
  <c r="J14" i="4"/>
  <c r="J13" i="4"/>
  <c r="O12" i="4"/>
  <c r="P12" i="3"/>
  <c r="N7" i="4"/>
  <c r="O7" i="3"/>
  <c r="AD99" i="7"/>
  <c r="W61" i="3"/>
  <c r="L25" i="11"/>
  <c r="M23" i="11"/>
  <c r="CL17" i="3"/>
  <c r="CL18" i="3" s="1"/>
  <c r="AH98" i="7"/>
  <c r="AA59" i="3"/>
  <c r="CP43" i="4"/>
  <c r="R39" i="4" s="1"/>
  <c r="CQ38" i="4"/>
  <c r="CP42" i="4"/>
  <c r="R29" i="4" s="1"/>
  <c r="AB27" i="13"/>
  <c r="AB28" i="13" s="1"/>
  <c r="AA16" i="3"/>
  <c r="Q43" i="4"/>
  <c r="Q44" i="4"/>
  <c r="Q40" i="4"/>
  <c r="AD7" i="11"/>
  <c r="AD6" i="11"/>
  <c r="AE2" i="11"/>
  <c r="N10" i="4"/>
  <c r="O10" i="3"/>
  <c r="AR8" i="13"/>
  <c r="AQ20" i="4"/>
  <c r="K24" i="11"/>
  <c r="L22" i="11"/>
  <c r="AP74" i="7"/>
  <c r="AG68" i="5"/>
  <c r="N9" i="4"/>
  <c r="O9" i="3"/>
  <c r="X95" i="7"/>
  <c r="X90" i="7"/>
  <c r="AQ6" i="13"/>
  <c r="AP19" i="4"/>
  <c r="CP3" i="3"/>
  <c r="CP5" i="3" s="1"/>
  <c r="CO5" i="3"/>
  <c r="CM18" i="3" l="1"/>
  <c r="CL19" i="3"/>
  <c r="AR6" i="13"/>
  <c r="AQ19" i="4"/>
  <c r="AT4" i="13"/>
  <c r="AT5" i="13" s="1"/>
  <c r="AS18" i="4"/>
  <c r="AE7" i="11"/>
  <c r="AE6" i="11"/>
  <c r="AF2" i="11"/>
  <c r="AW91" i="7"/>
  <c r="AP66" i="3"/>
  <c r="R29" i="13"/>
  <c r="Q23" i="3"/>
  <c r="AV3" i="14"/>
  <c r="AQ23" i="4"/>
  <c r="Q26" i="13"/>
  <c r="P15" i="3"/>
  <c r="AU89" i="4"/>
  <c r="BB10" i="7"/>
  <c r="CN6" i="3"/>
  <c r="M2" i="3"/>
  <c r="R6" i="4"/>
  <c r="S6" i="3"/>
  <c r="O9" i="4"/>
  <c r="P9" i="3"/>
  <c r="M25" i="11"/>
  <c r="N23" i="11"/>
  <c r="AD7" i="10"/>
  <c r="AD6" i="10"/>
  <c r="AE2" i="10"/>
  <c r="J24" i="12"/>
  <c r="K22" i="12"/>
  <c r="O27" i="13"/>
  <c r="O28" i="13" s="1"/>
  <c r="N16" i="3"/>
  <c r="AJ95" i="7"/>
  <c r="AJ90" i="7"/>
  <c r="AC70" i="3"/>
  <c r="AH68" i="5"/>
  <c r="AQ74" i="7"/>
  <c r="AC26" i="13"/>
  <c r="AB15" i="3"/>
  <c r="J23" i="12"/>
  <c r="K21" i="12"/>
  <c r="O10" i="4"/>
  <c r="P10" i="3"/>
  <c r="AE99" i="7"/>
  <c r="X61" i="3"/>
  <c r="AE36" i="3"/>
  <c r="AD37" i="3"/>
  <c r="AK93" i="7"/>
  <c r="AC87" i="4"/>
  <c r="AD68" i="3"/>
  <c r="L24" i="11"/>
  <c r="M22" i="11"/>
  <c r="AC27" i="13"/>
  <c r="AC28" i="13" s="1"/>
  <c r="AB16" i="3"/>
  <c r="EA41" i="4"/>
  <c r="AR42" i="4"/>
  <c r="DQ53" i="4"/>
  <c r="O7" i="4"/>
  <c r="P7" i="3"/>
  <c r="AS2" i="13"/>
  <c r="AR16" i="4"/>
  <c r="AS8" i="13"/>
  <c r="AR20" i="4"/>
  <c r="R35" i="4"/>
  <c r="R30" i="4"/>
  <c r="R34" i="4"/>
  <c r="AJ97" i="7"/>
  <c r="AC63" i="3"/>
  <c r="K14" i="4"/>
  <c r="K13" i="4"/>
  <c r="AV57" i="7"/>
  <c r="CQ43" i="4"/>
  <c r="S39" i="4" s="1"/>
  <c r="CQ42" i="4"/>
  <c r="S29" i="4" s="1"/>
  <c r="CR38" i="4"/>
  <c r="P12" i="4"/>
  <c r="Q12" i="3"/>
  <c r="L2" i="4"/>
  <c r="L14" i="3"/>
  <c r="L13" i="3"/>
  <c r="AE43" i="3"/>
  <c r="AD44" i="3"/>
  <c r="P11" i="4"/>
  <c r="Q11" i="3"/>
  <c r="R43" i="4"/>
  <c r="R40" i="4"/>
  <c r="R44" i="4"/>
  <c r="AI98" i="7"/>
  <c r="AB59" i="3"/>
  <c r="P8" i="4"/>
  <c r="Q8" i="3"/>
  <c r="AE53" i="3"/>
  <c r="AE54" i="3" s="1"/>
  <c r="AE55" i="3" s="1"/>
  <c r="AF38" i="3"/>
  <c r="AW60" i="7"/>
  <c r="AP86" i="5"/>
  <c r="AW62" i="7"/>
  <c r="AW61" i="7"/>
  <c r="AW59" i="7"/>
  <c r="AW58" i="7"/>
  <c r="DP52" i="4"/>
  <c r="AQ33" i="4"/>
  <c r="AS42" i="4" l="1"/>
  <c r="DR53" i="4"/>
  <c r="P10" i="4"/>
  <c r="Q10" i="3"/>
  <c r="M2" i="4"/>
  <c r="M14" i="3"/>
  <c r="M13" i="3"/>
  <c r="AF7" i="11"/>
  <c r="AF6" i="11"/>
  <c r="AG2" i="11"/>
  <c r="S6" i="4"/>
  <c r="T6" i="3"/>
  <c r="EB41" i="4"/>
  <c r="P27" i="13"/>
  <c r="P28" i="13" s="1"/>
  <c r="O16" i="3"/>
  <c r="Q8" i="4"/>
  <c r="R8" i="3"/>
  <c r="L14" i="4"/>
  <c r="L13" i="4"/>
  <c r="AD27" i="13"/>
  <c r="AD28" i="13" s="1"/>
  <c r="AC16" i="3"/>
  <c r="L22" i="12"/>
  <c r="K24" i="12"/>
  <c r="N2" i="3"/>
  <c r="CO6" i="3"/>
  <c r="AE37" i="3"/>
  <c r="AF36" i="3"/>
  <c r="AG38" i="3"/>
  <c r="AF53" i="3"/>
  <c r="AF54" i="3" s="1"/>
  <c r="AF55" i="3" s="1"/>
  <c r="AE44" i="3"/>
  <c r="AF43" i="3"/>
  <c r="AK97" i="7"/>
  <c r="AD63" i="3"/>
  <c r="AF99" i="7"/>
  <c r="Y61" i="3"/>
  <c r="AX91" i="7"/>
  <c r="AQ66" i="3"/>
  <c r="AJ98" i="7"/>
  <c r="AC59" i="3"/>
  <c r="Q12" i="4"/>
  <c r="R12" i="3"/>
  <c r="K23" i="12"/>
  <c r="L21" i="12"/>
  <c r="AT8" i="13"/>
  <c r="AS20" i="4"/>
  <c r="M24" i="11"/>
  <c r="N22" i="11"/>
  <c r="AE6" i="10"/>
  <c r="AF2" i="10"/>
  <c r="AE7" i="10"/>
  <c r="AV89" i="4"/>
  <c r="BC10" i="7"/>
  <c r="AU4" i="13"/>
  <c r="AU5" i="13" s="1"/>
  <c r="AT18" i="4"/>
  <c r="AW57" i="7"/>
  <c r="CS38" i="4"/>
  <c r="CR42" i="4"/>
  <c r="T29" i="4" s="1"/>
  <c r="CR43" i="4"/>
  <c r="T39" i="4" s="1"/>
  <c r="AD26" i="13"/>
  <c r="AC15" i="3"/>
  <c r="R26" i="13"/>
  <c r="Q15" i="3"/>
  <c r="S35" i="4"/>
  <c r="S30" i="4"/>
  <c r="S34" i="4"/>
  <c r="AT2" i="13"/>
  <c r="AS16" i="4"/>
  <c r="AL93" i="7"/>
  <c r="AD87" i="4"/>
  <c r="AE68" i="3"/>
  <c r="AS6" i="13"/>
  <c r="AR19" i="4"/>
  <c r="DQ52" i="4"/>
  <c r="AR33" i="4"/>
  <c r="S43" i="4"/>
  <c r="S40" i="4"/>
  <c r="S44" i="4"/>
  <c r="N25" i="11"/>
  <c r="O23" i="11"/>
  <c r="AW3" i="14"/>
  <c r="AR23" i="4"/>
  <c r="Q11" i="4"/>
  <c r="R11" i="3"/>
  <c r="AI68" i="5"/>
  <c r="AR74" i="7"/>
  <c r="P7" i="4"/>
  <c r="Q7" i="3"/>
  <c r="AX60" i="7"/>
  <c r="AQ86" i="5"/>
  <c r="AX59" i="7"/>
  <c r="AX62" i="7"/>
  <c r="AX61" i="7"/>
  <c r="AX58" i="7"/>
  <c r="AX57" i="7" s="1"/>
  <c r="AK95" i="7"/>
  <c r="AK90" i="7"/>
  <c r="AD70" i="3"/>
  <c r="P9" i="4"/>
  <c r="Q9" i="3"/>
  <c r="S29" i="13"/>
  <c r="R23" i="3"/>
  <c r="CM19" i="3"/>
  <c r="CN18" i="3"/>
  <c r="AL95" i="7" l="1"/>
  <c r="AL90" i="7"/>
  <c r="AE70" i="3"/>
  <c r="R11" i="4"/>
  <c r="S11" i="3"/>
  <c r="N24" i="11"/>
  <c r="O22" i="11"/>
  <c r="AG99" i="7"/>
  <c r="Z61" i="3"/>
  <c r="T6" i="4"/>
  <c r="U6" i="3"/>
  <c r="AG7" i="11"/>
  <c r="AG6" i="11"/>
  <c r="AH2" i="11"/>
  <c r="AX3" i="14"/>
  <c r="AS23" i="4"/>
  <c r="AU8" i="13"/>
  <c r="AT20" i="4"/>
  <c r="AL97" i="7"/>
  <c r="AE63" i="3"/>
  <c r="L24" i="12"/>
  <c r="M22" i="12"/>
  <c r="T35" i="4"/>
  <c r="T30" i="4"/>
  <c r="T34" i="4"/>
  <c r="AE27" i="13"/>
  <c r="AE28" i="13" s="1"/>
  <c r="AD16" i="3"/>
  <c r="AU2" i="13"/>
  <c r="AT16" i="4"/>
  <c r="L23" i="12"/>
  <c r="M21" i="12"/>
  <c r="AG43" i="3"/>
  <c r="AF44" i="3"/>
  <c r="AM93" i="7"/>
  <c r="AE87" i="4"/>
  <c r="AF68" i="3"/>
  <c r="CS42" i="4"/>
  <c r="U29" i="4" s="1"/>
  <c r="CS43" i="4"/>
  <c r="U39" i="4" s="1"/>
  <c r="CT38" i="4"/>
  <c r="AV4" i="13"/>
  <c r="AV5" i="13" s="1"/>
  <c r="AU18" i="4"/>
  <c r="P23" i="11"/>
  <c r="O25" i="11"/>
  <c r="CO18" i="3"/>
  <c r="CN19" i="3"/>
  <c r="AY60" i="7"/>
  <c r="AR86" i="5"/>
  <c r="AY61" i="7"/>
  <c r="AY58" i="7"/>
  <c r="AY62" i="7"/>
  <c r="AY59" i="7"/>
  <c r="R12" i="4"/>
  <c r="S12" i="3"/>
  <c r="R8" i="4"/>
  <c r="S8" i="3"/>
  <c r="T29" i="13"/>
  <c r="S23" i="3"/>
  <c r="AG53" i="3"/>
  <c r="AG54" i="3" s="1"/>
  <c r="AG55" i="3" s="1"/>
  <c r="AH38" i="3"/>
  <c r="M13" i="4"/>
  <c r="M14" i="4"/>
  <c r="Q7" i="4"/>
  <c r="R7" i="3"/>
  <c r="AW89" i="4"/>
  <c r="BD10" i="7"/>
  <c r="AK98" i="7"/>
  <c r="AD59" i="3"/>
  <c r="AF37" i="3"/>
  <c r="AG36" i="3"/>
  <c r="Q27" i="13"/>
  <c r="Q28" i="13" s="1"/>
  <c r="P16" i="3"/>
  <c r="Q10" i="4"/>
  <c r="R10" i="3"/>
  <c r="T44" i="4"/>
  <c r="T43" i="4"/>
  <c r="T40" i="4"/>
  <c r="Q9" i="4"/>
  <c r="R9" i="3"/>
  <c r="S26" i="13"/>
  <c r="R15" i="3"/>
  <c r="DR52" i="4"/>
  <c r="AS33" i="4"/>
  <c r="AG2" i="10"/>
  <c r="AF7" i="10"/>
  <c r="AF6" i="10"/>
  <c r="AY91" i="7"/>
  <c r="AR66" i="3"/>
  <c r="CP6" i="3"/>
  <c r="O2" i="3"/>
  <c r="EC41" i="4"/>
  <c r="DS53" i="4"/>
  <c r="AT42" i="4"/>
  <c r="AJ68" i="5"/>
  <c r="AS74" i="7"/>
  <c r="AT6" i="13"/>
  <c r="AS19" i="4"/>
  <c r="AE26" i="13"/>
  <c r="AD15" i="3"/>
  <c r="N2" i="4"/>
  <c r="N14" i="3"/>
  <c r="N13" i="3"/>
  <c r="AG6" i="10" l="1"/>
  <c r="AH2" i="10"/>
  <c r="AG7" i="10"/>
  <c r="R27" i="13"/>
  <c r="R28" i="13" s="1"/>
  <c r="Q16" i="3"/>
  <c r="AI38" i="3"/>
  <c r="AH53" i="3"/>
  <c r="AH54" i="3" s="1"/>
  <c r="AH55" i="3" s="1"/>
  <c r="AZ60" i="7"/>
  <c r="AS86" i="5"/>
  <c r="AZ59" i="7"/>
  <c r="AZ61" i="7"/>
  <c r="AZ58" i="7"/>
  <c r="AZ57" i="7" s="1"/>
  <c r="AZ62" i="7"/>
  <c r="U6" i="4"/>
  <c r="V6" i="3"/>
  <c r="AN93" i="7"/>
  <c r="AF87" i="4"/>
  <c r="AG68" i="3"/>
  <c r="AK68" i="5"/>
  <c r="AT74" i="7"/>
  <c r="M24" i="12"/>
  <c r="N22" i="12"/>
  <c r="AH99" i="7"/>
  <c r="AA61" i="3"/>
  <c r="AT33" i="4"/>
  <c r="DS52" i="4"/>
  <c r="AH36" i="3"/>
  <c r="AG37" i="3"/>
  <c r="U29" i="13"/>
  <c r="T23" i="3"/>
  <c r="AU42" i="4"/>
  <c r="DT53" i="4"/>
  <c r="T26" i="13"/>
  <c r="S15" i="3"/>
  <c r="CP18" i="3"/>
  <c r="CO19" i="3"/>
  <c r="AG44" i="3"/>
  <c r="AH43" i="3"/>
  <c r="AM97" i="7"/>
  <c r="AF63" i="3"/>
  <c r="S8" i="4"/>
  <c r="T8" i="3"/>
  <c r="M23" i="12"/>
  <c r="N21" i="12"/>
  <c r="O24" i="11"/>
  <c r="P22" i="11"/>
  <c r="P25" i="11"/>
  <c r="Q23" i="11"/>
  <c r="AV8" i="13"/>
  <c r="AU20" i="4"/>
  <c r="ED41" i="4"/>
  <c r="R9" i="4"/>
  <c r="S9" i="3"/>
  <c r="O2" i="4"/>
  <c r="O13" i="3"/>
  <c r="O14" i="3"/>
  <c r="S12" i="4"/>
  <c r="T12" i="3"/>
  <c r="AW4" i="13"/>
  <c r="AW5" i="13" s="1"/>
  <c r="AV18" i="4"/>
  <c r="AV2" i="13"/>
  <c r="AU16" i="4"/>
  <c r="S11" i="4"/>
  <c r="T11" i="3"/>
  <c r="CQ6" i="3"/>
  <c r="P2" i="3"/>
  <c r="BE10" i="7"/>
  <c r="AX89" i="4"/>
  <c r="AY3" i="14"/>
  <c r="AT23" i="4"/>
  <c r="AL98" i="7"/>
  <c r="AE59" i="3"/>
  <c r="N14" i="4"/>
  <c r="N13" i="4"/>
  <c r="AF26" i="13"/>
  <c r="AE15" i="3"/>
  <c r="AZ91" i="7"/>
  <c r="AS66" i="3"/>
  <c r="R7" i="4"/>
  <c r="S7" i="3"/>
  <c r="CT43" i="4"/>
  <c r="V39" i="4" s="1"/>
  <c r="CT42" i="4"/>
  <c r="V29" i="4" s="1"/>
  <c r="CU38" i="4"/>
  <c r="AF27" i="13"/>
  <c r="AF28" i="13" s="1"/>
  <c r="AE16" i="3"/>
  <c r="AM90" i="7"/>
  <c r="AM95" i="7"/>
  <c r="AF70" i="3"/>
  <c r="U44" i="4"/>
  <c r="U43" i="4"/>
  <c r="U40" i="4"/>
  <c r="AH7" i="11"/>
  <c r="AH6" i="11"/>
  <c r="AI2" i="11"/>
  <c r="AU6" i="13"/>
  <c r="AT19" i="4"/>
  <c r="R10" i="4"/>
  <c r="S10" i="3"/>
  <c r="AY57" i="7"/>
  <c r="U35" i="4"/>
  <c r="U30" i="4"/>
  <c r="U34" i="4"/>
  <c r="T12" i="4" l="1"/>
  <c r="U12" i="3"/>
  <c r="V40" i="4"/>
  <c r="V44" i="4"/>
  <c r="V43" i="4"/>
  <c r="Q22" i="11"/>
  <c r="P24" i="11"/>
  <c r="U26" i="13"/>
  <c r="T15" i="3"/>
  <c r="N24" i="12"/>
  <c r="O22" i="12"/>
  <c r="BA60" i="7"/>
  <c r="AT86" i="5"/>
  <c r="BA62" i="7"/>
  <c r="BA61" i="7"/>
  <c r="BA59" i="7"/>
  <c r="BA58" i="7"/>
  <c r="AY89" i="4"/>
  <c r="BF10" i="7"/>
  <c r="O21" i="12"/>
  <c r="N23" i="12"/>
  <c r="BA91" i="7"/>
  <c r="AT66" i="3"/>
  <c r="AL68" i="5"/>
  <c r="AU74" i="7"/>
  <c r="AI6" i="11"/>
  <c r="AJ2" i="11"/>
  <c r="AI7" i="11"/>
  <c r="AZ3" i="14"/>
  <c r="AU23" i="4"/>
  <c r="S7" i="4"/>
  <c r="T7" i="3"/>
  <c r="P2" i="4"/>
  <c r="P13" i="3"/>
  <c r="P14" i="3"/>
  <c r="O13" i="4"/>
  <c r="O14" i="4"/>
  <c r="CR6" i="3"/>
  <c r="Q2" i="3"/>
  <c r="S9" i="4"/>
  <c r="T9" i="3"/>
  <c r="T8" i="4"/>
  <c r="U8" i="3"/>
  <c r="V29" i="13"/>
  <c r="U23" i="3"/>
  <c r="W29" i="13" s="1"/>
  <c r="AO93" i="7"/>
  <c r="AG87" i="4"/>
  <c r="AH68" i="3"/>
  <c r="AJ38" i="3"/>
  <c r="AI53" i="3"/>
  <c r="AI54" i="3" s="1"/>
  <c r="AI55" i="3" s="1"/>
  <c r="CU43" i="4"/>
  <c r="W39" i="4" s="1"/>
  <c r="CV38" i="4"/>
  <c r="CU42" i="4"/>
  <c r="W29" i="4" s="1"/>
  <c r="V34" i="4"/>
  <c r="V35" i="4"/>
  <c r="V30" i="4"/>
  <c r="AV42" i="4"/>
  <c r="DU53" i="4"/>
  <c r="AN95" i="7"/>
  <c r="AN90" i="7"/>
  <c r="AG70" i="3"/>
  <c r="AG26" i="13"/>
  <c r="AF15" i="3"/>
  <c r="T11" i="4"/>
  <c r="U11" i="3"/>
  <c r="S27" i="13"/>
  <c r="S28" i="13" s="1"/>
  <c r="R16" i="3"/>
  <c r="Q25" i="11"/>
  <c r="R23" i="11"/>
  <c r="AN97" i="7"/>
  <c r="AG63" i="3"/>
  <c r="CQ18" i="3"/>
  <c r="CP19" i="3"/>
  <c r="S10" i="4"/>
  <c r="T10" i="3"/>
  <c r="AH37" i="3"/>
  <c r="AI36" i="3"/>
  <c r="V6" i="4"/>
  <c r="W6" i="3"/>
  <c r="AI99" i="7"/>
  <c r="AB61" i="3"/>
  <c r="AW2" i="13"/>
  <c r="AV16" i="4"/>
  <c r="AG27" i="13"/>
  <c r="AG28" i="13" s="1"/>
  <c r="AF16" i="3"/>
  <c r="AW8" i="13"/>
  <c r="AV20" i="4"/>
  <c r="AI43" i="3"/>
  <c r="AH44" i="3"/>
  <c r="AU33" i="4"/>
  <c r="DT52" i="4"/>
  <c r="AH6" i="10"/>
  <c r="AI2" i="10"/>
  <c r="AH7" i="10"/>
  <c r="AV6" i="13"/>
  <c r="AU19" i="4"/>
  <c r="AM98" i="7"/>
  <c r="AF59" i="3"/>
  <c r="AX4" i="13"/>
  <c r="AX5" i="13" s="1"/>
  <c r="AW18" i="4"/>
  <c r="BB91" i="7" l="1"/>
  <c r="AU66" i="3"/>
  <c r="O24" i="12"/>
  <c r="P22" i="12"/>
  <c r="CR18" i="3"/>
  <c r="CQ19" i="3"/>
  <c r="AI6" i="10"/>
  <c r="AJ2" i="10"/>
  <c r="AI7" i="10"/>
  <c r="AJ99" i="7"/>
  <c r="AC61" i="3"/>
  <c r="DV53" i="4"/>
  <c r="AW42" i="4"/>
  <c r="R25" i="11"/>
  <c r="S23" i="11"/>
  <c r="P14" i="4"/>
  <c r="P13" i="4"/>
  <c r="V26" i="13"/>
  <c r="U15" i="3"/>
  <c r="W26" i="13" s="1"/>
  <c r="AW6" i="13"/>
  <c r="AV19" i="4"/>
  <c r="AO95" i="7"/>
  <c r="AO90" i="7"/>
  <c r="AH70" i="3"/>
  <c r="AP93" i="7"/>
  <c r="AH87" i="4"/>
  <c r="AI68" i="3"/>
  <c r="AM68" i="5"/>
  <c r="AV74" i="7"/>
  <c r="AV33" i="4"/>
  <c r="DU52" i="4"/>
  <c r="W6" i="4"/>
  <c r="X6" i="3"/>
  <c r="T7" i="4"/>
  <c r="U7" i="3"/>
  <c r="P21" i="12"/>
  <c r="O23" i="12"/>
  <c r="U8" i="4"/>
  <c r="V8" i="3"/>
  <c r="AZ89" i="4"/>
  <c r="BG10" i="7"/>
  <c r="R22" i="11"/>
  <c r="Q24" i="11"/>
  <c r="AX2" i="13"/>
  <c r="AW16" i="4"/>
  <c r="AO97" i="7"/>
  <c r="AH63" i="3"/>
  <c r="AJ36" i="3"/>
  <c r="AI37" i="3"/>
  <c r="W34" i="4"/>
  <c r="W35" i="4"/>
  <c r="W30" i="4"/>
  <c r="T9" i="4"/>
  <c r="U9" i="3"/>
  <c r="BA57" i="7"/>
  <c r="AH27" i="13"/>
  <c r="AH28" i="13" s="1"/>
  <c r="AG16" i="3"/>
  <c r="AK38" i="3"/>
  <c r="AJ53" i="3"/>
  <c r="AJ54" i="3" s="1"/>
  <c r="AJ55" i="3" s="1"/>
  <c r="T27" i="13"/>
  <c r="T28" i="13" s="1"/>
  <c r="S16" i="3"/>
  <c r="BA3" i="14"/>
  <c r="AV23" i="4"/>
  <c r="AY4" i="13"/>
  <c r="AY5" i="13" s="1"/>
  <c r="AX18" i="4"/>
  <c r="AI44" i="3"/>
  <c r="AJ43" i="3"/>
  <c r="U11" i="4"/>
  <c r="V11" i="3"/>
  <c r="AX8" i="13"/>
  <c r="AW20" i="4"/>
  <c r="T10" i="4"/>
  <c r="U10" i="3"/>
  <c r="CW38" i="4"/>
  <c r="CV43" i="4"/>
  <c r="X39" i="4" s="1"/>
  <c r="CV42" i="4"/>
  <c r="X29" i="4" s="1"/>
  <c r="AN98" i="7"/>
  <c r="AG59" i="3"/>
  <c r="AH26" i="13"/>
  <c r="AG15" i="3"/>
  <c r="W43" i="4"/>
  <c r="W40" i="4"/>
  <c r="W44" i="4"/>
  <c r="Q2" i="4"/>
  <c r="Q14" i="3"/>
  <c r="Q13" i="3"/>
  <c r="AJ6" i="11"/>
  <c r="AK2" i="11"/>
  <c r="AL2" i="11" s="1"/>
  <c r="AM2" i="11" s="1"/>
  <c r="AN2" i="11" s="1"/>
  <c r="AO2" i="11" s="1"/>
  <c r="AP2" i="11" s="1"/>
  <c r="AQ2" i="11" s="1"/>
  <c r="AR2" i="11" s="1"/>
  <c r="AS2" i="11" s="1"/>
  <c r="AT2" i="11" s="1"/>
  <c r="AU2" i="11" s="1"/>
  <c r="AV2" i="11" s="1"/>
  <c r="AW2" i="11" s="1"/>
  <c r="AX2" i="11" s="1"/>
  <c r="AY2" i="11" s="1"/>
  <c r="AZ2" i="11" s="1"/>
  <c r="BA2" i="11" s="1"/>
  <c r="BB2" i="11" s="1"/>
  <c r="BC2" i="11" s="1"/>
  <c r="BD2" i="11" s="1"/>
  <c r="AJ7" i="11"/>
  <c r="CS6" i="3"/>
  <c r="R2" i="3"/>
  <c r="U12" i="4"/>
  <c r="V12" i="3"/>
  <c r="BB60" i="7"/>
  <c r="AU86" i="5"/>
  <c r="BB62" i="7"/>
  <c r="BB61" i="7"/>
  <c r="BB59" i="7"/>
  <c r="BB58" i="7"/>
  <c r="Q14" i="4" l="1"/>
  <c r="Q13" i="4"/>
  <c r="AJ37" i="3"/>
  <c r="AK36" i="3"/>
  <c r="Q21" i="12"/>
  <c r="P23" i="12"/>
  <c r="AP95" i="7"/>
  <c r="AP90" i="7"/>
  <c r="AI70" i="3"/>
  <c r="DW53" i="4"/>
  <c r="AX42" i="4"/>
  <c r="AK53" i="3"/>
  <c r="AL38" i="3"/>
  <c r="AM38" i="3" s="1"/>
  <c r="AN38" i="3" s="1"/>
  <c r="AO38" i="3" s="1"/>
  <c r="AP38" i="3" s="1"/>
  <c r="AQ38" i="3" s="1"/>
  <c r="AR38" i="3" s="1"/>
  <c r="AS38" i="3" s="1"/>
  <c r="AT38" i="3" s="1"/>
  <c r="AU38" i="3" s="1"/>
  <c r="AV38" i="3" s="1"/>
  <c r="AW38" i="3" s="1"/>
  <c r="AX38" i="3" s="1"/>
  <c r="AY38" i="3" s="1"/>
  <c r="AZ38" i="3" s="1"/>
  <c r="BA38" i="3" s="1"/>
  <c r="BB38" i="3" s="1"/>
  <c r="BC38" i="3" s="1"/>
  <c r="BD38" i="3" s="1"/>
  <c r="BE38" i="3" s="1"/>
  <c r="BC60" i="7"/>
  <c r="AV86" i="5"/>
  <c r="BC62" i="7"/>
  <c r="BC61" i="7"/>
  <c r="BC59" i="7"/>
  <c r="BC58" i="7"/>
  <c r="V11" i="4"/>
  <c r="W11" i="3"/>
  <c r="AI27" i="13"/>
  <c r="AI28" i="13" s="1"/>
  <c r="AH16" i="3"/>
  <c r="AY2" i="13"/>
  <c r="AX16" i="4"/>
  <c r="X6" i="4"/>
  <c r="Y6" i="3"/>
  <c r="AX6" i="13"/>
  <c r="AW19" i="4"/>
  <c r="AI26" i="13"/>
  <c r="AH15" i="3"/>
  <c r="AJ7" i="10"/>
  <c r="AJ6" i="10"/>
  <c r="DV52" i="4"/>
  <c r="AW33" i="4"/>
  <c r="AO98" i="7"/>
  <c r="AH59" i="3"/>
  <c r="U9" i="4"/>
  <c r="V9" i="3"/>
  <c r="S22" i="11"/>
  <c r="R24" i="11"/>
  <c r="V12" i="4"/>
  <c r="W12" i="3"/>
  <c r="R2" i="4"/>
  <c r="R14" i="3"/>
  <c r="R13" i="3"/>
  <c r="AJ44" i="3"/>
  <c r="AK43" i="3"/>
  <c r="CT6" i="3"/>
  <c r="S2" i="3"/>
  <c r="AZ4" i="13"/>
  <c r="AZ5" i="13" s="1"/>
  <c r="AY18" i="4"/>
  <c r="BA4" i="13" s="1"/>
  <c r="BA5" i="13" s="1"/>
  <c r="CS18" i="3"/>
  <c r="CR19" i="3"/>
  <c r="X30" i="4"/>
  <c r="X34" i="4"/>
  <c r="X35" i="4"/>
  <c r="BA89" i="4"/>
  <c r="BH10" i="7"/>
  <c r="AW74" i="7"/>
  <c r="AN68" i="5"/>
  <c r="P24" i="12"/>
  <c r="Q22" i="12"/>
  <c r="BB57" i="7"/>
  <c r="X43" i="4"/>
  <c r="X40" i="4"/>
  <c r="X44" i="4"/>
  <c r="BB3" i="14"/>
  <c r="AW23" i="4"/>
  <c r="V8" i="4"/>
  <c r="W8" i="3"/>
  <c r="AQ93" i="7"/>
  <c r="AI87" i="4"/>
  <c r="AJ68" i="3"/>
  <c r="S25" i="11"/>
  <c r="T23" i="11"/>
  <c r="AY8" i="13"/>
  <c r="AX20" i="4"/>
  <c r="AP97" i="7"/>
  <c r="AI63" i="3"/>
  <c r="V7" i="3"/>
  <c r="U7" i="4"/>
  <c r="AK99" i="7"/>
  <c r="AD61" i="3"/>
  <c r="CW43" i="4"/>
  <c r="Y39" i="4" s="1"/>
  <c r="CW42" i="4"/>
  <c r="Y29" i="4" s="1"/>
  <c r="CX38" i="4"/>
  <c r="BC91" i="7"/>
  <c r="AV66" i="3"/>
  <c r="U10" i="4"/>
  <c r="V10" i="3"/>
  <c r="U27" i="13"/>
  <c r="U28" i="13" s="1"/>
  <c r="T16" i="3"/>
  <c r="AL53" i="3" l="1"/>
  <c r="AM53" i="3" s="1"/>
  <c r="AN53" i="3" s="1"/>
  <c r="AO53" i="3" s="1"/>
  <c r="AP53" i="3" s="1"/>
  <c r="AQ53" i="3" s="1"/>
  <c r="AR53" i="3" s="1"/>
  <c r="AS53" i="3" s="1"/>
  <c r="AT53" i="3" s="1"/>
  <c r="AU53" i="3" s="1"/>
  <c r="AV53" i="3" s="1"/>
  <c r="AW53" i="3" s="1"/>
  <c r="AX53" i="3" s="1"/>
  <c r="AY53" i="3" s="1"/>
  <c r="AZ53" i="3" s="1"/>
  <c r="BA53" i="3" s="1"/>
  <c r="BB53" i="3" s="1"/>
  <c r="BC53" i="3" s="1"/>
  <c r="BD53" i="3" s="1"/>
  <c r="BE53" i="3" s="1"/>
  <c r="AK54" i="3"/>
  <c r="AJ27" i="13"/>
  <c r="AJ28" i="13" s="1"/>
  <c r="AI16" i="3"/>
  <c r="W8" i="4"/>
  <c r="X8" i="3"/>
  <c r="BB89" i="4"/>
  <c r="BI10" i="7"/>
  <c r="DW52" i="4"/>
  <c r="AX33" i="4"/>
  <c r="DX53" i="4"/>
  <c r="AY42" i="4"/>
  <c r="V7" i="4"/>
  <c r="W7" i="3"/>
  <c r="BC3" i="14"/>
  <c r="AX23" i="4"/>
  <c r="W11" i="4"/>
  <c r="X11" i="3"/>
  <c r="AQ90" i="7"/>
  <c r="AQ95" i="7"/>
  <c r="AJ70" i="3"/>
  <c r="R13" i="4"/>
  <c r="R14" i="4"/>
  <c r="V10" i="4"/>
  <c r="W10" i="3"/>
  <c r="W12" i="4"/>
  <c r="X12" i="3"/>
  <c r="AJ26" i="13"/>
  <c r="AI15" i="3"/>
  <c r="BC57" i="7"/>
  <c r="AZ8" i="13"/>
  <c r="AY20" i="4"/>
  <c r="V27" i="13"/>
  <c r="V28" i="13" s="1"/>
  <c r="U16" i="3"/>
  <c r="W27" i="13" s="1"/>
  <c r="W28" i="13" s="1"/>
  <c r="BD91" i="7"/>
  <c r="AW66" i="3"/>
  <c r="CS19" i="3"/>
  <c r="CT18" i="3"/>
  <c r="AY6" i="13"/>
  <c r="AX19" i="4"/>
  <c r="R21" i="12"/>
  <c r="Q23" i="12"/>
  <c r="AL99" i="7"/>
  <c r="AE61" i="3"/>
  <c r="S24" i="11"/>
  <c r="T22" i="11"/>
  <c r="AL36" i="3"/>
  <c r="AM36" i="3" s="1"/>
  <c r="AN36" i="3" s="1"/>
  <c r="AO36" i="3" s="1"/>
  <c r="AP36" i="3" s="1"/>
  <c r="AQ36" i="3" s="1"/>
  <c r="AR36" i="3" s="1"/>
  <c r="AS36" i="3" s="1"/>
  <c r="AT36" i="3" s="1"/>
  <c r="AU36" i="3" s="1"/>
  <c r="AV36" i="3" s="1"/>
  <c r="AW36" i="3" s="1"/>
  <c r="AX36" i="3" s="1"/>
  <c r="AY36" i="3" s="1"/>
  <c r="AZ36" i="3" s="1"/>
  <c r="BA36" i="3" s="1"/>
  <c r="BB36" i="3" s="1"/>
  <c r="BC36" i="3" s="1"/>
  <c r="BD36" i="3" s="1"/>
  <c r="BE36" i="3" s="1"/>
  <c r="AK37" i="3"/>
  <c r="AL37" i="3" s="1"/>
  <c r="AM37" i="3" s="1"/>
  <c r="AN37" i="3" s="1"/>
  <c r="AO37" i="3" s="1"/>
  <c r="AP37" i="3" s="1"/>
  <c r="AQ37" i="3" s="1"/>
  <c r="AR37" i="3" s="1"/>
  <c r="AS37" i="3" s="1"/>
  <c r="AT37" i="3" s="1"/>
  <c r="AU37" i="3" s="1"/>
  <c r="AV37" i="3" s="1"/>
  <c r="AW37" i="3" s="1"/>
  <c r="AX37" i="3" s="1"/>
  <c r="AY37" i="3" s="1"/>
  <c r="AZ37" i="3" s="1"/>
  <c r="BA37" i="3" s="1"/>
  <c r="BB37" i="3" s="1"/>
  <c r="BC37" i="3" s="1"/>
  <c r="BD37" i="3" s="1"/>
  <c r="BE37" i="3" s="1"/>
  <c r="CY38" i="4"/>
  <c r="CX42" i="4"/>
  <c r="Z29" i="4" s="1"/>
  <c r="CX43" i="4"/>
  <c r="Z39" i="4" s="1"/>
  <c r="R22" i="12"/>
  <c r="Q24" i="12"/>
  <c r="V9" i="4"/>
  <c r="W9" i="3"/>
  <c r="Y6" i="4"/>
  <c r="Z6" i="3"/>
  <c r="BD60" i="7"/>
  <c r="AW86" i="5"/>
  <c r="BD59" i="7"/>
  <c r="BD58" i="7"/>
  <c r="BD57" i="7" s="1"/>
  <c r="BD61" i="7"/>
  <c r="BD62" i="7"/>
  <c r="AK44" i="3"/>
  <c r="AL44" i="3" s="1"/>
  <c r="AM44" i="3" s="1"/>
  <c r="AN44" i="3" s="1"/>
  <c r="AO44" i="3" s="1"/>
  <c r="AP44" i="3" s="1"/>
  <c r="AQ44" i="3" s="1"/>
  <c r="AR44" i="3" s="1"/>
  <c r="AS44" i="3" s="1"/>
  <c r="AT44" i="3" s="1"/>
  <c r="AU44" i="3" s="1"/>
  <c r="AV44" i="3" s="1"/>
  <c r="AW44" i="3" s="1"/>
  <c r="AX44" i="3" s="1"/>
  <c r="AY44" i="3" s="1"/>
  <c r="AZ44" i="3" s="1"/>
  <c r="BA44" i="3" s="1"/>
  <c r="BB44" i="3" s="1"/>
  <c r="BC44" i="3" s="1"/>
  <c r="BD44" i="3" s="1"/>
  <c r="BE44" i="3" s="1"/>
  <c r="AL43" i="3"/>
  <c r="AM43" i="3" s="1"/>
  <c r="AN43" i="3" s="1"/>
  <c r="AO43" i="3" s="1"/>
  <c r="AP43" i="3" s="1"/>
  <c r="AQ43" i="3" s="1"/>
  <c r="AR43" i="3" s="1"/>
  <c r="AS43" i="3" s="1"/>
  <c r="AT43" i="3" s="1"/>
  <c r="AU43" i="3" s="1"/>
  <c r="AV43" i="3" s="1"/>
  <c r="AW43" i="3" s="1"/>
  <c r="AX43" i="3" s="1"/>
  <c r="AY43" i="3" s="1"/>
  <c r="AZ43" i="3" s="1"/>
  <c r="BA43" i="3" s="1"/>
  <c r="BB43" i="3" s="1"/>
  <c r="BC43" i="3" s="1"/>
  <c r="BD43" i="3" s="1"/>
  <c r="BE43" i="3" s="1"/>
  <c r="AQ97" i="7"/>
  <c r="AJ63" i="3"/>
  <c r="T25" i="11"/>
  <c r="U23" i="11"/>
  <c r="Y30" i="4"/>
  <c r="Y35" i="4"/>
  <c r="Y34" i="4"/>
  <c r="AR93" i="7"/>
  <c r="AJ87" i="4"/>
  <c r="AK68" i="3"/>
  <c r="S2" i="4"/>
  <c r="S14" i="3"/>
  <c r="S13" i="3"/>
  <c r="Y43" i="4"/>
  <c r="Y40" i="4"/>
  <c r="Y44" i="4"/>
  <c r="AX74" i="7"/>
  <c r="AO68" i="5"/>
  <c r="CU6" i="3"/>
  <c r="T2" i="3"/>
  <c r="AP98" i="7"/>
  <c r="AI59" i="3"/>
  <c r="AZ2" i="13"/>
  <c r="AY16" i="4"/>
  <c r="BE91" i="7" l="1"/>
  <c r="AX66" i="3"/>
  <c r="DY53" i="4"/>
  <c r="AZ42" i="4"/>
  <c r="U25" i="11"/>
  <c r="V23" i="11"/>
  <c r="Z6" i="4"/>
  <c r="AA6" i="3"/>
  <c r="AR95" i="7"/>
  <c r="AR90" i="7"/>
  <c r="AK70" i="3"/>
  <c r="DX52" i="4"/>
  <c r="AY33" i="4"/>
  <c r="T24" i="11"/>
  <c r="U22" i="11"/>
  <c r="AM99" i="7"/>
  <c r="AF61" i="3"/>
  <c r="BA8" i="13"/>
  <c r="AZ20" i="4"/>
  <c r="AR97" i="7"/>
  <c r="AK63" i="3"/>
  <c r="W9" i="4"/>
  <c r="X9" i="3"/>
  <c r="BC89" i="4"/>
  <c r="BJ10" i="7"/>
  <c r="AP68" i="5"/>
  <c r="AY74" i="7"/>
  <c r="X11" i="4"/>
  <c r="Y11" i="3"/>
  <c r="X8" i="4"/>
  <c r="Y8" i="3"/>
  <c r="T2" i="4"/>
  <c r="T13" i="3"/>
  <c r="T14" i="3"/>
  <c r="BE60" i="7"/>
  <c r="AX86" i="5"/>
  <c r="BE58" i="7"/>
  <c r="BE57" i="7" s="1"/>
  <c r="BE62" i="7"/>
  <c r="BE61" i="7"/>
  <c r="BE59" i="7"/>
  <c r="AK26" i="13"/>
  <c r="AJ15" i="3"/>
  <c r="R23" i="12"/>
  <c r="S21" i="12"/>
  <c r="S14" i="4"/>
  <c r="S13" i="4"/>
  <c r="R24" i="12"/>
  <c r="S22" i="12"/>
  <c r="AZ6" i="13"/>
  <c r="AY19" i="4"/>
  <c r="BD3" i="14"/>
  <c r="AY23" i="4"/>
  <c r="AK27" i="13"/>
  <c r="AK28" i="13" s="1"/>
  <c r="AJ16" i="3"/>
  <c r="U2" i="3"/>
  <c r="CV6" i="3"/>
  <c r="BA2" i="13"/>
  <c r="AZ16" i="4"/>
  <c r="AQ98" i="7"/>
  <c r="AJ59" i="3"/>
  <c r="AS93" i="7"/>
  <c r="AK87" i="4"/>
  <c r="AL87" i="4" s="1"/>
  <c r="AM87" i="4" s="1"/>
  <c r="AN87" i="4" s="1"/>
  <c r="AO87" i="4" s="1"/>
  <c r="AP87" i="4" s="1"/>
  <c r="AQ87" i="4" s="1"/>
  <c r="AR87" i="4" s="1"/>
  <c r="AS87" i="4" s="1"/>
  <c r="AT87" i="4" s="1"/>
  <c r="AU87" i="4" s="1"/>
  <c r="AV87" i="4" s="1"/>
  <c r="AW87" i="4" s="1"/>
  <c r="AX87" i="4" s="1"/>
  <c r="AY87" i="4" s="1"/>
  <c r="AZ87" i="4" s="1"/>
  <c r="BA87" i="4" s="1"/>
  <c r="BB87" i="4" s="1"/>
  <c r="BC87" i="4" s="1"/>
  <c r="BD87" i="4" s="1"/>
  <c r="BE87" i="4" s="1"/>
  <c r="AL68" i="3"/>
  <c r="Z44" i="4"/>
  <c r="Z40" i="4"/>
  <c r="Z43" i="4"/>
  <c r="X12" i="4"/>
  <c r="Y12" i="3"/>
  <c r="Z35" i="4"/>
  <c r="Z30" i="4"/>
  <c r="Z34" i="4"/>
  <c r="CU18" i="3"/>
  <c r="CT19" i="3"/>
  <c r="W7" i="4"/>
  <c r="X7" i="3"/>
  <c r="AL54" i="3"/>
  <c r="AM54" i="3" s="1"/>
  <c r="AN54" i="3" s="1"/>
  <c r="AO54" i="3" s="1"/>
  <c r="AP54" i="3" s="1"/>
  <c r="AQ54" i="3" s="1"/>
  <c r="AR54" i="3" s="1"/>
  <c r="AS54" i="3" s="1"/>
  <c r="AT54" i="3" s="1"/>
  <c r="AU54" i="3" s="1"/>
  <c r="AV54" i="3" s="1"/>
  <c r="AW54" i="3" s="1"/>
  <c r="AX54" i="3" s="1"/>
  <c r="AY54" i="3" s="1"/>
  <c r="AZ54" i="3" s="1"/>
  <c r="BA54" i="3" s="1"/>
  <c r="BB54" i="3" s="1"/>
  <c r="BC54" i="3" s="1"/>
  <c r="BD54" i="3" s="1"/>
  <c r="BE54" i="3" s="1"/>
  <c r="AK55" i="3"/>
  <c r="AL55" i="3" s="1"/>
  <c r="AM55" i="3" s="1"/>
  <c r="AN55" i="3" s="1"/>
  <c r="AO55" i="3" s="1"/>
  <c r="AP55" i="3" s="1"/>
  <c r="AQ55" i="3" s="1"/>
  <c r="AR55" i="3" s="1"/>
  <c r="AS55" i="3" s="1"/>
  <c r="AT55" i="3" s="1"/>
  <c r="AU55" i="3" s="1"/>
  <c r="AV55" i="3" s="1"/>
  <c r="AW55" i="3" s="1"/>
  <c r="AX55" i="3" s="1"/>
  <c r="AY55" i="3" s="1"/>
  <c r="AZ55" i="3" s="1"/>
  <c r="BA55" i="3" s="1"/>
  <c r="BB55" i="3" s="1"/>
  <c r="BC55" i="3" s="1"/>
  <c r="BD55" i="3" s="1"/>
  <c r="BE55" i="3" s="1"/>
  <c r="CY42" i="4"/>
  <c r="AA29" i="4" s="1"/>
  <c r="CY43" i="4"/>
  <c r="AA39" i="4" s="1"/>
  <c r="CZ38" i="4"/>
  <c r="W10" i="4"/>
  <c r="X10" i="3"/>
  <c r="CV18" i="3" l="1"/>
  <c r="CU19" i="3"/>
  <c r="AR98" i="7"/>
  <c r="AK59" i="3"/>
  <c r="S24" i="12"/>
  <c r="T22" i="12"/>
  <c r="BF60" i="7"/>
  <c r="AY86" i="5"/>
  <c r="BF58" i="7"/>
  <c r="BF59" i="7"/>
  <c r="BF62" i="7"/>
  <c r="BF61" i="7"/>
  <c r="BD89" i="4"/>
  <c r="BK10" i="7"/>
  <c r="AZ33" i="4"/>
  <c r="DY52" i="4"/>
  <c r="AS95" i="7"/>
  <c r="AS90" i="7"/>
  <c r="AL70" i="3"/>
  <c r="AA6" i="4"/>
  <c r="AB6" i="3"/>
  <c r="X7" i="4"/>
  <c r="Y7" i="3"/>
  <c r="X9" i="4"/>
  <c r="Y9" i="3"/>
  <c r="X10" i="4"/>
  <c r="Y10" i="3"/>
  <c r="BB2" i="13"/>
  <c r="BA16" i="4"/>
  <c r="AS97" i="7"/>
  <c r="AL63" i="3"/>
  <c r="Y12" i="4"/>
  <c r="Z12" i="3"/>
  <c r="Y8" i="4"/>
  <c r="Z8" i="3"/>
  <c r="BB8" i="13"/>
  <c r="BA20" i="4"/>
  <c r="DA38" i="4"/>
  <c r="CZ43" i="4"/>
  <c r="AB39" i="4" s="1"/>
  <c r="CZ42" i="4"/>
  <c r="AB29" i="4" s="1"/>
  <c r="V2" i="3"/>
  <c r="CW6" i="3"/>
  <c r="T21" i="12"/>
  <c r="S23" i="12"/>
  <c r="T13" i="4"/>
  <c r="T14" i="4"/>
  <c r="AA44" i="4"/>
  <c r="AA40" i="4"/>
  <c r="AA43" i="4"/>
  <c r="U2" i="4"/>
  <c r="U14" i="3"/>
  <c r="U13" i="3"/>
  <c r="AA34" i="4"/>
  <c r="AA35" i="4"/>
  <c r="AA30" i="4"/>
  <c r="AL27" i="13"/>
  <c r="AL28" i="13" s="1"/>
  <c r="AK16" i="3"/>
  <c r="AL26" i="13"/>
  <c r="AK15" i="3"/>
  <c r="W23" i="11"/>
  <c r="V25" i="11"/>
  <c r="Y11" i="4"/>
  <c r="Z11" i="3"/>
  <c r="AN99" i="7"/>
  <c r="AG61" i="3"/>
  <c r="BE3" i="14"/>
  <c r="AZ23" i="4"/>
  <c r="BA42" i="4"/>
  <c r="DZ53" i="4"/>
  <c r="U24" i="11"/>
  <c r="V22" i="11"/>
  <c r="BA6" i="13"/>
  <c r="AZ19" i="4"/>
  <c r="AZ74" i="7"/>
  <c r="AQ68" i="5"/>
  <c r="BF91" i="7"/>
  <c r="AY66" i="3"/>
  <c r="AT93" i="7"/>
  <c r="AM68" i="3"/>
  <c r="Z11" i="4" l="1"/>
  <c r="AA11" i="3"/>
  <c r="W25" i="11"/>
  <c r="X23" i="11"/>
  <c r="Z8" i="4"/>
  <c r="AA8" i="3"/>
  <c r="V24" i="11"/>
  <c r="W22" i="11"/>
  <c r="AM26" i="13"/>
  <c r="AL15" i="3"/>
  <c r="Y7" i="4"/>
  <c r="Z7" i="3"/>
  <c r="BG91" i="7"/>
  <c r="AZ66" i="3"/>
  <c r="EA53" i="4"/>
  <c r="BB42" i="4"/>
  <c r="AB6" i="4"/>
  <c r="AC6" i="3"/>
  <c r="BF57" i="7"/>
  <c r="Z12" i="4"/>
  <c r="AA12" i="3"/>
  <c r="BG60" i="7"/>
  <c r="AZ86" i="5"/>
  <c r="BG61" i="7"/>
  <c r="BG59" i="7"/>
  <c r="BG62" i="7"/>
  <c r="BG58" i="7"/>
  <c r="AM27" i="13"/>
  <c r="AM28" i="13" s="1"/>
  <c r="AL16" i="3"/>
  <c r="AU93" i="7"/>
  <c r="AN68" i="3"/>
  <c r="BF3" i="14"/>
  <c r="BA23" i="4"/>
  <c r="U21" i="12"/>
  <c r="T23" i="12"/>
  <c r="AT97" i="7"/>
  <c r="AM63" i="3"/>
  <c r="AT90" i="7"/>
  <c r="AT95" i="7"/>
  <c r="AM70" i="3"/>
  <c r="W2" i="3"/>
  <c r="CX6" i="3"/>
  <c r="X2" i="3" s="1"/>
  <c r="T24" i="12"/>
  <c r="U22" i="12"/>
  <c r="AB34" i="4"/>
  <c r="AB30" i="4"/>
  <c r="AB35" i="4"/>
  <c r="DZ52" i="4"/>
  <c r="BA33" i="4"/>
  <c r="AS98" i="7"/>
  <c r="AL59" i="3"/>
  <c r="Y10" i="4"/>
  <c r="Z10" i="3"/>
  <c r="V2" i="4"/>
  <c r="V14" i="3"/>
  <c r="V13" i="3"/>
  <c r="BC2" i="13"/>
  <c r="BB16" i="4"/>
  <c r="U13" i="4"/>
  <c r="U14" i="4"/>
  <c r="AO99" i="7"/>
  <c r="AH61" i="3"/>
  <c r="AR68" i="5"/>
  <c r="BA74" i="7"/>
  <c r="AB43" i="4"/>
  <c r="AB40" i="4"/>
  <c r="AB44" i="4"/>
  <c r="DA42" i="4"/>
  <c r="AC29" i="4" s="1"/>
  <c r="DA43" i="4"/>
  <c r="AC39" i="4" s="1"/>
  <c r="DB38" i="4"/>
  <c r="BB6" i="13"/>
  <c r="BA19" i="4"/>
  <c r="BC8" i="13"/>
  <c r="BB20" i="4"/>
  <c r="Y9" i="4"/>
  <c r="Z9" i="3"/>
  <c r="BE89" i="4"/>
  <c r="BM10" i="7" s="1"/>
  <c r="BL10" i="7"/>
  <c r="CV19" i="3"/>
  <c r="CW18" i="3"/>
  <c r="Z7" i="4" l="1"/>
  <c r="AA7" i="3"/>
  <c r="AU97" i="7"/>
  <c r="AN63" i="3"/>
  <c r="AN26" i="13"/>
  <c r="AM15" i="3"/>
  <c r="V21" i="12"/>
  <c r="U23" i="12"/>
  <c r="AC43" i="4"/>
  <c r="AC44" i="4"/>
  <c r="AC40" i="4"/>
  <c r="BG3" i="14"/>
  <c r="BB23" i="4"/>
  <c r="AA12" i="4"/>
  <c r="AB12" i="3"/>
  <c r="U24" i="12"/>
  <c r="V22" i="12"/>
  <c r="W24" i="11"/>
  <c r="X22" i="11"/>
  <c r="BD2" i="13"/>
  <c r="BC16" i="4"/>
  <c r="AV93" i="7"/>
  <c r="AO68" i="3"/>
  <c r="BC6" i="13"/>
  <c r="BB19" i="4"/>
  <c r="AC35" i="4"/>
  <c r="AC30" i="4"/>
  <c r="AC34" i="4"/>
  <c r="X2" i="4"/>
  <c r="X14" i="3"/>
  <c r="X13" i="3"/>
  <c r="AC6" i="4"/>
  <c r="AD6" i="3"/>
  <c r="AA8" i="4"/>
  <c r="AB8" i="3"/>
  <c r="DB42" i="4"/>
  <c r="AD29" i="4" s="1"/>
  <c r="DC38" i="4"/>
  <c r="DB43" i="4"/>
  <c r="AD39" i="4" s="1"/>
  <c r="CW19" i="3"/>
  <c r="CX18" i="3"/>
  <c r="CX19" i="3" s="1"/>
  <c r="V14" i="4"/>
  <c r="V13" i="4"/>
  <c r="Z10" i="4"/>
  <c r="AA10" i="3"/>
  <c r="W2" i="4"/>
  <c r="W14" i="3"/>
  <c r="W13" i="3"/>
  <c r="AN27" i="13"/>
  <c r="AN28" i="13" s="1"/>
  <c r="AM16" i="3"/>
  <c r="BB33" i="4"/>
  <c r="EA52" i="4"/>
  <c r="BH60" i="7"/>
  <c r="BA86" i="5"/>
  <c r="BH62" i="7"/>
  <c r="BH61" i="7"/>
  <c r="BH59" i="7"/>
  <c r="BH58" i="7"/>
  <c r="BH57" i="7" s="1"/>
  <c r="Z9" i="4"/>
  <c r="AA9" i="3"/>
  <c r="AU95" i="7"/>
  <c r="AU90" i="7"/>
  <c r="AN70" i="3"/>
  <c r="X25" i="11"/>
  <c r="Y23" i="11"/>
  <c r="BB74" i="7"/>
  <c r="AS68" i="5"/>
  <c r="BG57" i="7"/>
  <c r="EB53" i="4"/>
  <c r="BC42" i="4"/>
  <c r="AT98" i="7"/>
  <c r="AM59" i="3"/>
  <c r="BD8" i="13"/>
  <c r="BC20" i="4"/>
  <c r="AP99" i="7"/>
  <c r="AI61" i="3"/>
  <c r="BH91" i="7"/>
  <c r="BA66" i="3"/>
  <c r="AA11" i="4"/>
  <c r="AB11" i="3"/>
  <c r="AW93" i="7" l="1"/>
  <c r="AP68" i="3"/>
  <c r="AD34" i="4"/>
  <c r="AD30" i="4"/>
  <c r="AD35" i="4"/>
  <c r="AC8" i="3"/>
  <c r="AB8" i="4"/>
  <c r="W13" i="4"/>
  <c r="W14" i="4"/>
  <c r="AD6" i="4"/>
  <c r="AE6" i="3"/>
  <c r="BE2" i="13"/>
  <c r="BD16" i="4"/>
  <c r="BF2" i="13" s="1"/>
  <c r="AA9" i="4"/>
  <c r="AB9" i="3"/>
  <c r="EC53" i="4"/>
  <c r="BE42" i="4" s="1"/>
  <c r="BD42" i="4"/>
  <c r="AA10" i="4"/>
  <c r="AB10" i="3"/>
  <c r="AB11" i="4"/>
  <c r="AC11" i="3"/>
  <c r="X24" i="11"/>
  <c r="Y22" i="11"/>
  <c r="W21" i="12"/>
  <c r="V23" i="12"/>
  <c r="AU98" i="7"/>
  <c r="AN59" i="3"/>
  <c r="AT68" i="5"/>
  <c r="BC74" i="7"/>
  <c r="AO26" i="13"/>
  <c r="AN15" i="3"/>
  <c r="BI91" i="7"/>
  <c r="BB66" i="3"/>
  <c r="BI60" i="7"/>
  <c r="BB86" i="5"/>
  <c r="BI58" i="7"/>
  <c r="BI57" i="7" s="1"/>
  <c r="BI59" i="7"/>
  <c r="BI62" i="7"/>
  <c r="BI61" i="7"/>
  <c r="X14" i="4"/>
  <c r="X13" i="4"/>
  <c r="V24" i="12"/>
  <c r="W22" i="12"/>
  <c r="Y25" i="11"/>
  <c r="Z23" i="11"/>
  <c r="AV97" i="7"/>
  <c r="AO63" i="3"/>
  <c r="AQ99" i="7"/>
  <c r="AJ61" i="3"/>
  <c r="EB52" i="4"/>
  <c r="BC33" i="4"/>
  <c r="AB12" i="4"/>
  <c r="AC12" i="3"/>
  <c r="AV95" i="7"/>
  <c r="AV90" i="7"/>
  <c r="AO70" i="3"/>
  <c r="AD43" i="4"/>
  <c r="AD44" i="4"/>
  <c r="AD40" i="4"/>
  <c r="AA7" i="4"/>
  <c r="AB7" i="3"/>
  <c r="BE8" i="13"/>
  <c r="BD20" i="4"/>
  <c r="AO27" i="13"/>
  <c r="AO28" i="13" s="1"/>
  <c r="AN16" i="3"/>
  <c r="DC43" i="4"/>
  <c r="AE39" i="4" s="1"/>
  <c r="DD38" i="4"/>
  <c r="DC42" i="4"/>
  <c r="AE29" i="4" s="1"/>
  <c r="BD6" i="13"/>
  <c r="BC19" i="4"/>
  <c r="BH3" i="14"/>
  <c r="BC23" i="4"/>
  <c r="W23" i="12" l="1"/>
  <c r="X21" i="12"/>
  <c r="AW97" i="7"/>
  <c r="AP63" i="3"/>
  <c r="BE6" i="13"/>
  <c r="BD19" i="4"/>
  <c r="Y24" i="11"/>
  <c r="Z22" i="11"/>
  <c r="Z25" i="11"/>
  <c r="AA23" i="11"/>
  <c r="BJ91" i="7"/>
  <c r="BC66" i="3"/>
  <c r="AC11" i="4"/>
  <c r="AD11" i="3"/>
  <c r="AE35" i="4"/>
  <c r="AE34" i="4"/>
  <c r="AE30" i="4"/>
  <c r="AW95" i="7"/>
  <c r="AW90" i="7"/>
  <c r="AP70" i="3"/>
  <c r="AE6" i="4"/>
  <c r="AF6" i="3"/>
  <c r="DD43" i="4"/>
  <c r="AF39" i="4" s="1"/>
  <c r="DE38" i="4"/>
  <c r="DD42" i="4"/>
  <c r="AF29" i="4" s="1"/>
  <c r="W24" i="12"/>
  <c r="X22" i="12"/>
  <c r="AP26" i="13"/>
  <c r="AO15" i="3"/>
  <c r="AB10" i="4"/>
  <c r="AC10" i="3"/>
  <c r="AE40" i="4"/>
  <c r="AE44" i="4"/>
  <c r="AE43" i="4"/>
  <c r="AD8" i="3"/>
  <c r="AC8" i="4"/>
  <c r="AP27" i="13"/>
  <c r="AP28" i="13" s="1"/>
  <c r="AO16" i="3"/>
  <c r="AC12" i="4"/>
  <c r="AD12" i="3"/>
  <c r="AU68" i="5"/>
  <c r="BD74" i="7"/>
  <c r="BJ60" i="7"/>
  <c r="BC86" i="5"/>
  <c r="BJ58" i="7"/>
  <c r="BJ61" i="7"/>
  <c r="BJ59" i="7"/>
  <c r="BJ62" i="7"/>
  <c r="BF8" i="13"/>
  <c r="BE20" i="4"/>
  <c r="BG8" i="13" s="1"/>
  <c r="AV98" i="7"/>
  <c r="AO59" i="3"/>
  <c r="AB9" i="4"/>
  <c r="AC9" i="3"/>
  <c r="BD33" i="4"/>
  <c r="EC52" i="4"/>
  <c r="BE33" i="4" s="1"/>
  <c r="AX93" i="7"/>
  <c r="AQ68" i="3"/>
  <c r="BI3" i="14"/>
  <c r="BD23" i="4"/>
  <c r="AB7" i="4"/>
  <c r="AC7" i="3"/>
  <c r="AR99" i="7"/>
  <c r="AK61" i="3"/>
  <c r="DF38" i="4" l="1"/>
  <c r="DE43" i="4"/>
  <c r="AG39" i="4" s="1"/>
  <c r="DE42" i="4"/>
  <c r="AG29" i="4" s="1"/>
  <c r="AD8" i="4"/>
  <c r="AE8" i="3"/>
  <c r="AF44" i="4"/>
  <c r="AF43" i="4"/>
  <c r="AF40" i="4"/>
  <c r="BK91" i="7"/>
  <c r="BD66" i="3"/>
  <c r="AY93" i="7"/>
  <c r="AR68" i="3"/>
  <c r="AF6" i="4"/>
  <c r="AG6" i="3"/>
  <c r="AA25" i="11"/>
  <c r="AB23" i="11"/>
  <c r="BJ57" i="7"/>
  <c r="BJ3" i="14"/>
  <c r="BE23" i="4"/>
  <c r="BK3" i="14" s="1"/>
  <c r="BK60" i="7"/>
  <c r="BD86" i="5"/>
  <c r="BK58" i="7"/>
  <c r="BK62" i="7"/>
  <c r="BK61" i="7"/>
  <c r="BK59" i="7"/>
  <c r="AX95" i="7"/>
  <c r="AX90" i="7"/>
  <c r="AQ70" i="3"/>
  <c r="Z24" i="11"/>
  <c r="AA22" i="11"/>
  <c r="AC10" i="4"/>
  <c r="AD10" i="3"/>
  <c r="AC9" i="4"/>
  <c r="AD9" i="3"/>
  <c r="BF6" i="13"/>
  <c r="BE19" i="4"/>
  <c r="BG6" i="13" s="1"/>
  <c r="AV68" i="5"/>
  <c r="BE74" i="7"/>
  <c r="AQ26" i="13"/>
  <c r="AP15" i="3"/>
  <c r="AS99" i="7"/>
  <c r="AL61" i="3"/>
  <c r="AW98" i="7"/>
  <c r="AP59" i="3"/>
  <c r="AD12" i="4"/>
  <c r="AE12" i="3"/>
  <c r="AX97" i="7"/>
  <c r="AQ63" i="3"/>
  <c r="X24" i="12"/>
  <c r="Y22" i="12"/>
  <c r="AC7" i="4"/>
  <c r="AD7" i="3"/>
  <c r="AD11" i="4"/>
  <c r="AE11" i="3"/>
  <c r="X23" i="12"/>
  <c r="Y21" i="12"/>
  <c r="AQ27" i="13"/>
  <c r="AQ28" i="13" s="1"/>
  <c r="AP16" i="3"/>
  <c r="AF34" i="4"/>
  <c r="AF30" i="4"/>
  <c r="AF35" i="4"/>
  <c r="AR27" i="13" l="1"/>
  <c r="AR28" i="13" s="1"/>
  <c r="AQ16" i="3"/>
  <c r="AE12" i="4"/>
  <c r="AF12" i="3"/>
  <c r="AD9" i="4"/>
  <c r="AE9" i="3"/>
  <c r="BK57" i="7"/>
  <c r="BL91" i="7"/>
  <c r="BE66" i="3"/>
  <c r="BM91" i="7" s="1"/>
  <c r="AZ93" i="7"/>
  <c r="AS68" i="3"/>
  <c r="AY97" i="7"/>
  <c r="AR63" i="3"/>
  <c r="BL60" i="7"/>
  <c r="BE86" i="5"/>
  <c r="BL62" i="7"/>
  <c r="BL59" i="7"/>
  <c r="BL61" i="7"/>
  <c r="BL58" i="7"/>
  <c r="Y23" i="12"/>
  <c r="Z21" i="12"/>
  <c r="AX98" i="7"/>
  <c r="AQ59" i="3"/>
  <c r="AD10" i="4"/>
  <c r="AE10" i="3"/>
  <c r="AE11" i="4"/>
  <c r="AF11" i="3"/>
  <c r="AT99" i="7"/>
  <c r="AM61" i="3"/>
  <c r="AA24" i="11"/>
  <c r="AB22" i="11"/>
  <c r="AE8" i="4"/>
  <c r="AF8" i="3"/>
  <c r="AD7" i="4"/>
  <c r="AE7" i="3"/>
  <c r="AR26" i="13"/>
  <c r="AQ15" i="3"/>
  <c r="AY90" i="7"/>
  <c r="AY95" i="7"/>
  <c r="AR70" i="3"/>
  <c r="AB25" i="11"/>
  <c r="AC23" i="11"/>
  <c r="AG35" i="4"/>
  <c r="AG34" i="4"/>
  <c r="AG30" i="4"/>
  <c r="AG6" i="4"/>
  <c r="AH6" i="3"/>
  <c r="AG44" i="4"/>
  <c r="AG40" i="4"/>
  <c r="AG43" i="4"/>
  <c r="Z22" i="12"/>
  <c r="Y24" i="12"/>
  <c r="AW68" i="5"/>
  <c r="BF74" i="7"/>
  <c r="DF43" i="4"/>
  <c r="AH39" i="4" s="1"/>
  <c r="DF42" i="4"/>
  <c r="AH29" i="4" s="1"/>
  <c r="DG38" i="4"/>
  <c r="AH6" i="4" l="1"/>
  <c r="AI6" i="3"/>
  <c r="AE7" i="4"/>
  <c r="AF7" i="3"/>
  <c r="AY98" i="7"/>
  <c r="AR59" i="3"/>
  <c r="BA93" i="7"/>
  <c r="AT68" i="3"/>
  <c r="Z23" i="12"/>
  <c r="AA21" i="12"/>
  <c r="AH34" i="4"/>
  <c r="AH35" i="4"/>
  <c r="AH30" i="4"/>
  <c r="DG42" i="4"/>
  <c r="AI29" i="4" s="1"/>
  <c r="DH38" i="4"/>
  <c r="DG43" i="4"/>
  <c r="AI39" i="4" s="1"/>
  <c r="AH40" i="4"/>
  <c r="AH44" i="4"/>
  <c r="AH43" i="4"/>
  <c r="AB24" i="11"/>
  <c r="AC22" i="11"/>
  <c r="BL57" i="7"/>
  <c r="AF8" i="4"/>
  <c r="AG8" i="3"/>
  <c r="AC25" i="11"/>
  <c r="AD23" i="11"/>
  <c r="AE9" i="4"/>
  <c r="AF9" i="3"/>
  <c r="AX68" i="5"/>
  <c r="BG74" i="7"/>
  <c r="AU99" i="7"/>
  <c r="AN61" i="3"/>
  <c r="AF12" i="4"/>
  <c r="AG12" i="3"/>
  <c r="Z24" i="12"/>
  <c r="AA22" i="12"/>
  <c r="AF11" i="4"/>
  <c r="AG11" i="3"/>
  <c r="BM60" i="7"/>
  <c r="BM62" i="7"/>
  <c r="BM61" i="7"/>
  <c r="BM59" i="7"/>
  <c r="BM58" i="7"/>
  <c r="AS27" i="13"/>
  <c r="AS28" i="13" s="1"/>
  <c r="AR16" i="3"/>
  <c r="AZ95" i="7"/>
  <c r="AZ90" i="7"/>
  <c r="AS70" i="3"/>
  <c r="AS26" i="13"/>
  <c r="AR15" i="3"/>
  <c r="AE10" i="4"/>
  <c r="AF10" i="3"/>
  <c r="AZ97" i="7"/>
  <c r="AS63" i="3"/>
  <c r="AY68" i="5" l="1"/>
  <c r="BH74" i="7"/>
  <c r="BA95" i="7"/>
  <c r="BA90" i="7"/>
  <c r="AT70" i="3"/>
  <c r="AA24" i="12"/>
  <c r="AB22" i="12"/>
  <c r="AG8" i="4"/>
  <c r="AH8" i="3"/>
  <c r="AG12" i="4"/>
  <c r="AH12" i="3"/>
  <c r="AB21" i="12"/>
  <c r="AA23" i="12"/>
  <c r="BA97" i="7"/>
  <c r="AT63" i="3"/>
  <c r="AT27" i="13"/>
  <c r="AT28" i="13" s="1"/>
  <c r="AS16" i="3"/>
  <c r="AC24" i="11"/>
  <c r="AD22" i="11"/>
  <c r="AV99" i="7"/>
  <c r="AO61" i="3"/>
  <c r="BB93" i="7"/>
  <c r="AU68" i="3"/>
  <c r="BM57" i="7"/>
  <c r="AZ98" i="7"/>
  <c r="AS59" i="3"/>
  <c r="AF9" i="4"/>
  <c r="AG9" i="3"/>
  <c r="AI44" i="4"/>
  <c r="AI40" i="4"/>
  <c r="AI43" i="4"/>
  <c r="AF7" i="4"/>
  <c r="AG7" i="3"/>
  <c r="AF10" i="4"/>
  <c r="AG10" i="3"/>
  <c r="AI6" i="4"/>
  <c r="AJ6" i="3"/>
  <c r="DI38" i="4"/>
  <c r="DH42" i="4"/>
  <c r="AJ29" i="4" s="1"/>
  <c r="DH43" i="4"/>
  <c r="AJ39" i="4" s="1"/>
  <c r="AT26" i="13"/>
  <c r="AS15" i="3"/>
  <c r="AG11" i="4"/>
  <c r="AH11" i="3"/>
  <c r="AD25" i="11"/>
  <c r="AE23" i="11"/>
  <c r="AI30" i="4"/>
  <c r="AI34" i="4"/>
  <c r="AI35" i="4"/>
  <c r="AC21" i="12" l="1"/>
  <c r="AB23" i="12"/>
  <c r="AG10" i="4"/>
  <c r="AH10" i="3"/>
  <c r="BC93" i="7"/>
  <c r="AV68" i="3"/>
  <c r="AH12" i="4"/>
  <c r="AI12" i="3"/>
  <c r="AG9" i="4"/>
  <c r="AH9" i="3"/>
  <c r="DI43" i="4"/>
  <c r="AK39" i="4" s="1"/>
  <c r="DI42" i="4"/>
  <c r="AK29" i="4" s="1"/>
  <c r="DJ38" i="4"/>
  <c r="AU27" i="13"/>
  <c r="AU28" i="13" s="1"/>
  <c r="AT16" i="3"/>
  <c r="AJ34" i="4"/>
  <c r="AJ30" i="4"/>
  <c r="AJ35" i="4"/>
  <c r="BB97" i="7"/>
  <c r="AU63" i="3"/>
  <c r="BA98" i="7"/>
  <c r="AT59" i="3"/>
  <c r="AG7" i="4"/>
  <c r="AH7" i="3"/>
  <c r="AW99" i="7"/>
  <c r="AP61" i="3"/>
  <c r="AH8" i="4"/>
  <c r="AI8" i="3"/>
  <c r="AJ6" i="4"/>
  <c r="AK6" i="3"/>
  <c r="AE25" i="11"/>
  <c r="AF23" i="11"/>
  <c r="AH11" i="4"/>
  <c r="AI11" i="3"/>
  <c r="AE22" i="11"/>
  <c r="AD24" i="11"/>
  <c r="AB24" i="12"/>
  <c r="AC22" i="12"/>
  <c r="AJ43" i="4"/>
  <c r="AJ44" i="4"/>
  <c r="AJ40" i="4"/>
  <c r="AU26" i="13"/>
  <c r="AT15" i="3"/>
  <c r="BB95" i="7"/>
  <c r="BB90" i="7"/>
  <c r="AU70" i="3"/>
  <c r="AZ68" i="5"/>
  <c r="BI74" i="7"/>
  <c r="AI8" i="4" l="1"/>
  <c r="AJ8" i="3"/>
  <c r="AV27" i="13"/>
  <c r="AV28" i="13" s="1"/>
  <c r="AU16" i="3"/>
  <c r="AX99" i="7"/>
  <c r="AQ61" i="3"/>
  <c r="AH7" i="4"/>
  <c r="AI7" i="3"/>
  <c r="AK34" i="4"/>
  <c r="AK35" i="4"/>
  <c r="AL29" i="4"/>
  <c r="AK30" i="4"/>
  <c r="BA68" i="5"/>
  <c r="BJ74" i="7"/>
  <c r="AF22" i="11"/>
  <c r="AE24" i="11"/>
  <c r="AK43" i="4"/>
  <c r="AK40" i="4"/>
  <c r="AL39" i="4"/>
  <c r="AK44" i="4"/>
  <c r="BC90" i="7"/>
  <c r="BC95" i="7"/>
  <c r="AV70" i="3"/>
  <c r="AJ11" i="3"/>
  <c r="AI11" i="4"/>
  <c r="BB98" i="7"/>
  <c r="AU59" i="3"/>
  <c r="AH9" i="4"/>
  <c r="AI9" i="3"/>
  <c r="AF25" i="11"/>
  <c r="AG23" i="11"/>
  <c r="BC97" i="7"/>
  <c r="AV63" i="3"/>
  <c r="AI12" i="4"/>
  <c r="AJ12" i="3"/>
  <c r="AV26" i="13"/>
  <c r="AU15" i="3"/>
  <c r="AL6" i="3"/>
  <c r="AK6" i="4"/>
  <c r="BD93" i="7"/>
  <c r="AW68" i="3"/>
  <c r="AH10" i="4"/>
  <c r="AI10" i="3"/>
  <c r="AD22" i="12"/>
  <c r="AC24" i="12"/>
  <c r="DJ43" i="4"/>
  <c r="DK38" i="4"/>
  <c r="DJ42" i="4"/>
  <c r="AD21" i="12"/>
  <c r="AC23" i="12"/>
  <c r="BC98" i="7" l="1"/>
  <c r="AV59" i="3"/>
  <c r="AJ11" i="4"/>
  <c r="AK11" i="3"/>
  <c r="AE21" i="12"/>
  <c r="AD23" i="12"/>
  <c r="DK42" i="4"/>
  <c r="DL38" i="4"/>
  <c r="DK43" i="4"/>
  <c r="AJ12" i="4"/>
  <c r="AK12" i="3"/>
  <c r="BD95" i="7"/>
  <c r="BD90" i="7"/>
  <c r="AW70" i="3"/>
  <c r="AL30" i="4"/>
  <c r="AM29" i="4"/>
  <c r="AL35" i="4"/>
  <c r="AL34" i="4"/>
  <c r="AI7" i="4"/>
  <c r="AJ7" i="3"/>
  <c r="AG25" i="11"/>
  <c r="AH23" i="11"/>
  <c r="BD97" i="7"/>
  <c r="AW63" i="3"/>
  <c r="AI10" i="4"/>
  <c r="AJ10" i="3"/>
  <c r="AL43" i="4"/>
  <c r="AL44" i="4"/>
  <c r="AM39" i="4"/>
  <c r="AL40" i="4"/>
  <c r="AY99" i="7"/>
  <c r="AR61" i="3"/>
  <c r="AD24" i="12"/>
  <c r="AE22" i="12"/>
  <c r="BE93" i="7"/>
  <c r="AX68" i="3"/>
  <c r="AI9" i="4"/>
  <c r="AJ9" i="3"/>
  <c r="AW27" i="13"/>
  <c r="AW28" i="13" s="1"/>
  <c r="AV16" i="3"/>
  <c r="AF24" i="11"/>
  <c r="AG22" i="11"/>
  <c r="AL6" i="4"/>
  <c r="AM6" i="3"/>
  <c r="AJ8" i="4"/>
  <c r="AK8" i="3"/>
  <c r="AW26" i="13"/>
  <c r="AV15" i="3"/>
  <c r="BB68" i="5"/>
  <c r="BK74" i="7"/>
  <c r="AX26" i="13" l="1"/>
  <c r="AW15" i="3"/>
  <c r="BE97" i="7"/>
  <c r="AX63" i="3"/>
  <c r="BL74" i="7"/>
  <c r="BC68" i="5"/>
  <c r="BM74" i="7" s="1"/>
  <c r="AK8" i="4"/>
  <c r="AL8" i="3"/>
  <c r="AE24" i="12"/>
  <c r="AF22" i="12"/>
  <c r="AI23" i="11"/>
  <c r="AI25" i="11" s="1"/>
  <c r="AH25" i="11"/>
  <c r="BF93" i="7"/>
  <c r="AY68" i="3"/>
  <c r="AK12" i="4"/>
  <c r="AL12" i="3"/>
  <c r="AM6" i="4"/>
  <c r="AN6" i="3"/>
  <c r="AZ99" i="7"/>
  <c r="AS61" i="3"/>
  <c r="AJ7" i="4"/>
  <c r="AK7" i="3"/>
  <c r="DL42" i="4"/>
  <c r="DL43" i="4"/>
  <c r="DM38" i="4"/>
  <c r="AG24" i="11"/>
  <c r="AH22" i="11"/>
  <c r="AM44" i="4"/>
  <c r="AM40" i="4"/>
  <c r="AN39" i="4"/>
  <c r="AM43" i="4"/>
  <c r="AE23" i="12"/>
  <c r="AF21" i="12"/>
  <c r="AX27" i="13"/>
  <c r="AX28" i="13" s="1"/>
  <c r="AW16" i="3"/>
  <c r="AM35" i="4"/>
  <c r="AM34" i="4"/>
  <c r="AM30" i="4"/>
  <c r="AN29" i="4"/>
  <c r="AK11" i="4"/>
  <c r="AL11" i="3"/>
  <c r="AJ9" i="4"/>
  <c r="AK9" i="3"/>
  <c r="AJ10" i="4"/>
  <c r="AK10" i="3"/>
  <c r="BE95" i="7"/>
  <c r="BE90" i="7"/>
  <c r="AX70" i="3"/>
  <c r="BD98" i="7"/>
  <c r="AW59" i="3"/>
  <c r="BF90" i="7" l="1"/>
  <c r="BF95" i="7"/>
  <c r="AY70" i="3"/>
  <c r="AF24" i="12"/>
  <c r="AG22" i="12"/>
  <c r="AY27" i="13"/>
  <c r="AY28" i="13" s="1"/>
  <c r="AX16" i="3"/>
  <c r="AK7" i="4"/>
  <c r="AL7" i="3"/>
  <c r="AK10" i="4"/>
  <c r="AL10" i="3"/>
  <c r="AG21" i="12"/>
  <c r="AF23" i="12"/>
  <c r="BA99" i="7"/>
  <c r="AT61" i="3"/>
  <c r="AL8" i="4"/>
  <c r="AM8" i="3"/>
  <c r="BE98" i="7"/>
  <c r="AX59" i="3"/>
  <c r="AK9" i="4"/>
  <c r="AL9" i="3"/>
  <c r="AH24" i="11"/>
  <c r="AI22" i="11"/>
  <c r="AI24" i="11" s="1"/>
  <c r="AN44" i="4"/>
  <c r="AO39" i="4"/>
  <c r="AN40" i="4"/>
  <c r="AN43" i="4"/>
  <c r="AN6" i="4"/>
  <c r="AO6" i="3"/>
  <c r="AN35" i="4"/>
  <c r="AN30" i="4"/>
  <c r="AO29" i="4"/>
  <c r="AN34" i="4"/>
  <c r="AL11" i="4"/>
  <c r="AM11" i="3"/>
  <c r="AL12" i="4"/>
  <c r="AM12" i="3"/>
  <c r="BF97" i="7"/>
  <c r="AY63" i="3"/>
  <c r="BG93" i="7"/>
  <c r="AZ68" i="3"/>
  <c r="AY26" i="13"/>
  <c r="AX15" i="3"/>
  <c r="DM42" i="4"/>
  <c r="DM43" i="4"/>
  <c r="DN38" i="4"/>
  <c r="AO43" i="4" l="1"/>
  <c r="AO44" i="4"/>
  <c r="AP39" i="4"/>
  <c r="AO40" i="4"/>
  <c r="AH21" i="12"/>
  <c r="AG23" i="12"/>
  <c r="DN42" i="4"/>
  <c r="DN43" i="4"/>
  <c r="DO38" i="4"/>
  <c r="AL9" i="4"/>
  <c r="AM9" i="3"/>
  <c r="AL7" i="4"/>
  <c r="AM7" i="3"/>
  <c r="AO34" i="4"/>
  <c r="AO35" i="4"/>
  <c r="AO30" i="4"/>
  <c r="AP29" i="4"/>
  <c r="BG97" i="7"/>
  <c r="AZ63" i="3"/>
  <c r="BB99" i="7"/>
  <c r="AU61" i="3"/>
  <c r="AM11" i="4"/>
  <c r="AN11" i="3"/>
  <c r="AL10" i="4"/>
  <c r="AM10" i="3"/>
  <c r="AZ26" i="13"/>
  <c r="AY15" i="3"/>
  <c r="BF98" i="7"/>
  <c r="AY59" i="3"/>
  <c r="AZ27" i="13"/>
  <c r="AZ28" i="13" s="1"/>
  <c r="AY16" i="3"/>
  <c r="BH93" i="7"/>
  <c r="BA68" i="3"/>
  <c r="AO6" i="4"/>
  <c r="AP6" i="3"/>
  <c r="AM8" i="4"/>
  <c r="AN8" i="3"/>
  <c r="AH22" i="12"/>
  <c r="AG24" i="12"/>
  <c r="BG95" i="7"/>
  <c r="BG90" i="7"/>
  <c r="AZ70" i="3"/>
  <c r="AM12" i="4"/>
  <c r="AN12" i="3"/>
  <c r="BG98" i="7" l="1"/>
  <c r="AZ59" i="3"/>
  <c r="AP6" i="4"/>
  <c r="AQ6" i="3"/>
  <c r="AN11" i="4"/>
  <c r="AO11" i="3"/>
  <c r="AM9" i="4"/>
  <c r="AN9" i="3"/>
  <c r="BI93" i="7"/>
  <c r="BB68" i="3"/>
  <c r="BC99" i="7"/>
  <c r="AV61" i="3"/>
  <c r="DO42" i="4"/>
  <c r="DP38" i="4"/>
  <c r="DO43" i="4"/>
  <c r="AN12" i="4"/>
  <c r="AO12" i="3"/>
  <c r="BA27" i="13"/>
  <c r="BA28" i="13" s="1"/>
  <c r="AZ16" i="3"/>
  <c r="BH97" i="7"/>
  <c r="BA63" i="3"/>
  <c r="AP35" i="4"/>
  <c r="AP30" i="4"/>
  <c r="AQ29" i="4"/>
  <c r="AP34" i="4"/>
  <c r="AI21" i="12"/>
  <c r="AI23" i="12" s="1"/>
  <c r="AH23" i="12"/>
  <c r="AP43" i="4"/>
  <c r="AP44" i="4"/>
  <c r="AP40" i="4"/>
  <c r="AQ39" i="4"/>
  <c r="BH95" i="7"/>
  <c r="BH90" i="7"/>
  <c r="BA70" i="3"/>
  <c r="AH24" i="12"/>
  <c r="AI22" i="12"/>
  <c r="AI24" i="12" s="1"/>
  <c r="BA26" i="13"/>
  <c r="AZ15" i="3"/>
  <c r="AN8" i="4"/>
  <c r="AO8" i="3"/>
  <c r="AM10" i="4"/>
  <c r="AN10" i="3"/>
  <c r="AM7" i="4"/>
  <c r="AN7" i="3"/>
  <c r="AQ34" i="4" l="1"/>
  <c r="AQ30" i="4"/>
  <c r="AR29" i="4"/>
  <c r="AQ35" i="4"/>
  <c r="BD99" i="7"/>
  <c r="AW61" i="3"/>
  <c r="BB27" i="13"/>
  <c r="BB28" i="13" s="1"/>
  <c r="BA16" i="3"/>
  <c r="AN10" i="4"/>
  <c r="AO10" i="3"/>
  <c r="AO12" i="4"/>
  <c r="AP12" i="3"/>
  <c r="BI95" i="7"/>
  <c r="BI90" i="7"/>
  <c r="BB70" i="3"/>
  <c r="BJ93" i="7"/>
  <c r="BC68" i="3"/>
  <c r="BI97" i="7"/>
  <c r="BB63" i="3"/>
  <c r="AN7" i="4"/>
  <c r="AO7" i="3"/>
  <c r="AN9" i="4"/>
  <c r="AO9" i="3"/>
  <c r="AQ43" i="4"/>
  <c r="AR39" i="4"/>
  <c r="AQ44" i="4"/>
  <c r="AQ40" i="4"/>
  <c r="AO8" i="4"/>
  <c r="AP8" i="3"/>
  <c r="AQ6" i="4"/>
  <c r="AR6" i="3"/>
  <c r="AO11" i="4"/>
  <c r="AP11" i="3"/>
  <c r="DP43" i="4"/>
  <c r="DQ38" i="4"/>
  <c r="DP42" i="4"/>
  <c r="BH98" i="7"/>
  <c r="BA59" i="3"/>
  <c r="BB26" i="13"/>
  <c r="BA15" i="3"/>
  <c r="BI98" i="7" l="1"/>
  <c r="BB59" i="3"/>
  <c r="AO10" i="4"/>
  <c r="AP10" i="3"/>
  <c r="AP12" i="4"/>
  <c r="AQ12" i="3"/>
  <c r="AO9" i="4"/>
  <c r="AP9" i="3"/>
  <c r="AO7" i="4"/>
  <c r="AP7" i="3"/>
  <c r="BC27" i="13"/>
  <c r="BC28" i="13" s="1"/>
  <c r="BB16" i="3"/>
  <c r="AP11" i="4"/>
  <c r="AQ11" i="3"/>
  <c r="AR6" i="4"/>
  <c r="AS6" i="3"/>
  <c r="BJ97" i="7"/>
  <c r="BC63" i="3"/>
  <c r="BE99" i="7"/>
  <c r="AX61" i="3"/>
  <c r="DQ43" i="4"/>
  <c r="DQ42" i="4"/>
  <c r="DR38" i="4"/>
  <c r="AP8" i="4"/>
  <c r="AQ8" i="3"/>
  <c r="BK93" i="7"/>
  <c r="BD68" i="3"/>
  <c r="BC26" i="13"/>
  <c r="BB15" i="3"/>
  <c r="BJ95" i="7"/>
  <c r="BJ90" i="7"/>
  <c r="BC70" i="3"/>
  <c r="AR35" i="4"/>
  <c r="AR30" i="4"/>
  <c r="AS29" i="4"/>
  <c r="AR34" i="4"/>
  <c r="AR44" i="4"/>
  <c r="AR40" i="4"/>
  <c r="AR43" i="4"/>
  <c r="AS39" i="4"/>
  <c r="AS35" i="4" l="1"/>
  <c r="AS34" i="4"/>
  <c r="AS30" i="4"/>
  <c r="AT29" i="4"/>
  <c r="AP7" i="4"/>
  <c r="AQ7" i="3"/>
  <c r="DR43" i="4"/>
  <c r="DS38" i="4"/>
  <c r="DR42" i="4"/>
  <c r="AP9" i="4"/>
  <c r="AQ9" i="3"/>
  <c r="BK97" i="7"/>
  <c r="BD63" i="3"/>
  <c r="AQ12" i="4"/>
  <c r="AR12" i="3"/>
  <c r="BK90" i="7"/>
  <c r="BK95" i="7"/>
  <c r="BD70" i="3"/>
  <c r="BF99" i="7"/>
  <c r="AY61" i="3"/>
  <c r="BD26" i="13"/>
  <c r="BC15" i="3"/>
  <c r="AS44" i="4"/>
  <c r="AT39" i="4"/>
  <c r="AS43" i="4"/>
  <c r="AS40" i="4"/>
  <c r="AS6" i="4"/>
  <c r="AT6" i="3"/>
  <c r="AP10" i="4"/>
  <c r="AQ10" i="3"/>
  <c r="BD27" i="13"/>
  <c r="BD28" i="13" s="1"/>
  <c r="BC16" i="3"/>
  <c r="BL93" i="7"/>
  <c r="BE68" i="3"/>
  <c r="BM93" i="7" s="1"/>
  <c r="AQ11" i="4"/>
  <c r="AR11" i="3"/>
  <c r="BJ98" i="7"/>
  <c r="BC59" i="3"/>
  <c r="AQ8" i="4"/>
  <c r="AR8" i="3"/>
  <c r="AR11" i="4" l="1"/>
  <c r="AS11" i="3"/>
  <c r="AQ9" i="4"/>
  <c r="AR9" i="3"/>
  <c r="BG99" i="7"/>
  <c r="AZ61" i="3"/>
  <c r="DS42" i="4"/>
  <c r="DT38" i="4"/>
  <c r="DS43" i="4"/>
  <c r="AQ10" i="4"/>
  <c r="AR10" i="3"/>
  <c r="BL95" i="7"/>
  <c r="BL90" i="7"/>
  <c r="BE70" i="3"/>
  <c r="AQ7" i="4"/>
  <c r="AR7" i="3"/>
  <c r="AT40" i="4"/>
  <c r="AU39" i="4"/>
  <c r="AT44" i="4"/>
  <c r="AT43" i="4"/>
  <c r="AT34" i="4"/>
  <c r="AT35" i="4"/>
  <c r="AT30" i="4"/>
  <c r="AU29" i="4"/>
  <c r="BE26" i="13"/>
  <c r="BD15" i="3"/>
  <c r="BE27" i="13"/>
  <c r="BE28" i="13" s="1"/>
  <c r="BD16" i="3"/>
  <c r="AT6" i="4"/>
  <c r="AU6" i="3"/>
  <c r="AR12" i="4"/>
  <c r="AS12" i="3"/>
  <c r="AR8" i="4"/>
  <c r="AS8" i="3"/>
  <c r="BK98" i="7"/>
  <c r="BD59" i="3"/>
  <c r="BL97" i="7"/>
  <c r="BE63" i="3"/>
  <c r="BM97" i="7" s="1"/>
  <c r="AR10" i="4" l="1"/>
  <c r="AS10" i="3"/>
  <c r="AS12" i="4"/>
  <c r="AT12" i="3"/>
  <c r="DU38" i="4"/>
  <c r="DT42" i="4"/>
  <c r="DT43" i="4"/>
  <c r="AS8" i="4"/>
  <c r="AT8" i="3"/>
  <c r="AU35" i="4"/>
  <c r="AU30" i="4"/>
  <c r="AV29" i="4"/>
  <c r="AU34" i="4"/>
  <c r="BH99" i="7"/>
  <c r="BA61" i="3"/>
  <c r="AU6" i="4"/>
  <c r="AV6" i="3"/>
  <c r="BF27" i="13"/>
  <c r="BF28" i="13" s="1"/>
  <c r="BE16" i="3"/>
  <c r="BG27" i="13" s="1"/>
  <c r="BG28" i="13" s="1"/>
  <c r="AR7" i="4"/>
  <c r="AS7" i="3"/>
  <c r="AR9" i="4"/>
  <c r="AS9" i="3"/>
  <c r="BL98" i="7"/>
  <c r="BE59" i="3"/>
  <c r="BM98" i="7" s="1"/>
  <c r="AU44" i="4"/>
  <c r="AU43" i="4"/>
  <c r="AU40" i="4"/>
  <c r="AV39" i="4"/>
  <c r="BF26" i="13"/>
  <c r="BE15" i="3"/>
  <c r="BG26" i="13" s="1"/>
  <c r="BM95" i="7"/>
  <c r="BM90" i="7"/>
  <c r="AS11" i="4"/>
  <c r="AT11" i="3"/>
  <c r="AV30" i="4" l="1"/>
  <c r="AW29" i="4"/>
  <c r="AV34" i="4"/>
  <c r="AV35" i="4"/>
  <c r="AT11" i="4"/>
  <c r="AU11" i="3"/>
  <c r="AS7" i="4"/>
  <c r="AT7" i="3"/>
  <c r="AT8" i="4"/>
  <c r="AU8" i="3"/>
  <c r="AV6" i="4"/>
  <c r="AW6" i="3"/>
  <c r="DV38" i="4"/>
  <c r="DU42" i="4"/>
  <c r="DU43" i="4"/>
  <c r="AT12" i="4"/>
  <c r="AU12" i="3"/>
  <c r="AS9" i="4"/>
  <c r="AT9" i="3"/>
  <c r="BI99" i="7"/>
  <c r="BB61" i="3"/>
  <c r="AV44" i="4"/>
  <c r="AW39" i="4"/>
  <c r="AV40" i="4"/>
  <c r="AV43" i="4"/>
  <c r="AS10" i="4"/>
  <c r="AT10" i="3"/>
  <c r="AW43" i="4" l="1"/>
  <c r="AW40" i="4"/>
  <c r="AX39" i="4"/>
  <c r="AW44" i="4"/>
  <c r="AU8" i="4"/>
  <c r="AV8" i="3"/>
  <c r="AW6" i="4"/>
  <c r="AX6" i="3"/>
  <c r="AT7" i="4"/>
  <c r="AU7" i="3"/>
  <c r="AT9" i="4"/>
  <c r="AU9" i="3"/>
  <c r="AU11" i="4"/>
  <c r="AV11" i="3"/>
  <c r="BJ99" i="7"/>
  <c r="BC61" i="3"/>
  <c r="AU12" i="4"/>
  <c r="AV12" i="3"/>
  <c r="AT10" i="4"/>
  <c r="AU10" i="3"/>
  <c r="AW34" i="4"/>
  <c r="AW35" i="4"/>
  <c r="AW30" i="4"/>
  <c r="AX29" i="4"/>
  <c r="DV42" i="4"/>
  <c r="DW38" i="4"/>
  <c r="DV43" i="4"/>
  <c r="AU9" i="4" l="1"/>
  <c r="AV9" i="3"/>
  <c r="BK99" i="7"/>
  <c r="BD61" i="3"/>
  <c r="DW42" i="4"/>
  <c r="DX38" i="4"/>
  <c r="DW43" i="4"/>
  <c r="AU10" i="4"/>
  <c r="AV10" i="3"/>
  <c r="AV11" i="4"/>
  <c r="AW11" i="3"/>
  <c r="AV12" i="4"/>
  <c r="AW12" i="3"/>
  <c r="AV8" i="4"/>
  <c r="AW8" i="3"/>
  <c r="AX30" i="4"/>
  <c r="AY29" i="4"/>
  <c r="AX34" i="4"/>
  <c r="AX35" i="4"/>
  <c r="AU7" i="4"/>
  <c r="AV7" i="3"/>
  <c r="AX6" i="4"/>
  <c r="AY6" i="3"/>
  <c r="AX43" i="4"/>
  <c r="AX40" i="4"/>
  <c r="AY39" i="4"/>
  <c r="AX44" i="4"/>
  <c r="AV7" i="4" l="1"/>
  <c r="AW7" i="3"/>
  <c r="DY38" i="4"/>
  <c r="DX42" i="4"/>
  <c r="DX43" i="4"/>
  <c r="AY34" i="4"/>
  <c r="AY30" i="4"/>
  <c r="AZ29" i="4"/>
  <c r="AY35" i="4"/>
  <c r="AV10" i="4"/>
  <c r="AW10" i="3"/>
  <c r="AY6" i="4"/>
  <c r="AZ6" i="3"/>
  <c r="AW8" i="4"/>
  <c r="AX8" i="3"/>
  <c r="AW11" i="4"/>
  <c r="AX11" i="3"/>
  <c r="BL99" i="7"/>
  <c r="BE61" i="3"/>
  <c r="BM99" i="7" s="1"/>
  <c r="AY43" i="4"/>
  <c r="AY44" i="4"/>
  <c r="AY40" i="4"/>
  <c r="AZ39" i="4"/>
  <c r="AV9" i="4"/>
  <c r="AW9" i="3"/>
  <c r="AW12" i="4"/>
  <c r="AX12" i="3"/>
  <c r="AW10" i="4" l="1"/>
  <c r="AX10" i="3"/>
  <c r="AZ6" i="4"/>
  <c r="BA6" i="3"/>
  <c r="AZ35" i="4"/>
  <c r="AZ34" i="4"/>
  <c r="BA29" i="4"/>
  <c r="AZ30" i="4"/>
  <c r="AW9" i="4"/>
  <c r="AX9" i="3"/>
  <c r="AZ44" i="4"/>
  <c r="AZ40" i="4"/>
  <c r="AZ43" i="4"/>
  <c r="BA39" i="4"/>
  <c r="AX11" i="4"/>
  <c r="AY11" i="3"/>
  <c r="AY12" i="3"/>
  <c r="AX12" i="4"/>
  <c r="AX8" i="4"/>
  <c r="AY8" i="3"/>
  <c r="DY42" i="4"/>
  <c r="DZ38" i="4"/>
  <c r="DY43" i="4"/>
  <c r="AW7" i="4"/>
  <c r="AX7" i="3"/>
  <c r="DZ42" i="4" l="1"/>
  <c r="EA38" i="4"/>
  <c r="DZ43" i="4"/>
  <c r="AX9" i="4"/>
  <c r="AY9" i="3"/>
  <c r="AY11" i="4"/>
  <c r="AZ11" i="3"/>
  <c r="BA44" i="4"/>
  <c r="BB39" i="4"/>
  <c r="BA40" i="4"/>
  <c r="BA43" i="4"/>
  <c r="AY8" i="4"/>
  <c r="AZ8" i="3"/>
  <c r="BA34" i="4"/>
  <c r="BA35" i="4"/>
  <c r="BB29" i="4"/>
  <c r="BA30" i="4"/>
  <c r="AY12" i="4"/>
  <c r="AZ12" i="3"/>
  <c r="BA6" i="4"/>
  <c r="BB6" i="3"/>
  <c r="AX10" i="4"/>
  <c r="AY10" i="3"/>
  <c r="AX7" i="4"/>
  <c r="AY7" i="3"/>
  <c r="AZ8" i="4" l="1"/>
  <c r="BA8" i="3"/>
  <c r="AZ11" i="4"/>
  <c r="BA11" i="3"/>
  <c r="EA42" i="4"/>
  <c r="EB38" i="4"/>
  <c r="EA43" i="4"/>
  <c r="AY7" i="4"/>
  <c r="AZ7" i="3"/>
  <c r="AY10" i="4"/>
  <c r="AZ10" i="3"/>
  <c r="BB6" i="4"/>
  <c r="BC6" i="3"/>
  <c r="BB43" i="4"/>
  <c r="BC39" i="4"/>
  <c r="BB40" i="4"/>
  <c r="BB44" i="4"/>
  <c r="AZ12" i="4"/>
  <c r="BA12" i="3"/>
  <c r="AY9" i="4"/>
  <c r="AZ9" i="3"/>
  <c r="BB34" i="4"/>
  <c r="BB35" i="4"/>
  <c r="BB30" i="4"/>
  <c r="BC29" i="4"/>
  <c r="BC43" i="4" l="1"/>
  <c r="BC44" i="4"/>
  <c r="BD39" i="4"/>
  <c r="BC40" i="4"/>
  <c r="AZ9" i="4"/>
  <c r="BA9" i="3"/>
  <c r="AZ10" i="4"/>
  <c r="BA10" i="3"/>
  <c r="AZ7" i="4"/>
  <c r="BA7" i="3"/>
  <c r="BA12" i="4"/>
  <c r="BB12" i="3"/>
  <c r="EB42" i="4"/>
  <c r="EC38" i="4"/>
  <c r="EB43" i="4"/>
  <c r="BA11" i="4"/>
  <c r="BB11" i="3"/>
  <c r="BA8" i="4"/>
  <c r="BB8" i="3"/>
  <c r="BC35" i="4"/>
  <c r="BC34" i="4"/>
  <c r="BD29" i="4"/>
  <c r="BC30" i="4"/>
  <c r="BC6" i="4"/>
  <c r="BD6" i="3"/>
  <c r="BB12" i="4" l="1"/>
  <c r="BC12" i="3"/>
  <c r="BD34" i="4"/>
  <c r="BD30" i="4"/>
  <c r="BE29" i="4"/>
  <c r="BD35" i="4"/>
  <c r="BA9" i="4"/>
  <c r="BB9" i="3"/>
  <c r="BB11" i="4"/>
  <c r="BC11" i="3"/>
  <c r="BA10" i="4"/>
  <c r="BB10" i="3"/>
  <c r="BB8" i="4"/>
  <c r="BC8" i="3"/>
  <c r="BD44" i="4"/>
  <c r="BD43" i="4"/>
  <c r="BE39" i="4"/>
  <c r="BD40" i="4"/>
  <c r="BA7" i="4"/>
  <c r="BB7" i="3"/>
  <c r="ED38" i="4"/>
  <c r="EC42" i="4"/>
  <c r="EC43" i="4"/>
  <c r="BD6" i="4"/>
  <c r="BE6" i="3"/>
  <c r="BE6" i="4" s="1"/>
  <c r="BC11" i="4" l="1"/>
  <c r="BD11" i="3"/>
  <c r="BC8" i="4"/>
  <c r="BD8" i="3"/>
  <c r="BC12" i="4"/>
  <c r="BD12" i="3"/>
  <c r="BB10" i="4"/>
  <c r="BC10" i="3"/>
  <c r="ED42" i="4"/>
  <c r="ED43" i="4"/>
  <c r="BB7" i="4"/>
  <c r="BC7" i="3"/>
  <c r="BB9" i="4"/>
  <c r="BC9" i="3"/>
  <c r="BE40" i="4"/>
  <c r="BE44" i="4"/>
  <c r="BE43" i="4"/>
  <c r="BE35" i="4"/>
  <c r="BE30" i="4"/>
  <c r="BE34" i="4"/>
  <c r="BD8" i="4" l="1"/>
  <c r="BE8" i="3"/>
  <c r="BE8" i="4" s="1"/>
  <c r="BC9" i="4"/>
  <c r="BD9" i="3"/>
  <c r="BC7" i="4"/>
  <c r="BD7" i="3"/>
  <c r="BC10" i="4"/>
  <c r="BD10" i="3"/>
  <c r="BD12" i="4"/>
  <c r="BE12" i="3"/>
  <c r="BE12" i="4" s="1"/>
  <c r="BD11" i="4"/>
  <c r="BE11" i="3"/>
  <c r="BE11" i="4" s="1"/>
  <c r="BE7" i="3" l="1"/>
  <c r="BE7" i="4" s="1"/>
  <c r="BD7" i="4"/>
  <c r="BD9" i="4"/>
  <c r="BE9" i="3"/>
  <c r="BE9" i="4" s="1"/>
  <c r="BD10" i="4"/>
  <c r="BE10" i="3"/>
  <c r="BE10"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200-00000A000000}">
      <text>
        <r>
          <rPr>
            <sz val="11"/>
            <color theme="1"/>
            <rFont val="Calibri"/>
            <scheme val="minor"/>
          </rPr>
          <t>======
ID#AAAAnCpb_9A
tc={2D08B9C8-F069-4FDB-B200-EC72F09DE033}    (2023-01-12 12:58:33)
[Threaded comment]
Your version of Excel allows you to read this threaded comment; however, any edits to it will get removed if the file is opened in a newer version of Excel. Learn more: https://go.microsoft.com/fwlink/?linkid=870924
Comment:
    Puede ser: Interpolación para años indicados o Definido</t>
        </r>
      </text>
    </comment>
    <comment ref="C5" authorId="0" shapeId="0" xr:uid="{00000000-0006-0000-0200-000006000000}">
      <text>
        <r>
          <rPr>
            <sz val="11"/>
            <color theme="1"/>
            <rFont val="Calibri"/>
            <scheme val="minor"/>
          </rPr>
          <t>======
ID#AAAApy57n-k
tc={D74A4EC5-23CE-4ACF-A1EA-A2AD034D0E9A}    (2023-02-28 02:56:52)
[Threaded comment]
Your version of Excel allows you to read this threaded comment; however, any edits to it will get removed if the file is opened in a newer version of Excel. Learn more: https://go.microsoft.com/fwlink/?linkid=870924
Comment:
    ¿Es progresivo o un 5% en 2025? Actualmente está progresivo.</t>
        </r>
      </text>
    </comment>
    <comment ref="A15" authorId="0" shapeId="0" xr:uid="{00000000-0006-0000-0200-000009000000}">
      <text>
        <r>
          <rPr>
            <sz val="11"/>
            <color theme="1"/>
            <rFont val="Calibri"/>
            <scheme val="minor"/>
          </rPr>
          <t>======
ID#AAAAnCpb_9E
tc={0F78AD11-15D3-42F7-9AFD-5C77FAF7CCED}    (2023-01-12 12:58:33)
[Threaded comment]
Your version of Excel allows you to read this threaded comment; however, any edits to it will get removed if the file is opened in a newer version of Excel. Learn more: https://go.microsoft.com/fwlink/?linkid=870924
Comment:
    Verificar que al agregar alguna tecnología esta exista en la parametrización de costos, factores de capacidad, vida útil... De lo contrario se debe agregar la caracterización de la tecnología al archivo Requermiento_Datos_Energía_v5 en todos los parámetros.</t>
        </r>
      </text>
    </comment>
    <comment ref="CE15" authorId="0" shapeId="0" xr:uid="{00000000-0006-0000-0200-000005000000}">
      <text>
        <r>
          <rPr>
            <sz val="11"/>
            <color theme="1"/>
            <rFont val="Calibri"/>
            <scheme val="minor"/>
          </rPr>
          <t>======
ID#AAAAwqCgyds
tc={868DF4DE-670C-4F0C-9230-2F63888ADD4E}    (2023-05-12 04:35:49)
[Threaded comment]
Your version of Excel allows you to read this threaded comment; however, any edits to it will get removed if the file is opened in a newer version of Excel. Learn more: https://go.microsoft.com/fwlink/?linkid=870924
Comment:
    [Requerimiento_Datos_Energia_Ecuador_v6.xlsx]</t>
        </r>
      </text>
    </comment>
    <comment ref="C17" authorId="0" shapeId="0" xr:uid="{00000000-0006-0000-0200-000002000000}">
      <text>
        <r>
          <rPr>
            <sz val="11"/>
            <color theme="1"/>
            <rFont val="Calibri"/>
            <scheme val="minor"/>
          </rPr>
          <t>======
ID#AAAA9fINfYM
tc={317E8949-022D-474B-955F-F0FA9596A68B}    (2023-10-25 21:50:46)
[Threaded comment]
Your version of Excel allows you to read this threaded comment; however, any edits to it will get removed if the file is opened in a newer version of Excel. Learn more: https://go.microsoft.com/fwlink/?linkid=870924
Comment:
    Esto está en todos los escenarios: BAU, PA, DDP50, DDP70</t>
        </r>
      </text>
    </comment>
    <comment ref="F22" authorId="0" shapeId="0" xr:uid="{00000000-0006-0000-0200-000001000000}">
      <text>
        <r>
          <rPr>
            <sz val="11"/>
            <color theme="1"/>
            <rFont val="Calibri"/>
            <scheme val="minor"/>
          </rPr>
          <t>======
ID#AAAA9fINfYU
tc={5CB94F2E-E15C-40E9-B8A3-C59CB7B2F847}    (2023-10-25 21:50:46)
[Threaded comment]
Your version of Excel allows you to read this threaded comment; however, any edits to it will get removed if the file is opened in a newer version of Excel. Learn more: https://go.microsoft.com/fwlink/?linkid=870924
Comment:
    Se necesita el valor en PJ</t>
        </r>
      </text>
    </comment>
    <comment ref="B29" authorId="0" shapeId="0" xr:uid="{00000000-0006-0000-0200-000008000000}">
      <text>
        <r>
          <rPr>
            <sz val="11"/>
            <color theme="1"/>
            <rFont val="Calibri"/>
            <scheme val="minor"/>
          </rPr>
          <t>======
ID#AAAAnCpb_9M
tc={EFC86553-8A9E-4B2F-8188-54337794667B}    (2023-01-12 12:58:33)
[Threaded comment]
Your version of Excel allows you to read this threaded comment; however, any edits to it will get removed if the file is opened in a newer version of Excel. Learn more: https://go.microsoft.com/fwlink/?linkid=870924
Comment:
    ¿Hay estudios sobre el costo estimado de la realización de esta conexión? Sería idea tener el dato o calcular un costo aproximado. Esta medida implica un costo adicional de conexión.</t>
        </r>
      </text>
    </comment>
    <comment ref="C30" authorId="0" shapeId="0" xr:uid="{00000000-0006-0000-0200-000003000000}">
      <text>
        <r>
          <rPr>
            <sz val="11"/>
            <color theme="1"/>
            <rFont val="Calibri"/>
            <scheme val="minor"/>
          </rPr>
          <t>======
ID#AAAA9fINfYI
tc={EEA20261-8506-41B6-8FEE-EC27737DE9C2}    (2023-10-25 21:50:46)
[Threaded comment]
Your version of Excel allows you to read this threaded comment; however, any edits to it will get removed if the file is opened in a newer version of Excel. Learn more: https://go.microsoft.com/fwlink/?linkid=870924
Comment:
    ¿Esto implica más exportaciones?</t>
        </r>
      </text>
    </comment>
    <comment ref="N30" authorId="0" shapeId="0" xr:uid="{00000000-0006-0000-0200-000004000000}">
      <text>
        <r>
          <rPr>
            <sz val="11"/>
            <color theme="1"/>
            <rFont val="Calibri"/>
            <scheme val="minor"/>
          </rPr>
          <t>======
ID#AAAAwqCgydw
User    (2023-05-12 04:35:49)
Aumenta interconexión con Perú</t>
        </r>
      </text>
    </comment>
    <comment ref="B31" authorId="0" shapeId="0" xr:uid="{00000000-0006-0000-0200-000007000000}">
      <text>
        <r>
          <rPr>
            <sz val="11"/>
            <color theme="1"/>
            <rFont val="Calibri"/>
            <scheme val="minor"/>
          </rPr>
          <t>======
ID#AAAAnCpb_9U
tc={3F6F56FA-158A-44FB-B434-57588B540C54}    (2023-01-12 12:58:33)
[Threaded comment]
Your version of Excel allows you to read this threaded comment; however, any edits to it will get removed if the file is opened in a newer version of Excel. Learn more: https://go.microsoft.com/fwlink/?linkid=870924
Comment:
    Es necesaria la caracterización de los costos asociados a esta mejora en la distribución de la electricidad, por ejemplo</t>
        </r>
      </text>
    </comment>
  </commentList>
  <extLst>
    <ext xmlns:r="http://schemas.openxmlformats.org/officeDocument/2006/relationships" uri="GoogleSheetsCustomDataVersion1">
      <go:sheetsCustomData xmlns:go="http://customooxmlschemas.google.com/" r:id="rId1" roundtripDataSignature="AMtx7miuri24hx+WOpCnxjvLU7oHHHPXl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300-000008000000}">
      <text>
        <r>
          <rPr>
            <sz val="11"/>
            <color theme="1"/>
            <rFont val="Calibri"/>
            <scheme val="minor"/>
          </rPr>
          <t>======
ID#AAAAnCpb_9Y
tc={DC15C31A-DDA2-4D80-853B-EED7A4680D7C}    (2023-01-12 12:58:33)
[Threaded comment]
Your version of Excel allows you to read this threaded comment; however, any edits to it will get removed if the file is opened in a newer version of Excel. Learn more: https://go.microsoft.com/fwlink/?linkid=870924
Comment:
    Puede ser: Interpolación para años indicados o Definido</t>
        </r>
      </text>
    </comment>
    <comment ref="C2" authorId="0" shapeId="0" xr:uid="{00000000-0006-0000-0300-000004000000}">
      <text>
        <r>
          <rPr>
            <sz val="11"/>
            <color theme="1"/>
            <rFont val="Calibri"/>
            <scheme val="minor"/>
          </rPr>
          <t>======
ID#AAAApy57n-g
tc={D4225558-BCFC-4D3E-B9F0-031BFF3FD807}    (2023-02-28 02:56:52)
[Threaded comment]
Your version of Excel allows you to read this threaded comment; however, any edits to it will get removed if the file is opened in a newer version of Excel. Learn more: https://go.microsoft.com/fwlink/?linkid=870924
Comment:
    Mencionaron que no debía llegar a 0 y sigue llegando a cero. Pendiente de revisar.</t>
        </r>
      </text>
    </comment>
    <comment ref="C3" authorId="0" shapeId="0" xr:uid="{00000000-0006-0000-0300-000003000000}">
      <text>
        <r>
          <rPr>
            <sz val="11"/>
            <color theme="1"/>
            <rFont val="Calibri"/>
            <scheme val="minor"/>
          </rPr>
          <t>======
ID#AAAApy57n-o
tc={54237960-18E8-47F7-B56F-37034D5759B8}    (2023-02-28 02:56:52)
[Threaded comment]
Your version of Excel allows you to read this threaded comment; however, any edits to it will get removed if the file is opened in a newer version of Excel. Learn more: https://go.microsoft.com/fwlink/?linkid=870924
Comment:
    ¿Por qué disminuye? Me parece que debería aumentar. Me parece que la idea era electrificar ese transporte.</t>
        </r>
      </text>
    </comment>
    <comment ref="A15" authorId="0" shapeId="0" xr:uid="{00000000-0006-0000-0300-000007000000}">
      <text>
        <r>
          <rPr>
            <sz val="11"/>
            <color theme="1"/>
            <rFont val="Calibri"/>
            <scheme val="minor"/>
          </rPr>
          <t>======
ID#AAAAnCpb_9k
tc={37B4D33D-525F-4473-83D9-3EA1424C5DEF}    (2023-01-12 12:58:33)
[Threaded comment]
Your version of Excel allows you to read this threaded comment; however, any edits to it will get removed if the file is opened in a newer version of Excel. Learn more: https://go.microsoft.com/fwlink/?linkid=870924
Comment:
    Verificar que al agregar alguna tecnología esta exista en la parametrización de costos, factores de capacidad, vida útil... De lo contrario se debe agregar la caracterización de la tecnología al archivo Requermiento_Datos_Energía_v5 en todos los parámetros.</t>
        </r>
      </text>
    </comment>
    <comment ref="I16" authorId="0" shapeId="0" xr:uid="{00000000-0006-0000-0300-000002000000}">
      <text>
        <r>
          <rPr>
            <sz val="11"/>
            <color theme="1"/>
            <rFont val="Calibri"/>
            <scheme val="minor"/>
          </rPr>
          <t>======
ID#AAAAwqCgyd0
tc={80AB2275-577B-4BF3-BDD7-C0EA94C70DEB}    (2023-05-12 04:35:49)
[Threaded comment]
Your version of Excel allows you to read this threaded comment; however, any edits to it will get removed if the file is opened in a newer version of Excel. Learn more: https://go.microsoft.com/fwlink/?linkid=870924
Comment:
    Cambié esto por una trayectoria más suave porque el cambio del 2021 a 2022 era muy brusco
Reply:
    Cuando la meta en Net Zero 2070 es más ambiciosa que Net Zero 2050 se iguala a la de Net Zero 2050.</t>
        </r>
      </text>
    </comment>
    <comment ref="B22" authorId="0" shapeId="0" xr:uid="{00000000-0006-0000-0300-000006000000}">
      <text>
        <r>
          <rPr>
            <sz val="11"/>
            <color theme="1"/>
            <rFont val="Calibri"/>
            <scheme val="minor"/>
          </rPr>
          <t>======
ID#AAAAnCpb_9o
tc={CA82984B-23CD-4A74-BBEF-8831E607748D}    (2023-01-12 12:58:33)
[Threaded comment]
Your version of Excel allows you to read this threaded comment; however, any edits to it will get removed if the file is opened in a newer version of Excel. Learn more: https://go.microsoft.com/fwlink/?linkid=870924
Comment:
    ¿Hay estudios sobre el costo estimado de la realización de esta conexión? Sería idea tener el dato o calcular un costo aproximado. Esta medida implica un costo adicional de conexión.</t>
        </r>
      </text>
    </comment>
    <comment ref="B23" authorId="0" shapeId="0" xr:uid="{00000000-0006-0000-0300-000009000000}">
      <text>
        <r>
          <rPr>
            <sz val="11"/>
            <color theme="1"/>
            <rFont val="Calibri"/>
            <scheme val="minor"/>
          </rPr>
          <t>======
ID#AAAAnCpb_9Q
tc={8A7E460E-9304-4210-A273-9979B1E68B72}    (2023-01-12 12:58:33)
[Threaded comment]
Your version of Excel allows you to read this threaded comment; however, any edits to it will get removed if the file is opened in a newer version of Excel. Learn more: https://go.microsoft.com/fwlink/?linkid=870924
Comment:
    Es necesaria la caracterización de los costos asociados a esta mejora en la distribución de la electricidad, por ejemplo</t>
        </r>
      </text>
    </comment>
    <comment ref="A80" authorId="0" shapeId="0" xr:uid="{00000000-0006-0000-0300-000001000000}">
      <text>
        <r>
          <rPr>
            <sz val="11"/>
            <color theme="1"/>
            <rFont val="Calibri"/>
            <scheme val="minor"/>
          </rPr>
          <t>======
ID#AAAA9fINfYQ
tc={187FAD60-0A6F-43E7-AE5E-C6F3FA441435}    (2023-10-25 21:50:46)
[Threaded comment]
Your version of Excel allows you to read this threaded comment; however, any edits to it will get removed if the file is opened in a newer version of Excel. Learn more: https://go.microsoft.com/fwlink/?linkid=870924
Comment:
    Aumentamos la ambición en los reemplazos</t>
        </r>
      </text>
    </comment>
    <comment ref="I81" authorId="0" shapeId="0" xr:uid="{00000000-0006-0000-0300-000005000000}">
      <text>
        <r>
          <rPr>
            <sz val="11"/>
            <color theme="1"/>
            <rFont val="Calibri"/>
            <scheme val="minor"/>
          </rPr>
          <t>======
ID#AAAApudQe2I
tc={428E429A-DAD4-4436-80EA-C3373481652C}    (2023-02-20 04:44:53)
[Threaded comment]
Your version of Excel allows you to read this threaded comment; however, any edits to it will get removed if the file is opened in a newer version of Excel. Learn more: https://go.microsoft.com/fwlink/?linkid=870924
Comment:
    ¿Este porcentaje es correcto? Me parece bajo con respecto al BAU y se va a ver un fuerte salto en 2022
Reply:
    En 2022 es superior al 50% el consumo de gasolina en el sector construcción.</t>
        </r>
      </text>
    </comment>
  </commentList>
  <extLst>
    <ext xmlns:r="http://schemas.openxmlformats.org/officeDocument/2006/relationships" uri="GoogleSheetsCustomDataVersion1">
      <go:sheetsCustomData xmlns:go="http://customooxmlschemas.google.com/" r:id="rId1" roundtripDataSignature="AMtx7mhdSImipghJGUD15KlqFm8CMMaeb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400-000004000000}">
      <text>
        <r>
          <rPr>
            <sz val="11"/>
            <color theme="1"/>
            <rFont val="Calibri"/>
            <scheme val="minor"/>
          </rPr>
          <t>======
ID#AAAAobHFuZ0
tc={DC15C31A-DDA2-4D80-853B-EED7A4680D7C}    (2023-01-12 12:58:33)
[Threaded comment]
Your version of Excel allows you to read this threaded comment; however, any edits to it will get removed if the file is opened in a newer version of Excel. Learn more: https://go.microsoft.com/fwlink/?linkid=870924
Comment:
    Puede ser: Interpolación para años indicados o Definido</t>
        </r>
      </text>
    </comment>
    <comment ref="A9" authorId="0" shapeId="0" xr:uid="{00000000-0006-0000-0400-000002000000}">
      <text>
        <r>
          <rPr>
            <sz val="11"/>
            <color theme="1"/>
            <rFont val="Calibri"/>
            <scheme val="minor"/>
          </rPr>
          <t>======
ID#AAAAobHFuZ8
tc={37B4D33D-525F-4473-83D9-3EA1424C5DEF}    (2023-01-12 12:58:33)
[Threaded comment]
Your version of Excel allows you to read this threaded comment; however, any edits to it will get removed if the file is opened in a newer version of Excel. Learn more: https://go.microsoft.com/fwlink/?linkid=870924
Comment:
    Verificar que al agregar alguna tecnología esta exista en la parametrización de costos, factores de capacidad, vida útil... De lo contrario se debe agregar la caracterización de la tecnología al archivo Requermiento_Datos_Energía_v5 en todos los parámetros.</t>
        </r>
      </text>
    </comment>
    <comment ref="H10" authorId="0" shapeId="0" xr:uid="{00000000-0006-0000-0400-000001000000}">
      <text>
        <r>
          <rPr>
            <sz val="11"/>
            <color theme="1"/>
            <rFont val="Calibri"/>
            <scheme val="minor"/>
          </rPr>
          <t>======
ID#AAAAwqCgyd4
tc={D9AFD26C-4A42-4C29-99D1-27DF535F0A42}    (2023-05-12 04:35:49)
[Threaded comment]
Your version of Excel allows you to read this threaded comment; however, any edits to it will get removed if the file is opened in a newer version of Excel. Learn more: https://go.microsoft.com/fwlink/?linkid=870924
Comment:
    Cambié esto por una trayectoria más suave porque el cambio del 2021 a 2022 era muy brusco</t>
        </r>
      </text>
    </comment>
    <comment ref="B15" authorId="0" shapeId="0" xr:uid="{00000000-0006-0000-0400-000003000000}">
      <text>
        <r>
          <rPr>
            <sz val="11"/>
            <color theme="1"/>
            <rFont val="Calibri"/>
            <scheme val="minor"/>
          </rPr>
          <t>======
ID#AAAAobHFuZw
tc={CA82984B-23CD-4A74-BBEF-8831E607748D}    (2023-01-12 12:58:33)
[Threaded comment]
Your version of Excel allows you to read this threaded comment; however, any edits to it will get removed if the file is opened in a newer version of Excel. Learn more: https://go.microsoft.com/fwlink/?linkid=870924
Comment:
    ¿Hay estudios sobre el costo estimado de la realización de esta conexión? Sería idea tener el dato o calcular un costo aproximado. Esta medida implica un costo adicional de conexión.</t>
        </r>
      </text>
    </comment>
    <comment ref="B16" authorId="0" shapeId="0" xr:uid="{00000000-0006-0000-0400-000005000000}">
      <text>
        <r>
          <rPr>
            <sz val="11"/>
            <color theme="1"/>
            <rFont val="Calibri"/>
            <scheme val="minor"/>
          </rPr>
          <t>======
ID#AAAAobHFuZ4
tc={8A7E460E-9304-4210-A273-9979B1E68B72}    (2023-01-12 12:58:33)
[Threaded comment]
Your version of Excel allows you to read this threaded comment; however, any edits to it will get removed if the file is opened in a newer version of Excel. Learn more: https://go.microsoft.com/fwlink/?linkid=870924
Comment:
    Es necesaria la caracterización de los costos asociados a esta mejora en la distribución de la electricidad, por ejemplo</t>
        </r>
      </text>
    </comment>
  </commentList>
  <extLst>
    <ext xmlns:r="http://schemas.openxmlformats.org/officeDocument/2006/relationships" uri="GoogleSheetsCustomDataVersion1">
      <go:sheetsCustomData xmlns:go="http://customooxmlschemas.google.com/" r:id="rId1" roundtripDataSignature="AMtx7mhCYMkAWKg39lPD7U+3W1WrPCvoD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900-000004000000}">
      <text>
        <r>
          <rPr>
            <sz val="11"/>
            <color theme="1"/>
            <rFont val="Calibri"/>
            <scheme val="minor"/>
          </rPr>
          <t>======
ID#AAAAqGZ1xqM
tc={2D08B9C8-F069-4FDB-B200-EC72F09DE033}    (2023-01-12 12:58:33)
[Threaded comment]
Your version of Excel allows you to read this threaded comment; however, any edits to it will get removed if the file is opened in a newer version of Excel. Learn more: https://go.microsoft.com/fwlink/?linkid=870924
Comment:
    Puede ser: Interpolación para años indicados o Definido</t>
        </r>
      </text>
    </comment>
    <comment ref="A8" authorId="0" shapeId="0" xr:uid="{00000000-0006-0000-0900-000003000000}">
      <text>
        <r>
          <rPr>
            <sz val="11"/>
            <color theme="1"/>
            <rFont val="Calibri"/>
            <scheme val="minor"/>
          </rPr>
          <t>======
ID#AAAAqGZ1xp4
tc={0F78AD11-15D3-42F7-9AFD-5C77FAF7CCED}    (2023-01-12 12:58:33)
[Threaded comment]
Your version of Excel allows you to read this threaded comment; however, any edits to it will get removed if the file is opened in a newer version of Excel. Learn more: https://go.microsoft.com/fwlink/?linkid=870924
Comment:
    Verificar que al agregar alguna tecnología esta exista en la parametrización de costos, factores de capacidad, vida útil... De lo contrario se debe agregar la caracterización de la tecnología al archivo Requermiento_Datos_Energía_v5 en todos los parámetros.</t>
        </r>
      </text>
    </comment>
    <comment ref="B20" authorId="0" shapeId="0" xr:uid="{00000000-0006-0000-0900-000001000000}">
      <text>
        <r>
          <rPr>
            <sz val="11"/>
            <color theme="1"/>
            <rFont val="Calibri"/>
            <scheme val="minor"/>
          </rPr>
          <t>======
ID#AAAAqGZ1xpw
tc={EFC86553-8A9E-4B2F-8188-54337794667B}    (2023-01-12 12:58:33)
[Threaded comment]
Your version of Excel allows you to read this threaded comment; however, any edits to it will get removed if the file is opened in a newer version of Excel. Learn more: https://go.microsoft.com/fwlink/?linkid=870924
Comment:
    ¿Hay estudios sobre el costo estimado de la realización de esta conexión? Sería idea tener el dato o calcular un costo aproximado. Esta medida implica un costo adicional de conexión.</t>
        </r>
      </text>
    </comment>
    <comment ref="B22" authorId="0" shapeId="0" xr:uid="{00000000-0006-0000-0900-000002000000}">
      <text>
        <r>
          <rPr>
            <sz val="11"/>
            <color theme="1"/>
            <rFont val="Calibri"/>
            <scheme val="minor"/>
          </rPr>
          <t>======
ID#AAAAqGZ1xp8
tc={3F6F56FA-158A-44FB-B434-57588B540C54}    (2023-01-12 12:58:33)
[Threaded comment]
Your version of Excel allows you to read this threaded comment; however, any edits to it will get removed if the file is opened in a newer version of Excel. Learn more: https://go.microsoft.com/fwlink/?linkid=870924
Comment:
    Es necesaria la caracterización de los costos asociados a esta mejora en la distribución de la electricidad, por ejemplo</t>
        </r>
      </text>
    </comment>
  </commentList>
  <extLst>
    <ext xmlns:r="http://schemas.openxmlformats.org/officeDocument/2006/relationships" uri="GoogleSheetsCustomDataVersion1">
      <go:sheetsCustomData xmlns:go="http://customooxmlschemas.google.com/" r:id="rId1" roundtripDataSignature="AMtx7mgLJei23ZoB7+MxYFDj2xaPl9vim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A00-000002000000}">
      <text>
        <r>
          <rPr>
            <sz val="11"/>
            <color theme="1"/>
            <rFont val="Calibri"/>
            <scheme val="minor"/>
          </rPr>
          <t>======
ID#AAAAqGZ1xqQ
tc={DC15C31A-DDA2-4D80-853B-EED7A4680D7C}    (2023-01-12 12:58:33)
[Threaded comment]
Your version of Excel allows you to read this threaded comment; however, any edits to it will get removed if the file is opened in a newer version of Excel. Learn more: https://go.microsoft.com/fwlink/?linkid=870924
Comment:
    Puede ser: Interpolación para años indicados o Definido</t>
        </r>
      </text>
    </comment>
    <comment ref="A8" authorId="0" shapeId="0" xr:uid="{00000000-0006-0000-0A00-000001000000}">
      <text>
        <r>
          <rPr>
            <sz val="11"/>
            <color theme="1"/>
            <rFont val="Calibri"/>
            <scheme val="minor"/>
          </rPr>
          <t>======
ID#AAAAqGZ1xpo
tc={37B4D33D-525F-4473-83D9-3EA1424C5DEF}    (2023-01-12 12:58:33)
[Threaded comment]
Your version of Excel allows you to read this threaded comment; however, any edits to it will get removed if the file is opened in a newer version of Excel. Learn more: https://go.microsoft.com/fwlink/?linkid=870924
Comment:
    Verificar que al agregar alguna tecnología esta exista en la parametrización de costos, factores de capacidad, vida útil... De lo contrario se debe agregar la caracterización de la tecnología al archivo Requermiento_Datos_Energía_v5 en todos los parámetros.</t>
        </r>
      </text>
    </comment>
    <comment ref="B17" authorId="0" shapeId="0" xr:uid="{00000000-0006-0000-0A00-000004000000}">
      <text>
        <r>
          <rPr>
            <sz val="11"/>
            <color theme="1"/>
            <rFont val="Calibri"/>
            <scheme val="minor"/>
          </rPr>
          <t>======
ID#AAAAqGZ1xqE
tc={CA82984B-23CD-4A74-BBEF-8831E607748D}    (2023-01-12 12:58:33)
[Threaded comment]
Your version of Excel allows you to read this threaded comment; however, any edits to it will get removed if the file is opened in a newer version of Excel. Learn more: https://go.microsoft.com/fwlink/?linkid=870924
Comment:
    ¿Hay estudios sobre el costo estimado de la realización de esta conexión? Sería idea tener el dato o calcular un costo aproximado. Esta medida implica un costo adicional de conexión.</t>
        </r>
      </text>
    </comment>
    <comment ref="B19" authorId="0" shapeId="0" xr:uid="{00000000-0006-0000-0A00-000003000000}">
      <text>
        <r>
          <rPr>
            <sz val="11"/>
            <color theme="1"/>
            <rFont val="Calibri"/>
            <scheme val="minor"/>
          </rPr>
          <t>======
ID#AAAAqGZ1xqA
tc={8A7E460E-9304-4210-A273-9979B1E68B72}    (2023-01-12 12:58:33)
[Threaded comment]
Your version of Excel allows you to read this threaded comment; however, any edits to it will get removed if the file is opened in a newer version of Excel. Learn more: https://go.microsoft.com/fwlink/?linkid=870924
Comment:
    Es necesaria la caracterización de los costos asociados a esta mejora en la distribución de la electricidad, por ejemplo</t>
        </r>
      </text>
    </comment>
  </commentList>
  <extLst>
    <ext xmlns:r="http://schemas.openxmlformats.org/officeDocument/2006/relationships" uri="GoogleSheetsCustomDataVersion1">
      <go:sheetsCustomData xmlns:go="http://customooxmlschemas.google.com/" r:id="rId1" roundtripDataSignature="AMtx7mjaaZ1Ut6XxwlYDbwseix26ECHuo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B00-000004000000}">
      <text>
        <r>
          <rPr>
            <sz val="11"/>
            <color theme="1"/>
            <rFont val="Calibri"/>
            <scheme val="minor"/>
          </rPr>
          <t>======
ID#AAAAqGZ1xpk
tc={DC15C31A-DDA2-4D80-853B-EED7A4680D7C}    (2023-01-12 12:58:33)
[Threaded comment]
Your version of Excel allows you to read this threaded comment; however, any edits to it will get removed if the file is opened in a newer version of Excel. Learn more: https://go.microsoft.com/fwlink/?linkid=870924
Comment:
    Puede ser: Interpolación para años indicados o Definido</t>
        </r>
      </text>
    </comment>
    <comment ref="A8" authorId="0" shapeId="0" xr:uid="{00000000-0006-0000-0B00-000003000000}">
      <text>
        <r>
          <rPr>
            <sz val="11"/>
            <color theme="1"/>
            <rFont val="Calibri"/>
            <scheme val="minor"/>
          </rPr>
          <t>======
ID#AAAAqGZ1xqI
tc={37B4D33D-525F-4473-83D9-3EA1424C5DEF}    (2023-01-12 12:58:33)
[Threaded comment]
Your version of Excel allows you to read this threaded comment; however, any edits to it will get removed if the file is opened in a newer version of Excel. Learn more: https://go.microsoft.com/fwlink/?linkid=870924
Comment:
    Verificar que al agregar alguna tecnología esta exista en la parametrización de costos, factores de capacidad, vida útil... De lo contrario se debe agregar la caracterización de la tecnología al archivo Requermiento_Datos_Energía_v5 en todos los parámetros.</t>
        </r>
      </text>
    </comment>
    <comment ref="B16" authorId="0" shapeId="0" xr:uid="{00000000-0006-0000-0B00-000001000000}">
      <text>
        <r>
          <rPr>
            <sz val="11"/>
            <color theme="1"/>
            <rFont val="Calibri"/>
            <scheme val="minor"/>
          </rPr>
          <t>======
ID#AAAAqGZ1xp0
tc={CA82984B-23CD-4A74-BBEF-8831E607748D}    (2023-01-12 12:58:33)
[Threaded comment]
Your version of Excel allows you to read this threaded comment; however, any edits to it will get removed if the file is opened in a newer version of Excel. Learn more: https://go.microsoft.com/fwlink/?linkid=870924
Comment:
    ¿Hay estudios sobre el costo estimado de la realización de esta conexión? Sería idea tener el dato o calcular un costo aproximado. Esta medida implica un costo adicional de conexión.</t>
        </r>
      </text>
    </comment>
    <comment ref="B18" authorId="0" shapeId="0" xr:uid="{00000000-0006-0000-0B00-000002000000}">
      <text>
        <r>
          <rPr>
            <sz val="11"/>
            <color theme="1"/>
            <rFont val="Calibri"/>
            <scheme val="minor"/>
          </rPr>
          <t>======
ID#AAAAqGZ1xps
tc={8A7E460E-9304-4210-A273-9979B1E68B72}    (2023-01-12 12:58:33)
[Threaded comment]
Your version of Excel allows you to read this threaded comment; however, any edits to it will get removed if the file is opened in a newer version of Excel. Learn more: https://go.microsoft.com/fwlink/?linkid=870924
Comment:
    Es necesaria la caracterización de los costos asociados a esta mejora en la distribución de la electricidad, por ejemplo</t>
        </r>
      </text>
    </comment>
  </commentList>
  <extLst>
    <ext xmlns:r="http://schemas.openxmlformats.org/officeDocument/2006/relationships" uri="GoogleSheetsCustomDataVersion1">
      <go:sheetsCustomData xmlns:go="http://customooxmlschemas.google.com/" r:id="rId1" roundtripDataSignature="AMtx7mjUMcSjtqLQQPoc2vKyLk/vpxLOg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A7" authorId="0" shapeId="0" xr:uid="{00000000-0006-0000-0C00-000001000000}">
      <text>
        <r>
          <rPr>
            <sz val="11"/>
            <color theme="1"/>
            <rFont val="Calibri"/>
            <scheme val="minor"/>
          </rPr>
          <t>======
ID#AAAA9fINfYE
tc={2D2809B8-01B9-41BA-9443-995657278484}    (2023-10-25 21:50:46)
[Threaded comment]
Your version of Excel allows you to read this threaded comment; however, any edits to it will get removed if the file is opened in a newer version of Excel. Learn more: https://go.microsoft.com/fwlink/?linkid=870924
Comment:
    Por temas de potencial máximo se deja en 17 PJ</t>
        </r>
      </text>
    </comment>
  </commentList>
  <extLst>
    <ext xmlns:r="http://schemas.openxmlformats.org/officeDocument/2006/relationships" uri="GoogleSheetsCustomDataVersion1">
      <go:sheetsCustomData xmlns:go="http://customooxmlschemas.google.com/" r:id="rId1" roundtripDataSignature="AMtx7mhAUCqeE28bVXbAIM5SuwNZnak7Sw=="/>
    </ext>
  </extLst>
</comments>
</file>

<file path=xl/sharedStrings.xml><?xml version="1.0" encoding="utf-8"?>
<sst xmlns="http://schemas.openxmlformats.org/spreadsheetml/2006/main" count="4267" uniqueCount="652">
  <si>
    <t>Oil Extraction</t>
  </si>
  <si>
    <t>URR (O)</t>
  </si>
  <si>
    <t>Oil extraction ME [MBbl]</t>
  </si>
  <si>
    <t>Oil extraction OS [MBbl]</t>
  </si>
  <si>
    <t>URR (2P)</t>
  </si>
  <si>
    <t>Oil Exports</t>
  </si>
  <si>
    <t>ME [MBbl]</t>
  </si>
  <si>
    <t>OS [MBbl]</t>
  </si>
  <si>
    <t xml:space="preserve">Petroleo consumo local </t>
  </si>
  <si>
    <t>valor referencial de consumo de refinería</t>
  </si>
  <si>
    <t>conversion factor</t>
  </si>
  <si>
    <t>1 kBEP =</t>
  </si>
  <si>
    <t>PJ</t>
  </si>
  <si>
    <t>1Mbep</t>
  </si>
  <si>
    <t>Notas importantes</t>
  </si>
  <si>
    <t>Llenar por favor TODAS las hojas y los espacios en blanco de este libro de Excel.</t>
  </si>
  <si>
    <t>Acompañe los datos de las casillas con comentarios para facilitar la comprensión de los datos, su origen, los cálculos, los supuestos, entre otros.</t>
  </si>
  <si>
    <t>Si requiere agregar más hojas, más filas o columnas, más tecnologías u otro para completar todos los datos necesarios de los 3 escenarios complementarios al BAU, hágalo por favor.</t>
  </si>
  <si>
    <t>Agregue comentarios explicativos bajo las tablas de los datos para la mejor comprensión de los escenarios.</t>
  </si>
  <si>
    <t>Si tiene dudas, contacte a los equipos o personas correspondientes para aclararlas.</t>
  </si>
  <si>
    <t>Si las variables dentro de las hojas no varían en comparación con el escenario BAU, replicar los datos donde corresponda e indicar que esto pasa.</t>
  </si>
  <si>
    <t>Siempre que sea posible, acompañe los datos con la referencia de procedencia (enlaces de la web, nombre del informe u otro).</t>
  </si>
  <si>
    <t>No se detallan necesariamente todas las tecnologías. Se incorporaron algunas de ellas y es cuestión de agregar más líneas para caracterizar cada tecnología,
sobretodo con las tecnologías de mitigación.</t>
  </si>
  <si>
    <t>En algunos casos, se incluyeros unidades predeterminadas para los datos. Si los datos están en otras unidades o es mejor verlos en otras unidades, modifíquelo por favor.</t>
  </si>
  <si>
    <t>Si solo se tienen valores en años puntuales o años meta y no en todo el intervalo, colóquelos en el año correspondiente de igual manera. Se usará algún método de interpolación
o extrapolación para completar todo el intervalo.</t>
  </si>
  <si>
    <t>Sector</t>
  </si>
  <si>
    <t>Subsector</t>
  </si>
  <si>
    <t>Política</t>
  </si>
  <si>
    <t>Tecnología o combustible</t>
  </si>
  <si>
    <t>Acrónimo de la tecnología o el combustible en el modelo</t>
  </si>
  <si>
    <t>Unidad</t>
  </si>
  <si>
    <t>Proyección</t>
  </si>
  <si>
    <r>
      <rPr>
        <sz val="11"/>
        <color rgb="FF000000"/>
        <rFont val="Calibri"/>
      </rPr>
      <t xml:space="preserve">Tabla resumen de políticas publicas: </t>
    </r>
    <r>
      <rPr>
        <u/>
        <sz val="11"/>
        <color rgb="FF0563C1"/>
        <rFont val="Calibri"/>
      </rPr>
      <t>https://www.dropbox.com/scl/fi/vop32yzmyogavya5mlcca/Tabla-Resumen-de-Pol-ticas-Actuales-Lissete-D-vila-2022-12-29.gsheet?dl=0&amp;rlkey=jcjgpa3qxccoib0t4hfhkz85a</t>
    </r>
  </si>
  <si>
    <t>gas asociado cálculo</t>
  </si>
  <si>
    <t>Petrolero</t>
  </si>
  <si>
    <t>Producción</t>
  </si>
  <si>
    <t>Reducción de la quema de gas asociado en antorcha</t>
  </si>
  <si>
    <t>Gas asociado</t>
  </si>
  <si>
    <t>Gas Asociado aprovechado [PJ]</t>
  </si>
  <si>
    <t>Petro ecuador firma convenio "Zero Routine Flaring 2030" se incrementa el porcentage de gas aprovechado, considerando que solo la producción de Petroecuador es aprovechada mediante el oleoducto de Shushufindi y considerando también la caida de producción  de petroleo
 con la curva de hubbert</t>
  </si>
  <si>
    <t>extracción de crudo</t>
  </si>
  <si>
    <t>Transporte de crudo</t>
  </si>
  <si>
    <t xml:space="preserve">Electrificación de motores del Sistema de Oleoductos Transecuatoriano </t>
  </si>
  <si>
    <t>Demanda eléctrica del SOTE</t>
  </si>
  <si>
    <t> </t>
  </si>
  <si>
    <t>aprovechamiento de gas</t>
  </si>
  <si>
    <t>Demanda diesel del SOTE</t>
  </si>
  <si>
    <t>Refinación</t>
  </si>
  <si>
    <t>Repotenciación Refinería Esmeraldas</t>
  </si>
  <si>
    <t>derivados</t>
  </si>
  <si>
    <t>incremento de eficiencia</t>
  </si>
  <si>
    <t>-</t>
  </si>
  <si>
    <t>Nueva refinería compleja en la Costa</t>
  </si>
  <si>
    <t>Refinería de alta conversión (cap. 75000bpd)</t>
  </si>
  <si>
    <t>carga de crudo [PJ]</t>
  </si>
  <si>
    <t>75,000 bpd. Eficiencia alta. Perfil más diesel y gasolina, menos residuos y bunker. Costo mayor a refinería normal.</t>
  </si>
  <si>
    <t>DISEÑO, CONSTRUCCIÓN Y OPERACIÓN DE UNA REFINERÍA DE ALTA CONVERSIÓN PARA LA PRODUCCIÓN Y OFERTA DE COMBUSTIBLES EURO 5 EN LA REGIÓN COSTA DEL ECUADOR, Tren de Alta Conversión se reducirá la producción de residuos a un 5% y se incrementará la producción de combustibles ligeros al 95% https://www.recursosyenergia.gob.ec/modernizacion-de-la-refineria-de-esmeraldas-permitira-la-produccion-de-combustibles-de-calidad-euro-v/</t>
  </si>
  <si>
    <t xml:space="preserve">                             Producción de derivados</t>
  </si>
  <si>
    <t>GLP</t>
  </si>
  <si>
    <t>Gasolinas</t>
  </si>
  <si>
    <t>Jet-fuel</t>
  </si>
  <si>
    <t>Diesel</t>
  </si>
  <si>
    <t>Fuel-oil</t>
  </si>
  <si>
    <t>Crudo reducido</t>
  </si>
  <si>
    <t>Utilización del gas asociado al petróleo para la generación de energía eléctrica</t>
  </si>
  <si>
    <t>Consumo en SOTE</t>
  </si>
  <si>
    <t>eficiencia</t>
  </si>
  <si>
    <t xml:space="preserve">Utilización del gas asociado al petróleo para producción de GLP. </t>
  </si>
  <si>
    <t>petroleo</t>
  </si>
  <si>
    <t>Sector eléctrico</t>
  </si>
  <si>
    <t>Generación eléctrica</t>
  </si>
  <si>
    <t>Aumentar particicpación de energía solar en el SIN</t>
  </si>
  <si>
    <t>Solar</t>
  </si>
  <si>
    <t>Porcentaje de la matriz de generación</t>
  </si>
  <si>
    <t>consumo diesel</t>
  </si>
  <si>
    <t>electricidad</t>
  </si>
  <si>
    <t>Aumentar particicapión de energía solar distribuida</t>
  </si>
  <si>
    <t>Bloque ERNC</t>
  </si>
  <si>
    <t>Aumentar renovables</t>
  </si>
  <si>
    <t>GW</t>
  </si>
  <si>
    <t>por proyecto construido</t>
  </si>
  <si>
    <t>NDC incondicional:</t>
  </si>
  <si>
    <r>
      <rPr>
        <b/>
        <sz val="10"/>
        <rFont val="Arial"/>
      </rPr>
      <t xml:space="preserve">Información Nueva Agregada: 
</t>
    </r>
    <r>
      <rPr>
        <sz val="11"/>
        <color theme="1"/>
        <rFont val="Calibri"/>
      </rPr>
      <t xml:space="preserve">1) Energía renovable no convencional y Actualización Escenario Condicional  </t>
    </r>
    <r>
      <rPr>
        <u/>
        <sz val="10"/>
        <color rgb="FF1155CC"/>
        <rFont val="Arial"/>
      </rPr>
      <t xml:space="preserve">MAATE 2021_Plan de Implementaciopn NDC validado CICC (4)
</t>
    </r>
  </si>
  <si>
    <t>consumo eléctrico</t>
  </si>
  <si>
    <t>Eolico</t>
  </si>
  <si>
    <r>
      <rPr>
        <b/>
        <sz val="10"/>
        <rFont val="Arial"/>
      </rPr>
      <t xml:space="preserve">Información Nueva Agregada: 
</t>
    </r>
    <r>
      <rPr>
        <sz val="11"/>
        <color theme="1"/>
        <rFont val="Calibri"/>
      </rPr>
      <t xml:space="preserve">1) Energía renovable no convencional y Actualización Escenario Condicional  </t>
    </r>
    <r>
      <rPr>
        <u/>
        <sz val="10"/>
        <color rgb="FF1155CC"/>
        <rFont val="Arial"/>
      </rPr>
      <t xml:space="preserve">MAATE 2021_Plan de Implementaciopn NDC validado CICC (4)
</t>
    </r>
  </si>
  <si>
    <t>Biogas</t>
  </si>
  <si>
    <r>
      <rPr>
        <b/>
        <sz val="10"/>
        <rFont val="Arial"/>
      </rPr>
      <t xml:space="preserve">Información Nueva Agregada: 
</t>
    </r>
    <r>
      <rPr>
        <sz val="11"/>
        <color theme="1"/>
        <rFont val="Calibri"/>
      </rPr>
      <t xml:space="preserve">1) Energía renovable no convencional y Actualización Escenario Condicional  </t>
    </r>
    <r>
      <rPr>
        <u/>
        <sz val="10"/>
        <color rgb="FF1155CC"/>
        <rFont val="Arial"/>
      </rPr>
      <t xml:space="preserve">MAATE 2021_Plan de Implementaciopn NDC validado CICC (4)
</t>
    </r>
  </si>
  <si>
    <t>consumo total</t>
  </si>
  <si>
    <t>Hidroeléctrica ERNC</t>
  </si>
  <si>
    <r>
      <rPr>
        <b/>
        <sz val="10"/>
        <rFont val="Arial"/>
      </rPr>
      <t xml:space="preserve">Información Nueva Agregada: 
</t>
    </r>
    <r>
      <rPr>
        <sz val="11"/>
        <color theme="1"/>
        <rFont val="Calibri"/>
      </rPr>
      <t xml:space="preserve">1) Energía renovable no convencional y Actualización Escenario Condicional  </t>
    </r>
    <r>
      <rPr>
        <u/>
        <sz val="10"/>
        <color rgb="FF1155CC"/>
        <rFont val="Arial"/>
      </rPr>
      <t xml:space="preserve">MAATE 2021_Plan de Implementaciopn NDC validado CICC (4)
</t>
    </r>
  </si>
  <si>
    <t>Hydros no ERNC</t>
  </si>
  <si>
    <t>Hidroeléctrica NO  ERNC</t>
  </si>
  <si>
    <t>Uso de Aceite vegetal puro (AVP) de piñon para generación electrica en Galápagos</t>
  </si>
  <si>
    <t>AVP de piñon</t>
  </si>
  <si>
    <t>galones</t>
  </si>
  <si>
    <t>BEN2021 tabla2.15</t>
  </si>
  <si>
    <t>PROYECTO: K007 Producción de Aceite de Piñón para plan piloto de generación eléctrica en Galápagos -Fase II</t>
  </si>
  <si>
    <t>Disminuir térmico</t>
  </si>
  <si>
    <t>Motores de combustión con fuel oil</t>
  </si>
  <si>
    <t>PP_FOIICE</t>
  </si>
  <si>
    <t>Escenario condicional: Aumentar renovables</t>
  </si>
  <si>
    <t>Geotérmico SIN</t>
  </si>
  <si>
    <t>PP_GEO</t>
  </si>
  <si>
    <t>Refinería de Esmerladas</t>
  </si>
  <si>
    <t>Generacion renovable Galapagos</t>
  </si>
  <si>
    <t>Eólico Galápagos</t>
  </si>
  <si>
    <t>PPISPVGAL</t>
  </si>
  <si>
    <t>NAO propia + importada</t>
  </si>
  <si>
    <t>Extra</t>
  </si>
  <si>
    <t>Eco</t>
  </si>
  <si>
    <t>Gasolina premezclada</t>
  </si>
  <si>
    <t>Diesel 2</t>
  </si>
  <si>
    <t>Diesel premium</t>
  </si>
  <si>
    <t>fuel oil#4</t>
  </si>
  <si>
    <t>Fuel oil #6 Nacional</t>
  </si>
  <si>
    <t>Fuel oil #6 Exportado</t>
  </si>
  <si>
    <t>JetA-1</t>
  </si>
  <si>
    <t>Asfaltos</t>
  </si>
  <si>
    <t>Nafta base para pesca artesanal</t>
  </si>
  <si>
    <t>Nafta a Terminales</t>
  </si>
  <si>
    <t>Total REE (excluye azufre)</t>
  </si>
  <si>
    <t xml:space="preserve">Azufre </t>
  </si>
  <si>
    <t>Solar Galápagos</t>
  </si>
  <si>
    <t xml:space="preserve">Aumentar la generación con residuos </t>
  </si>
  <si>
    <t>Residuos</t>
  </si>
  <si>
    <t>Esto está ya considerado en la generación con biogás que proviede de residuos.</t>
  </si>
  <si>
    <t>Ciclo combinado</t>
  </si>
  <si>
    <t>Gas Natural</t>
  </si>
  <si>
    <t>Transporte de electricidad</t>
  </si>
  <si>
    <t xml:space="preserve">Conexión al SNI </t>
  </si>
  <si>
    <t>Demanda Petrolero</t>
  </si>
  <si>
    <t>Porcentaje de reconexión</t>
  </si>
  <si>
    <t>OGE&amp;EE</t>
  </si>
  <si>
    <t>Si bien el 37% de interconexión se mantiene constante, la demanda eléctrica del sector petrolero se reduce con la producción</t>
  </si>
  <si>
    <t>Interconecciones con Colombia y Perú</t>
  </si>
  <si>
    <t>MW</t>
  </si>
  <si>
    <t>Reducción de las pérdidas de electricidad</t>
  </si>
  <si>
    <t>Nuevos porcentajes de pérdidas</t>
  </si>
  <si>
    <t>PME</t>
  </si>
  <si>
    <t>kbep</t>
  </si>
  <si>
    <t>Solventes</t>
  </si>
  <si>
    <t>Jet-Fuel</t>
  </si>
  <si>
    <t>Fueloil</t>
  </si>
  <si>
    <t>Transporte</t>
  </si>
  <si>
    <t>Pasajeros</t>
  </si>
  <si>
    <t>Renovación de flota + Ecodriving + Etiquetado de rendimiento</t>
  </si>
  <si>
    <t>Reducción de pkm demandados relativo a la proyección base</t>
  </si>
  <si>
    <t>PLANEE se calcula solo el 40% de la meta y se mantiene el valor 2035 hasta el final</t>
  </si>
  <si>
    <t>14 Mbep en 2035, 10MBep en 2030, 7MBep en 2025,  4MBep en 2021</t>
  </si>
  <si>
    <t>Cambio modal</t>
  </si>
  <si>
    <t>Privado a no-motorizado</t>
  </si>
  <si>
    <t>Pariticipación de pkm privados a no-motorizados</t>
  </si>
  <si>
    <t>Interpolación para años indicados</t>
  </si>
  <si>
    <t>Electrificación</t>
  </si>
  <si>
    <t>Sedan</t>
  </si>
  <si>
    <t>Porcentaje de la flota</t>
  </si>
  <si>
    <t>Estrategia Nacional de Electromovilidad para Ecuador</t>
  </si>
  <si>
    <t>SUV</t>
  </si>
  <si>
    <t>Camioneta</t>
  </si>
  <si>
    <t>disponibilidad refinería</t>
  </si>
  <si>
    <t>Motocicleta</t>
  </si>
  <si>
    <t>1 KBBL</t>
  </si>
  <si>
    <t>KBEP</t>
  </si>
  <si>
    <t>kBbl</t>
  </si>
  <si>
    <t>kBEP</t>
  </si>
  <si>
    <t>Bus</t>
  </si>
  <si>
    <t>Microbus</t>
  </si>
  <si>
    <t>Se considera una electrificación media entre los autos y los buses, estos vehiculos son mas versatiles que los buses lo que los hace menos rutinarios para una posible electrificación</t>
  </si>
  <si>
    <t>gasolina</t>
  </si>
  <si>
    <t>SUV y autos</t>
  </si>
  <si>
    <t>calculos para PHEV y electricos</t>
  </si>
  <si>
    <t>Taxi</t>
  </si>
  <si>
    <t>doble de autos sedan</t>
  </si>
  <si>
    <t>diesel</t>
  </si>
  <si>
    <t>tendencia de la estrategia de electromovilidad</t>
  </si>
  <si>
    <t>Híbridos Plug-in</t>
  </si>
  <si>
    <t>tendencia vehiculos electricos</t>
  </si>
  <si>
    <t>Share de PHEV en la tendencia de eléctricos</t>
  </si>
  <si>
    <t>tendencia PHEV</t>
  </si>
  <si>
    <t>tendencia electricos</t>
  </si>
  <si>
    <t>Electric driving share PHEV</t>
  </si>
  <si>
    <t>https://theicct.org/publication/real-world-phev-use-jun22/#:~:text=The%20average%20real%2Dworld%20fuel%20consumption%20of%20PHEVs%20in%20Europe,km%20in%20WLTP%20type%20approval.</t>
  </si>
  <si>
    <t>Tranvía</t>
  </si>
  <si>
    <t>Porcentaje de PKMs atendidos</t>
  </si>
  <si>
    <t>Porcentaje constante</t>
  </si>
  <si>
    <t>Cuenca es 4% de la población nacional y el tranvía atiende un 10% de la demanda de viajes</t>
  </si>
  <si>
    <t>heavyoil</t>
  </si>
  <si>
    <t>camionetas</t>
  </si>
  <si>
    <t>Metro</t>
  </si>
  <si>
    <t>Quito es 12% de la población nacional y el metro atiende un 8% de la demanda de viajes</t>
  </si>
  <si>
    <t>BRT eléctricos inc. Trolebus</t>
  </si>
  <si>
    <t>Quito es 12% de la población nacional el BTR atiende un 11% de la demanda de viajes y el trole representa el 50%.</t>
  </si>
  <si>
    <t>Keronsene</t>
  </si>
  <si>
    <t>Carga Liviana</t>
  </si>
  <si>
    <t>Nuevo tren de conversión Refinería Esmeraldas</t>
  </si>
  <si>
    <t>Refinería  75000 BBLs</t>
  </si>
  <si>
    <t>tomando como referencia la de esmeraldas</t>
  </si>
  <si>
    <t>tomando como referencia todas las refinerías</t>
  </si>
  <si>
    <t>Carga Mediana</t>
  </si>
  <si>
    <t>BEN refinería</t>
  </si>
  <si>
    <t xml:space="preserve">Carga </t>
  </si>
  <si>
    <t>Carga Pesada</t>
  </si>
  <si>
    <t>Petroleo</t>
  </si>
  <si>
    <t>Eficiencia en la logística de carga</t>
  </si>
  <si>
    <t>Reducción de tkm demandados relativo a la proyección base</t>
  </si>
  <si>
    <t>Namas Transporte y PLANEE, gestión logistica de carga</t>
  </si>
  <si>
    <t>Liguidos de GN</t>
  </si>
  <si>
    <t>…</t>
  </si>
  <si>
    <t>GN</t>
  </si>
  <si>
    <t>Productos</t>
  </si>
  <si>
    <t>taxi</t>
  </si>
  <si>
    <t>Residencial</t>
  </si>
  <si>
    <t>Eficiencia energética</t>
  </si>
  <si>
    <t>Electricidad</t>
  </si>
  <si>
    <t>Porcentaje de reducción de demanda relativo a la proyección base</t>
  </si>
  <si>
    <t>Uso de biocombustibles y aprovechamiento de biogás</t>
  </si>
  <si>
    <t>Biocumbustible| Biogas</t>
  </si>
  <si>
    <t>Porcentaje de mezcla con GLP</t>
  </si>
  <si>
    <t>Reducción o eliminación del uso de leña</t>
  </si>
  <si>
    <t>Leña</t>
  </si>
  <si>
    <t>Porcentaje de uso de leña en cocción</t>
  </si>
  <si>
    <t>Jet fuel</t>
  </si>
  <si>
    <t>Livianos y medios:</t>
  </si>
  <si>
    <t>Diesel oil</t>
  </si>
  <si>
    <t>Industrial</t>
  </si>
  <si>
    <t>Promoción de la eficiencia energética en los sectores de consumo</t>
  </si>
  <si>
    <t>fuel oil</t>
  </si>
  <si>
    <t>Pesados:</t>
  </si>
  <si>
    <t>Capacidad de cogeneración</t>
  </si>
  <si>
    <t>MW instalados</t>
  </si>
  <si>
    <t>PLANEE</t>
  </si>
  <si>
    <t>Construcción</t>
  </si>
  <si>
    <t>gases</t>
  </si>
  <si>
    <t>Norma Ecuatoriana de la Construcción con enfoque en eficiencia energética a todos los combustibles</t>
  </si>
  <si>
    <t>Porcentaje de reducción de la demanda</t>
  </si>
  <si>
    <t>Se sigue la tendencia decreciente mostrada en el BEN2021 y se establece un limite inferior de 2%</t>
  </si>
  <si>
    <t>No energético</t>
  </si>
  <si>
    <t>Servicios Públicos</t>
  </si>
  <si>
    <t xml:space="preserve">Para estos cálcuos se considera </t>
  </si>
  <si>
    <t>Comercial</t>
  </si>
  <si>
    <t>La hoja de ruta del hidrogeno Colombia propone un valor de 50KWh por Kg de hidrógeno. Capacidad de 1GW equivale a 200 000 ton/año de hidrógeno</t>
  </si>
  <si>
    <t>El comercio 520Mton a 2050 - https://www.elcomercio.com/actualidad/negocios/ecuador-producir-energia-hidrogeno-verde.html</t>
  </si>
  <si>
    <t>Algunas otras medidas que podrían ser clasificadas:</t>
  </si>
  <si>
    <t>10. Gas natural</t>
  </si>
  <si>
    <t>11. Educación climática</t>
  </si>
  <si>
    <t>13. Transporte masivo eficiente y bajo en emisiones</t>
  </si>
  <si>
    <t>14. Cambios tecnológicos en el transporte pesado, por vehículos más eficientes. </t>
  </si>
  <si>
    <t>18. Promoción de la movilidad no motorizada</t>
  </si>
  <si>
    <t>21. Aumentar restricciones de circulación vehicular para vehículos privados.</t>
  </si>
  <si>
    <t>22. Establecer como política el enfoque de movilidad como servicio (MaaS)</t>
  </si>
  <si>
    <t>23. Promover plataformas de auto compartido en instituciones (colegios, empresas y gobierno)</t>
  </si>
  <si>
    <t>24. Priorizar actividades telemáticas para reducir movilización.</t>
  </si>
  <si>
    <t>25. promover micro-hibridación para mejorar rendimiento del parque automotor existente</t>
  </si>
  <si>
    <t>26. Fomentar la micro-movilidad con infraestructura vial y de parqueo acorde.</t>
  </si>
  <si>
    <t>27. Crear cronogramas de sustitución gradual de vehículos contaminantes.</t>
  </si>
  <si>
    <t>29. Eliminación o focalización de subsidios al combustible.</t>
  </si>
  <si>
    <t>30. Impuesto a las emisiones en transporte privado. </t>
  </si>
  <si>
    <t>Costos del metro de Quito</t>
  </si>
  <si>
    <t>Comentario Rafael</t>
  </si>
  <si>
    <t>Comentario</t>
  </si>
  <si>
    <t>Ver Plan operativo de Petroecuador. Cap. Elect. Inst. por MCI y por TG para generación electr. Con gas asociado. 100 % gas que ya no será quemado 2026.</t>
  </si>
  <si>
    <t>Plan nacional de eficicnia energética 18.5 MBEP ahorrados desde 2007 y 2035</t>
  </si>
  <si>
    <t xml:space="preserve">Recambio de motores del Sistema de Oleoductos Transecuatoriano </t>
  </si>
  <si>
    <t>eficiencia energética de estudio de David Delgado. 5% más de eficiencia promedio.</t>
  </si>
  <si>
    <t>Se considera que actualmente el autoconsumo del OCP y el SOTE es de el 0.6% de lo transportado.</t>
  </si>
  <si>
    <t xml:space="preserve">conversión gas asociado </t>
  </si>
  <si>
    <t>incremento de eficicncia</t>
  </si>
  <si>
    <t>incrementar la eficiencia 5%, desde 2026</t>
  </si>
  <si>
    <t>MPC</t>
  </si>
  <si>
    <t>Mm3</t>
  </si>
  <si>
    <t>m3</t>
  </si>
  <si>
    <t>BEP</t>
  </si>
  <si>
    <t>DISEÑO, CONSTRUCCIÓN Y OPERACIÓN DE UNA REFINERÍA DE ALTA CONVERSIÓN PARA LA PRODUCCIÓN Y OFERTA DE COMBUSTIBLES EURO 5 EN LA REGIÓN COSTA DEL ECUADOR</t>
  </si>
  <si>
    <t>porcentaje de gas utilizado</t>
  </si>
  <si>
    <t>60% para generación y 40% para refinería, desde 2026 no se quema gas.</t>
  </si>
  <si>
    <t xml:space="preserve">Solar SNI </t>
  </si>
  <si>
    <t>PP_SPV_US</t>
  </si>
  <si>
    <t>ELENA-TEPA NetZero-2050</t>
  </si>
  <si>
    <t xml:space="preserve">Eólico SNI </t>
  </si>
  <si>
    <t>PP_WND_US</t>
  </si>
  <si>
    <t>Definido</t>
  </si>
  <si>
    <t>Aumentar renovables distribuidas</t>
  </si>
  <si>
    <t>Solar distribuida</t>
  </si>
  <si>
    <t>máximo de generación tomado de Preparing the Ecuador’s Power Sector to Enable a Large-Scale Electric Land Transport</t>
  </si>
  <si>
    <t>valores para confirmar de Mariana</t>
  </si>
  <si>
    <t>Se le aplica a todas las techs de FOI del SNI</t>
  </si>
  <si>
    <t>PP_FOIICE, PP_FOITST</t>
  </si>
  <si>
    <t>Residuos agricolas</t>
  </si>
  <si>
    <t>PP_WAS</t>
  </si>
  <si>
    <t>Se continúa con la proyección del PME de reducción de perdidas</t>
  </si>
  <si>
    <t>Renovación de flota, impuestos a vehiculos contaminantes, focalización de subsidio al combustible</t>
  </si>
  <si>
    <t xml:space="preserve">Basado en los datos de viajes de la encuesta de mobilidad del metro de Quito (22.8% = viajes privados/ total de viajes 
se asume que hay una migración del 25% del privado al públcio. </t>
  </si>
  <si>
    <t>Gas natural Total [PJ]</t>
  </si>
  <si>
    <t>comportamiento eficicncai pasajeros</t>
  </si>
  <si>
    <t>Teletrabajo, servicios telemáticos y ciudades caminables</t>
  </si>
  <si>
    <t>Reducción de demanda de PKM</t>
  </si>
  <si>
    <t>Privado a público</t>
  </si>
  <si>
    <t>Pariticipación de pkm privados que pasarían a pkms atendidos con servicio público</t>
  </si>
  <si>
    <t>servicio de bus eficiente integrado multimodal e inclusivo</t>
  </si>
  <si>
    <t>Basado en los datos de viajes de la encuesta de mobilidad del metro de Quito
25% más de viajes motorizados</t>
  </si>
  <si>
    <t>se consideran iguales a los valores de sedan</t>
  </si>
  <si>
    <t xml:space="preserve">Gas asociado no aprovechado [MPC] </t>
  </si>
  <si>
    <t>tabla 2.9</t>
  </si>
  <si>
    <t>Se usa promedio de Seden y Bus</t>
  </si>
  <si>
    <t>Generacion con GN</t>
  </si>
  <si>
    <t>tabla 3.13 BEN2021</t>
  </si>
  <si>
    <t>Centrales</t>
  </si>
  <si>
    <t>tranvía</t>
  </si>
  <si>
    <t>tabla 3.15 BEN2021</t>
  </si>
  <si>
    <t>autoproductores</t>
  </si>
  <si>
    <t>coincide con el valor de gas asociado de la tabla 3.15 BEN2021</t>
  </si>
  <si>
    <t>metro</t>
  </si>
  <si>
    <t>Quito es 12% de la población nacional y el metro atiende un 8% en 2023 y un 10% de la demanda de viajes desde 2025</t>
  </si>
  <si>
    <t>GN asociado</t>
  </si>
  <si>
    <t>tabla 2.9 BEN2021</t>
  </si>
  <si>
    <t>disponible</t>
  </si>
  <si>
    <t>Hybridos Plug-in</t>
  </si>
  <si>
    <t>no aprovechado</t>
  </si>
  <si>
    <t>Asumo:
disponible-noaprovechado-autoproductores=para hacer glp</t>
  </si>
  <si>
    <t>Para GLP</t>
  </si>
  <si>
    <t>para generación</t>
  </si>
  <si>
    <t>%</t>
  </si>
  <si>
    <t>1.74% de camiones de hidrogeno en share de energía para 2030</t>
  </si>
  <si>
    <t>https://www.iea.org/reports/trucks-and-buses</t>
  </si>
  <si>
    <t>Noviembre</t>
  </si>
  <si>
    <t>Diciembre</t>
  </si>
  <si>
    <t>Super</t>
  </si>
  <si>
    <t>Hidrógeno</t>
  </si>
  <si>
    <t>se asume una mexcle E15</t>
  </si>
  <si>
    <t>Petroecuador informe estadistico diciembre 2022, incluye as nuevas gasolinas ecoplus 89 y super premium 95</t>
  </si>
  <si>
    <t>extra</t>
  </si>
  <si>
    <t>7% biodiesel and 20% advanced Valor final obtenido de ELENA TEPA NetZero2050</t>
  </si>
  <si>
    <t>Eco pais</t>
  </si>
  <si>
    <t>Ecoplus</t>
  </si>
  <si>
    <t>15% de camiones biocombustible en share de energía para 2030</t>
  </si>
  <si>
    <t>Super premium 95</t>
  </si>
  <si>
    <t>total</t>
  </si>
  <si>
    <t>electrico</t>
  </si>
  <si>
    <t>PHEV</t>
  </si>
  <si>
    <t>Biocombustibles</t>
  </si>
  <si>
    <t>Etanol</t>
  </si>
  <si>
    <t>Porcentaje de mezcla en toda la produccion de gasolinas</t>
  </si>
  <si>
    <t>5% la ecopias, 8% la ecoplus</t>
  </si>
  <si>
    <t>Biodiesel</t>
  </si>
  <si>
    <t>Porcentaje de mezcla en toda la porducción de diesel</t>
  </si>
  <si>
    <t>5% del diesel</t>
  </si>
  <si>
    <t>Eficiencia en la logística</t>
  </si>
  <si>
    <t>¿GNVC?, ¿Teletrabajo?</t>
  </si>
  <si>
    <t>Eficiencia energética, educación climática, focalización de subsidios eléctricos.</t>
  </si>
  <si>
    <t>Más electrodomésticos eléctricos. Hay más electrificación del sector, en lugar de GLP. Subes consumo eléctrico con aparatos eficientes.</t>
  </si>
  <si>
    <t>porcentaje de disminución del uso de leña como energía</t>
  </si>
  <si>
    <t xml:space="preserve">Plan Nacional de Biodigestión (no es política anunciada). Usarlo para Net Zero, en sector residencial rural , combustión pura biogás, desplazando GLP. </t>
  </si>
  <si>
    <t>Reducción o eliminación del uso de GLP eliminación de subsidio al gas.</t>
  </si>
  <si>
    <t>remplazo de GLP por electricidad</t>
  </si>
  <si>
    <t>Sustitución progresiva de leña a leña mejorada, luego a GLP, luego de GLP a electricidad. Usar la econometría del BEN, reduce leña.</t>
  </si>
  <si>
    <t>El remplazo de leña por electricidd no es lo más viable, existen cocinas eficientes de leña (20% menos leña) que permiten mantener lo tradicional. Se creó una trayectoria donde se comienza con el 9.7% del BEN en 2020 y se lo reduce a 5% a 2050</t>
  </si>
  <si>
    <t>a 2050 se espera una demanda mundial de 500MtH2
https://about.bnef.com/new-energy-outlook/?utm_medium=Adwords_SEM&amp;utm_source=pdsrch&amp;utm_content=AMER_BNEF_NEO_2023&amp;utm_campaign=727623&amp;tactic=727623&amp;gclid=Cj0KCQiAt66eBhCnARIsAKf3ZNF7Xq0_UcEo-DlmghrUxk-Y6wNGkDB0KU_IV7Qrkg-6wsYVcLgZ_agaAgSpEALw_wcB</t>
  </si>
  <si>
    <t>A diciembre de 2016, 579 637 familias confiaron en el programa eso es un 15% de los hogares de Ecuador acogieron las cocinas de inducción. Se estima que esto podría crecer haste un50 %</t>
  </si>
  <si>
    <t>Cogeneración</t>
  </si>
  <si>
    <t>Pensar en mejoras de intensidades energéticas.</t>
  </si>
  <si>
    <t>Se mantiene el 7% luego de 2035</t>
  </si>
  <si>
    <t>Uso de hidrógeno verde</t>
  </si>
  <si>
    <t>H2 en PJ (considerando 120MJ/kg)</t>
  </si>
  <si>
    <t>Estudio celec de potencial de cogeneración y trigineración, aprox. 700 MW. (% a calorr, y % a elect)</t>
  </si>
  <si>
    <t>Remplazo de leña por GLP</t>
  </si>
  <si>
    <t>Porcentaje de reducción</t>
  </si>
  <si>
    <t>Hoja de Ruta de H2; H2 para transporte de carga. H2 para net zero.</t>
  </si>
  <si>
    <t>Cambio de motores de combustión por eléctricos</t>
  </si>
  <si>
    <t>Remplazo de diesel por electricidad</t>
  </si>
  <si>
    <t>Porcentaje de cambio</t>
  </si>
  <si>
    <t>Electrificación de calor directo</t>
  </si>
  <si>
    <t>Gasolina</t>
  </si>
  <si>
    <t>Remplazo de gasolina por electricidad</t>
  </si>
  <si>
    <t>Porcentaje de cmabio</t>
  </si>
  <si>
    <t>reducción diesel entre ELENA TEPA pledges y ELENA TEPA NET ZERO 2050</t>
  </si>
  <si>
    <t>Remplazo de GLP por electricidad</t>
  </si>
  <si>
    <t>Fuel Oil</t>
  </si>
  <si>
    <t>Remplazo de fuel oil por electricidad</t>
  </si>
  <si>
    <t>reducción oil products entre ELENA TEPA pledges y ELENA TEPA NET ZERO 2050</t>
  </si>
  <si>
    <t>Remplazo de gas natural por electricidad</t>
  </si>
  <si>
    <t>Remplazo de combustibles fósiles por biomasa</t>
  </si>
  <si>
    <t>Biomasa</t>
  </si>
  <si>
    <t>Promoción de la eficiencia energética en los sectores de consumo Aplicación Norme NEC, eficiencia en iluminaciín , remplazo de AC por bombas de calor.</t>
  </si>
  <si>
    <t>reducción de la demanda</t>
  </si>
  <si>
    <t>porcentaje de remplazo</t>
  </si>
  <si>
    <t>EE en la Norma Ecuatoriana de la Construcción. Para Net zero. En la Costa, menor uso de aire acondicionado. Más iluminación natural en el país. Cambio de bombas de calor en lugar de AC.</t>
  </si>
  <si>
    <t>Reducción del uso de GLP</t>
  </si>
  <si>
    <t>Reducción uso de Kerosene/Jet Fuel</t>
  </si>
  <si>
    <t>Kerosene/Jet Fuel</t>
  </si>
  <si>
    <t>Remplazo de Keroseno por electricidad</t>
  </si>
  <si>
    <t>PLANEE, tomar la meta de los 3 sectores</t>
  </si>
  <si>
    <t>Reducciónión del uso de GLP</t>
  </si>
  <si>
    <t>Agro, pesca y minería</t>
  </si>
  <si>
    <t>Se eliminó el diesel de este sector. Existe consumo de diesel en el sector camaronero, pero el Balance Energético Nacional considera este consumo dentro de la categoría Industria</t>
  </si>
  <si>
    <t>no motorizado</t>
  </si>
  <si>
    <t>Privado</t>
  </si>
  <si>
    <t>LEÑA</t>
  </si>
  <si>
    <t>kton</t>
  </si>
  <si>
    <t>Reducción quema de gas asociado</t>
  </si>
  <si>
    <t>18.5MBEP 2007-2025</t>
  </si>
  <si>
    <t>kWh</t>
  </si>
  <si>
    <t>0,6196</t>
  </si>
  <si>
    <t>Pérdidas transmisión</t>
  </si>
  <si>
    <t>Recambio de motores del Sistema de Oleoductos Transecuatoriano</t>
  </si>
  <si>
    <t>MWh</t>
  </si>
  <si>
    <t>Producción de derivados</t>
  </si>
  <si>
    <t>ELENA-TEPA NetZero-2051</t>
  </si>
  <si>
    <t>ELENA-TEPA NetZero-2052</t>
  </si>
  <si>
    <t>ELENA-TEPA NetZero-2053</t>
  </si>
  <si>
    <t>Utilización del gas asociado al petróleo para producción de GLP.</t>
  </si>
  <si>
    <t>Solar SNI</t>
  </si>
  <si>
    <t>Eólico SNI</t>
  </si>
  <si>
    <t>Aumentar la generación con residuos</t>
  </si>
  <si>
    <t>Conexión al SNI</t>
  </si>
  <si>
    <t>Teletrabajo</t>
  </si>
  <si>
    <t>Pariticipación de pkm privados a públicos</t>
  </si>
  <si>
    <t>20 años de retraso en lo propuesto pare el NetZero2050</t>
  </si>
  <si>
    <t>se considera que el tranvía y el BRT puede ser aplicado en más ciudades q el metro.</t>
  </si>
  <si>
    <t>ELENA-TEPA NetZero-Sustdev</t>
  </si>
  <si>
    <t>se mantienen las metas NZ2050 con una penetración más lenta.</t>
  </si>
  <si>
    <t>se mantienen las metas con una penetración más lenta de Electricos e Híbridos</t>
  </si>
  <si>
    <t>7% de camiones electricos en share de energía para 2030</t>
  </si>
  <si>
    <t>Tecnología de  celda de combustibel que usa hidrogeno puro</t>
  </si>
  <si>
    <t>cambio modal</t>
  </si>
  <si>
    <t>Tecnología de celda de combustibel que usa Gas Natural</t>
  </si>
  <si>
    <t>super</t>
  </si>
  <si>
    <t>10 años de retraso en lo propuesto pare el NetZero2050</t>
  </si>
  <si>
    <t xml:space="preserve">extra </t>
  </si>
  <si>
    <t>ecopais</t>
  </si>
  <si>
    <t>5% la ecopias y 8% la ecoplus</t>
  </si>
  <si>
    <t>9% biodiesel and 23% advanced</t>
  </si>
  <si>
    <t>Eficiencia en el transporte de pasajeros</t>
  </si>
  <si>
    <t>ecoplus</t>
  </si>
  <si>
    <t>Eficiencia energética focalización de subsidios eléctricos.</t>
  </si>
  <si>
    <t>Porcentaje de remplazo de leña con GLP para cocción</t>
  </si>
  <si>
    <t>Porcentaje de remplazo de GLP por electricidad</t>
  </si>
  <si>
    <t>mismoa valores que para NZ2050</t>
  </si>
  <si>
    <t>Meta a 2070 es 85% de la del NetZero 2050</t>
  </si>
  <si>
    <t>Utilización del uso de GLP</t>
  </si>
  <si>
    <t>Scenario</t>
  </si>
  <si>
    <t>Parameter</t>
  </si>
  <si>
    <t>Tech_Set</t>
  </si>
  <si>
    <t>Description Parameter-Set</t>
  </si>
  <si>
    <t>Built-in Parameter-Set</t>
  </si>
  <si>
    <t>Reference</t>
  </si>
  <si>
    <t>Method</t>
  </si>
  <si>
    <t>y_ini</t>
  </si>
  <si>
    <t>Milestone_Years</t>
  </si>
  <si>
    <t>Milestone_Value</t>
  </si>
  <si>
    <r>
      <rPr>
        <sz val="11"/>
        <color rgb="FFFF0000"/>
        <rFont val="Calibri"/>
      </rPr>
      <t xml:space="preserve">                                                                        Los parámetros utilizados para refinerías son los mismos utilizados en el escenario BAU.                                                                          Los parámetros utilizados para refinerías son los mismos utilizados en el escenario BAU.                                                                          Los parámetros utilizados para refinerías son los mismos utilizados en el escenario BAU.                                                                          Los parámetros utilizados para refinerías son los mismos utilizados en el escenario BAU.                                                                          Los parámetros utilizados para refinerías son los mismos utilizados en el escenario BAU.                                                                          </t>
    </r>
    <r>
      <rPr>
        <sz val="11"/>
        <color theme="1"/>
        <rFont val="Calibri"/>
      </rPr>
      <t xml:space="preserve"> </t>
    </r>
  </si>
  <si>
    <t>Set</t>
  </si>
  <si>
    <t>Set_Index</t>
  </si>
  <si>
    <t>Description_Set</t>
  </si>
  <si>
    <t>v_2030</t>
  </si>
  <si>
    <t>v_2040</t>
  </si>
  <si>
    <t>v_2050</t>
  </si>
  <si>
    <t>DDP</t>
  </si>
  <si>
    <t>SpecifiedAnnualDemand</t>
  </si>
  <si>
    <t>E5_CRUTRNELE</t>
  </si>
  <si>
    <t>f</t>
  </si>
  <si>
    <t>Demand Electricity SOTE Crude</t>
  </si>
  <si>
    <t>YES</t>
  </si>
  <si>
    <t>None</t>
  </si>
  <si>
    <t>Exact</t>
  </si>
  <si>
    <t>E5_CRUTRNCRU</t>
  </si>
  <si>
    <t>Demand Crude SOTE Crude</t>
  </si>
  <si>
    <t>E5_AERTRNKJF</t>
  </si>
  <si>
    <t>Demand Air Transport Kerosene and Jet Fuel</t>
  </si>
  <si>
    <t>E5_AERTRNPURGSL</t>
  </si>
  <si>
    <t>Demand Air Transport Pure_Gasoline</t>
  </si>
  <si>
    <t>E5_AGRELE</t>
  </si>
  <si>
    <t>Demand Agriculture Electricity</t>
  </si>
  <si>
    <t>E5_AGRLPG</t>
  </si>
  <si>
    <t>Demand Agriculture LPG</t>
  </si>
  <si>
    <t>E5_AGRPURGSL</t>
  </si>
  <si>
    <t>Demand Agriculture Pure_Gasoline</t>
  </si>
  <si>
    <t>E5_AGRNOE</t>
  </si>
  <si>
    <t>Demand Agriculture Non energy</t>
  </si>
  <si>
    <t>E5_COMELE</t>
  </si>
  <si>
    <t>Demand Commercial Electricity</t>
  </si>
  <si>
    <t>E5_COMFOI</t>
  </si>
  <si>
    <t>Demand Commercial Fuel Oil</t>
  </si>
  <si>
    <t>E5_COMLPG</t>
  </si>
  <si>
    <t>Demand Commercial LPG</t>
  </si>
  <si>
    <t>E5_COMPURDSL</t>
  </si>
  <si>
    <t>Demand Commercial Pure_Diesel</t>
  </si>
  <si>
    <t>E5_COMPURGSL</t>
  </si>
  <si>
    <t>Demand Commercial Pure_Gasoline</t>
  </si>
  <si>
    <t>E5_CONELE</t>
  </si>
  <si>
    <t>Demand Construction Electricity</t>
  </si>
  <si>
    <t>E5_CONKJF</t>
  </si>
  <si>
    <t>Demand Construction Kerosene and Jet Fuel</t>
  </si>
  <si>
    <t>E5_CONLPG</t>
  </si>
  <si>
    <t>Demand Construction LPG</t>
  </si>
  <si>
    <t>E5_CONNOE</t>
  </si>
  <si>
    <t>Demand Construction Non energy</t>
  </si>
  <si>
    <t>E5_CONPURDSL</t>
  </si>
  <si>
    <t>Demand Construction Pure_Diesel</t>
  </si>
  <si>
    <t>E5_CONPURGSL</t>
  </si>
  <si>
    <t>Demand Construction Pure_Gasoline</t>
  </si>
  <si>
    <t>E5_CONREF</t>
  </si>
  <si>
    <t>Demand Refineries Oil</t>
  </si>
  <si>
    <t>E5_EXPBMS</t>
  </si>
  <si>
    <t>Demand Exports Biomass for power</t>
  </si>
  <si>
    <t>E5_EXPCRU</t>
  </si>
  <si>
    <t>Demand Exports Crude Oil</t>
  </si>
  <si>
    <t>E5_EXPELE</t>
  </si>
  <si>
    <t>Demand Exports Electricity</t>
  </si>
  <si>
    <t>E5_EXPFOI</t>
  </si>
  <si>
    <t>Demand Exports Fuel Oil</t>
  </si>
  <si>
    <t>E5_EXPLPG</t>
  </si>
  <si>
    <t>Demand Exports LPG</t>
  </si>
  <si>
    <t>E5_EXPPURDSL</t>
  </si>
  <si>
    <t>Demand Exports Pure_Diesel</t>
  </si>
  <si>
    <t>E5_EXPPURGSL</t>
  </si>
  <si>
    <t>Demand Exports Pure_Gasoline</t>
  </si>
  <si>
    <t>E5_EXPREDCRU</t>
  </si>
  <si>
    <t>Demand Exports Reduced Crude</t>
  </si>
  <si>
    <t>E5_INDCOK</t>
  </si>
  <si>
    <t>Demand Industrial Petroleum Coke</t>
  </si>
  <si>
    <t>E5_INDELE</t>
  </si>
  <si>
    <t>Demand Industrial Electricity</t>
  </si>
  <si>
    <t>E5_INDFIR</t>
  </si>
  <si>
    <t>Demand Industrial Firewood</t>
  </si>
  <si>
    <t>E5_INDFOI</t>
  </si>
  <si>
    <t>Demand Industrial Fuel Oil</t>
  </si>
  <si>
    <t>E5_INDHEC</t>
  </si>
  <si>
    <t>Demand Industrial Heat from cogeneration</t>
  </si>
  <si>
    <t>E5_INDHYD</t>
  </si>
  <si>
    <t>Demand Industrial Hydrogen</t>
  </si>
  <si>
    <t>E5_INDLPG</t>
  </si>
  <si>
    <t>Demand Industrial LPG</t>
  </si>
  <si>
    <t>E5_INDNGS</t>
  </si>
  <si>
    <t>Demand Industrial Natural Gas</t>
  </si>
  <si>
    <t>E5_INDPURDSL</t>
  </si>
  <si>
    <t>Demand Shipping Pure_Diesel</t>
  </si>
  <si>
    <t>E5_INDPURGSL</t>
  </si>
  <si>
    <t>Demand Shipping Pure_Gasoline</t>
  </si>
  <si>
    <t>E5_INDSUG</t>
  </si>
  <si>
    <t>Demand Industrial Sugarcane and subproducts</t>
  </si>
  <si>
    <t>E5_PROGAS</t>
  </si>
  <si>
    <t>Demand Propane and Gas</t>
  </si>
  <si>
    <t>E5_RESELE</t>
  </si>
  <si>
    <t>Demand Residential Electricity</t>
  </si>
  <si>
    <t>E5_RESFIR</t>
  </si>
  <si>
    <t>Demand Residential Firewood</t>
  </si>
  <si>
    <t>E5_RESLPG</t>
  </si>
  <si>
    <t>Demand Residential LPG</t>
  </si>
  <si>
    <t>E5_RESNGS</t>
  </si>
  <si>
    <t>Demand Residential Natural Gas</t>
  </si>
  <si>
    <t>DDP70</t>
  </si>
  <si>
    <t>E5_CRUTRN</t>
  </si>
  <si>
    <t>Demand SOTE Crude</t>
  </si>
  <si>
    <t>PA</t>
  </si>
  <si>
    <t>Demand/Share</t>
  </si>
  <si>
    <t>Fuel/Tech</t>
  </si>
  <si>
    <t>Name</t>
  </si>
  <si>
    <t>Ref.Cap.BY</t>
  </si>
  <si>
    <t>Ref.OAR.BY</t>
  </si>
  <si>
    <t>Ref.km.BY</t>
  </si>
  <si>
    <t>Projection.Mode</t>
  </si>
  <si>
    <t>Projection.Parameter</t>
  </si>
  <si>
    <t>Introduced.Unit</t>
  </si>
  <si>
    <t>Target.Unit</t>
  </si>
  <si>
    <t>Demand</t>
  </si>
  <si>
    <t>not needed</t>
  </si>
  <si>
    <t>User defined</t>
  </si>
  <si>
    <t>Demand Industrial Pure_Diesel</t>
  </si>
  <si>
    <t>Demand Industrial Pure_Gasoline</t>
  </si>
  <si>
    <t>E5_SHITRNFOI</t>
  </si>
  <si>
    <t>Demand Shipping Fuel Oil</t>
  </si>
  <si>
    <t>E5_SHITRNPURDSL</t>
  </si>
  <si>
    <t>E5_SHITRNPURGSL</t>
  </si>
  <si>
    <t>Escenario</t>
  </si>
  <si>
    <t>Producto</t>
  </si>
  <si>
    <r>
      <rPr>
        <sz val="11"/>
        <color rgb="FF000000"/>
        <rFont val="Calibri"/>
      </rPr>
      <t xml:space="preserve">Tabla resumen de políticas publicas: </t>
    </r>
    <r>
      <rPr>
        <u/>
        <sz val="11"/>
        <color rgb="FF0563C1"/>
        <rFont val="Calibri"/>
      </rPr>
      <t>https://www.dropbox.com/scl/fi/vop32yzmyogavya5mlcca/Tabla-Resumen-de-Pol-ticas-Actuales-Lissete-D-vila-2022-12-29.gsheet?dl=0&amp;rlkey=jcjgpa3qxccoib0t4hfhkz85a</t>
    </r>
  </si>
  <si>
    <t>Petroecuador firma convenio "Zero Routine Flaring 2030" se incrementa el porcentage de gas aprovechado, considerando que solo la producción de Petroecuador es aprovechada mediante el oleoducto de Shushufindi y considerando también la caida de producción  de petroleo
 con la curva de hubbert</t>
  </si>
  <si>
    <t xml:space="preserve"> </t>
  </si>
  <si>
    <t>barriles refinados por día</t>
  </si>
  <si>
    <r>
      <rPr>
        <b/>
        <sz val="10"/>
        <rFont val="Arial"/>
      </rPr>
      <t xml:space="preserve">Información Nueva Agregada: 
</t>
    </r>
    <r>
      <rPr>
        <sz val="11"/>
        <color theme="1"/>
        <rFont val="Calibri"/>
      </rPr>
      <t xml:space="preserve">1) Energía renovable no convencional y Actualización Escenario Condicional  </t>
    </r>
    <r>
      <rPr>
        <u/>
        <sz val="10"/>
        <color rgb="FF1155CC"/>
        <rFont val="Arial"/>
      </rPr>
      <t xml:space="preserve">MAATE 2021_Plan de Implementaciopn NDC validado CICC (4)
</t>
    </r>
  </si>
  <si>
    <r>
      <rPr>
        <b/>
        <sz val="10"/>
        <rFont val="Arial"/>
      </rPr>
      <t xml:space="preserve">Información Nueva Agregada: 
</t>
    </r>
    <r>
      <rPr>
        <sz val="11"/>
        <color theme="1"/>
        <rFont val="Calibri"/>
      </rPr>
      <t xml:space="preserve">1) Energía renovable no convencional y Actualización Escenario Condicional  </t>
    </r>
    <r>
      <rPr>
        <u/>
        <sz val="10"/>
        <color rgb="FF1155CC"/>
        <rFont val="Arial"/>
      </rPr>
      <t xml:space="preserve">MAATE 2021_Plan de Implementaciopn NDC validado CICC (4)
</t>
    </r>
  </si>
  <si>
    <r>
      <rPr>
        <b/>
        <sz val="10"/>
        <rFont val="Arial"/>
      </rPr>
      <t xml:space="preserve">Información Nueva Agregada: 
</t>
    </r>
    <r>
      <rPr>
        <sz val="11"/>
        <color theme="1"/>
        <rFont val="Calibri"/>
      </rPr>
      <t xml:space="preserve">1) Energía renovable no convencional y Actualización Escenario Condicional  </t>
    </r>
    <r>
      <rPr>
        <u/>
        <sz val="10"/>
        <color rgb="FF1155CC"/>
        <rFont val="Arial"/>
      </rPr>
      <t xml:space="preserve">MAATE 2021_Plan de Implementaciopn NDC validado CICC (4)
</t>
    </r>
  </si>
  <si>
    <t>Hidroeléctrica</t>
  </si>
  <si>
    <r>
      <rPr>
        <b/>
        <sz val="10"/>
        <rFont val="Arial"/>
      </rPr>
      <t xml:space="preserve">Información Nueva Agregada: 
</t>
    </r>
    <r>
      <rPr>
        <sz val="11"/>
        <color theme="1"/>
        <rFont val="Calibri"/>
      </rPr>
      <t xml:space="preserve">1) Energía renovable no convencional y Actualización Escenario Condicional  </t>
    </r>
    <r>
      <rPr>
        <u/>
        <sz val="10"/>
        <color rgb="FF1155CC"/>
        <rFont val="Arial"/>
      </rPr>
      <t xml:space="preserve">MAATE 2021_Plan de Implementaciopn NDC validado CICC (4)
</t>
    </r>
  </si>
  <si>
    <t>galones de diesel</t>
  </si>
  <si>
    <r>
      <rPr>
        <sz val="11"/>
        <color rgb="FFFF0000"/>
        <rFont val="Calibri"/>
      </rPr>
      <t>Escenario condicional:</t>
    </r>
    <r>
      <rPr>
        <sz val="11"/>
        <color theme="1"/>
        <rFont val="Calibri"/>
      </rPr>
      <t xml:space="preserve"> Aumentar renovables</t>
    </r>
  </si>
  <si>
    <t>Redes inteligentes</t>
  </si>
  <si>
    <t>Hidrógeno FC</t>
  </si>
  <si>
    <t>Gas natural FC</t>
  </si>
  <si>
    <t>Porcentaje de mezcla</t>
  </si>
  <si>
    <t>Esto no podemos ver en la flota, ya que exiten biocombustibles avanzados que se usan como los combustibles convencionales. Esto se refleja en combustibles.</t>
  </si>
  <si>
    <t>Los PKMs pueden incluso aumentar en escenarios menos contaminantes, la eficiencia se ve directamente en la capacidad de la tecnología en proveer el mismo servicio con menos energía.</t>
  </si>
  <si>
    <t>Los TKMs pueden incluso aumentar en escenarios menos contaminantes, la eficiencia se ve directamente en la capacidad de la tecnología en proveer el mismo servicio con menos energía.</t>
  </si>
  <si>
    <t>Biocumbustible|Biogas</t>
  </si>
  <si>
    <t>Porcentaje de sustitución de leña por electricidad</t>
  </si>
  <si>
    <t>Reducción o eliminación del uso de fuel oil</t>
  </si>
  <si>
    <t>Porcentaje de sustitución de fuel oil por electricidad</t>
  </si>
  <si>
    <t>total 597.8</t>
  </si>
  <si>
    <t>Toneladas H2</t>
  </si>
  <si>
    <t>Mantener Hidroeléctricas existentes</t>
  </si>
  <si>
    <t>Hidroeléctricas</t>
  </si>
  <si>
    <t>Redes inteligentes galápagos</t>
  </si>
  <si>
    <t>PME plantea redes inteligentes para galapagos, no expone parámetro de mejora</t>
  </si>
  <si>
    <t>Porcentaje de combinación</t>
  </si>
  <si>
    <t>No existe claridad sobre el remplazo de GLP por biodigestores. Esto es viable en el sector rural en zonas ganaderas, es por esto que los porcentajes estimados son bajos.</t>
  </si>
  <si>
    <t>Porcentaje de uso de leña como energía</t>
  </si>
  <si>
    <t>Reducción o eliminación del uso de gas natural</t>
  </si>
  <si>
    <t>Gas natural</t>
  </si>
  <si>
    <t xml:space="preserve">Porcentaje de sustitución del combustible por electricidad </t>
  </si>
  <si>
    <t>El Gas natural se usa minimamente en residencial a razon de 0.04% con relación al GLP [BNE 2020]</t>
  </si>
  <si>
    <t>Reducción o eliminación del uso de GLP</t>
  </si>
  <si>
    <t>Reducción o eliminación del uso de gasolina</t>
  </si>
  <si>
    <t>Reducción o eliminación del uso de diesel</t>
  </si>
  <si>
    <t>Reducción o eliminación del uso de Fuel oil</t>
  </si>
  <si>
    <t>Reducción o eliminación del uso de Gas Natural</t>
  </si>
  <si>
    <t>Reducción o eliminación del uso de Kerosene/Jet Fuel</t>
  </si>
  <si>
    <t>barriles refinados</t>
  </si>
  <si>
    <t>Linear</t>
  </si>
  <si>
    <t>TotalTechnologyAnnualActivityLowerLimit</t>
  </si>
  <si>
    <t>not</t>
  </si>
  <si>
    <t>The minimum production of electricity</t>
  </si>
  <si>
    <t>PP_SPV_DG</t>
  </si>
  <si>
    <t>TotalTechnologyAnnualActivityUpperrLimit</t>
  </si>
  <si>
    <t>PP_BMSTST</t>
  </si>
  <si>
    <t>PPICRUPETICE</t>
  </si>
  <si>
    <t>PPICRUPETTST</t>
  </si>
  <si>
    <t>PPIDSLPETTGS</t>
  </si>
  <si>
    <t>PPIDSLPETICE</t>
  </si>
  <si>
    <t>PPINGSPETTST</t>
  </si>
  <si>
    <t>PPINGSPETICE</t>
  </si>
  <si>
    <t>PPINGSPETTGS</t>
  </si>
  <si>
    <t>PPIFOIPETICE</t>
  </si>
  <si>
    <t>Past value</t>
  </si>
  <si>
    <t>Lower Limit</t>
  </si>
  <si>
    <t xml:space="preserve">Upper Limit </t>
  </si>
  <si>
    <t>InputActivityRatio</t>
  </si>
  <si>
    <t>ELE_DISTR</t>
  </si>
  <si>
    <t>Improvement of efficiency of distribution network</t>
  </si>
  <si>
    <t>DDP50</t>
  </si>
  <si>
    <t>EmissionActivityRatio</t>
  </si>
  <si>
    <t>T4_DSLHEA</t>
  </si>
  <si>
    <t>CO2</t>
  </si>
  <si>
    <t>T4_DSLLIG</t>
  </si>
  <si>
    <t>T4_DSLMED</t>
  </si>
  <si>
    <t>T4_DSLPRI</t>
  </si>
  <si>
    <t>T4_DSLPUB</t>
  </si>
  <si>
    <t>T4_GSLLIG</t>
  </si>
  <si>
    <t>T4_GSLMED</t>
  </si>
  <si>
    <t>T4_GSLPRI</t>
  </si>
  <si>
    <t>T4_GSLPUB</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</si>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</sst>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000"/>
    <numFmt numFmtId="165" formatCode="0.000000"/>
    <numFmt numFmtId="166" formatCode="0.0"/>
    <numFmt numFmtId="167" formatCode="0.0%"/>
    <numFmt numFmtId="168" formatCode="0.00000"/>
    <numFmt numFmtId="169" formatCode="0.000%"/>
    <numFmt numFmtId="170" formatCode="0.000000000000000%"/>
    <numFmt numFmtId="171" formatCode="0.00000000000000%"/>
    <numFmt numFmtId="172" formatCode="0.0000"/>
    <numFmt numFmtId="173" formatCode="0.0000%"/>
    <numFmt numFmtId="174" formatCode="#,##0.0000"/>
  </numFmts>
  <fonts count="20">
    <font>
      <sz val="11"/>
      <color theme="1"/>
      <name val="Calibri"/>
      <scheme val="minor"/>
    </font>
    <font>
      <sz val="11"/>
      <color theme="1"/>
      <name val="Calibri"/>
    </font>
    <font>
      <sz val="9"/>
      <color theme="1"/>
      <name val="Calibri"/>
    </font>
    <font>
      <b/>
      <sz val="9"/>
      <color theme="1"/>
      <name val="Calibri"/>
    </font>
    <font>
      <b/>
      <sz val="11"/>
      <color theme="1"/>
      <name val="Calibri"/>
    </font>
    <font>
      <u/>
      <sz val="11"/>
      <color rgb="FF0000FF"/>
      <name val="Calibri"/>
    </font>
    <font>
      <sz val="11"/>
      <color rgb="FF000000"/>
      <name val="Calibri"/>
    </font>
    <font>
      <u/>
      <sz val="10"/>
      <color rgb="FF0000FF"/>
      <name val="Arial"/>
    </font>
    <font>
      <sz val="8"/>
      <color theme="1"/>
      <name val="Calibri"/>
    </font>
    <font>
      <sz val="11"/>
      <color rgb="FFFF0000"/>
      <name val="Calibri"/>
    </font>
    <font>
      <u/>
      <sz val="11"/>
      <color theme="10"/>
      <name val="Calibri"/>
    </font>
    <font>
      <sz val="11"/>
      <color rgb="FF000000"/>
      <name val="Roboto"/>
    </font>
    <font>
      <b/>
      <sz val="14"/>
      <color theme="1"/>
      <name val="Calibri"/>
    </font>
    <font>
      <u/>
      <sz val="11"/>
      <color theme="10"/>
      <name val="Calibri"/>
    </font>
    <font>
      <b/>
      <sz val="11"/>
      <color rgb="FF000000"/>
      <name val="Calibri"/>
    </font>
    <font>
      <u/>
      <sz val="11"/>
      <color theme="10"/>
      <name val="Calibri"/>
    </font>
    <font>
      <u/>
      <sz val="11"/>
      <color rgb="FF0563C1"/>
      <name val="Calibri"/>
    </font>
    <font>
      <b/>
      <sz val="10"/>
      <name val="Arial"/>
    </font>
    <font>
      <u/>
      <sz val="10"/>
      <color rgb="FF1155CC"/>
      <name val="Arial"/>
    </font>
    <font>
      <sz val="11"/>
      <color theme="1"/>
      <name val="Calibri"/>
      <family val="2"/>
    </font>
  </fonts>
  <fills count="33">
    <fill>
      <patternFill patternType="none"/>
    </fill>
    <fill>
      <patternFill patternType="gray125"/>
    </fill>
    <fill>
      <patternFill patternType="solid">
        <fgColor rgb="FFFFFF00"/>
        <bgColor rgb="FFFFFF00"/>
      </patternFill>
    </fill>
    <fill>
      <patternFill patternType="solid">
        <fgColor rgb="FFD9EAD3"/>
        <bgColor rgb="FFD9EAD3"/>
      </patternFill>
    </fill>
    <fill>
      <patternFill patternType="solid">
        <fgColor theme="0"/>
        <bgColor theme="0"/>
      </patternFill>
    </fill>
    <fill>
      <patternFill patternType="solid">
        <fgColor theme="9"/>
        <bgColor theme="9"/>
      </patternFill>
    </fill>
    <fill>
      <patternFill patternType="solid">
        <fgColor rgb="FF70AD47"/>
        <bgColor rgb="FF70AD47"/>
      </patternFill>
    </fill>
    <fill>
      <patternFill patternType="solid">
        <fgColor rgb="FFFFFFFF"/>
        <bgColor rgb="FFFFFFFF"/>
      </patternFill>
    </fill>
    <fill>
      <patternFill patternType="solid">
        <fgColor rgb="FFFFC000"/>
        <bgColor rgb="FFFFC000"/>
      </patternFill>
    </fill>
    <fill>
      <patternFill patternType="solid">
        <fgColor rgb="FFFF0000"/>
        <bgColor rgb="FFFF0000"/>
      </patternFill>
    </fill>
    <fill>
      <patternFill patternType="solid">
        <fgColor theme="5"/>
        <bgColor theme="5"/>
      </patternFill>
    </fill>
    <fill>
      <patternFill patternType="solid">
        <fgColor rgb="FFFEF2CB"/>
        <bgColor rgb="FFFEF2CB"/>
      </patternFill>
    </fill>
    <fill>
      <patternFill patternType="solid">
        <fgColor rgb="FFED7D31"/>
        <bgColor rgb="FFED7D31"/>
      </patternFill>
    </fill>
    <fill>
      <patternFill patternType="solid">
        <fgColor rgb="FFC00000"/>
        <bgColor rgb="FFC00000"/>
      </patternFill>
    </fill>
    <fill>
      <patternFill patternType="solid">
        <fgColor rgb="FFFFE598"/>
        <bgColor rgb="FFFFE598"/>
      </patternFill>
    </fill>
    <fill>
      <patternFill patternType="solid">
        <fgColor rgb="FFE2EFD9"/>
        <bgColor rgb="FFE2EFD9"/>
      </patternFill>
    </fill>
    <fill>
      <patternFill patternType="solid">
        <fgColor theme="7"/>
        <bgColor theme="7"/>
      </patternFill>
    </fill>
    <fill>
      <patternFill patternType="solid">
        <fgColor rgb="FFE2EFDA"/>
        <bgColor rgb="FFE2EFDA"/>
      </patternFill>
    </fill>
    <fill>
      <patternFill patternType="solid">
        <fgColor rgb="FFD6DCE4"/>
        <bgColor rgb="FFD6DCE4"/>
      </patternFill>
    </fill>
    <fill>
      <patternFill patternType="solid">
        <fgColor rgb="FFC5D9F1"/>
        <bgColor rgb="FFC5D9F1"/>
      </patternFill>
    </fill>
    <fill>
      <patternFill patternType="solid">
        <fgColor rgb="FFDDEBF7"/>
        <bgColor rgb="FFDDEBF7"/>
      </patternFill>
    </fill>
    <fill>
      <patternFill patternType="solid">
        <fgColor rgb="FFBDD7EE"/>
        <bgColor rgb="FFBDD7EE"/>
      </patternFill>
    </fill>
    <fill>
      <patternFill patternType="solid">
        <fgColor rgb="FFEDEDED"/>
        <bgColor rgb="FFEDEDED"/>
      </patternFill>
    </fill>
    <fill>
      <patternFill patternType="solid">
        <fgColor rgb="FFEBF1DE"/>
        <bgColor rgb="FFEBF1DE"/>
      </patternFill>
    </fill>
    <fill>
      <patternFill patternType="solid">
        <fgColor rgb="FF5CD2CC"/>
        <bgColor rgb="FF5CD2CC"/>
      </patternFill>
    </fill>
    <fill>
      <patternFill patternType="solid">
        <fgColor rgb="FFDEEAF6"/>
        <bgColor rgb="FFDEEAF6"/>
      </patternFill>
    </fill>
    <fill>
      <patternFill patternType="solid">
        <fgColor rgb="FF92D050"/>
        <bgColor rgb="FF92D050"/>
      </patternFill>
    </fill>
    <fill>
      <patternFill patternType="solid">
        <fgColor rgb="FFD9D9D9"/>
        <bgColor rgb="FFD9D9D9"/>
      </patternFill>
    </fill>
    <fill>
      <patternFill patternType="solid">
        <fgColor rgb="FFE6B8B7"/>
        <bgColor rgb="FFE6B8B7"/>
      </patternFill>
    </fill>
    <fill>
      <patternFill patternType="solid">
        <fgColor rgb="FFFDE9D9"/>
        <bgColor rgb="FFFDE9D9"/>
      </patternFill>
    </fill>
    <fill>
      <patternFill patternType="solid">
        <fgColor rgb="FFD8D8D8"/>
        <bgColor rgb="FFD8D8D8"/>
      </patternFill>
    </fill>
    <fill>
      <patternFill patternType="solid">
        <fgColor rgb="FFF7CAAC"/>
        <bgColor rgb="FFF7CAAC"/>
      </patternFill>
    </fill>
    <fill>
      <patternFill patternType="solid">
        <fgColor rgb="FFFCE4D6"/>
        <bgColor rgb="FFFCE4D6"/>
      </patternFill>
    </fill>
  </fills>
  <borders count="39">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diagonal/>
    </border>
    <border>
      <left/>
      <right/>
      <top style="thin">
        <color rgb="FF000000"/>
      </top>
      <bottom/>
      <diagonal/>
    </border>
    <border>
      <left style="medium">
        <color rgb="FFCCCCCC"/>
      </left>
      <right style="medium">
        <color rgb="FFCCCCCC"/>
      </right>
      <top style="medium">
        <color rgb="FFCCCCCC"/>
      </top>
      <bottom style="medium">
        <color rgb="FFCCCCCC"/>
      </bottom>
      <diagonal/>
    </border>
    <border>
      <left/>
      <right style="medium">
        <color rgb="FF000000"/>
      </right>
      <top/>
      <bottom/>
      <diagonal/>
    </border>
    <border>
      <left style="thin">
        <color rgb="FF000000"/>
      </left>
      <right/>
      <top/>
      <bottom/>
      <diagonal/>
    </border>
    <border>
      <left style="thin">
        <color rgb="FF000000"/>
      </left>
      <right/>
      <top style="thin">
        <color rgb="FF000000"/>
      </top>
      <bottom/>
      <diagonal/>
    </border>
    <border>
      <left style="thin">
        <color rgb="FF000000"/>
      </left>
      <right/>
      <top/>
      <bottom style="thin">
        <color rgb="FF000000"/>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right/>
      <top style="medium">
        <color rgb="FF000000"/>
      </top>
      <bottom style="medium">
        <color rgb="FF000000"/>
      </bottom>
      <diagonal/>
    </border>
    <border>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medium">
        <color rgb="FF000000"/>
      </left>
      <right style="thin">
        <color rgb="FF000000"/>
      </right>
      <top style="medium">
        <color rgb="FF000000"/>
      </top>
      <bottom/>
      <diagonal/>
    </border>
    <border>
      <left/>
      <right style="thin">
        <color rgb="FF000000"/>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right style="thin">
        <color rgb="FF000000"/>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style="thin">
        <color rgb="FF000000"/>
      </top>
      <bottom/>
      <diagonal/>
    </border>
    <border>
      <left style="medium">
        <color rgb="FFCCCCCC"/>
      </left>
      <right style="medium">
        <color rgb="FFCCCCCC"/>
      </right>
      <top style="medium">
        <color rgb="FFCCCCCC"/>
      </top>
      <bottom/>
      <diagonal/>
    </border>
    <border>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s>
  <cellStyleXfs count="1">
    <xf numFmtId="0" fontId="0" fillId="0" borderId="0"/>
  </cellStyleXfs>
  <cellXfs count="416">
    <xf numFmtId="0" fontId="0" fillId="0" borderId="0" xfId="0"/>
    <xf numFmtId="0" fontId="1" fillId="0" borderId="0" xfId="0" applyFont="1"/>
    <xf numFmtId="164" fontId="1" fillId="0" borderId="0" xfId="0" applyNumberFormat="1" applyFont="1"/>
    <xf numFmtId="0" fontId="1" fillId="2" borderId="1" xfId="0" applyFont="1" applyFill="1" applyBorder="1"/>
    <xf numFmtId="0" fontId="2" fillId="0" borderId="0" xfId="0" applyFont="1" applyAlignment="1">
      <alignment horizontal="center" vertical="center"/>
    </xf>
    <xf numFmtId="0" fontId="3" fillId="3" borderId="1" xfId="0" applyFont="1" applyFill="1" applyBorder="1" applyAlignment="1">
      <alignment horizontal="right" vertical="center"/>
    </xf>
    <xf numFmtId="165" fontId="3" fillId="3" borderId="1" xfId="0" applyNumberFormat="1" applyFont="1" applyFill="1" applyBorder="1" applyAlignment="1">
      <alignment horizontal="center" vertical="center"/>
    </xf>
    <xf numFmtId="0" fontId="3" fillId="3" borderId="1" xfId="0" applyFont="1" applyFill="1" applyBorder="1"/>
    <xf numFmtId="0" fontId="1" fillId="4" borderId="1" xfId="0" applyFont="1" applyFill="1" applyBorder="1"/>
    <xf numFmtId="0" fontId="4" fillId="4" borderId="1" xfId="0" applyFont="1" applyFill="1" applyBorder="1"/>
    <xf numFmtId="0" fontId="4" fillId="4" borderId="2" xfId="0" applyFont="1" applyFill="1" applyBorder="1" applyAlignment="1">
      <alignment horizontal="center"/>
    </xf>
    <xf numFmtId="0" fontId="1" fillId="4" borderId="2" xfId="0" applyFont="1" applyFill="1" applyBorder="1"/>
    <xf numFmtId="0" fontId="4" fillId="4" borderId="2" xfId="0" applyFont="1" applyFill="1" applyBorder="1" applyAlignment="1">
      <alignment horizontal="center" vertical="center"/>
    </xf>
    <xf numFmtId="0" fontId="1" fillId="4" borderId="2" xfId="0" applyFont="1" applyFill="1" applyBorder="1" applyAlignment="1">
      <alignment vertical="center" wrapText="1"/>
    </xf>
    <xf numFmtId="0" fontId="4" fillId="0" borderId="0" xfId="0" applyFont="1" applyAlignment="1">
      <alignment horizontal="center" vertical="center"/>
    </xf>
    <xf numFmtId="0" fontId="4" fillId="0" borderId="3" xfId="0" applyFont="1" applyBorder="1" applyAlignment="1">
      <alignment horizontal="center" vertical="center"/>
    </xf>
    <xf numFmtId="0" fontId="4" fillId="5" borderId="4" xfId="0" applyFont="1" applyFill="1" applyBorder="1" applyAlignment="1">
      <alignment horizontal="center" vertical="center"/>
    </xf>
    <xf numFmtId="0" fontId="5" fillId="0" borderId="0" xfId="0" applyFont="1"/>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wrapText="1"/>
    </xf>
    <xf numFmtId="2" fontId="1" fillId="5" borderId="1" xfId="0" applyNumberFormat="1" applyFont="1" applyFill="1" applyBorder="1"/>
    <xf numFmtId="0" fontId="6" fillId="0" borderId="0" xfId="0" applyFont="1" applyAlignment="1">
      <alignment horizontal="right"/>
    </xf>
    <xf numFmtId="2" fontId="6" fillId="0" borderId="0" xfId="0" applyNumberFormat="1" applyFont="1" applyAlignment="1">
      <alignment horizontal="right"/>
    </xf>
    <xf numFmtId="9" fontId="4" fillId="0" borderId="0" xfId="0" applyNumberFormat="1" applyFont="1" applyAlignment="1">
      <alignment horizontal="center" vertical="center"/>
    </xf>
    <xf numFmtId="9" fontId="1" fillId="0" borderId="0" xfId="0" applyNumberFormat="1" applyFont="1"/>
    <xf numFmtId="0" fontId="1" fillId="6" borderId="1" xfId="0" applyFont="1" applyFill="1" applyBorder="1" applyAlignment="1">
      <alignment wrapText="1"/>
    </xf>
    <xf numFmtId="0" fontId="1" fillId="6" borderId="1" xfId="0" applyFont="1" applyFill="1" applyBorder="1"/>
    <xf numFmtId="0" fontId="1" fillId="0" borderId="0" xfId="0" applyFont="1" applyAlignment="1">
      <alignment horizontal="center"/>
    </xf>
    <xf numFmtId="0" fontId="6" fillId="6" borderId="1" xfId="0" applyFont="1" applyFill="1" applyBorder="1"/>
    <xf numFmtId="0" fontId="6" fillId="0" borderId="0" xfId="0" applyFont="1"/>
    <xf numFmtId="0" fontId="6" fillId="7" borderId="1" xfId="0" applyFont="1" applyFill="1" applyBorder="1"/>
    <xf numFmtId="0" fontId="4" fillId="7" borderId="1" xfId="0" applyFont="1" applyFill="1" applyBorder="1" applyAlignment="1">
      <alignment horizontal="center" vertical="center"/>
    </xf>
    <xf numFmtId="0" fontId="1" fillId="7" borderId="1" xfId="0" applyFont="1" applyFill="1" applyBorder="1" applyAlignment="1">
      <alignment horizontal="center" vertical="center"/>
    </xf>
    <xf numFmtId="0" fontId="1" fillId="7" borderId="1" xfId="0" applyFont="1" applyFill="1" applyBorder="1"/>
    <xf numFmtId="0" fontId="1" fillId="5" borderId="1" xfId="0" applyFont="1" applyFill="1" applyBorder="1"/>
    <xf numFmtId="2" fontId="1" fillId="0" borderId="0" xfId="0" applyNumberFormat="1" applyFont="1" applyAlignment="1">
      <alignment horizontal="center"/>
    </xf>
    <xf numFmtId="9" fontId="1" fillId="7" borderId="1" xfId="0" applyNumberFormat="1" applyFont="1" applyFill="1" applyBorder="1" applyAlignment="1">
      <alignment horizontal="center" vertical="center"/>
    </xf>
    <xf numFmtId="0" fontId="1" fillId="0" borderId="0" xfId="0" applyFont="1" applyAlignment="1">
      <alignment horizontal="left" vertical="center"/>
    </xf>
    <xf numFmtId="166" fontId="1" fillId="0" borderId="0" xfId="0" applyNumberFormat="1" applyFont="1" applyAlignment="1">
      <alignment horizontal="center"/>
    </xf>
    <xf numFmtId="2" fontId="1" fillId="0" borderId="0" xfId="0" applyNumberFormat="1" applyFont="1"/>
    <xf numFmtId="0" fontId="1" fillId="5" borderId="1" xfId="0" applyFont="1" applyFill="1" applyBorder="1" applyAlignment="1">
      <alignment horizontal="center" vertical="center"/>
    </xf>
    <xf numFmtId="4" fontId="1" fillId="0" borderId="0" xfId="0" applyNumberFormat="1" applyFont="1" applyAlignment="1">
      <alignment horizontal="center" vertical="center"/>
    </xf>
    <xf numFmtId="9" fontId="1" fillId="0" borderId="0" xfId="0" applyNumberFormat="1" applyFont="1" applyAlignment="1">
      <alignment horizontal="center" vertical="center"/>
    </xf>
    <xf numFmtId="0" fontId="4" fillId="0" borderId="5" xfId="0" applyFont="1" applyBorder="1" applyAlignment="1">
      <alignment horizontal="center" vertical="center"/>
    </xf>
    <xf numFmtId="0" fontId="1" fillId="0" borderId="5" xfId="0" applyFont="1" applyBorder="1" applyAlignment="1">
      <alignment horizontal="center"/>
    </xf>
    <xf numFmtId="0" fontId="1" fillId="6" borderId="6" xfId="0" applyFont="1" applyFill="1" applyBorder="1" applyAlignment="1">
      <alignment wrapText="1"/>
    </xf>
    <xf numFmtId="0" fontId="1" fillId="0" borderId="5" xfId="0" applyFont="1" applyBorder="1" applyAlignment="1">
      <alignment horizontal="center" vertical="center"/>
    </xf>
    <xf numFmtId="9" fontId="1" fillId="0" borderId="5" xfId="0" applyNumberFormat="1" applyFont="1" applyBorder="1" applyAlignment="1">
      <alignment horizontal="center"/>
    </xf>
    <xf numFmtId="10" fontId="1" fillId="5" borderId="6" xfId="0" applyNumberFormat="1" applyFont="1" applyFill="1" applyBorder="1" applyAlignment="1">
      <alignment horizontal="center" vertical="center"/>
    </xf>
    <xf numFmtId="167" fontId="1" fillId="0" borderId="5" xfId="0" applyNumberFormat="1" applyFont="1" applyBorder="1"/>
    <xf numFmtId="4" fontId="1" fillId="0" borderId="0" xfId="0" applyNumberFormat="1" applyFont="1"/>
    <xf numFmtId="9" fontId="1" fillId="0" borderId="0" xfId="0" applyNumberFormat="1" applyFont="1" applyAlignment="1">
      <alignment horizontal="center"/>
    </xf>
    <xf numFmtId="10" fontId="1" fillId="5" borderId="1" xfId="0" applyNumberFormat="1" applyFont="1" applyFill="1" applyBorder="1" applyAlignment="1">
      <alignment horizontal="center" vertical="center"/>
    </xf>
    <xf numFmtId="10" fontId="1" fillId="0" borderId="0" xfId="0" applyNumberFormat="1" applyFont="1"/>
    <xf numFmtId="0" fontId="1" fillId="8" borderId="1" xfId="0" applyFont="1" applyFill="1" applyBorder="1"/>
    <xf numFmtId="166" fontId="1" fillId="0" borderId="0" xfId="0" applyNumberFormat="1" applyFont="1"/>
    <xf numFmtId="0" fontId="4" fillId="5" borderId="1" xfId="0" applyFont="1" applyFill="1" applyBorder="1" applyAlignment="1">
      <alignment horizontal="center" vertical="center"/>
    </xf>
    <xf numFmtId="0" fontId="4" fillId="0" borderId="0" xfId="0" applyFont="1"/>
    <xf numFmtId="0" fontId="7" fillId="0" borderId="0" xfId="0" applyFont="1" applyAlignment="1">
      <alignment vertical="top"/>
    </xf>
    <xf numFmtId="2" fontId="1" fillId="0" borderId="0" xfId="0" applyNumberFormat="1" applyFont="1" applyAlignment="1">
      <alignment horizontal="center" vertical="center"/>
    </xf>
    <xf numFmtId="0" fontId="1" fillId="9" borderId="1" xfId="0" applyFont="1" applyFill="1" applyBorder="1"/>
    <xf numFmtId="0" fontId="1" fillId="10" borderId="1" xfId="0" applyFont="1" applyFill="1" applyBorder="1" applyAlignment="1">
      <alignment horizontal="center" vertical="center"/>
    </xf>
    <xf numFmtId="1" fontId="1" fillId="0" borderId="0" xfId="0" applyNumberFormat="1" applyFont="1"/>
    <xf numFmtId="167" fontId="1" fillId="5" borderId="1" xfId="0" applyNumberFormat="1" applyFont="1" applyFill="1" applyBorder="1"/>
    <xf numFmtId="167" fontId="1" fillId="0" borderId="0" xfId="0" applyNumberFormat="1" applyFont="1"/>
    <xf numFmtId="0" fontId="1" fillId="11" borderId="1" xfId="0" applyFont="1" applyFill="1" applyBorder="1"/>
    <xf numFmtId="168" fontId="8" fillId="0" borderId="0" xfId="0" applyNumberFormat="1" applyFont="1"/>
    <xf numFmtId="9" fontId="1" fillId="6" borderId="1" xfId="0" applyNumberFormat="1" applyFont="1" applyFill="1" applyBorder="1" applyAlignment="1">
      <alignment horizontal="center"/>
    </xf>
    <xf numFmtId="0" fontId="9" fillId="0" borderId="0" xfId="0" applyFont="1"/>
    <xf numFmtId="0" fontId="1" fillId="12" borderId="1" xfId="0" applyFont="1" applyFill="1" applyBorder="1"/>
    <xf numFmtId="0" fontId="9" fillId="5" borderId="1" xfId="0" applyFont="1" applyFill="1" applyBorder="1"/>
    <xf numFmtId="10" fontId="1" fillId="5" borderId="1" xfId="0" applyNumberFormat="1" applyFont="1" applyFill="1" applyBorder="1"/>
    <xf numFmtId="0" fontId="9" fillId="0" borderId="0" xfId="0" applyFont="1" applyAlignment="1">
      <alignment horizontal="center"/>
    </xf>
    <xf numFmtId="9" fontId="9" fillId="0" borderId="0" xfId="0" applyNumberFormat="1" applyFont="1" applyAlignment="1">
      <alignment horizontal="center"/>
    </xf>
    <xf numFmtId="0" fontId="1" fillId="0" borderId="5" xfId="0" applyFont="1" applyBorder="1"/>
    <xf numFmtId="0" fontId="1" fillId="0" borderId="5" xfId="0" applyFont="1" applyBorder="1" applyAlignment="1">
      <alignment wrapText="1"/>
    </xf>
    <xf numFmtId="0" fontId="1" fillId="5" borderId="6" xfId="0" applyFont="1" applyFill="1" applyBorder="1"/>
    <xf numFmtId="9" fontId="1" fillId="0" borderId="5" xfId="0" applyNumberFormat="1" applyFont="1" applyBorder="1"/>
    <xf numFmtId="167" fontId="10" fillId="0" borderId="0" xfId="0" applyNumberFormat="1" applyFont="1"/>
    <xf numFmtId="167" fontId="1" fillId="9" borderId="1" xfId="0" applyNumberFormat="1" applyFont="1" applyFill="1" applyBorder="1"/>
    <xf numFmtId="0" fontId="1" fillId="0" borderId="3" xfId="0" applyFont="1" applyBorder="1"/>
    <xf numFmtId="0" fontId="1" fillId="0" borderId="3" xfId="0" applyFont="1" applyBorder="1" applyAlignment="1">
      <alignment horizontal="center"/>
    </xf>
    <xf numFmtId="0" fontId="1" fillId="5" borderId="4" xfId="0" applyFont="1" applyFill="1" applyBorder="1"/>
    <xf numFmtId="167" fontId="1" fillId="0" borderId="3" xfId="0" applyNumberFormat="1" applyFont="1" applyBorder="1"/>
    <xf numFmtId="0" fontId="4" fillId="0" borderId="3" xfId="0" applyFont="1" applyBorder="1"/>
    <xf numFmtId="166" fontId="1" fillId="0" borderId="3" xfId="0" applyNumberFormat="1" applyFont="1" applyBorder="1"/>
    <xf numFmtId="10" fontId="1" fillId="0" borderId="3" xfId="0" applyNumberFormat="1" applyFont="1" applyBorder="1"/>
    <xf numFmtId="167" fontId="1" fillId="9" borderId="4" xfId="0" applyNumberFormat="1" applyFont="1" applyFill="1" applyBorder="1"/>
    <xf numFmtId="9" fontId="1" fillId="0" borderId="3" xfId="0" applyNumberFormat="1" applyFont="1" applyBorder="1"/>
    <xf numFmtId="0" fontId="4" fillId="6" borderId="1" xfId="0" applyFont="1" applyFill="1" applyBorder="1" applyAlignment="1">
      <alignment horizontal="center" vertical="center"/>
    </xf>
    <xf numFmtId="167" fontId="1" fillId="0" borderId="0" xfId="0" applyNumberFormat="1" applyFont="1" applyAlignment="1">
      <alignment horizontal="center" vertical="center"/>
    </xf>
    <xf numFmtId="0" fontId="1" fillId="13" borderId="1" xfId="0" applyFont="1" applyFill="1" applyBorder="1"/>
    <xf numFmtId="167" fontId="1" fillId="0" borderId="3" xfId="0" applyNumberFormat="1" applyFont="1" applyBorder="1" applyAlignment="1">
      <alignment horizontal="center" vertical="center"/>
    </xf>
    <xf numFmtId="0" fontId="11" fillId="0" borderId="3" xfId="0" applyFont="1" applyBorder="1" applyAlignment="1">
      <alignment horizontal="left" vertical="center"/>
    </xf>
    <xf numFmtId="167" fontId="1" fillId="6" borderId="1" xfId="0" applyNumberFormat="1" applyFont="1" applyFill="1" applyBorder="1"/>
    <xf numFmtId="9" fontId="1" fillId="6" borderId="1" xfId="0" applyNumberFormat="1" applyFont="1" applyFill="1" applyBorder="1"/>
    <xf numFmtId="0" fontId="11" fillId="0" borderId="0" xfId="0" applyFont="1" applyAlignment="1">
      <alignment horizontal="left" vertical="center"/>
    </xf>
    <xf numFmtId="0" fontId="4" fillId="0" borderId="3" xfId="0" applyFont="1" applyBorder="1" applyAlignment="1">
      <alignment horizontal="center" vertical="center" wrapText="1"/>
    </xf>
    <xf numFmtId="0" fontId="4" fillId="5" borderId="4" xfId="0" applyFont="1" applyFill="1" applyBorder="1" applyAlignment="1">
      <alignment horizontal="center" vertical="center" wrapText="1"/>
    </xf>
    <xf numFmtId="0" fontId="4" fillId="2" borderId="4" xfId="0" applyFont="1" applyFill="1" applyBorder="1" applyAlignment="1">
      <alignment horizontal="center" vertical="center" wrapText="1"/>
    </xf>
    <xf numFmtId="1" fontId="4" fillId="0" borderId="3" xfId="0" applyNumberFormat="1" applyFont="1" applyBorder="1" applyAlignment="1">
      <alignment horizontal="center" vertical="center" wrapText="1"/>
    </xf>
    <xf numFmtId="0" fontId="4" fillId="0" borderId="0" xfId="0" applyFont="1" applyAlignment="1">
      <alignment horizontal="center" vertical="center" wrapText="1"/>
    </xf>
    <xf numFmtId="2" fontId="1" fillId="5" borderId="1" xfId="0" applyNumberFormat="1" applyFont="1" applyFill="1" applyBorder="1" applyAlignment="1">
      <alignment horizontal="center" vertical="center" wrapText="1"/>
    </xf>
    <xf numFmtId="2" fontId="6" fillId="0" borderId="0" xfId="0" applyNumberFormat="1" applyFont="1" applyAlignment="1">
      <alignment horizontal="center" vertical="center" wrapText="1"/>
    </xf>
    <xf numFmtId="2" fontId="6" fillId="2" borderId="1" xfId="0" applyNumberFormat="1" applyFont="1" applyFill="1" applyBorder="1" applyAlignment="1">
      <alignment horizontal="center" vertical="center" wrapText="1"/>
    </xf>
    <xf numFmtId="0" fontId="1" fillId="14" borderId="7" xfId="0" applyFont="1" applyFill="1" applyBorder="1" applyAlignment="1">
      <alignment horizontal="center" vertical="center" wrapText="1"/>
    </xf>
    <xf numFmtId="9" fontId="1" fillId="0" borderId="0" xfId="0" applyNumberFormat="1" applyFont="1" applyAlignment="1">
      <alignment horizontal="center" vertical="center" wrapText="1"/>
    </xf>
    <xf numFmtId="167" fontId="1" fillId="0" borderId="0" xfId="0" applyNumberFormat="1" applyFont="1" applyAlignment="1">
      <alignment horizontal="center" vertical="center" wrapText="1"/>
    </xf>
    <xf numFmtId="0" fontId="1" fillId="6" borderId="1" xfId="0" applyFont="1" applyFill="1" applyBorder="1" applyAlignment="1">
      <alignment horizontal="center" vertical="center" wrapText="1"/>
    </xf>
    <xf numFmtId="4" fontId="1" fillId="0" borderId="0" xfId="0" applyNumberFormat="1" applyFont="1" applyAlignment="1">
      <alignment horizontal="center" vertical="center" wrapText="1"/>
    </xf>
    <xf numFmtId="10" fontId="1" fillId="0" borderId="0" xfId="0" applyNumberFormat="1" applyFont="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0" fontId="1" fillId="5" borderId="1" xfId="0" applyFont="1" applyFill="1" applyBorder="1" applyAlignment="1">
      <alignment horizontal="center" vertical="center" wrapText="1"/>
    </xf>
    <xf numFmtId="164" fontId="4" fillId="0" borderId="0" xfId="0" applyNumberFormat="1" applyFont="1" applyAlignment="1">
      <alignment horizontal="center" vertical="center" wrapText="1"/>
    </xf>
    <xf numFmtId="2" fontId="1" fillId="0" borderId="0" xfId="0" applyNumberFormat="1" applyFont="1" applyAlignment="1">
      <alignment horizontal="center" vertical="center" wrapText="1"/>
    </xf>
    <xf numFmtId="2" fontId="1" fillId="2" borderId="1" xfId="0" applyNumberFormat="1" applyFont="1" applyFill="1" applyBorder="1" applyAlignment="1">
      <alignment horizontal="center" vertical="center" wrapText="1"/>
    </xf>
    <xf numFmtId="0" fontId="1" fillId="9" borderId="7" xfId="0" applyFont="1" applyFill="1" applyBorder="1" applyAlignment="1">
      <alignment horizontal="center" vertical="center" wrapText="1"/>
    </xf>
    <xf numFmtId="0" fontId="4" fillId="9" borderId="1" xfId="0" applyFont="1" applyFill="1" applyBorder="1" applyAlignment="1">
      <alignment horizontal="center" vertical="center" wrapText="1"/>
    </xf>
    <xf numFmtId="165" fontId="4" fillId="0" borderId="0" xfId="0" applyNumberFormat="1" applyFont="1" applyAlignment="1">
      <alignment horizontal="center" vertical="center"/>
    </xf>
    <xf numFmtId="0" fontId="1" fillId="9" borderId="1" xfId="0" applyFont="1" applyFill="1" applyBorder="1" applyAlignment="1">
      <alignment horizontal="center" vertical="center" wrapText="1"/>
    </xf>
    <xf numFmtId="166" fontId="1" fillId="0" borderId="0" xfId="0" applyNumberFormat="1" applyFont="1" applyAlignment="1">
      <alignment horizontal="center" vertical="center" wrapText="1"/>
    </xf>
    <xf numFmtId="166" fontId="1" fillId="2" borderId="1" xfId="0" applyNumberFormat="1"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5" borderId="6" xfId="0" applyFont="1" applyFill="1" applyBorder="1" applyAlignment="1">
      <alignment horizontal="center" vertical="center" wrapText="1"/>
    </xf>
    <xf numFmtId="0" fontId="4" fillId="2" borderId="6" xfId="0" applyFont="1" applyFill="1" applyBorder="1" applyAlignment="1">
      <alignment horizontal="center" vertical="center" wrapText="1"/>
    </xf>
    <xf numFmtId="10" fontId="1" fillId="0" borderId="0" xfId="0" applyNumberFormat="1" applyFont="1" applyAlignment="1">
      <alignment horizontal="center" vertical="center"/>
    </xf>
    <xf numFmtId="10" fontId="6" fillId="0" borderId="0" xfId="0" applyNumberFormat="1" applyFont="1" applyAlignment="1">
      <alignment horizontal="center" vertical="center" wrapText="1"/>
    </xf>
    <xf numFmtId="10" fontId="6" fillId="2" borderId="1" xfId="0" applyNumberFormat="1" applyFont="1" applyFill="1" applyBorder="1" applyAlignment="1">
      <alignment horizontal="center" vertical="center" wrapText="1"/>
    </xf>
    <xf numFmtId="169" fontId="1" fillId="0" borderId="0" xfId="0" applyNumberFormat="1" applyFont="1" applyAlignment="1">
      <alignment horizontal="center" vertical="center"/>
    </xf>
    <xf numFmtId="0" fontId="4" fillId="0" borderId="0" xfId="0" applyFont="1" applyAlignment="1">
      <alignment horizontal="left" vertical="center"/>
    </xf>
    <xf numFmtId="0" fontId="12" fillId="3" borderId="1" xfId="0" applyFont="1" applyFill="1" applyBorder="1" applyAlignment="1">
      <alignment horizontal="right" vertical="center"/>
    </xf>
    <xf numFmtId="165" fontId="12" fillId="3" borderId="1" xfId="0" applyNumberFormat="1" applyFont="1" applyFill="1" applyBorder="1" applyAlignment="1">
      <alignment horizontal="center" vertical="center"/>
    </xf>
    <xf numFmtId="0" fontId="12" fillId="3" borderId="1" xfId="0" applyFont="1" applyFill="1" applyBorder="1"/>
    <xf numFmtId="10" fontId="6" fillId="4" borderId="1" xfId="0" applyNumberFormat="1" applyFont="1" applyFill="1" applyBorder="1" applyAlignment="1">
      <alignment horizontal="center" vertical="center" wrapText="1"/>
    </xf>
    <xf numFmtId="10" fontId="6" fillId="8" borderId="1" xfId="0" applyNumberFormat="1" applyFont="1" applyFill="1" applyBorder="1" applyAlignment="1">
      <alignment wrapText="1"/>
    </xf>
    <xf numFmtId="10" fontId="1" fillId="2" borderId="1" xfId="0" applyNumberFormat="1" applyFont="1" applyFill="1" applyBorder="1" applyAlignment="1">
      <alignment horizontal="center" vertical="center"/>
    </xf>
    <xf numFmtId="10" fontId="1"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164" fontId="1" fillId="0" borderId="0" xfId="0" applyNumberFormat="1" applyFont="1" applyAlignment="1">
      <alignment horizontal="center" vertical="center" wrapText="1"/>
    </xf>
    <xf numFmtId="170" fontId="1" fillId="0" borderId="0" xfId="0" applyNumberFormat="1" applyFont="1" applyAlignment="1">
      <alignment horizontal="center" vertical="center" wrapText="1"/>
    </xf>
    <xf numFmtId="0" fontId="1" fillId="0" borderId="5" xfId="0" applyFont="1" applyBorder="1" applyAlignment="1">
      <alignment horizontal="center" vertical="center" wrapText="1"/>
    </xf>
    <xf numFmtId="9" fontId="1" fillId="0" borderId="5" xfId="0" applyNumberFormat="1" applyFont="1" applyBorder="1" applyAlignment="1">
      <alignment horizontal="center" vertical="center" wrapText="1"/>
    </xf>
    <xf numFmtId="9" fontId="1" fillId="2" borderId="6" xfId="0" applyNumberFormat="1" applyFont="1" applyFill="1" applyBorder="1" applyAlignment="1">
      <alignment horizontal="center" vertical="center" wrapText="1"/>
    </xf>
    <xf numFmtId="167" fontId="1" fillId="0" borderId="5" xfId="0" applyNumberFormat="1" applyFont="1" applyBorder="1" applyAlignment="1">
      <alignment horizontal="center" vertical="center" wrapText="1"/>
    </xf>
    <xf numFmtId="167" fontId="1" fillId="2" borderId="1" xfId="0" applyNumberFormat="1" applyFont="1" applyFill="1" applyBorder="1" applyAlignment="1">
      <alignment horizontal="center" vertical="center" wrapText="1"/>
    </xf>
    <xf numFmtId="2" fontId="1" fillId="15" borderId="1" xfId="0" applyNumberFormat="1" applyFont="1" applyFill="1" applyBorder="1" applyAlignment="1">
      <alignment horizontal="center" vertical="center"/>
    </xf>
    <xf numFmtId="2" fontId="1" fillId="15" borderId="8" xfId="0" applyNumberFormat="1" applyFont="1" applyFill="1" applyBorder="1" applyAlignment="1">
      <alignment horizontal="center" vertical="center"/>
    </xf>
    <xf numFmtId="2" fontId="4" fillId="0" borderId="0" xfId="0" applyNumberFormat="1" applyFont="1" applyAlignment="1">
      <alignment horizontal="center" vertical="center"/>
    </xf>
    <xf numFmtId="167" fontId="6" fillId="0" borderId="0" xfId="0" applyNumberFormat="1" applyFont="1" applyAlignment="1">
      <alignment horizontal="center" vertical="center" wrapText="1"/>
    </xf>
    <xf numFmtId="167" fontId="6" fillId="2" borderId="1" xfId="0" applyNumberFormat="1" applyFont="1" applyFill="1" applyBorder="1" applyAlignment="1">
      <alignment horizontal="center" vertical="center" wrapText="1"/>
    </xf>
    <xf numFmtId="9" fontId="6" fillId="0" borderId="0" xfId="0" applyNumberFormat="1" applyFont="1" applyAlignment="1">
      <alignment horizontal="center" vertical="center" wrapText="1"/>
    </xf>
    <xf numFmtId="0" fontId="13" fillId="0" borderId="0" xfId="0" applyFont="1" applyAlignment="1">
      <alignment horizontal="center" vertical="center" wrapText="1"/>
    </xf>
    <xf numFmtId="167" fontId="6" fillId="4" borderId="1" xfId="0" applyNumberFormat="1" applyFont="1" applyFill="1" applyBorder="1" applyAlignment="1">
      <alignment horizontal="center"/>
    </xf>
    <xf numFmtId="167" fontId="6" fillId="2" borderId="1" xfId="0" applyNumberFormat="1" applyFont="1" applyFill="1" applyBorder="1" applyAlignment="1">
      <alignment horizontal="center"/>
    </xf>
    <xf numFmtId="10" fontId="6" fillId="4" borderId="1" xfId="0" applyNumberFormat="1" applyFont="1" applyFill="1" applyBorder="1" applyAlignment="1">
      <alignment horizontal="center"/>
    </xf>
    <xf numFmtId="9" fontId="6" fillId="2" borderId="1" xfId="0" applyNumberFormat="1" applyFont="1" applyFill="1" applyBorder="1" applyAlignment="1">
      <alignment horizontal="center"/>
    </xf>
    <xf numFmtId="0" fontId="4" fillId="6" borderId="6" xfId="0" applyFont="1" applyFill="1" applyBorder="1" applyAlignment="1">
      <alignment horizontal="center" vertical="center" wrapText="1"/>
    </xf>
    <xf numFmtId="0" fontId="6" fillId="0" borderId="5" xfId="0" applyFont="1" applyBorder="1" applyAlignment="1">
      <alignment horizontal="center" vertical="center"/>
    </xf>
    <xf numFmtId="0" fontId="6" fillId="6" borderId="6" xfId="0" applyFont="1" applyFill="1" applyBorder="1" applyAlignment="1">
      <alignment horizontal="center" vertical="center" wrapText="1"/>
    </xf>
    <xf numFmtId="0" fontId="6" fillId="0" borderId="5" xfId="0" applyFont="1" applyBorder="1" applyAlignment="1">
      <alignment horizontal="center" vertical="center" wrapText="1"/>
    </xf>
    <xf numFmtId="0" fontId="1" fillId="5" borderId="6" xfId="0" applyFont="1" applyFill="1" applyBorder="1" applyAlignment="1">
      <alignment horizontal="center" vertical="center" wrapText="1"/>
    </xf>
    <xf numFmtId="9" fontId="6" fillId="0" borderId="5" xfId="0" applyNumberFormat="1" applyFont="1" applyBorder="1" applyAlignment="1">
      <alignment horizontal="center" vertical="center" wrapText="1"/>
    </xf>
    <xf numFmtId="9" fontId="6" fillId="2" borderId="6" xfId="0" applyNumberFormat="1" applyFont="1" applyFill="1" applyBorder="1" applyAlignment="1">
      <alignment horizontal="center" vertical="center" wrapText="1"/>
    </xf>
    <xf numFmtId="10" fontId="1" fillId="0" borderId="5" xfId="0" applyNumberFormat="1" applyFont="1" applyBorder="1" applyAlignment="1">
      <alignment horizontal="center" vertical="center" wrapText="1"/>
    </xf>
    <xf numFmtId="10" fontId="6" fillId="16" borderId="6" xfId="0" applyNumberFormat="1" applyFont="1" applyFill="1" applyBorder="1" applyAlignment="1">
      <alignment horizontal="center" vertical="center" wrapText="1"/>
    </xf>
    <xf numFmtId="10" fontId="6" fillId="16" borderId="6" xfId="0" applyNumberFormat="1" applyFont="1" applyFill="1" applyBorder="1"/>
    <xf numFmtId="0" fontId="6" fillId="6" borderId="1" xfId="0" applyFont="1" applyFill="1" applyBorder="1" applyAlignment="1">
      <alignment horizontal="center" vertical="center" wrapText="1"/>
    </xf>
    <xf numFmtId="10" fontId="6" fillId="5" borderId="1" xfId="0" applyNumberFormat="1" applyFont="1" applyFill="1" applyBorder="1" applyAlignment="1">
      <alignment horizontal="center" vertical="center" wrapText="1"/>
    </xf>
    <xf numFmtId="10" fontId="6" fillId="16" borderId="1" xfId="0" applyNumberFormat="1" applyFont="1" applyFill="1" applyBorder="1" applyAlignment="1">
      <alignment horizontal="center" vertical="center" wrapText="1"/>
    </xf>
    <xf numFmtId="10" fontId="6" fillId="16" borderId="1" xfId="0" applyNumberFormat="1" applyFont="1" applyFill="1" applyBorder="1"/>
    <xf numFmtId="0" fontId="4" fillId="6" borderId="1" xfId="0" applyFont="1" applyFill="1" applyBorder="1" applyAlignment="1">
      <alignment horizontal="center" vertical="center" wrapText="1"/>
    </xf>
    <xf numFmtId="171" fontId="1" fillId="0" borderId="0" xfId="0" applyNumberFormat="1" applyFont="1" applyAlignment="1">
      <alignment horizontal="center" vertical="center" wrapText="1"/>
    </xf>
    <xf numFmtId="0" fontId="1" fillId="6" borderId="6" xfId="0" applyFont="1" applyFill="1" applyBorder="1" applyAlignment="1">
      <alignment horizontal="center" vertical="center" wrapText="1"/>
    </xf>
    <xf numFmtId="0" fontId="1" fillId="6" borderId="6" xfId="0" applyFont="1" applyFill="1" applyBorder="1" applyAlignment="1">
      <alignment horizontal="center" vertical="center"/>
    </xf>
    <xf numFmtId="0" fontId="1" fillId="2" borderId="6" xfId="0" applyFont="1" applyFill="1" applyBorder="1" applyAlignment="1">
      <alignment horizontal="center" vertical="center" wrapText="1"/>
    </xf>
    <xf numFmtId="0" fontId="1" fillId="6" borderId="1" xfId="0" applyFont="1" applyFill="1" applyBorder="1" applyAlignment="1">
      <alignment horizontal="center" vertical="center"/>
    </xf>
    <xf numFmtId="0" fontId="1" fillId="16" borderId="1" xfId="0" applyFont="1" applyFill="1" applyBorder="1"/>
    <xf numFmtId="0" fontId="6" fillId="5"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10" fontId="1" fillId="5" borderId="1" xfId="0" applyNumberFormat="1" applyFont="1" applyFill="1" applyBorder="1" applyAlignment="1">
      <alignment horizontal="center" vertical="center" wrapText="1"/>
    </xf>
    <xf numFmtId="167" fontId="6" fillId="0" borderId="0" xfId="0" applyNumberFormat="1" applyFont="1" applyAlignment="1">
      <alignment horizontal="center"/>
    </xf>
    <xf numFmtId="0" fontId="6" fillId="5" borderId="6" xfId="0" applyFont="1" applyFill="1" applyBorder="1" applyAlignment="1">
      <alignment horizontal="center" vertical="center" wrapText="1"/>
    </xf>
    <xf numFmtId="10" fontId="1" fillId="2" borderId="6" xfId="0" applyNumberFormat="1" applyFont="1" applyFill="1" applyBorder="1" applyAlignment="1">
      <alignment horizontal="center" vertical="center" wrapText="1"/>
    </xf>
    <xf numFmtId="0" fontId="11" fillId="0" borderId="0" xfId="0" applyFont="1" applyAlignment="1">
      <alignment horizontal="center" vertical="center"/>
    </xf>
    <xf numFmtId="0" fontId="11" fillId="0" borderId="0" xfId="0" applyFont="1" applyAlignment="1">
      <alignment horizontal="center" vertical="center" wrapText="1"/>
    </xf>
    <xf numFmtId="0" fontId="11" fillId="5" borderId="1" xfId="0" applyFont="1" applyFill="1" applyBorder="1" applyAlignment="1">
      <alignment horizontal="center" vertical="center" wrapText="1"/>
    </xf>
    <xf numFmtId="0" fontId="11" fillId="2" borderId="1" xfId="0" applyFont="1" applyFill="1" applyBorder="1" applyAlignment="1">
      <alignment horizontal="center" vertical="center" wrapText="1"/>
    </xf>
    <xf numFmtId="167" fontId="1" fillId="2" borderId="6" xfId="0" applyNumberFormat="1" applyFont="1" applyFill="1" applyBorder="1" applyAlignment="1">
      <alignment horizontal="center" vertical="center" wrapText="1"/>
    </xf>
    <xf numFmtId="10" fontId="6" fillId="0" borderId="0" xfId="0" applyNumberFormat="1" applyFont="1"/>
    <xf numFmtId="0" fontId="4" fillId="6" borderId="4" xfId="0" applyFont="1" applyFill="1" applyBorder="1" applyAlignment="1">
      <alignment horizontal="center" vertical="center" wrapText="1"/>
    </xf>
    <xf numFmtId="0" fontId="1" fillId="0" borderId="3" xfId="0" applyFont="1" applyBorder="1" applyAlignment="1">
      <alignment horizontal="center" vertical="center" wrapText="1"/>
    </xf>
    <xf numFmtId="0" fontId="6" fillId="0" borderId="3" xfId="0" applyFont="1" applyBorder="1" applyAlignment="1">
      <alignment horizontal="center" vertical="center"/>
    </xf>
    <xf numFmtId="0" fontId="6" fillId="6" borderId="4" xfId="0" applyFont="1" applyFill="1" applyBorder="1" applyAlignment="1">
      <alignment horizontal="center" vertical="center" wrapText="1"/>
    </xf>
    <xf numFmtId="0" fontId="6" fillId="0" borderId="3" xfId="0" applyFont="1" applyBorder="1" applyAlignment="1">
      <alignment horizontal="center" vertical="center" wrapText="1"/>
    </xf>
    <xf numFmtId="0" fontId="1" fillId="5" borderId="4" xfId="0" applyFont="1" applyFill="1" applyBorder="1" applyAlignment="1">
      <alignment horizontal="center" vertical="center" wrapText="1"/>
    </xf>
    <xf numFmtId="167" fontId="1" fillId="0" borderId="3" xfId="0" applyNumberFormat="1" applyFont="1" applyBorder="1" applyAlignment="1">
      <alignment horizontal="center" vertical="center" wrapText="1"/>
    </xf>
    <xf numFmtId="167" fontId="1" fillId="2" borderId="4" xfId="0" applyNumberFormat="1" applyFont="1" applyFill="1" applyBorder="1" applyAlignment="1">
      <alignment horizontal="center" vertical="center" wrapText="1"/>
    </xf>
    <xf numFmtId="10" fontId="6" fillId="0" borderId="3" xfId="0" applyNumberFormat="1" applyFont="1" applyBorder="1"/>
    <xf numFmtId="10" fontId="6" fillId="0" borderId="5" xfId="0" applyNumberFormat="1" applyFont="1" applyBorder="1" applyAlignment="1">
      <alignment horizontal="center" vertical="center" wrapText="1"/>
    </xf>
    <xf numFmtId="10" fontId="6" fillId="5" borderId="6" xfId="0" applyNumberFormat="1" applyFont="1" applyFill="1" applyBorder="1" applyAlignment="1">
      <alignment horizontal="center" vertical="center" wrapText="1"/>
    </xf>
    <xf numFmtId="167" fontId="6" fillId="0" borderId="5" xfId="0" applyNumberFormat="1" applyFont="1" applyBorder="1" applyAlignment="1">
      <alignment horizontal="center" vertical="center" wrapText="1"/>
    </xf>
    <xf numFmtId="10" fontId="6" fillId="2" borderId="6" xfId="0" applyNumberFormat="1" applyFont="1" applyFill="1" applyBorder="1" applyAlignment="1">
      <alignment horizontal="center" vertical="center" wrapText="1"/>
    </xf>
    <xf numFmtId="167" fontId="6" fillId="16" borderId="1" xfId="0" applyNumberFormat="1" applyFont="1" applyFill="1" applyBorder="1" applyAlignment="1">
      <alignment horizontal="center" vertical="center" wrapText="1"/>
    </xf>
    <xf numFmtId="10" fontId="6" fillId="0" borderId="3" xfId="0" applyNumberFormat="1" applyFont="1" applyBorder="1" applyAlignment="1">
      <alignment horizontal="center" vertical="center"/>
    </xf>
    <xf numFmtId="10" fontId="6" fillId="0" borderId="3" xfId="0" applyNumberFormat="1" applyFont="1" applyBorder="1" applyAlignment="1">
      <alignment horizontal="center" vertical="center" wrapText="1"/>
    </xf>
    <xf numFmtId="10" fontId="6" fillId="5" borderId="4" xfId="0" applyNumberFormat="1" applyFont="1" applyFill="1" applyBorder="1" applyAlignment="1">
      <alignment horizontal="center" vertical="center" wrapText="1"/>
    </xf>
    <xf numFmtId="167" fontId="6" fillId="0" borderId="3" xfId="0" applyNumberFormat="1" applyFont="1" applyBorder="1" applyAlignment="1">
      <alignment horizontal="center" vertical="center" wrapText="1"/>
    </xf>
    <xf numFmtId="167" fontId="6" fillId="2" borderId="4" xfId="0" applyNumberFormat="1" applyFont="1" applyFill="1" applyBorder="1" applyAlignment="1">
      <alignment horizontal="center" vertical="center" wrapText="1"/>
    </xf>
    <xf numFmtId="167" fontId="6" fillId="16" borderId="4" xfId="0" applyNumberFormat="1" applyFont="1" applyFill="1" applyBorder="1" applyAlignment="1">
      <alignment horizontal="center" vertical="center" wrapText="1"/>
    </xf>
    <xf numFmtId="10" fontId="6" fillId="16" borderId="4" xfId="0" applyNumberFormat="1" applyFont="1" applyFill="1" applyBorder="1"/>
    <xf numFmtId="164" fontId="1" fillId="2" borderId="1" xfId="0" applyNumberFormat="1" applyFont="1" applyFill="1" applyBorder="1" applyAlignment="1">
      <alignment horizontal="center" vertical="center" wrapText="1"/>
    </xf>
    <xf numFmtId="169" fontId="1" fillId="0" borderId="0" xfId="0" applyNumberFormat="1" applyFont="1" applyAlignment="1">
      <alignment horizontal="center" vertical="center" wrapText="1"/>
    </xf>
    <xf numFmtId="0" fontId="14" fillId="0" borderId="0" xfId="0" applyFont="1" applyAlignment="1">
      <alignment horizontal="center"/>
    </xf>
    <xf numFmtId="1" fontId="14" fillId="0" borderId="0" xfId="0" applyNumberFormat="1" applyFont="1" applyAlignment="1">
      <alignment horizontal="center"/>
    </xf>
    <xf numFmtId="0" fontId="14" fillId="2" borderId="1" xfId="0" applyFont="1" applyFill="1" applyBorder="1" applyAlignment="1">
      <alignment horizontal="center"/>
    </xf>
    <xf numFmtId="0" fontId="14" fillId="0" borderId="9" xfId="0" applyFont="1" applyBorder="1" applyAlignment="1">
      <alignment horizontal="center"/>
    </xf>
    <xf numFmtId="0" fontId="6" fillId="0" borderId="0" xfId="0" applyFont="1" applyAlignment="1">
      <alignment horizontal="center"/>
    </xf>
    <xf numFmtId="0" fontId="6" fillId="0" borderId="5" xfId="0" applyFont="1" applyBorder="1" applyAlignment="1">
      <alignment horizontal="center"/>
    </xf>
    <xf numFmtId="172" fontId="6" fillId="0" borderId="5" xfId="0" applyNumberFormat="1" applyFont="1" applyBorder="1" applyAlignment="1">
      <alignment horizontal="center"/>
    </xf>
    <xf numFmtId="11" fontId="6" fillId="0" borderId="5" xfId="0" applyNumberFormat="1" applyFont="1" applyBorder="1" applyAlignment="1">
      <alignment horizontal="center"/>
    </xf>
    <xf numFmtId="0" fontId="6" fillId="2" borderId="6" xfId="0" applyFont="1" applyFill="1" applyBorder="1" applyAlignment="1">
      <alignment horizontal="center"/>
    </xf>
    <xf numFmtId="0" fontId="6" fillId="0" borderId="10" xfId="0" applyFont="1" applyBorder="1" applyAlignment="1">
      <alignment horizontal="center"/>
    </xf>
    <xf numFmtId="0" fontId="6" fillId="0" borderId="5" xfId="0" applyFont="1" applyBorder="1"/>
    <xf numFmtId="0" fontId="6" fillId="2" borderId="1" xfId="0" applyFont="1" applyFill="1" applyBorder="1"/>
    <xf numFmtId="0" fontId="6" fillId="0" borderId="9" xfId="0" applyFont="1" applyBorder="1"/>
    <xf numFmtId="172" fontId="6" fillId="0" borderId="0" xfId="0" applyNumberFormat="1" applyFont="1" applyAlignment="1">
      <alignment horizontal="center"/>
    </xf>
    <xf numFmtId="0" fontId="6" fillId="2" borderId="1" xfId="0" applyFont="1" applyFill="1" applyBorder="1" applyAlignment="1">
      <alignment horizontal="center"/>
    </xf>
    <xf numFmtId="0" fontId="6" fillId="0" borderId="9" xfId="0" applyFont="1" applyBorder="1" applyAlignment="1">
      <alignment horizontal="center"/>
    </xf>
    <xf numFmtId="9" fontId="6" fillId="0" borderId="0" xfId="0" applyNumberFormat="1" applyFont="1"/>
    <xf numFmtId="11" fontId="6" fillId="0" borderId="0" xfId="0" applyNumberFormat="1" applyFont="1" applyAlignment="1">
      <alignment horizontal="center"/>
    </xf>
    <xf numFmtId="167" fontId="6" fillId="0" borderId="0" xfId="0" applyNumberFormat="1" applyFont="1"/>
    <xf numFmtId="9" fontId="6" fillId="0" borderId="0" xfId="0" applyNumberFormat="1" applyFont="1" applyAlignment="1">
      <alignment horizontal="center"/>
    </xf>
    <xf numFmtId="167" fontId="6" fillId="0" borderId="9" xfId="0" applyNumberFormat="1" applyFont="1" applyBorder="1" applyAlignment="1">
      <alignment horizontal="center"/>
    </xf>
    <xf numFmtId="0" fontId="14" fillId="0" borderId="5" xfId="0" applyFont="1" applyBorder="1" applyAlignment="1">
      <alignment horizontal="center"/>
    </xf>
    <xf numFmtId="9" fontId="14" fillId="0" borderId="5" xfId="0" applyNumberFormat="1" applyFont="1" applyBorder="1" applyAlignment="1">
      <alignment horizontal="center"/>
    </xf>
    <xf numFmtId="10" fontId="14" fillId="0" borderId="5" xfId="0" applyNumberFormat="1" applyFont="1" applyBorder="1" applyAlignment="1">
      <alignment horizontal="center"/>
    </xf>
    <xf numFmtId="0" fontId="14" fillId="2" borderId="6" xfId="0" applyFont="1" applyFill="1" applyBorder="1" applyAlignment="1">
      <alignment horizontal="center"/>
    </xf>
    <xf numFmtId="0" fontId="14" fillId="0" borderId="10" xfId="0" applyFont="1" applyBorder="1" applyAlignment="1">
      <alignment horizontal="center"/>
    </xf>
    <xf numFmtId="10" fontId="6" fillId="0" borderId="0" xfId="0" applyNumberFormat="1" applyFont="1" applyAlignment="1">
      <alignment horizontal="center"/>
    </xf>
    <xf numFmtId="10" fontId="6" fillId="2" borderId="1" xfId="0" applyNumberFormat="1" applyFont="1" applyFill="1" applyBorder="1" applyAlignment="1">
      <alignment horizontal="center"/>
    </xf>
    <xf numFmtId="10" fontId="6" fillId="0" borderId="9" xfId="0" applyNumberFormat="1" applyFont="1" applyBorder="1" applyAlignment="1">
      <alignment horizontal="center"/>
    </xf>
    <xf numFmtId="170" fontId="6" fillId="0" borderId="0" xfId="0" applyNumberFormat="1" applyFont="1"/>
    <xf numFmtId="0" fontId="6" fillId="6" borderId="1" xfId="0" applyFont="1" applyFill="1" applyBorder="1" applyAlignment="1">
      <alignment horizontal="center"/>
    </xf>
    <xf numFmtId="0" fontId="6" fillId="0" borderId="5" xfId="0" applyFont="1" applyBorder="1" applyAlignment="1">
      <alignment horizontal="left"/>
    </xf>
    <xf numFmtId="10" fontId="6" fillId="0" borderId="5" xfId="0" applyNumberFormat="1" applyFont="1" applyBorder="1" applyAlignment="1">
      <alignment horizontal="center"/>
    </xf>
    <xf numFmtId="167" fontId="6" fillId="0" borderId="5" xfId="0" applyNumberFormat="1" applyFont="1" applyBorder="1" applyAlignment="1">
      <alignment horizontal="center"/>
    </xf>
    <xf numFmtId="167" fontId="6" fillId="2" borderId="6" xfId="0" applyNumberFormat="1" applyFont="1" applyFill="1" applyBorder="1" applyAlignment="1">
      <alignment horizontal="center"/>
    </xf>
    <xf numFmtId="167" fontId="6" fillId="0" borderId="10" xfId="0" applyNumberFormat="1" applyFont="1" applyBorder="1" applyAlignment="1">
      <alignment horizontal="center"/>
    </xf>
    <xf numFmtId="167" fontId="6" fillId="0" borderId="5" xfId="0" applyNumberFormat="1" applyFont="1" applyBorder="1"/>
    <xf numFmtId="0" fontId="6" fillId="0" borderId="0" xfId="0" applyFont="1" applyAlignment="1">
      <alignment horizontal="left"/>
    </xf>
    <xf numFmtId="0" fontId="15" fillId="0" borderId="0" xfId="0" applyFont="1"/>
    <xf numFmtId="9" fontId="6" fillId="0" borderId="9" xfId="0" applyNumberFormat="1" applyFont="1" applyBorder="1" applyAlignment="1">
      <alignment horizontal="center"/>
    </xf>
    <xf numFmtId="172" fontId="6" fillId="0" borderId="0" xfId="0" applyNumberFormat="1" applyFont="1"/>
    <xf numFmtId="10" fontId="6" fillId="0" borderId="0" xfId="0" applyNumberFormat="1" applyFont="1" applyAlignment="1">
      <alignment horizontal="right"/>
    </xf>
    <xf numFmtId="10" fontId="6" fillId="2" borderId="1" xfId="0" applyNumberFormat="1" applyFont="1" applyFill="1" applyBorder="1" applyAlignment="1">
      <alignment horizontal="right"/>
    </xf>
    <xf numFmtId="10" fontId="6" fillId="0" borderId="9" xfId="0" applyNumberFormat="1" applyFont="1" applyBorder="1" applyAlignment="1">
      <alignment horizontal="right"/>
    </xf>
    <xf numFmtId="172" fontId="6" fillId="0" borderId="0" xfId="0" applyNumberFormat="1" applyFont="1" applyAlignment="1">
      <alignment horizontal="right"/>
    </xf>
    <xf numFmtId="10" fontId="6" fillId="2" borderId="1" xfId="0" applyNumberFormat="1" applyFont="1" applyFill="1" applyBorder="1"/>
    <xf numFmtId="10" fontId="6" fillId="0" borderId="9" xfId="0" applyNumberFormat="1" applyFont="1" applyBorder="1"/>
    <xf numFmtId="0" fontId="14" fillId="6" borderId="6" xfId="0" applyFont="1" applyFill="1" applyBorder="1" applyAlignment="1">
      <alignment horizontal="center"/>
    </xf>
    <xf numFmtId="10" fontId="6" fillId="0" borderId="5" xfId="0" applyNumberFormat="1" applyFont="1" applyBorder="1" applyAlignment="1">
      <alignment horizontal="right"/>
    </xf>
    <xf numFmtId="10" fontId="6" fillId="2" borderId="6" xfId="0" applyNumberFormat="1" applyFont="1" applyFill="1" applyBorder="1" applyAlignment="1">
      <alignment horizontal="right"/>
    </xf>
    <xf numFmtId="10" fontId="6" fillId="0" borderId="10" xfId="0" applyNumberFormat="1" applyFont="1" applyBorder="1" applyAlignment="1">
      <alignment horizontal="right"/>
    </xf>
    <xf numFmtId="0" fontId="1" fillId="0" borderId="3" xfId="0" applyFont="1" applyBorder="1" applyAlignment="1">
      <alignment wrapText="1"/>
    </xf>
    <xf numFmtId="172" fontId="6" fillId="0" borderId="5" xfId="0" applyNumberFormat="1" applyFont="1" applyBorder="1"/>
    <xf numFmtId="0" fontId="6" fillId="2" borderId="6" xfId="0" applyFont="1" applyFill="1" applyBorder="1"/>
    <xf numFmtId="0" fontId="6" fillId="7" borderId="6" xfId="0" applyFont="1" applyFill="1" applyBorder="1"/>
    <xf numFmtId="0" fontId="6" fillId="0" borderId="10" xfId="0" applyFont="1" applyBorder="1"/>
    <xf numFmtId="10" fontId="6" fillId="7" borderId="1" xfId="0" applyNumberFormat="1" applyFont="1" applyFill="1" applyBorder="1" applyAlignment="1">
      <alignment horizontal="right"/>
    </xf>
    <xf numFmtId="0" fontId="1" fillId="0" borderId="7" xfId="0" applyFont="1" applyBorder="1" applyAlignment="1">
      <alignment wrapText="1"/>
    </xf>
    <xf numFmtId="0" fontId="6" fillId="2" borderId="1" xfId="0" applyFont="1" applyFill="1" applyBorder="1" applyAlignment="1">
      <alignment horizontal="right"/>
    </xf>
    <xf numFmtId="0" fontId="6" fillId="0" borderId="9" xfId="0" applyFont="1" applyBorder="1" applyAlignment="1">
      <alignment horizontal="right"/>
    </xf>
    <xf numFmtId="167" fontId="6" fillId="0" borderId="0" xfId="0" applyNumberFormat="1" applyFont="1" applyAlignment="1">
      <alignment horizontal="right"/>
    </xf>
    <xf numFmtId="167" fontId="6" fillId="2" borderId="1" xfId="0" applyNumberFormat="1" applyFont="1" applyFill="1" applyBorder="1" applyAlignment="1">
      <alignment horizontal="right"/>
    </xf>
    <xf numFmtId="167" fontId="6" fillId="7" borderId="1" xfId="0" applyNumberFormat="1" applyFont="1" applyFill="1" applyBorder="1" applyAlignment="1">
      <alignment horizontal="right"/>
    </xf>
    <xf numFmtId="167" fontId="6" fillId="0" borderId="9" xfId="0" applyNumberFormat="1" applyFont="1" applyBorder="1" applyAlignment="1">
      <alignment horizontal="right"/>
    </xf>
    <xf numFmtId="0" fontId="6" fillId="0" borderId="3" xfId="0" applyFont="1" applyBorder="1"/>
    <xf numFmtId="172" fontId="6" fillId="0" borderId="3" xfId="0" applyNumberFormat="1" applyFont="1" applyBorder="1"/>
    <xf numFmtId="10" fontId="6" fillId="2" borderId="4" xfId="0" applyNumberFormat="1" applyFont="1" applyFill="1" applyBorder="1"/>
    <xf numFmtId="10" fontId="6" fillId="7" borderId="4" xfId="0" applyNumberFormat="1" applyFont="1" applyFill="1" applyBorder="1"/>
    <xf numFmtId="10" fontId="6" fillId="0" borderId="11" xfId="0" applyNumberFormat="1" applyFont="1" applyBorder="1"/>
    <xf numFmtId="0" fontId="14" fillId="6" borderId="1" xfId="0" applyFont="1" applyFill="1" applyBorder="1" applyAlignment="1">
      <alignment horizontal="center"/>
    </xf>
    <xf numFmtId="10" fontId="6" fillId="7" borderId="1" xfId="0" applyNumberFormat="1" applyFont="1" applyFill="1" applyBorder="1"/>
    <xf numFmtId="173" fontId="6" fillId="0" borderId="0" xfId="0" applyNumberFormat="1" applyFont="1" applyAlignment="1">
      <alignment horizontal="right"/>
    </xf>
    <xf numFmtId="0" fontId="11" fillId="0" borderId="0" xfId="0" applyFont="1" applyAlignment="1">
      <alignment horizontal="left" vertical="center" wrapText="1"/>
    </xf>
    <xf numFmtId="0" fontId="11" fillId="0" borderId="0" xfId="0" applyFont="1" applyAlignment="1">
      <alignment horizontal="left"/>
    </xf>
    <xf numFmtId="0" fontId="6" fillId="0" borderId="5" xfId="0" applyFont="1" applyBorder="1" applyAlignment="1">
      <alignment horizontal="right"/>
    </xf>
    <xf numFmtId="172" fontId="6" fillId="0" borderId="5" xfId="0" applyNumberFormat="1" applyFont="1" applyBorder="1" applyAlignment="1">
      <alignment horizontal="right"/>
    </xf>
    <xf numFmtId="10" fontId="6" fillId="7" borderId="6" xfId="0" applyNumberFormat="1" applyFont="1" applyFill="1" applyBorder="1" applyAlignment="1">
      <alignment horizontal="right"/>
    </xf>
    <xf numFmtId="0" fontId="14" fillId="7" borderId="1" xfId="0" applyFont="1" applyFill="1" applyBorder="1" applyAlignment="1">
      <alignment horizontal="center"/>
    </xf>
    <xf numFmtId="0" fontId="6" fillId="0" borderId="3" xfId="0" applyFont="1" applyBorder="1" applyAlignment="1">
      <alignment horizontal="center"/>
    </xf>
    <xf numFmtId="172" fontId="1" fillId="0" borderId="0" xfId="0" applyNumberFormat="1" applyFont="1"/>
    <xf numFmtId="0" fontId="1" fillId="10" borderId="1" xfId="0" applyFont="1" applyFill="1" applyBorder="1"/>
    <xf numFmtId="0" fontId="1" fillId="0" borderId="9" xfId="0" applyFont="1" applyBorder="1"/>
    <xf numFmtId="169" fontId="1" fillId="0" borderId="0" xfId="0" applyNumberFormat="1" applyFont="1"/>
    <xf numFmtId="0" fontId="14" fillId="0" borderId="12" xfId="0" applyFont="1" applyBorder="1"/>
    <xf numFmtId="0" fontId="14" fillId="0" borderId="13" xfId="0" applyFont="1" applyBorder="1"/>
    <xf numFmtId="0" fontId="14" fillId="0" borderId="13" xfId="0" applyFont="1" applyBorder="1" applyAlignment="1">
      <alignment wrapText="1"/>
    </xf>
    <xf numFmtId="0" fontId="14" fillId="0" borderId="14" xfId="0" applyFont="1" applyBorder="1"/>
    <xf numFmtId="0" fontId="14" fillId="17" borderId="12" xfId="0" applyFont="1" applyFill="1" applyBorder="1"/>
    <xf numFmtId="0" fontId="14" fillId="17" borderId="15" xfId="0" applyFont="1" applyFill="1" applyBorder="1"/>
    <xf numFmtId="0" fontId="14" fillId="17" borderId="16" xfId="0" applyFont="1" applyFill="1" applyBorder="1"/>
    <xf numFmtId="0" fontId="14" fillId="0" borderId="17" xfId="0" applyFont="1" applyBorder="1"/>
    <xf numFmtId="0" fontId="14" fillId="0" borderId="18" xfId="0" applyFont="1" applyBorder="1" applyAlignment="1">
      <alignment wrapText="1"/>
    </xf>
    <xf numFmtId="0" fontId="14" fillId="0" borderId="19" xfId="0" applyFont="1" applyBorder="1"/>
    <xf numFmtId="0" fontId="14" fillId="0" borderId="20" xfId="0" applyFont="1" applyBorder="1"/>
    <xf numFmtId="0" fontId="14" fillId="0" borderId="20" xfId="0" applyFont="1" applyBorder="1" applyAlignment="1">
      <alignment wrapText="1"/>
    </xf>
    <xf numFmtId="0" fontId="14" fillId="0" borderId="21" xfId="0" applyFont="1" applyBorder="1"/>
    <xf numFmtId="0" fontId="14" fillId="0" borderId="22" xfId="0" applyFont="1" applyBorder="1"/>
    <xf numFmtId="0" fontId="14" fillId="2" borderId="23" xfId="0" applyFont="1" applyFill="1" applyBorder="1" applyAlignment="1">
      <alignment wrapText="1"/>
    </xf>
    <xf numFmtId="0" fontId="14" fillId="0" borderId="24" xfId="0" applyFont="1" applyBorder="1" applyAlignment="1">
      <alignment wrapText="1"/>
    </xf>
    <xf numFmtId="0" fontId="6" fillId="18" borderId="1" xfId="0" applyFont="1" applyFill="1" applyBorder="1"/>
    <xf numFmtId="0" fontId="6" fillId="19" borderId="2" xfId="0" applyFont="1" applyFill="1" applyBorder="1"/>
    <xf numFmtId="0" fontId="6" fillId="19" borderId="25" xfId="0" applyFont="1" applyFill="1" applyBorder="1"/>
    <xf numFmtId="0" fontId="14" fillId="0" borderId="0" xfId="0" applyFont="1"/>
    <xf numFmtId="0" fontId="14" fillId="20" borderId="1" xfId="0" applyFont="1" applyFill="1" applyBorder="1" applyAlignment="1">
      <alignment wrapText="1"/>
    </xf>
    <xf numFmtId="0" fontId="14" fillId="0" borderId="0" xfId="0" applyFont="1" applyAlignment="1">
      <alignment wrapText="1"/>
    </xf>
    <xf numFmtId="0" fontId="6" fillId="7" borderId="2" xfId="0" applyFont="1" applyFill="1" applyBorder="1"/>
    <xf numFmtId="0" fontId="6" fillId="7" borderId="25" xfId="0" applyFont="1" applyFill="1" applyBorder="1"/>
    <xf numFmtId="174" fontId="14" fillId="6" borderId="1" xfId="0" applyNumberFormat="1" applyFont="1" applyFill="1" applyBorder="1" applyAlignment="1">
      <alignment wrapText="1"/>
    </xf>
    <xf numFmtId="174" fontId="1" fillId="6" borderId="1" xfId="0" applyNumberFormat="1" applyFont="1" applyFill="1" applyBorder="1"/>
    <xf numFmtId="174" fontId="6" fillId="6" borderId="1" xfId="0" applyNumberFormat="1" applyFont="1" applyFill="1" applyBorder="1"/>
    <xf numFmtId="2" fontId="6" fillId="18" borderId="1" xfId="0" applyNumberFormat="1" applyFont="1" applyFill="1" applyBorder="1"/>
    <xf numFmtId="0" fontId="14" fillId="6" borderId="1" xfId="0" applyFont="1" applyFill="1" applyBorder="1"/>
    <xf numFmtId="174" fontId="14" fillId="2" borderId="1" xfId="0" applyNumberFormat="1" applyFont="1" applyFill="1" applyBorder="1" applyAlignment="1">
      <alignment wrapText="1"/>
    </xf>
    <xf numFmtId="0" fontId="6" fillId="18" borderId="26" xfId="0" applyFont="1" applyFill="1" applyBorder="1"/>
    <xf numFmtId="0" fontId="6" fillId="0" borderId="27" xfId="0" applyFont="1" applyBorder="1"/>
    <xf numFmtId="0" fontId="14" fillId="0" borderId="2" xfId="0" applyFont="1" applyBorder="1" applyAlignment="1">
      <alignment wrapText="1"/>
    </xf>
    <xf numFmtId="0" fontId="14" fillId="0" borderId="28" xfId="0" applyFont="1" applyBorder="1" applyAlignment="1">
      <alignment wrapText="1"/>
    </xf>
    <xf numFmtId="0" fontId="14" fillId="9" borderId="25" xfId="0" applyFont="1" applyFill="1" applyBorder="1" applyAlignment="1">
      <alignment wrapText="1"/>
    </xf>
    <xf numFmtId="0" fontId="6" fillId="18" borderId="2" xfId="0" applyFont="1" applyFill="1" applyBorder="1"/>
    <xf numFmtId="0" fontId="6" fillId="18" borderId="25" xfId="0" applyFont="1" applyFill="1" applyBorder="1"/>
    <xf numFmtId="0" fontId="6" fillId="18" borderId="29" xfId="0" applyFont="1" applyFill="1" applyBorder="1"/>
    <xf numFmtId="0" fontId="6" fillId="19" borderId="29" xfId="0" applyFont="1" applyFill="1" applyBorder="1"/>
    <xf numFmtId="0" fontId="6" fillId="19" borderId="26" xfId="0" applyFont="1" applyFill="1" applyBorder="1"/>
    <xf numFmtId="0" fontId="6" fillId="0" borderId="30" xfId="0" applyFont="1" applyBorder="1"/>
    <xf numFmtId="0" fontId="6" fillId="21" borderId="26" xfId="0" applyFont="1" applyFill="1" applyBorder="1"/>
    <xf numFmtId="0" fontId="6" fillId="7" borderId="29" xfId="0" applyFont="1" applyFill="1" applyBorder="1"/>
    <xf numFmtId="0" fontId="6" fillId="7" borderId="26" xfId="0" applyFont="1" applyFill="1" applyBorder="1"/>
    <xf numFmtId="0" fontId="6" fillId="22" borderId="29" xfId="0" applyFont="1" applyFill="1" applyBorder="1"/>
    <xf numFmtId="0" fontId="6" fillId="22" borderId="26" xfId="0" applyFont="1" applyFill="1" applyBorder="1"/>
    <xf numFmtId="0" fontId="6" fillId="23" borderId="29" xfId="0" applyFont="1" applyFill="1" applyBorder="1"/>
    <xf numFmtId="0" fontId="6" fillId="23" borderId="26" xfId="0" applyFont="1" applyFill="1" applyBorder="1"/>
    <xf numFmtId="0" fontId="6" fillId="0" borderId="31" xfId="0" applyFont="1" applyBorder="1"/>
    <xf numFmtId="0" fontId="6" fillId="0" borderId="32" xfId="0" applyFont="1" applyBorder="1"/>
    <xf numFmtId="0" fontId="4" fillId="9" borderId="1" xfId="0" applyFont="1" applyFill="1" applyBorder="1" applyAlignment="1">
      <alignment horizontal="center" vertical="center"/>
    </xf>
    <xf numFmtId="0" fontId="6" fillId="9" borderId="1" xfId="0" applyFont="1" applyFill="1" applyBorder="1"/>
    <xf numFmtId="0" fontId="1" fillId="9" borderId="1" xfId="0" applyFont="1" applyFill="1" applyBorder="1" applyAlignment="1">
      <alignment horizontal="center" vertical="center"/>
    </xf>
    <xf numFmtId="9" fontId="1" fillId="9" borderId="1" xfId="0" applyNumberFormat="1" applyFont="1" applyFill="1" applyBorder="1" applyAlignment="1">
      <alignment horizontal="center" vertical="center"/>
    </xf>
    <xf numFmtId="9" fontId="1" fillId="2" borderId="1" xfId="0" applyNumberFormat="1" applyFont="1" applyFill="1" applyBorder="1" applyAlignment="1">
      <alignment horizontal="center"/>
    </xf>
    <xf numFmtId="167" fontId="1" fillId="2" borderId="1" xfId="0" applyNumberFormat="1" applyFont="1" applyFill="1" applyBorder="1"/>
    <xf numFmtId="166" fontId="1" fillId="2" borderId="1" xfId="0" applyNumberFormat="1" applyFont="1" applyFill="1" applyBorder="1"/>
    <xf numFmtId="9" fontId="6" fillId="0" borderId="0" xfId="0" applyNumberFormat="1" applyFont="1" applyAlignment="1">
      <alignment horizontal="right"/>
    </xf>
    <xf numFmtId="0" fontId="1" fillId="14" borderId="7" xfId="0" applyFont="1" applyFill="1" applyBorder="1" applyAlignment="1">
      <alignment wrapText="1"/>
    </xf>
    <xf numFmtId="0" fontId="1" fillId="9" borderId="7" xfId="0" applyFont="1" applyFill="1" applyBorder="1" applyAlignment="1">
      <alignment wrapText="1"/>
    </xf>
    <xf numFmtId="0" fontId="1" fillId="24" borderId="1" xfId="0" applyFont="1" applyFill="1" applyBorder="1"/>
    <xf numFmtId="167" fontId="6" fillId="24" borderId="1" xfId="0" applyNumberFormat="1" applyFont="1" applyFill="1" applyBorder="1" applyAlignment="1">
      <alignment horizontal="right"/>
    </xf>
    <xf numFmtId="167" fontId="1" fillId="24" borderId="1" xfId="0" applyNumberFormat="1" applyFont="1" applyFill="1" applyBorder="1"/>
    <xf numFmtId="170" fontId="1" fillId="0" borderId="0" xfId="0" applyNumberFormat="1" applyFont="1"/>
    <xf numFmtId="10" fontId="1" fillId="0" borderId="5" xfId="0" applyNumberFormat="1" applyFont="1" applyBorder="1"/>
    <xf numFmtId="167" fontId="1" fillId="0" borderId="5" xfId="0" applyNumberFormat="1" applyFont="1" applyBorder="1" applyAlignment="1">
      <alignment horizontal="left"/>
    </xf>
    <xf numFmtId="167" fontId="1" fillId="0" borderId="0" xfId="0" applyNumberFormat="1" applyFont="1" applyAlignment="1">
      <alignment horizontal="left"/>
    </xf>
    <xf numFmtId="0" fontId="1" fillId="25" borderId="1" xfId="0" applyFont="1" applyFill="1" applyBorder="1"/>
    <xf numFmtId="10" fontId="1" fillId="25" borderId="1" xfId="0" applyNumberFormat="1" applyFont="1" applyFill="1" applyBorder="1"/>
    <xf numFmtId="0" fontId="1" fillId="26" borderId="1" xfId="0" applyFont="1" applyFill="1" applyBorder="1"/>
    <xf numFmtId="167" fontId="6" fillId="26" borderId="1" xfId="0" applyNumberFormat="1" applyFont="1" applyFill="1" applyBorder="1" applyAlignment="1">
      <alignment horizontal="right"/>
    </xf>
    <xf numFmtId="0" fontId="4" fillId="16" borderId="1" xfId="0" applyFont="1" applyFill="1" applyBorder="1" applyAlignment="1">
      <alignment horizontal="center" vertical="center"/>
    </xf>
    <xf numFmtId="0" fontId="1" fillId="16" borderId="1" xfId="0" applyFont="1" applyFill="1" applyBorder="1" applyAlignment="1">
      <alignment wrapText="1"/>
    </xf>
    <xf numFmtId="167" fontId="1" fillId="16" borderId="1" xfId="0" applyNumberFormat="1" applyFont="1" applyFill="1" applyBorder="1"/>
    <xf numFmtId="9" fontId="1" fillId="16" borderId="1" xfId="0" applyNumberFormat="1" applyFont="1" applyFill="1" applyBorder="1"/>
    <xf numFmtId="171" fontId="1" fillId="0" borderId="0" xfId="0" applyNumberFormat="1" applyFont="1"/>
    <xf numFmtId="0" fontId="1" fillId="14" borderId="33" xfId="0" applyFont="1" applyFill="1" applyBorder="1" applyAlignment="1">
      <alignment wrapText="1"/>
    </xf>
    <xf numFmtId="0" fontId="4" fillId="16" borderId="6" xfId="0" applyFont="1" applyFill="1" applyBorder="1" applyAlignment="1">
      <alignment horizontal="center" vertical="center"/>
    </xf>
    <xf numFmtId="0" fontId="1" fillId="16" borderId="6" xfId="0" applyFont="1" applyFill="1" applyBorder="1"/>
    <xf numFmtId="167" fontId="1" fillId="16" borderId="6" xfId="0" applyNumberFormat="1" applyFont="1" applyFill="1" applyBorder="1"/>
    <xf numFmtId="173" fontId="1" fillId="0" borderId="0" xfId="0" applyNumberFormat="1" applyFont="1"/>
    <xf numFmtId="167" fontId="6" fillId="10" borderId="1" xfId="0" applyNumberFormat="1" applyFont="1" applyFill="1" applyBorder="1" applyAlignment="1">
      <alignment horizontal="right"/>
    </xf>
    <xf numFmtId="10" fontId="1" fillId="0" borderId="0" xfId="0" applyNumberFormat="1" applyFont="1" applyAlignment="1">
      <alignment horizontal="right"/>
    </xf>
    <xf numFmtId="167" fontId="1" fillId="0" borderId="0" xfId="0" applyNumberFormat="1" applyFont="1" applyAlignment="1">
      <alignment horizontal="right"/>
    </xf>
    <xf numFmtId="0" fontId="1" fillId="14" borderId="1" xfId="0" applyFont="1" applyFill="1" applyBorder="1" applyAlignment="1">
      <alignment wrapText="1"/>
    </xf>
    <xf numFmtId="0" fontId="14" fillId="20" borderId="23" xfId="0" applyFont="1" applyFill="1" applyBorder="1" applyAlignment="1">
      <alignment wrapText="1"/>
    </xf>
    <xf numFmtId="0" fontId="6" fillId="27" borderId="2" xfId="0" applyFont="1" applyFill="1" applyBorder="1"/>
    <xf numFmtId="0" fontId="6" fillId="27" borderId="25" xfId="0" applyFont="1" applyFill="1" applyBorder="1"/>
    <xf numFmtId="0" fontId="6" fillId="22" borderId="34" xfId="0" applyFont="1" applyFill="1" applyBorder="1"/>
    <xf numFmtId="0" fontId="6" fillId="28" borderId="2" xfId="0" applyFont="1" applyFill="1" applyBorder="1"/>
    <xf numFmtId="0" fontId="6" fillId="28" borderId="25" xfId="0" applyFont="1" applyFill="1" applyBorder="1"/>
    <xf numFmtId="0" fontId="6" fillId="22" borderId="2" xfId="0" applyFont="1" applyFill="1" applyBorder="1"/>
    <xf numFmtId="0" fontId="6" fillId="0" borderId="2" xfId="0" applyFont="1" applyBorder="1"/>
    <xf numFmtId="0" fontId="6" fillId="0" borderId="28" xfId="0" applyFont="1" applyBorder="1"/>
    <xf numFmtId="0" fontId="6" fillId="22" borderId="25" xfId="0" applyFont="1" applyFill="1" applyBorder="1"/>
    <xf numFmtId="0" fontId="6" fillId="17" borderId="25" xfId="0" applyFont="1" applyFill="1" applyBorder="1"/>
    <xf numFmtId="0" fontId="6" fillId="29" borderId="29" xfId="0" applyFont="1" applyFill="1" applyBorder="1"/>
    <xf numFmtId="0" fontId="6" fillId="28" borderId="29" xfId="0" applyFont="1" applyFill="1" applyBorder="1"/>
    <xf numFmtId="0" fontId="6" fillId="28" borderId="26" xfId="0" applyFont="1" applyFill="1" applyBorder="1"/>
    <xf numFmtId="0" fontId="6" fillId="22" borderId="1" xfId="0" applyFont="1" applyFill="1" applyBorder="1"/>
    <xf numFmtId="0" fontId="1" fillId="30" borderId="2" xfId="0" applyFont="1" applyFill="1" applyBorder="1" applyAlignment="1">
      <alignment vertical="center"/>
    </xf>
    <xf numFmtId="0" fontId="1" fillId="31" borderId="2" xfId="0" applyFont="1" applyFill="1" applyBorder="1" applyAlignment="1">
      <alignment horizontal="right" vertical="center"/>
    </xf>
    <xf numFmtId="0" fontId="1" fillId="0" borderId="2" xfId="0" applyFont="1" applyBorder="1" applyAlignment="1">
      <alignment horizontal="right" vertical="center"/>
    </xf>
    <xf numFmtId="0" fontId="1" fillId="0" borderId="2" xfId="0" applyFont="1" applyBorder="1" applyAlignment="1">
      <alignment vertical="center"/>
    </xf>
    <xf numFmtId="0" fontId="14" fillId="32" borderId="15" xfId="0" applyFont="1" applyFill="1" applyBorder="1"/>
    <xf numFmtId="0" fontId="6" fillId="0" borderId="35" xfId="0" applyFont="1" applyBorder="1"/>
    <xf numFmtId="0" fontId="6" fillId="0" borderId="36" xfId="0" applyFont="1" applyBorder="1"/>
    <xf numFmtId="0" fontId="6" fillId="0" borderId="36" xfId="0" applyFont="1" applyBorder="1" applyAlignment="1">
      <alignment wrapText="1"/>
    </xf>
    <xf numFmtId="0" fontId="6" fillId="0" borderId="37" xfId="0" applyFont="1" applyBorder="1"/>
    <xf numFmtId="0" fontId="6" fillId="17" borderId="35" xfId="0" applyFont="1" applyFill="1" applyBorder="1"/>
    <xf numFmtId="0" fontId="6" fillId="17" borderId="34" xfId="0" applyFont="1" applyFill="1" applyBorder="1"/>
    <xf numFmtId="0" fontId="6" fillId="17" borderId="38" xfId="0" applyFont="1" applyFill="1" applyBorder="1"/>
    <xf numFmtId="0" fontId="6" fillId="32" borderId="34" xfId="0" applyFont="1" applyFill="1" applyBorder="1"/>
    <xf numFmtId="172" fontId="6" fillId="0" borderId="36" xfId="0" applyNumberFormat="1" applyFont="1" applyBorder="1"/>
    <xf numFmtId="0" fontId="6" fillId="0" borderId="0" xfId="0" applyFont="1"/>
    <xf numFmtId="0" fontId="0" fillId="0" borderId="0" xfId="0"/>
    <xf numFmtId="0" fontId="1" fillId="0" borderId="0" xfId="0" applyFont="1" applyAlignment="1">
      <alignment vertical="center"/>
    </xf>
    <xf numFmtId="0" fontId="19"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1"/>
        <c:ser>
          <c:idx val="0"/>
          <c:order val="0"/>
          <c:spPr>
            <a:ln>
              <a:noFill/>
            </a:ln>
          </c:spPr>
          <c:marker>
            <c:symbol val="circle"/>
            <c:size val="7"/>
            <c:spPr>
              <a:solidFill>
                <a:schemeClr val="accent1"/>
              </a:solidFill>
              <a:ln cmpd="sng">
                <a:solidFill>
                  <a:schemeClr val="accent1"/>
                </a:solidFill>
              </a:ln>
            </c:spPr>
          </c:marker>
          <c:xVal>
            <c:numRef>
              <c:f>'Petróleo Espinoza'!$B$3:$AZ$3</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'Petróleo Espinoza'!$B$4:$AZ$4</c:f>
              <c:numCache>
                <c:formatCode>General</c:formatCode>
                <c:ptCount val="51"/>
                <c:pt idx="0" formatCode="0.000">
                  <c:v>145.42099999999999</c:v>
                </c:pt>
                <c:pt idx="1">
                  <c:v>146.76599999999999</c:v>
                </c:pt>
                <c:pt idx="2">
                  <c:v>139.102</c:v>
                </c:pt>
                <c:pt idx="3">
                  <c:v>143.56299999999999</c:v>
                </c:pt>
                <c:pt idx="4">
                  <c:v>186.05099999999999</c:v>
                </c:pt>
                <c:pt idx="5">
                  <c:v>183.64500000000001</c:v>
                </c:pt>
                <c:pt idx="6">
                  <c:v>191.041</c:v>
                </c:pt>
                <c:pt idx="7">
                  <c:v>184.012</c:v>
                </c:pt>
                <c:pt idx="8">
                  <c:v>187.935</c:v>
                </c:pt>
                <c:pt idx="9">
                  <c:v>180.59299999999999</c:v>
                </c:pt>
                <c:pt idx="10">
                  <c:v>179.35400000000001</c:v>
                </c:pt>
                <c:pt idx="11">
                  <c:v>184.35400000000001</c:v>
                </c:pt>
                <c:pt idx="12">
                  <c:v>189.798</c:v>
                </c:pt>
                <c:pt idx="13">
                  <c:v>196.584</c:v>
                </c:pt>
                <c:pt idx="14">
                  <c:v>204.989</c:v>
                </c:pt>
                <c:pt idx="15">
                  <c:v>201.70400000000001</c:v>
                </c:pt>
                <c:pt idx="16">
                  <c:v>204.40199999999999</c:v>
                </c:pt>
                <c:pt idx="17">
                  <c:v>197.56700000000001</c:v>
                </c:pt>
                <c:pt idx="18">
                  <c:v>204.363</c:v>
                </c:pt>
                <c:pt idx="19">
                  <c:v>197.274</c:v>
                </c:pt>
                <c:pt idx="20">
                  <c:v>190.27</c:v>
                </c:pt>
                <c:pt idx="21">
                  <c:v>183.61600000000001</c:v>
                </c:pt>
                <c:pt idx="22">
                  <c:v>179.49600000000001</c:v>
                </c:pt>
                <c:pt idx="23">
                  <c:v>171.74</c:v>
                </c:pt>
                <c:pt idx="24">
                  <c:v>163.227</c:v>
                </c:pt>
                <c:pt idx="25">
                  <c:v>155.63399999999999</c:v>
                </c:pt>
                <c:pt idx="26">
                  <c:v>148.78</c:v>
                </c:pt>
                <c:pt idx="27">
                  <c:v>142.601</c:v>
                </c:pt>
                <c:pt idx="28">
                  <c:v>137.00399999999999</c:v>
                </c:pt>
                <c:pt idx="29">
                  <c:v>131.89400000000001</c:v>
                </c:pt>
                <c:pt idx="30">
                  <c:v>127.17700000000001</c:v>
                </c:pt>
                <c:pt idx="31">
                  <c:v>122.771</c:v>
                </c:pt>
                <c:pt idx="32">
                  <c:v>118.607</c:v>
                </c:pt>
                <c:pt idx="33">
                  <c:v>114.629</c:v>
                </c:pt>
                <c:pt idx="34">
                  <c:v>110.795</c:v>
                </c:pt>
                <c:pt idx="35">
                  <c:v>107.072</c:v>
                </c:pt>
                <c:pt idx="36">
                  <c:v>103.437</c:v>
                </c:pt>
                <c:pt idx="37">
                  <c:v>99.872200000000007</c:v>
                </c:pt>
                <c:pt idx="38">
                  <c:v>96.366500000000002</c:v>
                </c:pt>
                <c:pt idx="39">
                  <c:v>91.754999999999995</c:v>
                </c:pt>
                <c:pt idx="40">
                  <c:v>85.528599999999997</c:v>
                </c:pt>
                <c:pt idx="41">
                  <c:v>79.301400000000001</c:v>
                </c:pt>
                <c:pt idx="42">
                  <c:v>74.4208</c:v>
                </c:pt>
                <c:pt idx="43">
                  <c:v>72.414100000000005</c:v>
                </c:pt>
                <c:pt idx="44">
                  <c:v>70.450299999999999</c:v>
                </c:pt>
                <c:pt idx="45">
                  <c:v>67.680499999999995</c:v>
                </c:pt>
                <c:pt idx="46">
                  <c:v>64.838700000000003</c:v>
                </c:pt>
                <c:pt idx="47">
                  <c:v>62.098100000000002</c:v>
                </c:pt>
                <c:pt idx="48">
                  <c:v>59.454599999999999</c:v>
                </c:pt>
                <c:pt idx="49">
                  <c:v>56.905900000000003</c:v>
                </c:pt>
                <c:pt idx="50">
                  <c:v>54.449800000000003</c:v>
                </c:pt>
              </c:numCache>
            </c:numRef>
          </c:yVal>
          <c:smooth val="1"/>
          <c:extLst>
            <c:ext xmlns:c16="http://schemas.microsoft.com/office/drawing/2014/chart" uri="{C3380CC4-5D6E-409C-BE32-E72D297353CC}">
              <c16:uniqueId val="{00000000-3EB4-47BC-A043-E06A70DA9236}"/>
            </c:ext>
          </c:extLst>
        </c:ser>
        <c:ser>
          <c:idx val="1"/>
          <c:order val="1"/>
          <c:spPr>
            <a:ln>
              <a:noFill/>
            </a:ln>
          </c:spPr>
          <c:marker>
            <c:symbol val="circle"/>
            <c:size val="7"/>
            <c:spPr>
              <a:solidFill>
                <a:schemeClr val="accent2"/>
              </a:solidFill>
              <a:ln cmpd="sng">
                <a:solidFill>
                  <a:schemeClr val="accent2"/>
                </a:solidFill>
              </a:ln>
            </c:spPr>
          </c:marker>
          <c:xVal>
            <c:numRef>
              <c:f>'Petróleo Espinoza'!$B$3:$AZ$3</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'Petróleo Espinoza'!$B$5:$AZ$5</c:f>
              <c:numCache>
                <c:formatCode>General</c:formatCode>
                <c:ptCount val="51"/>
                <c:pt idx="0">
                  <c:v>145.42099999999999</c:v>
                </c:pt>
                <c:pt idx="1">
                  <c:v>146.76599999999999</c:v>
                </c:pt>
                <c:pt idx="2">
                  <c:v>139.102</c:v>
                </c:pt>
                <c:pt idx="3">
                  <c:v>143.56299999999999</c:v>
                </c:pt>
                <c:pt idx="4">
                  <c:v>186.05099999999999</c:v>
                </c:pt>
                <c:pt idx="5">
                  <c:v>183.64500000000001</c:v>
                </c:pt>
                <c:pt idx="6">
                  <c:v>191.041</c:v>
                </c:pt>
                <c:pt idx="7">
                  <c:v>184.012</c:v>
                </c:pt>
                <c:pt idx="8">
                  <c:v>187.935</c:v>
                </c:pt>
                <c:pt idx="9">
                  <c:v>180.59299999999999</c:v>
                </c:pt>
                <c:pt idx="10">
                  <c:v>179.35400000000001</c:v>
                </c:pt>
                <c:pt idx="11">
                  <c:v>184.35400000000001</c:v>
                </c:pt>
                <c:pt idx="12">
                  <c:v>189.798</c:v>
                </c:pt>
                <c:pt idx="13">
                  <c:v>196.584</c:v>
                </c:pt>
                <c:pt idx="14">
                  <c:v>204.989</c:v>
                </c:pt>
                <c:pt idx="15">
                  <c:v>201.70400000000001</c:v>
                </c:pt>
                <c:pt idx="16">
                  <c:v>204.40199999999999</c:v>
                </c:pt>
                <c:pt idx="17">
                  <c:v>197.56700000000001</c:v>
                </c:pt>
                <c:pt idx="18">
                  <c:v>204.363</c:v>
                </c:pt>
                <c:pt idx="19">
                  <c:v>197.274</c:v>
                </c:pt>
                <c:pt idx="20">
                  <c:v>190.27</c:v>
                </c:pt>
                <c:pt idx="21">
                  <c:v>183.61600000000001</c:v>
                </c:pt>
                <c:pt idx="22">
                  <c:v>179.49600000000001</c:v>
                </c:pt>
                <c:pt idx="23">
                  <c:v>171.74</c:v>
                </c:pt>
                <c:pt idx="24">
                  <c:v>163.227</c:v>
                </c:pt>
                <c:pt idx="25">
                  <c:v>155.63399999999999</c:v>
                </c:pt>
                <c:pt idx="26">
                  <c:v>112.146</c:v>
                </c:pt>
                <c:pt idx="27">
                  <c:v>110.636</c:v>
                </c:pt>
                <c:pt idx="28">
                  <c:v>112.89400000000001</c:v>
                </c:pt>
                <c:pt idx="29">
                  <c:v>115.17</c:v>
                </c:pt>
                <c:pt idx="30">
                  <c:v>117.41200000000001</c:v>
                </c:pt>
                <c:pt idx="31">
                  <c:v>119.905</c:v>
                </c:pt>
                <c:pt idx="32">
                  <c:v>122.27800000000001</c:v>
                </c:pt>
                <c:pt idx="33">
                  <c:v>118.6</c:v>
                </c:pt>
                <c:pt idx="34">
                  <c:v>114.622</c:v>
                </c:pt>
                <c:pt idx="35">
                  <c:v>110.788</c:v>
                </c:pt>
                <c:pt idx="36">
                  <c:v>107.066</c:v>
                </c:pt>
                <c:pt idx="37">
                  <c:v>103.43</c:v>
                </c:pt>
                <c:pt idx="38">
                  <c:v>99.866</c:v>
                </c:pt>
                <c:pt idx="39">
                  <c:v>96.360399999999998</c:v>
                </c:pt>
                <c:pt idx="40">
                  <c:v>91.744299999999996</c:v>
                </c:pt>
                <c:pt idx="41">
                  <c:v>85.517300000000006</c:v>
                </c:pt>
                <c:pt idx="42">
                  <c:v>79.290700000000001</c:v>
                </c:pt>
                <c:pt idx="43">
                  <c:v>74.413399999999996</c:v>
                </c:pt>
                <c:pt idx="44">
                  <c:v>72.412199999999999</c:v>
                </c:pt>
                <c:pt idx="45">
                  <c:v>70.446299999999994</c:v>
                </c:pt>
                <c:pt idx="46">
                  <c:v>67.675399999999996</c:v>
                </c:pt>
                <c:pt idx="47">
                  <c:v>64.833799999999997</c:v>
                </c:pt>
                <c:pt idx="48">
                  <c:v>62.093299999999999</c:v>
                </c:pt>
                <c:pt idx="49">
                  <c:v>59.450099999999999</c:v>
                </c:pt>
                <c:pt idx="50">
                  <c:v>56.901499999999999</c:v>
                </c:pt>
              </c:numCache>
            </c:numRef>
          </c:yVal>
          <c:smooth val="1"/>
          <c:extLst>
            <c:ext xmlns:c16="http://schemas.microsoft.com/office/drawing/2014/chart" uri="{C3380CC4-5D6E-409C-BE32-E72D297353CC}">
              <c16:uniqueId val="{00000001-3EB4-47BC-A043-E06A70DA9236}"/>
            </c:ext>
          </c:extLst>
        </c:ser>
        <c:dLbls>
          <c:showLegendKey val="0"/>
          <c:showVal val="0"/>
          <c:showCatName val="0"/>
          <c:showSerName val="0"/>
          <c:showPercent val="0"/>
          <c:showBubbleSize val="0"/>
        </c:dLbls>
        <c:axId val="1402298621"/>
        <c:axId val="929766214"/>
      </c:scatterChart>
      <c:valAx>
        <c:axId val="140229862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s-EC"/>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929766214"/>
        <c:crosses val="autoZero"/>
        <c:crossBetween val="midCat"/>
      </c:valAx>
      <c:valAx>
        <c:axId val="92976621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EC"/>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s-EC"/>
          </a:p>
        </c:txPr>
        <c:crossAx val="1402298621"/>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'Políticas anunciadas'!$CU$51:$DM$51</c:f>
              <c:numCache>
                <c:formatCode>0.00%</c:formatCode>
                <c:ptCount val="19"/>
                <c:pt idx="0">
                  <c:v>2.0000000000000001E-4</c:v>
                </c:pt>
                <c:pt idx="1">
                  <c:v>5.0000000000000001E-3</c:v>
                </c:pt>
                <c:pt idx="2" formatCode="0.0%">
                  <c:v>8.9999999999999993E-3</c:v>
                </c:pt>
                <c:pt idx="3" formatCode="0.0%">
                  <c:v>1.4999999999999999E-2</c:v>
                </c:pt>
                <c:pt idx="4" formatCode="0.0%">
                  <c:v>0.02</c:v>
                </c:pt>
                <c:pt idx="5" formatCode="0.0%">
                  <c:v>2.5000000000000001E-2</c:v>
                </c:pt>
                <c:pt idx="6" formatCode="0.0%">
                  <c:v>0.03</c:v>
                </c:pt>
                <c:pt idx="7" formatCode="0.0%">
                  <c:v>3.7999999999999999E-2</c:v>
                </c:pt>
                <c:pt idx="8" formatCode="0.0%">
                  <c:v>4.4999999999999998E-2</c:v>
                </c:pt>
                <c:pt idx="9" formatCode="0.0%">
                  <c:v>5.6000000000000008E-2</c:v>
                </c:pt>
                <c:pt idx="10" formatCode="0.0%">
                  <c:v>7.2800000000000004E-2</c:v>
                </c:pt>
                <c:pt idx="11" formatCode="0.0%">
                  <c:v>0.09</c:v>
                </c:pt>
                <c:pt idx="12" formatCode="0.0%">
                  <c:v>0.1012</c:v>
                </c:pt>
                <c:pt idx="13" formatCode="0.0%">
                  <c:v>0.11220000000000001</c:v>
                </c:pt>
                <c:pt idx="14" formatCode="0.0%">
                  <c:v>0.11969999999999999</c:v>
                </c:pt>
                <c:pt idx="15" formatCode="0.0%">
                  <c:v>0.12554999999999999</c:v>
                </c:pt>
                <c:pt idx="16" formatCode="0.0%">
                  <c:v>0.12705</c:v>
                </c:pt>
                <c:pt idx="17" formatCode="0.0%">
                  <c:v>0.12592499999999998</c:v>
                </c:pt>
                <c:pt idx="18" formatCode="0.0%">
                  <c:v>0.12249999999999998</c:v>
                </c:pt>
              </c:numCache>
            </c:numRef>
          </c:xVal>
          <c:yVal>
            <c:numRef>
              <c:f>'Políticas anunciadas'!$CU$52:$DM$52</c:f>
              <c:numCache>
                <c:formatCode>0.0%</c:formatCode>
                <c:ptCount val="19"/>
                <c:pt idx="0" formatCode="0.00%">
                  <c:v>9.9999999999999964E-5</c:v>
                </c:pt>
                <c:pt idx="1">
                  <c:v>1E-3</c:v>
                </c:pt>
                <c:pt idx="2">
                  <c:v>2E-3</c:v>
                </c:pt>
                <c:pt idx="3">
                  <c:v>5.000000000000001E-3</c:v>
                </c:pt>
                <c:pt idx="4">
                  <c:v>8.0000000000000002E-3</c:v>
                </c:pt>
                <c:pt idx="5">
                  <c:v>1.0000000000000002E-2</c:v>
                </c:pt>
                <c:pt idx="6">
                  <c:v>1.6E-2</c:v>
                </c:pt>
                <c:pt idx="7">
                  <c:v>2.0000000000000004E-2</c:v>
                </c:pt>
                <c:pt idx="8">
                  <c:v>0.03</c:v>
                </c:pt>
                <c:pt idx="9">
                  <c:v>4.3999999999999997E-2</c:v>
                </c:pt>
                <c:pt idx="10">
                  <c:v>6.720000000000001E-2</c:v>
                </c:pt>
                <c:pt idx="11">
                  <c:v>0.09</c:v>
                </c:pt>
                <c:pt idx="12">
                  <c:v>0.1188</c:v>
                </c:pt>
                <c:pt idx="13">
                  <c:v>0.14279999999999998</c:v>
                </c:pt>
                <c:pt idx="14">
                  <c:v>0.1653</c:v>
                </c:pt>
                <c:pt idx="15">
                  <c:v>0.18445</c:v>
                </c:pt>
                <c:pt idx="16">
                  <c:v>0.20295000000000002</c:v>
                </c:pt>
                <c:pt idx="17">
                  <c:v>0.21907499999999999</c:v>
                </c:pt>
                <c:pt idx="18">
                  <c:v>0.22749999999999998</c:v>
                </c:pt>
              </c:numCache>
            </c:numRef>
          </c:yVal>
          <c:smooth val="1"/>
          <c:extLst>
            <c:ext xmlns:c16="http://schemas.microsoft.com/office/drawing/2014/chart" uri="{C3380CC4-5D6E-409C-BE32-E72D297353CC}">
              <c16:uniqueId val="{00000000-B355-49AA-A2E5-41AE33DBB20F}"/>
            </c:ext>
          </c:extLst>
        </c:ser>
        <c:dLbls>
          <c:showLegendKey val="0"/>
          <c:showVal val="0"/>
          <c:showCatName val="0"/>
          <c:showSerName val="0"/>
          <c:showPercent val="0"/>
          <c:showBubbleSize val="0"/>
        </c:dLbls>
        <c:axId val="455358212"/>
        <c:axId val="245067209"/>
      </c:scatterChart>
      <c:valAx>
        <c:axId val="455358212"/>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245067209"/>
        <c:crosses val="autoZero"/>
        <c:crossBetween val="midCat"/>
      </c:valAx>
      <c:valAx>
        <c:axId val="24506720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455358212"/>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'Políticas anunciadas'!$CU$45:$DM$45</c:f>
              <c:numCache>
                <c:formatCode>0.0%</c:formatCode>
                <c:ptCount val="19"/>
                <c:pt idx="0">
                  <c:v>1.2999999999999999E-3</c:v>
                </c:pt>
                <c:pt idx="1">
                  <c:v>2.5000000000000001E-3</c:v>
                </c:pt>
                <c:pt idx="2">
                  <c:v>5.0000000000000001E-3</c:v>
                </c:pt>
                <c:pt idx="3">
                  <c:v>7.4999999999999997E-3</c:v>
                </c:pt>
                <c:pt idx="4">
                  <c:v>0.01</c:v>
                </c:pt>
                <c:pt idx="5">
                  <c:v>1.2999999999999999E-2</c:v>
                </c:pt>
                <c:pt idx="6">
                  <c:v>1.6E-2</c:v>
                </c:pt>
                <c:pt idx="7">
                  <c:v>0.02</c:v>
                </c:pt>
                <c:pt idx="8">
                  <c:v>2.52E-2</c:v>
                </c:pt>
                <c:pt idx="9">
                  <c:v>3.2480000000000002E-2</c:v>
                </c:pt>
                <c:pt idx="10">
                  <c:v>4.1600000000000005E-2</c:v>
                </c:pt>
                <c:pt idx="11">
                  <c:v>5.5E-2</c:v>
                </c:pt>
                <c:pt idx="12">
                  <c:v>6.4400000000000013E-2</c:v>
                </c:pt>
                <c:pt idx="13">
                  <c:v>7.1279999999999996E-2</c:v>
                </c:pt>
                <c:pt idx="14">
                  <c:v>7.7280000000000001E-2</c:v>
                </c:pt>
                <c:pt idx="15">
                  <c:v>8.0190000000000011E-2</c:v>
                </c:pt>
                <c:pt idx="16">
                  <c:v>8.0850000000000005E-2</c:v>
                </c:pt>
                <c:pt idx="17">
                  <c:v>8.0299999999999996E-2</c:v>
                </c:pt>
                <c:pt idx="18">
                  <c:v>7.8750000000000001E-2</c:v>
                </c:pt>
              </c:numCache>
            </c:numRef>
          </c:xVal>
          <c:yVal>
            <c:numRef>
              <c:f>'Políticas anunciadas'!$CU$46:$DM$46</c:f>
              <c:numCache>
                <c:formatCode>0.0%</c:formatCode>
                <c:ptCount val="19"/>
                <c:pt idx="0">
                  <c:v>5.0000000000000001E-4</c:v>
                </c:pt>
                <c:pt idx="1">
                  <c:v>1E-3</c:v>
                </c:pt>
                <c:pt idx="2">
                  <c:v>2E-3</c:v>
                </c:pt>
                <c:pt idx="3">
                  <c:v>3.5000000000000001E-3</c:v>
                </c:pt>
                <c:pt idx="4">
                  <c:v>5.0000000000000001E-3</c:v>
                </c:pt>
                <c:pt idx="5">
                  <c:v>6.0000000000000001E-3</c:v>
                </c:pt>
                <c:pt idx="6">
                  <c:v>8.0000000000000002E-3</c:v>
                </c:pt>
                <c:pt idx="7">
                  <c:v>0.01</c:v>
                </c:pt>
                <c:pt idx="8">
                  <c:v>1.4800000000000001E-2</c:v>
                </c:pt>
                <c:pt idx="9">
                  <c:v>2.5520000000000001E-2</c:v>
                </c:pt>
                <c:pt idx="10">
                  <c:v>3.8399999999999997E-2</c:v>
                </c:pt>
                <c:pt idx="11">
                  <c:v>5.5E-2</c:v>
                </c:pt>
                <c:pt idx="12">
                  <c:v>7.5600000000000001E-2</c:v>
                </c:pt>
                <c:pt idx="13">
                  <c:v>9.0720000000000009E-2</c:v>
                </c:pt>
                <c:pt idx="14">
                  <c:v>0.10672</c:v>
                </c:pt>
                <c:pt idx="15">
                  <c:v>0.11781</c:v>
                </c:pt>
                <c:pt idx="16">
                  <c:v>0.12914999999999999</c:v>
                </c:pt>
                <c:pt idx="17">
                  <c:v>0.13969999999999999</c:v>
                </c:pt>
                <c:pt idx="18">
                  <c:v>0.14624999999999999</c:v>
                </c:pt>
              </c:numCache>
            </c:numRef>
          </c:yVal>
          <c:smooth val="1"/>
          <c:extLst>
            <c:ext xmlns:c16="http://schemas.microsoft.com/office/drawing/2014/chart" uri="{C3380CC4-5D6E-409C-BE32-E72D297353CC}">
              <c16:uniqueId val="{00000000-5703-452D-9377-B10F4E13193C}"/>
            </c:ext>
          </c:extLst>
        </c:ser>
        <c:dLbls>
          <c:showLegendKey val="0"/>
          <c:showVal val="0"/>
          <c:showCatName val="0"/>
          <c:showSerName val="0"/>
          <c:showPercent val="0"/>
          <c:showBubbleSize val="0"/>
        </c:dLbls>
        <c:axId val="1964824946"/>
        <c:axId val="867558382"/>
      </c:scatterChart>
      <c:valAx>
        <c:axId val="1964824946"/>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s-EC"/>
          </a:p>
        </c:txPr>
        <c:crossAx val="867558382"/>
        <c:crosses val="autoZero"/>
        <c:crossBetween val="midCat"/>
      </c:valAx>
      <c:valAx>
        <c:axId val="86755838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s-EC"/>
          </a:p>
        </c:txPr>
        <c:crossAx val="1964824946"/>
        <c:crosses val="autoZero"/>
        <c:crossBetween val="midCat"/>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'Políticas anunciadas'!$CU$56:$DM$56</c:f>
              <c:numCache>
                <c:formatCode>0.00%</c:formatCode>
                <c:ptCount val="19"/>
                <c:pt idx="0">
                  <c:v>4.8999999999999998E-4</c:v>
                </c:pt>
                <c:pt idx="1">
                  <c:v>1E-3</c:v>
                </c:pt>
                <c:pt idx="2">
                  <c:v>7.0000000000000001E-3</c:v>
                </c:pt>
                <c:pt idx="3" formatCode="0.0%">
                  <c:v>2.4E-2</c:v>
                </c:pt>
                <c:pt idx="4" formatCode="0.0%">
                  <c:v>3.7999999999999999E-2</c:v>
                </c:pt>
                <c:pt idx="5" formatCode="0.0%">
                  <c:v>6.9000000000000006E-2</c:v>
                </c:pt>
                <c:pt idx="6" formatCode="0.0%">
                  <c:v>9.8000000000000004E-2</c:v>
                </c:pt>
                <c:pt idx="7" formatCode="0.0%">
                  <c:v>0.13490000000000002</c:v>
                </c:pt>
                <c:pt idx="8" formatCode="0.0%">
                  <c:v>0.1825</c:v>
                </c:pt>
                <c:pt idx="9" formatCode="0.0%">
                  <c:v>0.22199999999999998</c:v>
                </c:pt>
                <c:pt idx="10" formatCode="0.0%">
                  <c:v>0.26600000000000001</c:v>
                </c:pt>
                <c:pt idx="11" formatCode="0.0%">
                  <c:v>0.31979999999999997</c:v>
                </c:pt>
                <c:pt idx="12" formatCode="0.0%">
                  <c:v>0.376</c:v>
                </c:pt>
                <c:pt idx="13" formatCode="0.0%">
                  <c:v>0.43460000000000004</c:v>
                </c:pt>
                <c:pt idx="14" formatCode="0.0%">
                  <c:v>0.47309999999999997</c:v>
                </c:pt>
                <c:pt idx="15" formatCode="0.0%">
                  <c:v>0.51122500000000004</c:v>
                </c:pt>
                <c:pt idx="16" formatCode="0.0%">
                  <c:v>0.53676000000000001</c:v>
                </c:pt>
                <c:pt idx="17" formatCode="0.0%">
                  <c:v>0.55341000000000007</c:v>
                </c:pt>
                <c:pt idx="18" formatCode="0.0%">
                  <c:v>0.55900000000000005</c:v>
                </c:pt>
              </c:numCache>
            </c:numRef>
          </c:xVal>
          <c:yVal>
            <c:numRef>
              <c:f>'Políticas anunciadas'!$CU$55:$DM$55</c:f>
              <c:numCache>
                <c:formatCode>0.00%</c:formatCode>
                <c:ptCount val="19"/>
                <c:pt idx="0">
                  <c:v>2.0999999999999998E-4</c:v>
                </c:pt>
                <c:pt idx="1">
                  <c:v>5.0000000000000001E-4</c:v>
                </c:pt>
                <c:pt idx="2">
                  <c:v>6.0000000000000001E-3</c:v>
                </c:pt>
                <c:pt idx="3" formatCode="0.0%">
                  <c:v>1.6E-2</c:v>
                </c:pt>
                <c:pt idx="4" formatCode="0.0%">
                  <c:v>2.1999999999999999E-2</c:v>
                </c:pt>
                <c:pt idx="5" formatCode="0.0%">
                  <c:v>3.1E-2</c:v>
                </c:pt>
                <c:pt idx="6" formatCode="0.0%">
                  <c:v>4.2000000000000003E-2</c:v>
                </c:pt>
                <c:pt idx="7" formatCode="0.0%">
                  <c:v>5.5099999999999996E-2</c:v>
                </c:pt>
                <c:pt idx="8" formatCode="0.0%">
                  <c:v>6.7500000000000004E-2</c:v>
                </c:pt>
                <c:pt idx="9" formatCode="0.0%">
                  <c:v>7.8E-2</c:v>
                </c:pt>
                <c:pt idx="10" formatCode="0.0%">
                  <c:v>8.3999999999999991E-2</c:v>
                </c:pt>
                <c:pt idx="11" formatCode="0.0%">
                  <c:v>9.0199999999999989E-2</c:v>
                </c:pt>
                <c:pt idx="12" formatCode="0.0%">
                  <c:v>9.4E-2</c:v>
                </c:pt>
                <c:pt idx="13" formatCode="0.0%">
                  <c:v>9.5399999999999999E-2</c:v>
                </c:pt>
                <c:pt idx="14" formatCode="0.0%">
                  <c:v>9.69E-2</c:v>
                </c:pt>
                <c:pt idx="15" formatCode="0.0%">
                  <c:v>9.3774999999999997E-2</c:v>
                </c:pt>
                <c:pt idx="16" formatCode="0.0%">
                  <c:v>9.323999999999999E-2</c:v>
                </c:pt>
                <c:pt idx="17" formatCode="0.0%">
                  <c:v>9.1589999999999991E-2</c:v>
                </c:pt>
                <c:pt idx="18" formatCode="0.0%">
                  <c:v>9.1000000000000011E-2</c:v>
                </c:pt>
              </c:numCache>
            </c:numRef>
          </c:yVal>
          <c:smooth val="1"/>
          <c:extLst>
            <c:ext xmlns:c16="http://schemas.microsoft.com/office/drawing/2014/chart" uri="{C3380CC4-5D6E-409C-BE32-E72D297353CC}">
              <c16:uniqueId val="{00000000-4039-40BA-9E17-CCAEDCFAAA62}"/>
            </c:ext>
          </c:extLst>
        </c:ser>
        <c:dLbls>
          <c:showLegendKey val="0"/>
          <c:showVal val="0"/>
          <c:showCatName val="0"/>
          <c:showSerName val="0"/>
          <c:showPercent val="0"/>
          <c:showBubbleSize val="0"/>
        </c:dLbls>
        <c:axId val="586640822"/>
        <c:axId val="555057650"/>
      </c:scatterChart>
      <c:valAx>
        <c:axId val="586640822"/>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555057650"/>
        <c:crosses val="autoZero"/>
        <c:crossBetween val="midCat"/>
      </c:valAx>
      <c:valAx>
        <c:axId val="55505765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586640822"/>
        <c:crosses val="autoZero"/>
        <c:crossBetween val="midCat"/>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'Políticas anunciadas'!$CU$59:$DM$59</c:f>
              <c:numCache>
                <c:formatCode>0.00%</c:formatCode>
                <c:ptCount val="19"/>
                <c:pt idx="0">
                  <c:v>2.9999999999999997E-4</c:v>
                </c:pt>
                <c:pt idx="1">
                  <c:v>5.0000000000000001E-3</c:v>
                </c:pt>
                <c:pt idx="2">
                  <c:v>1.2E-2</c:v>
                </c:pt>
                <c:pt idx="3">
                  <c:v>2.1000000000000001E-2</c:v>
                </c:pt>
                <c:pt idx="4" formatCode="0.0%">
                  <c:v>3.5000000000000003E-2</c:v>
                </c:pt>
                <c:pt idx="5" formatCode="0.0%">
                  <c:v>0.05</c:v>
                </c:pt>
                <c:pt idx="6" formatCode="0.0%">
                  <c:v>6.5000000000000002E-2</c:v>
                </c:pt>
                <c:pt idx="7" formatCode="0.0%">
                  <c:v>8.5000000000000006E-2</c:v>
                </c:pt>
                <c:pt idx="8" formatCode="0.0%">
                  <c:v>0.105</c:v>
                </c:pt>
                <c:pt idx="9" formatCode="0.0%">
                  <c:v>0.12880000000000003</c:v>
                </c:pt>
                <c:pt idx="10" formatCode="0.0%">
                  <c:v>0.156</c:v>
                </c:pt>
                <c:pt idx="11" formatCode="0.0%">
                  <c:v>0.19</c:v>
                </c:pt>
                <c:pt idx="12" formatCode="0.0%">
                  <c:v>0.20700000000000002</c:v>
                </c:pt>
                <c:pt idx="13" formatCode="0.0%">
                  <c:v>0.22</c:v>
                </c:pt>
                <c:pt idx="14" formatCode="0.0%">
                  <c:v>0.22259999999999999</c:v>
                </c:pt>
                <c:pt idx="15" formatCode="0.0%">
                  <c:v>0.22072500000000003</c:v>
                </c:pt>
                <c:pt idx="16" formatCode="0.0%">
                  <c:v>0.21560000000000001</c:v>
                </c:pt>
                <c:pt idx="17" formatCode="0.0%">
                  <c:v>0.20804999999999998</c:v>
                </c:pt>
                <c:pt idx="18" formatCode="0.0%">
                  <c:v>0.20124999999999998</c:v>
                </c:pt>
              </c:numCache>
            </c:numRef>
          </c:xVal>
          <c:yVal>
            <c:numRef>
              <c:f>'Políticas anunciadas'!$CU$60:$DM$60</c:f>
              <c:numCache>
                <c:formatCode>0.00%</c:formatCode>
                <c:ptCount val="19"/>
                <c:pt idx="0">
                  <c:v>2.0000000000000004E-4</c:v>
                </c:pt>
                <c:pt idx="1">
                  <c:v>1E-3</c:v>
                </c:pt>
                <c:pt idx="2">
                  <c:v>7.0000000000000001E-3</c:v>
                </c:pt>
                <c:pt idx="3" formatCode="0.0%">
                  <c:v>8.9999999999999976E-3</c:v>
                </c:pt>
                <c:pt idx="4" formatCode="0.0%">
                  <c:v>1.4999999999999999E-2</c:v>
                </c:pt>
                <c:pt idx="5" formatCode="0.0%">
                  <c:v>2.0000000000000004E-2</c:v>
                </c:pt>
                <c:pt idx="6" formatCode="0.0%">
                  <c:v>3.5000000000000003E-2</c:v>
                </c:pt>
                <c:pt idx="7" formatCode="0.0%">
                  <c:v>0.05</c:v>
                </c:pt>
                <c:pt idx="8" formatCode="0.0%">
                  <c:v>6.9999999999999993E-2</c:v>
                </c:pt>
                <c:pt idx="9" formatCode="0.0%">
                  <c:v>0.10119999999999998</c:v>
                </c:pt>
                <c:pt idx="10" formatCode="0.0%">
                  <c:v>0.14399999999999999</c:v>
                </c:pt>
                <c:pt idx="11" formatCode="0.0%">
                  <c:v>0.19</c:v>
                </c:pt>
                <c:pt idx="12" formatCode="0.0%">
                  <c:v>0.24299999999999999</c:v>
                </c:pt>
                <c:pt idx="13" formatCode="0.0%">
                  <c:v>0.28000000000000003</c:v>
                </c:pt>
                <c:pt idx="14" formatCode="0.0%">
                  <c:v>0.30740000000000001</c:v>
                </c:pt>
                <c:pt idx="15" formatCode="0.0%">
                  <c:v>0.32427499999999998</c:v>
                </c:pt>
                <c:pt idx="16" formatCode="0.0%">
                  <c:v>0.34440000000000004</c:v>
                </c:pt>
                <c:pt idx="17" formatCode="0.0%">
                  <c:v>0.36194999999999999</c:v>
                </c:pt>
                <c:pt idx="18" formatCode="0.0%">
                  <c:v>0.37374999999999997</c:v>
                </c:pt>
              </c:numCache>
            </c:numRef>
          </c:yVal>
          <c:smooth val="1"/>
          <c:extLst>
            <c:ext xmlns:c16="http://schemas.microsoft.com/office/drawing/2014/chart" uri="{C3380CC4-5D6E-409C-BE32-E72D297353CC}">
              <c16:uniqueId val="{00000000-7143-4AFA-9D10-AD0AD6899807}"/>
            </c:ext>
          </c:extLst>
        </c:ser>
        <c:dLbls>
          <c:showLegendKey val="0"/>
          <c:showVal val="0"/>
          <c:showCatName val="0"/>
          <c:showSerName val="0"/>
          <c:showPercent val="0"/>
          <c:showBubbleSize val="0"/>
        </c:dLbls>
        <c:axId val="1278316"/>
        <c:axId val="1970726319"/>
      </c:scatterChart>
      <c:valAx>
        <c:axId val="1278316"/>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970726319"/>
        <c:crosses val="autoZero"/>
        <c:crossBetween val="midCat"/>
      </c:valAx>
      <c:valAx>
        <c:axId val="19707263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278316"/>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'Net Zero 2050'!$J$123:$BT$123</c:f>
              <c:numCache>
                <c:formatCode>General</c:formatCode>
                <c:ptCount val="63"/>
                <c:pt idx="0">
                  <c:v>107</c:v>
                </c:pt>
                <c:pt idx="1">
                  <c:v>109</c:v>
                </c:pt>
                <c:pt idx="2">
                  <c:v>112</c:v>
                </c:pt>
                <c:pt idx="3">
                  <c:v>114</c:v>
                </c:pt>
                <c:pt idx="4">
                  <c:v>125</c:v>
                </c:pt>
                <c:pt idx="5">
                  <c:v>128</c:v>
                </c:pt>
                <c:pt idx="6">
                  <c:v>130</c:v>
                </c:pt>
                <c:pt idx="7">
                  <c:v>133</c:v>
                </c:pt>
                <c:pt idx="8">
                  <c:v>135</c:v>
                </c:pt>
                <c:pt idx="9">
                  <c:v>138</c:v>
                </c:pt>
                <c:pt idx="10">
                  <c:v>141</c:v>
                </c:pt>
                <c:pt idx="53">
                  <c:v>2039</c:v>
                </c:pt>
                <c:pt idx="54">
                  <c:v>2040</c:v>
                </c:pt>
                <c:pt idx="55">
                  <c:v>2043</c:v>
                </c:pt>
                <c:pt idx="56">
                  <c:v>2044</c:v>
                </c:pt>
                <c:pt idx="57">
                  <c:v>2045</c:v>
                </c:pt>
                <c:pt idx="58">
                  <c:v>2046</c:v>
                </c:pt>
                <c:pt idx="59">
                  <c:v>2047</c:v>
                </c:pt>
                <c:pt idx="60">
                  <c:v>2048</c:v>
                </c:pt>
                <c:pt idx="61">
                  <c:v>2049</c:v>
                </c:pt>
                <c:pt idx="62">
                  <c:v>2050</c:v>
                </c:pt>
              </c:numCache>
            </c:numRef>
          </c:xVal>
          <c:yVal>
            <c:numRef>
              <c:f>'Net Zero 2050'!$J$124:$BT$124</c:f>
              <c:numCache>
                <c:formatCode>0%</c:formatCode>
                <c:ptCount val="63"/>
                <c:pt idx="0">
                  <c:v>0.87572590011614404</c:v>
                </c:pt>
                <c:pt idx="1">
                  <c:v>0.87131050767414409</c:v>
                </c:pt>
                <c:pt idx="2">
                  <c:v>0.86138613861386137</c:v>
                </c:pt>
                <c:pt idx="3">
                  <c:v>0.85309278350515461</c:v>
                </c:pt>
                <c:pt idx="4">
                  <c:v>0.83933161953727509</c:v>
                </c:pt>
                <c:pt idx="5">
                  <c:v>0.82197496522948543</c:v>
                </c:pt>
                <c:pt idx="6">
                  <c:v>0.81507823613086772</c:v>
                </c:pt>
                <c:pt idx="7">
                  <c:v>0.80696661828737304</c:v>
                </c:pt>
                <c:pt idx="8">
                  <c:v>0.7991071428571429</c:v>
                </c:pt>
                <c:pt idx="9">
                  <c:v>0.78801843317972353</c:v>
                </c:pt>
                <c:pt idx="10">
                  <c:v>0.77547770700636942</c:v>
                </c:pt>
                <c:pt idx="53" formatCode="General">
                  <c:v>0.95470461441432708</c:v>
                </c:pt>
                <c:pt idx="54" formatCode="General">
                  <c:v>0.90696938369361069</c:v>
                </c:pt>
                <c:pt idx="55" formatCode="General">
                  <c:v>0</c:v>
                </c:pt>
                <c:pt idx="56" formatCode="General">
                  <c:v>0</c:v>
                </c:pt>
                <c:pt idx="57" formatCode="General">
                  <c:v>0</c:v>
                </c:pt>
                <c:pt idx="58" formatCode="General">
                  <c:v>0</c:v>
                </c:pt>
                <c:pt idx="59" formatCode="General">
                  <c:v>0</c:v>
                </c:pt>
                <c:pt idx="60" formatCode="General">
                  <c:v>0</c:v>
                </c:pt>
                <c:pt idx="61" formatCode="General">
                  <c:v>0</c:v>
                </c:pt>
                <c:pt idx="62" formatCode="General">
                  <c:v>0</c:v>
                </c:pt>
              </c:numCache>
            </c:numRef>
          </c:yVal>
          <c:smooth val="1"/>
          <c:extLst>
            <c:ext xmlns:c16="http://schemas.microsoft.com/office/drawing/2014/chart" uri="{C3380CC4-5D6E-409C-BE32-E72D297353CC}">
              <c16:uniqueId val="{00000000-8997-45CE-9AB4-301D56E1C405}"/>
            </c:ext>
          </c:extLst>
        </c:ser>
        <c:dLbls>
          <c:showLegendKey val="0"/>
          <c:showVal val="0"/>
          <c:showCatName val="0"/>
          <c:showSerName val="0"/>
          <c:showPercent val="0"/>
          <c:showBubbleSize val="0"/>
        </c:dLbls>
        <c:axId val="245821866"/>
        <c:axId val="1728357560"/>
      </c:scatterChart>
      <c:valAx>
        <c:axId val="245821866"/>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s-EC"/>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1728357560"/>
        <c:crosses val="autoZero"/>
        <c:crossBetween val="midCat"/>
      </c:valAx>
      <c:valAx>
        <c:axId val="172835756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EC"/>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245821866"/>
        <c:crosses val="autoZero"/>
        <c:crossBetween val="midCat"/>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'Net Zero 2050'!$J$163:$X$163</c:f>
              <c:numCache>
                <c:formatCode>General</c:formatCode>
                <c:ptCount val="15"/>
                <c:pt idx="0">
                  <c:v>2016</c:v>
                </c:pt>
                <c:pt idx="1">
                  <c:v>2017</c:v>
                </c:pt>
                <c:pt idx="2">
                  <c:v>2018</c:v>
                </c:pt>
                <c:pt idx="3">
                  <c:v>2019</c:v>
                </c:pt>
                <c:pt idx="4">
                  <c:v>2020</c:v>
                </c:pt>
                <c:pt idx="5">
                  <c:v>2021</c:v>
                </c:pt>
                <c:pt idx="6">
                  <c:v>2022</c:v>
                </c:pt>
                <c:pt idx="7">
                  <c:v>2023</c:v>
                </c:pt>
                <c:pt idx="8">
                  <c:v>2024</c:v>
                </c:pt>
                <c:pt idx="9">
                  <c:v>2025</c:v>
                </c:pt>
                <c:pt idx="10">
                  <c:v>2030</c:v>
                </c:pt>
                <c:pt idx="11">
                  <c:v>2035</c:v>
                </c:pt>
                <c:pt idx="12">
                  <c:v>2040</c:v>
                </c:pt>
                <c:pt idx="13">
                  <c:v>2045</c:v>
                </c:pt>
                <c:pt idx="14">
                  <c:v>2050</c:v>
                </c:pt>
              </c:numCache>
            </c:numRef>
          </c:xVal>
          <c:yVal>
            <c:numRef>
              <c:f>'Net Zero 2050'!$J$164:$X$164</c:f>
              <c:numCache>
                <c:formatCode>General</c:formatCode>
                <c:ptCount val="15"/>
                <c:pt idx="0">
                  <c:v>12.21</c:v>
                </c:pt>
                <c:pt idx="1">
                  <c:v>10.72</c:v>
                </c:pt>
                <c:pt idx="2">
                  <c:v>10.49</c:v>
                </c:pt>
                <c:pt idx="3">
                  <c:v>10.02</c:v>
                </c:pt>
                <c:pt idx="4">
                  <c:v>9.9</c:v>
                </c:pt>
                <c:pt idx="5">
                  <c:v>9.59</c:v>
                </c:pt>
                <c:pt idx="6">
                  <c:v>9.31</c:v>
                </c:pt>
                <c:pt idx="7">
                  <c:v>9.09</c:v>
                </c:pt>
                <c:pt idx="8">
                  <c:v>8.91</c:v>
                </c:pt>
                <c:pt idx="9">
                  <c:v>8.7899999999999991</c:v>
                </c:pt>
                <c:pt idx="10">
                  <c:v>8.3592025386209983</c:v>
                </c:pt>
                <c:pt idx="11">
                  <c:v>8.1523018528833422</c:v>
                </c:pt>
                <c:pt idx="12">
                  <c:v>8.071104274896399</c:v>
                </c:pt>
                <c:pt idx="13">
                  <c:v>8.0308293838939715</c:v>
                </c:pt>
                <c:pt idx="14">
                  <c:v>8.0227985545100768</c:v>
                </c:pt>
              </c:numCache>
            </c:numRef>
          </c:yVal>
          <c:smooth val="1"/>
          <c:extLst>
            <c:ext xmlns:c16="http://schemas.microsoft.com/office/drawing/2014/chart" uri="{C3380CC4-5D6E-409C-BE32-E72D297353CC}">
              <c16:uniqueId val="{00000000-4566-44E4-B2E7-BEA756C0D274}"/>
            </c:ext>
          </c:extLst>
        </c:ser>
        <c:dLbls>
          <c:showLegendKey val="0"/>
          <c:showVal val="0"/>
          <c:showCatName val="0"/>
          <c:showSerName val="0"/>
          <c:showPercent val="0"/>
          <c:showBubbleSize val="0"/>
        </c:dLbls>
        <c:axId val="1546311727"/>
        <c:axId val="1134765665"/>
      </c:scatterChart>
      <c:valAx>
        <c:axId val="1546311727"/>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s-EC"/>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1134765665"/>
        <c:crosses val="autoZero"/>
        <c:crossBetween val="midCat"/>
      </c:valAx>
      <c:valAx>
        <c:axId val="11347656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EC"/>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1546311727"/>
        <c:crosses val="autoZero"/>
        <c:crossBetween val="midCat"/>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1"/>
        <c:ser>
          <c:idx val="0"/>
          <c:order val="0"/>
          <c:spPr>
            <a:ln>
              <a:noFill/>
            </a:ln>
          </c:spPr>
          <c:marker>
            <c:symbol val="circle"/>
            <c:size val="7"/>
            <c:spPr>
              <a:solidFill>
                <a:schemeClr val="accent1"/>
              </a:solidFill>
              <a:ln cmpd="sng">
                <a:solidFill>
                  <a:schemeClr val="accent1"/>
                </a:solidFill>
              </a:ln>
            </c:spPr>
          </c:marker>
          <c:xVal>
            <c:numRef>
              <c:f>'Net Zero 2050'!$CF$39:$EC$39</c:f>
              <c:numCache>
                <c:formatCode>General</c:formatCode>
                <c:ptCount val="50"/>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pt idx="35">
                  <c:v>2056</c:v>
                </c:pt>
                <c:pt idx="36">
                  <c:v>2057</c:v>
                </c:pt>
                <c:pt idx="37">
                  <c:v>2058</c:v>
                </c:pt>
                <c:pt idx="38">
                  <c:v>2059</c:v>
                </c:pt>
                <c:pt idx="39">
                  <c:v>2060</c:v>
                </c:pt>
                <c:pt idx="40">
                  <c:v>2061</c:v>
                </c:pt>
                <c:pt idx="41">
                  <c:v>2062</c:v>
                </c:pt>
                <c:pt idx="42">
                  <c:v>2063</c:v>
                </c:pt>
                <c:pt idx="43">
                  <c:v>2064</c:v>
                </c:pt>
                <c:pt idx="44">
                  <c:v>2065</c:v>
                </c:pt>
                <c:pt idx="45">
                  <c:v>2066</c:v>
                </c:pt>
                <c:pt idx="46">
                  <c:v>2067</c:v>
                </c:pt>
                <c:pt idx="47">
                  <c:v>2068</c:v>
                </c:pt>
                <c:pt idx="48">
                  <c:v>2069</c:v>
                </c:pt>
                <c:pt idx="49">
                  <c:v>2070</c:v>
                </c:pt>
              </c:numCache>
            </c:numRef>
          </c:xVal>
          <c:yVal>
            <c:numRef>
              <c:f>'Net Zero 2050'!$CF$52:$EC$52</c:f>
              <c:numCache>
                <c:formatCode>0.0%</c:formatCode>
                <c:ptCount val="50"/>
                <c:pt idx="0" formatCode="General">
                  <c:v>0</c:v>
                </c:pt>
                <c:pt idx="1">
                  <c:v>4.8999999999999998E-4</c:v>
                </c:pt>
                <c:pt idx="2">
                  <c:v>1E-3</c:v>
                </c:pt>
                <c:pt idx="3">
                  <c:v>7.0000000000000001E-3</c:v>
                </c:pt>
                <c:pt idx="4">
                  <c:v>2.4E-2</c:v>
                </c:pt>
                <c:pt idx="5">
                  <c:v>3.7999999999999999E-2</c:v>
                </c:pt>
                <c:pt idx="6">
                  <c:v>6.9000000000000006E-2</c:v>
                </c:pt>
                <c:pt idx="7">
                  <c:v>9.8000000000000004E-2</c:v>
                </c:pt>
                <c:pt idx="8">
                  <c:v>0.13490000000000002</c:v>
                </c:pt>
                <c:pt idx="9">
                  <c:v>0.1825</c:v>
                </c:pt>
                <c:pt idx="10">
                  <c:v>0.22199999999999998</c:v>
                </c:pt>
                <c:pt idx="11">
                  <c:v>0.26600000000000001</c:v>
                </c:pt>
                <c:pt idx="12">
                  <c:v>0.31979999999999997</c:v>
                </c:pt>
                <c:pt idx="13">
                  <c:v>0.376</c:v>
                </c:pt>
                <c:pt idx="14">
                  <c:v>0.43460000000000004</c:v>
                </c:pt>
                <c:pt idx="15">
                  <c:v>0.47309999999999997</c:v>
                </c:pt>
                <c:pt idx="16">
                  <c:v>0.51122500000000004</c:v>
                </c:pt>
                <c:pt idx="17">
                  <c:v>0.53676000000000001</c:v>
                </c:pt>
                <c:pt idx="18">
                  <c:v>0.55341000000000007</c:v>
                </c:pt>
                <c:pt idx="19">
                  <c:v>0.56000000000000005</c:v>
                </c:pt>
                <c:pt idx="20">
                  <c:v>0.57199999999999995</c:v>
                </c:pt>
                <c:pt idx="21">
                  <c:v>0.57799999999999996</c:v>
                </c:pt>
                <c:pt idx="22">
                  <c:v>0.58399999999999996</c:v>
                </c:pt>
                <c:pt idx="23">
                  <c:v>0.59</c:v>
                </c:pt>
                <c:pt idx="24">
                  <c:v>0.59799999999999998</c:v>
                </c:pt>
                <c:pt idx="25">
                  <c:v>0.60199999999999998</c:v>
                </c:pt>
                <c:pt idx="26">
                  <c:v>0.60699999999999998</c:v>
                </c:pt>
                <c:pt idx="27">
                  <c:v>0.61499999999999999</c:v>
                </c:pt>
                <c:pt idx="28">
                  <c:v>0.61799999999999999</c:v>
                </c:pt>
                <c:pt idx="29">
                  <c:v>0.62</c:v>
                </c:pt>
                <c:pt idx="30">
                  <c:v>0.62</c:v>
                </c:pt>
                <c:pt idx="31">
                  <c:v>0.62</c:v>
                </c:pt>
                <c:pt idx="32">
                  <c:v>0.62</c:v>
                </c:pt>
                <c:pt idx="33">
                  <c:v>0.62</c:v>
                </c:pt>
                <c:pt idx="34">
                  <c:v>0.62</c:v>
                </c:pt>
                <c:pt idx="35">
                  <c:v>0.62</c:v>
                </c:pt>
                <c:pt idx="36">
                  <c:v>0.62</c:v>
                </c:pt>
                <c:pt idx="37">
                  <c:v>0.62</c:v>
                </c:pt>
                <c:pt idx="38">
                  <c:v>0.62</c:v>
                </c:pt>
                <c:pt idx="39">
                  <c:v>0.62</c:v>
                </c:pt>
                <c:pt idx="40">
                  <c:v>0.62</c:v>
                </c:pt>
                <c:pt idx="41">
                  <c:v>0.62</c:v>
                </c:pt>
                <c:pt idx="42">
                  <c:v>0.62</c:v>
                </c:pt>
                <c:pt idx="43">
                  <c:v>0.62</c:v>
                </c:pt>
                <c:pt idx="44">
                  <c:v>0.62</c:v>
                </c:pt>
                <c:pt idx="45">
                  <c:v>0.62</c:v>
                </c:pt>
                <c:pt idx="46">
                  <c:v>0.62</c:v>
                </c:pt>
                <c:pt idx="47">
                  <c:v>0.62</c:v>
                </c:pt>
                <c:pt idx="48">
                  <c:v>0.62</c:v>
                </c:pt>
                <c:pt idx="49">
                  <c:v>0.62</c:v>
                </c:pt>
              </c:numCache>
            </c:numRef>
          </c:yVal>
          <c:smooth val="1"/>
          <c:extLst>
            <c:ext xmlns:c16="http://schemas.microsoft.com/office/drawing/2014/chart" uri="{C3380CC4-5D6E-409C-BE32-E72D297353CC}">
              <c16:uniqueId val="{00000000-614C-4728-B1D0-095EEB92F2CD}"/>
            </c:ext>
          </c:extLst>
        </c:ser>
        <c:ser>
          <c:idx val="1"/>
          <c:order val="1"/>
          <c:spPr>
            <a:ln>
              <a:noFill/>
            </a:ln>
          </c:spPr>
          <c:marker>
            <c:symbol val="circle"/>
            <c:size val="7"/>
            <c:spPr>
              <a:solidFill>
                <a:schemeClr val="accent2"/>
              </a:solidFill>
              <a:ln cmpd="sng">
                <a:solidFill>
                  <a:schemeClr val="accent2"/>
                </a:solidFill>
              </a:ln>
            </c:spPr>
          </c:marker>
          <c:xVal>
            <c:numRef>
              <c:f>'Net Zero 2050'!$CF$39:$EC$39</c:f>
              <c:numCache>
                <c:formatCode>General</c:formatCode>
                <c:ptCount val="50"/>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pt idx="35">
                  <c:v>2056</c:v>
                </c:pt>
                <c:pt idx="36">
                  <c:v>2057</c:v>
                </c:pt>
                <c:pt idx="37">
                  <c:v>2058</c:v>
                </c:pt>
                <c:pt idx="38">
                  <c:v>2059</c:v>
                </c:pt>
                <c:pt idx="39">
                  <c:v>2060</c:v>
                </c:pt>
                <c:pt idx="40">
                  <c:v>2061</c:v>
                </c:pt>
                <c:pt idx="41">
                  <c:v>2062</c:v>
                </c:pt>
                <c:pt idx="42">
                  <c:v>2063</c:v>
                </c:pt>
                <c:pt idx="43">
                  <c:v>2064</c:v>
                </c:pt>
                <c:pt idx="44">
                  <c:v>2065</c:v>
                </c:pt>
                <c:pt idx="45">
                  <c:v>2066</c:v>
                </c:pt>
                <c:pt idx="46">
                  <c:v>2067</c:v>
                </c:pt>
                <c:pt idx="47">
                  <c:v>2068</c:v>
                </c:pt>
                <c:pt idx="48">
                  <c:v>2069</c:v>
                </c:pt>
                <c:pt idx="49">
                  <c:v>2070</c:v>
                </c:pt>
              </c:numCache>
            </c:numRef>
          </c:xVal>
          <c:yVal>
            <c:numRef>
              <c:f>'Net Zero 2050'!$CF$53:$EC$53</c:f>
              <c:numCache>
                <c:formatCode>0.0%</c:formatCode>
                <c:ptCount val="50"/>
                <c:pt idx="0" formatCode="General">
                  <c:v>0</c:v>
                </c:pt>
                <c:pt idx="1">
                  <c:v>2.0999999999999998E-4</c:v>
                </c:pt>
                <c:pt idx="2">
                  <c:v>5.0000000000000001E-4</c:v>
                </c:pt>
                <c:pt idx="3">
                  <c:v>6.0000000000000001E-3</c:v>
                </c:pt>
                <c:pt idx="4">
                  <c:v>1.6E-2</c:v>
                </c:pt>
                <c:pt idx="5">
                  <c:v>2.1999999999999999E-2</c:v>
                </c:pt>
                <c:pt idx="6">
                  <c:v>3.1E-2</c:v>
                </c:pt>
                <c:pt idx="7">
                  <c:v>4.2000000000000003E-2</c:v>
                </c:pt>
                <c:pt idx="8">
                  <c:v>5.5099999999999996E-2</c:v>
                </c:pt>
                <c:pt idx="9">
                  <c:v>6.7500000000000004E-2</c:v>
                </c:pt>
                <c:pt idx="10">
                  <c:v>7.8E-2</c:v>
                </c:pt>
                <c:pt idx="11">
                  <c:v>8.3999999999999991E-2</c:v>
                </c:pt>
                <c:pt idx="12">
                  <c:v>9.0199999999999989E-2</c:v>
                </c:pt>
                <c:pt idx="13">
                  <c:v>9.4E-2</c:v>
                </c:pt>
                <c:pt idx="14">
                  <c:v>9.5399999999999999E-2</c:v>
                </c:pt>
                <c:pt idx="15">
                  <c:v>9.69E-2</c:v>
                </c:pt>
                <c:pt idx="16">
                  <c:v>9.8500000000000004E-2</c:v>
                </c:pt>
                <c:pt idx="17">
                  <c:v>0.10100000000000001</c:v>
                </c:pt>
                <c:pt idx="18">
                  <c:v>0.10299999999999999</c:v>
                </c:pt>
                <c:pt idx="19">
                  <c:v>0.106</c:v>
                </c:pt>
                <c:pt idx="20">
                  <c:v>0.108</c:v>
                </c:pt>
                <c:pt idx="21">
                  <c:v>0.11</c:v>
                </c:pt>
                <c:pt idx="22">
                  <c:v>0.112</c:v>
                </c:pt>
                <c:pt idx="23">
                  <c:v>0.113</c:v>
                </c:pt>
                <c:pt idx="24">
                  <c:v>0.114</c:v>
                </c:pt>
                <c:pt idx="25">
                  <c:v>0.115</c:v>
                </c:pt>
                <c:pt idx="26">
                  <c:v>0.11616049645866199</c:v>
                </c:pt>
                <c:pt idx="27">
                  <c:v>0.11864828303850154</c:v>
                </c:pt>
                <c:pt idx="28">
                  <c:v>0.11961290322580644</c:v>
                </c:pt>
                <c:pt idx="29" formatCode="0%">
                  <c:v>0.12</c:v>
                </c:pt>
                <c:pt idx="30" formatCode="0%">
                  <c:v>0.12</c:v>
                </c:pt>
                <c:pt idx="31" formatCode="0%">
                  <c:v>0.12</c:v>
                </c:pt>
                <c:pt idx="32" formatCode="0%">
                  <c:v>0.12</c:v>
                </c:pt>
                <c:pt idx="33" formatCode="0%">
                  <c:v>0.12</c:v>
                </c:pt>
                <c:pt idx="34" formatCode="0%">
                  <c:v>0.12</c:v>
                </c:pt>
                <c:pt idx="35" formatCode="0%">
                  <c:v>0.12</c:v>
                </c:pt>
                <c:pt idx="36" formatCode="0%">
                  <c:v>0.12</c:v>
                </c:pt>
                <c:pt idx="37" formatCode="0%">
                  <c:v>0.12</c:v>
                </c:pt>
                <c:pt idx="38" formatCode="0%">
                  <c:v>0.12</c:v>
                </c:pt>
                <c:pt idx="39" formatCode="0%">
                  <c:v>0.12</c:v>
                </c:pt>
                <c:pt idx="40" formatCode="0%">
                  <c:v>0.12</c:v>
                </c:pt>
                <c:pt idx="41" formatCode="0%">
                  <c:v>0.12</c:v>
                </c:pt>
                <c:pt idx="42" formatCode="0%">
                  <c:v>0.12</c:v>
                </c:pt>
                <c:pt idx="43" formatCode="0%">
                  <c:v>0.12</c:v>
                </c:pt>
                <c:pt idx="44" formatCode="0%">
                  <c:v>0.12</c:v>
                </c:pt>
                <c:pt idx="45" formatCode="0%">
                  <c:v>0.12</c:v>
                </c:pt>
                <c:pt idx="46" formatCode="0%">
                  <c:v>0.12</c:v>
                </c:pt>
                <c:pt idx="47" formatCode="0%">
                  <c:v>0.12</c:v>
                </c:pt>
                <c:pt idx="48" formatCode="0%">
                  <c:v>0.12</c:v>
                </c:pt>
                <c:pt idx="49" formatCode="0%">
                  <c:v>0.12</c:v>
                </c:pt>
              </c:numCache>
            </c:numRef>
          </c:yVal>
          <c:smooth val="1"/>
          <c:extLst>
            <c:ext xmlns:c16="http://schemas.microsoft.com/office/drawing/2014/chart" uri="{C3380CC4-5D6E-409C-BE32-E72D297353CC}">
              <c16:uniqueId val="{00000001-614C-4728-B1D0-095EEB92F2CD}"/>
            </c:ext>
          </c:extLst>
        </c:ser>
        <c:dLbls>
          <c:showLegendKey val="0"/>
          <c:showVal val="0"/>
          <c:showCatName val="0"/>
          <c:showSerName val="0"/>
          <c:showPercent val="0"/>
          <c:showBubbleSize val="0"/>
        </c:dLbls>
        <c:axId val="1502979041"/>
        <c:axId val="329235951"/>
      </c:scatterChart>
      <c:valAx>
        <c:axId val="150297904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329235951"/>
        <c:crosses val="autoZero"/>
        <c:crossBetween val="midCat"/>
      </c:valAx>
      <c:valAx>
        <c:axId val="32923595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1502979041"/>
        <c:crosses val="autoZero"/>
        <c:crossBetween val="midCat"/>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spPr>
            <a:ln w="28575" cmpd="sng">
              <a:solidFill>
                <a:schemeClr val="accent1"/>
              </a:solidFill>
            </a:ln>
          </c:spPr>
          <c:marker>
            <c:symbol val="none"/>
          </c:marker>
          <c:cat>
            <c:numRef>
              <c:f>'Políticas anunciadas (ed)'!$K$1:$AJ$1</c:f>
              <c:numCache>
                <c:formatCode>General</c:formatCode>
                <c:ptCount val="26"/>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numCache>
            </c:numRef>
          </c:cat>
          <c:val>
            <c:numRef>
              <c:f>'Políticas anunciadas (ed)'!$K$27:$AJ$27</c:f>
              <c:numCache>
                <c:formatCode>0.0%</c:formatCode>
                <c:ptCount val="26"/>
                <c:pt idx="0">
                  <c:v>3.5000000000000001E-3</c:v>
                </c:pt>
                <c:pt idx="1">
                  <c:v>1.0799999999999999E-2</c:v>
                </c:pt>
                <c:pt idx="2">
                  <c:v>1.8099999999999998E-2</c:v>
                </c:pt>
                <c:pt idx="3">
                  <c:v>2.5399999999999999E-2</c:v>
                </c:pt>
                <c:pt idx="4">
                  <c:v>3.27E-2</c:v>
                </c:pt>
                <c:pt idx="5">
                  <c:v>0.04</c:v>
                </c:pt>
                <c:pt idx="6">
                  <c:v>5.8499999999999996E-2</c:v>
                </c:pt>
                <c:pt idx="7">
                  <c:v>7.6999999999999999E-2</c:v>
                </c:pt>
                <c:pt idx="8">
                  <c:v>9.5500000000000002E-2</c:v>
                </c:pt>
                <c:pt idx="9">
                  <c:v>0.114</c:v>
                </c:pt>
                <c:pt idx="10">
                  <c:v>0.13250000000000001</c:v>
                </c:pt>
                <c:pt idx="11">
                  <c:v>0.151</c:v>
                </c:pt>
                <c:pt idx="12">
                  <c:v>0.16949999999999998</c:v>
                </c:pt>
                <c:pt idx="13">
                  <c:v>0.18799999999999997</c:v>
                </c:pt>
                <c:pt idx="14">
                  <c:v>0.20649999999999996</c:v>
                </c:pt>
                <c:pt idx="15">
                  <c:v>0.22500000000000001</c:v>
                </c:pt>
                <c:pt idx="16">
                  <c:v>0.22500000000000001</c:v>
                </c:pt>
                <c:pt idx="17">
                  <c:v>0.22500000000000001</c:v>
                </c:pt>
                <c:pt idx="18">
                  <c:v>0.22500000000000001</c:v>
                </c:pt>
                <c:pt idx="19">
                  <c:v>0.22500000000000001</c:v>
                </c:pt>
                <c:pt idx="20">
                  <c:v>0.22500000000000001</c:v>
                </c:pt>
                <c:pt idx="21">
                  <c:v>0.22500000000000001</c:v>
                </c:pt>
                <c:pt idx="22">
                  <c:v>0.22500000000000001</c:v>
                </c:pt>
                <c:pt idx="23">
                  <c:v>0.22500000000000001</c:v>
                </c:pt>
                <c:pt idx="24">
                  <c:v>0.22500000000000001</c:v>
                </c:pt>
                <c:pt idx="25">
                  <c:v>0.22500000000000001</c:v>
                </c:pt>
              </c:numCache>
            </c:numRef>
          </c:val>
          <c:smooth val="0"/>
          <c:extLst>
            <c:ext xmlns:c16="http://schemas.microsoft.com/office/drawing/2014/chart" uri="{C3380CC4-5D6E-409C-BE32-E72D297353CC}">
              <c16:uniqueId val="{00000000-8648-49EB-B8BB-75B2B27865DE}"/>
            </c:ext>
          </c:extLst>
        </c:ser>
        <c:ser>
          <c:idx val="1"/>
          <c:order val="1"/>
          <c:spPr>
            <a:ln w="28575" cmpd="sng">
              <a:solidFill>
                <a:schemeClr val="accent2"/>
              </a:solidFill>
            </a:ln>
          </c:spPr>
          <c:marker>
            <c:symbol val="none"/>
          </c:marker>
          <c:cat>
            <c:numRef>
              <c:f>'Políticas anunciadas (ed)'!$K$1:$AJ$1</c:f>
              <c:numCache>
                <c:formatCode>General</c:formatCode>
                <c:ptCount val="26"/>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numCache>
            </c:numRef>
          </c:cat>
          <c:val>
            <c:numRef>
              <c:f>'Políticas anunciadas (ed)'!$K$28:$AJ$28</c:f>
              <c:numCache>
                <c:formatCode>0.0%</c:formatCode>
                <c:ptCount val="26"/>
                <c:pt idx="0">
                  <c:v>3.5000000000000001E-3</c:v>
                </c:pt>
                <c:pt idx="1">
                  <c:v>1.0799999999999999E-2</c:v>
                </c:pt>
                <c:pt idx="2">
                  <c:v>1.8099999999999998E-2</c:v>
                </c:pt>
                <c:pt idx="3">
                  <c:v>2.5399999999999999E-2</c:v>
                </c:pt>
                <c:pt idx="4">
                  <c:v>3.27E-2</c:v>
                </c:pt>
                <c:pt idx="5">
                  <c:v>0.04</c:v>
                </c:pt>
                <c:pt idx="6">
                  <c:v>5.8499999999999996E-2</c:v>
                </c:pt>
                <c:pt idx="7">
                  <c:v>7.6999999999999999E-2</c:v>
                </c:pt>
                <c:pt idx="8">
                  <c:v>9.5500000000000002E-2</c:v>
                </c:pt>
                <c:pt idx="9">
                  <c:v>0.114</c:v>
                </c:pt>
                <c:pt idx="10">
                  <c:v>0.13250000000000001</c:v>
                </c:pt>
                <c:pt idx="11">
                  <c:v>0.151</c:v>
                </c:pt>
                <c:pt idx="12">
                  <c:v>0.16949999999999998</c:v>
                </c:pt>
                <c:pt idx="13">
                  <c:v>0.18799999999999997</c:v>
                </c:pt>
                <c:pt idx="14">
                  <c:v>0.20649999999999996</c:v>
                </c:pt>
                <c:pt idx="15">
                  <c:v>0.22500000000000001</c:v>
                </c:pt>
                <c:pt idx="16">
                  <c:v>0.22500000000000001</c:v>
                </c:pt>
                <c:pt idx="17">
                  <c:v>0.22500000000000001</c:v>
                </c:pt>
                <c:pt idx="18">
                  <c:v>0.22500000000000001</c:v>
                </c:pt>
                <c:pt idx="19">
                  <c:v>0.22500000000000001</c:v>
                </c:pt>
                <c:pt idx="20">
                  <c:v>0.22500000000000001</c:v>
                </c:pt>
                <c:pt idx="21">
                  <c:v>0.22500000000000001</c:v>
                </c:pt>
                <c:pt idx="22">
                  <c:v>0.22500000000000001</c:v>
                </c:pt>
                <c:pt idx="23">
                  <c:v>0.22500000000000001</c:v>
                </c:pt>
                <c:pt idx="24">
                  <c:v>0.22500000000000001</c:v>
                </c:pt>
                <c:pt idx="25">
                  <c:v>0.22500000000000001</c:v>
                </c:pt>
              </c:numCache>
            </c:numRef>
          </c:val>
          <c:smooth val="0"/>
          <c:extLst>
            <c:ext xmlns:c16="http://schemas.microsoft.com/office/drawing/2014/chart" uri="{C3380CC4-5D6E-409C-BE32-E72D297353CC}">
              <c16:uniqueId val="{00000001-8648-49EB-B8BB-75B2B27865DE}"/>
            </c:ext>
          </c:extLst>
        </c:ser>
        <c:ser>
          <c:idx val="2"/>
          <c:order val="2"/>
          <c:spPr>
            <a:ln w="28575" cmpd="sng">
              <a:solidFill>
                <a:schemeClr val="accent3"/>
              </a:solidFill>
            </a:ln>
          </c:spPr>
          <c:marker>
            <c:symbol val="none"/>
          </c:marker>
          <c:cat>
            <c:numRef>
              <c:f>'Políticas anunciadas (ed)'!$K$1:$AJ$1</c:f>
              <c:numCache>
                <c:formatCode>General</c:formatCode>
                <c:ptCount val="26"/>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numCache>
            </c:numRef>
          </c:cat>
          <c:val>
            <c:numRef>
              <c:f>'Políticas anunciadas (ed)'!$K$29:$AJ$29</c:f>
              <c:numCache>
                <c:formatCode>0.0%</c:formatCode>
                <c:ptCount val="26"/>
                <c:pt idx="0">
                  <c:v>0.02</c:v>
                </c:pt>
                <c:pt idx="1">
                  <c:v>3.1E-2</c:v>
                </c:pt>
                <c:pt idx="2">
                  <c:v>4.1999999999999996E-2</c:v>
                </c:pt>
                <c:pt idx="3">
                  <c:v>5.2999999999999992E-2</c:v>
                </c:pt>
                <c:pt idx="4">
                  <c:v>6.3999999999999987E-2</c:v>
                </c:pt>
                <c:pt idx="5">
                  <c:v>7.4999999999999997E-2</c:v>
                </c:pt>
                <c:pt idx="6">
                  <c:v>0.10249999999999999</c:v>
                </c:pt>
                <c:pt idx="7">
                  <c:v>0.13</c:v>
                </c:pt>
                <c:pt idx="8">
                  <c:v>0.1575</c:v>
                </c:pt>
                <c:pt idx="9">
                  <c:v>0.185</c:v>
                </c:pt>
                <c:pt idx="10">
                  <c:v>0.21249999999999999</c:v>
                </c:pt>
                <c:pt idx="11">
                  <c:v>0.24</c:v>
                </c:pt>
                <c:pt idx="12">
                  <c:v>0.26749999999999996</c:v>
                </c:pt>
                <c:pt idx="13">
                  <c:v>0.29499999999999993</c:v>
                </c:pt>
                <c:pt idx="14">
                  <c:v>0.3224999999999999</c:v>
                </c:pt>
                <c:pt idx="15">
                  <c:v>0.35</c:v>
                </c:pt>
                <c:pt idx="16">
                  <c:v>0.35</c:v>
                </c:pt>
                <c:pt idx="17">
                  <c:v>0.35</c:v>
                </c:pt>
                <c:pt idx="18">
                  <c:v>0.35</c:v>
                </c:pt>
                <c:pt idx="19">
                  <c:v>0.35</c:v>
                </c:pt>
                <c:pt idx="20">
                  <c:v>0.35</c:v>
                </c:pt>
                <c:pt idx="21">
                  <c:v>0.35</c:v>
                </c:pt>
                <c:pt idx="22">
                  <c:v>0.35</c:v>
                </c:pt>
                <c:pt idx="23">
                  <c:v>0.35</c:v>
                </c:pt>
                <c:pt idx="24">
                  <c:v>0.35</c:v>
                </c:pt>
                <c:pt idx="25">
                  <c:v>0.35</c:v>
                </c:pt>
              </c:numCache>
            </c:numRef>
          </c:val>
          <c:smooth val="0"/>
          <c:extLst>
            <c:ext xmlns:c16="http://schemas.microsoft.com/office/drawing/2014/chart" uri="{C3380CC4-5D6E-409C-BE32-E72D297353CC}">
              <c16:uniqueId val="{00000002-8648-49EB-B8BB-75B2B27865DE}"/>
            </c:ext>
          </c:extLst>
        </c:ser>
        <c:dLbls>
          <c:showLegendKey val="0"/>
          <c:showVal val="0"/>
          <c:showCatName val="0"/>
          <c:showSerName val="0"/>
          <c:showPercent val="0"/>
          <c:showBubbleSize val="0"/>
        </c:dLbls>
        <c:smooth val="0"/>
        <c:axId val="859957127"/>
        <c:axId val="1190744981"/>
      </c:lineChart>
      <c:catAx>
        <c:axId val="859957127"/>
        <c:scaling>
          <c:orientation val="minMax"/>
        </c:scaling>
        <c:delete val="0"/>
        <c:axPos val="b"/>
        <c:title>
          <c:tx>
            <c:rich>
              <a:bodyPr/>
              <a:lstStyle/>
              <a:p>
                <a:pPr lvl="0">
                  <a:defRPr b="0">
                    <a:solidFill>
                      <a:srgbClr val="000000"/>
                    </a:solidFill>
                    <a:latin typeface="+mn-lt"/>
                  </a:defRPr>
                </a:pPr>
                <a:endParaRPr lang="es-EC"/>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190744981"/>
        <c:crosses val="autoZero"/>
        <c:auto val="1"/>
        <c:lblAlgn val="ctr"/>
        <c:lblOffset val="100"/>
        <c:noMultiLvlLbl val="1"/>
      </c:catAx>
      <c:valAx>
        <c:axId val="119074498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EC"/>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s-EC"/>
          </a:p>
        </c:txPr>
        <c:crossAx val="859957127"/>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'Net Zero 2050 (ed)'!$I$122:$AX$122</c:f>
              <c:numCache>
                <c:formatCode>General</c:formatCode>
                <c:ptCount val="42"/>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9">
                  <c:v>2038</c:v>
                </c:pt>
                <c:pt idx="30">
                  <c:v>2039</c:v>
                </c:pt>
                <c:pt idx="31">
                  <c:v>2040</c:v>
                </c:pt>
                <c:pt idx="32">
                  <c:v>2041</c:v>
                </c:pt>
                <c:pt idx="33">
                  <c:v>2042</c:v>
                </c:pt>
                <c:pt idx="34">
                  <c:v>2043</c:v>
                </c:pt>
                <c:pt idx="35">
                  <c:v>2044</c:v>
                </c:pt>
                <c:pt idx="36">
                  <c:v>2045</c:v>
                </c:pt>
                <c:pt idx="37">
                  <c:v>2046</c:v>
                </c:pt>
                <c:pt idx="38">
                  <c:v>2047</c:v>
                </c:pt>
                <c:pt idx="39">
                  <c:v>2048</c:v>
                </c:pt>
                <c:pt idx="40">
                  <c:v>2049</c:v>
                </c:pt>
                <c:pt idx="41">
                  <c:v>2050</c:v>
                </c:pt>
              </c:numCache>
            </c:numRef>
          </c:xVal>
          <c:yVal>
            <c:numRef>
              <c:f>'Net Zero 2050 (ed)'!$I$123:$AX$123</c:f>
              <c:numCache>
                <c:formatCode>General</c:formatCode>
                <c:ptCount val="42"/>
                <c:pt idx="0">
                  <c:v>2.1800000000000002</c:v>
                </c:pt>
                <c:pt idx="1">
                  <c:v>2.1</c:v>
                </c:pt>
                <c:pt idx="2">
                  <c:v>2</c:v>
                </c:pt>
                <c:pt idx="3">
                  <c:v>1.91</c:v>
                </c:pt>
                <c:pt idx="4">
                  <c:v>1.96</c:v>
                </c:pt>
                <c:pt idx="5">
                  <c:v>2.11</c:v>
                </c:pt>
                <c:pt idx="6">
                  <c:v>2.4</c:v>
                </c:pt>
                <c:pt idx="7">
                  <c:v>2.39</c:v>
                </c:pt>
                <c:pt idx="8">
                  <c:v>2.3199999999999998</c:v>
                </c:pt>
                <c:pt idx="9">
                  <c:v>2.4</c:v>
                </c:pt>
                <c:pt idx="10">
                  <c:v>2.5299999999999998</c:v>
                </c:pt>
                <c:pt idx="11">
                  <c:v>2.4034999999999997</c:v>
                </c:pt>
                <c:pt idx="12">
                  <c:v>2.2833249999999996</c:v>
                </c:pt>
                <c:pt idx="13">
                  <c:v>2.1691587499999994</c:v>
                </c:pt>
                <c:pt idx="14">
                  <c:v>2.0607008124999995</c:v>
                </c:pt>
                <c:pt idx="15">
                  <c:v>1.9576657718749995</c:v>
                </c:pt>
                <c:pt idx="16">
                  <c:v>1.8597824832812495</c:v>
                </c:pt>
                <c:pt idx="17">
                  <c:v>1.7667933591171869</c:v>
                </c:pt>
                <c:pt idx="18">
                  <c:v>1.6784536911613275</c:v>
                </c:pt>
                <c:pt idx="19">
                  <c:v>1.594531006603261</c:v>
                </c:pt>
                <c:pt idx="20">
                  <c:v>1.5148044562730978</c:v>
                </c:pt>
                <c:pt idx="21">
                  <c:v>1.4390642334594428</c:v>
                </c:pt>
                <c:pt idx="22">
                  <c:v>1.3671110217864706</c:v>
                </c:pt>
                <c:pt idx="23">
                  <c:v>1.2987554706971469</c:v>
                </c:pt>
                <c:pt idx="24">
                  <c:v>1.2338176971622896</c:v>
                </c:pt>
                <c:pt idx="25">
                  <c:v>1.172126812304175</c:v>
                </c:pt>
                <c:pt idx="26">
                  <c:v>1.1135204716889662</c:v>
                </c:pt>
                <c:pt idx="27">
                  <c:v>1.0578444481045177</c:v>
                </c:pt>
                <c:pt idx="29">
                  <c:v>1.0049522256992918</c:v>
                </c:pt>
                <c:pt idx="30">
                  <c:v>0.95470461441432708</c:v>
                </c:pt>
                <c:pt idx="31">
                  <c:v>0.90696938369361069</c:v>
                </c:pt>
                <c:pt idx="32">
                  <c:v>0.86162091450893008</c:v>
                </c:pt>
                <c:pt idx="33">
                  <c:v>0.8185398687834835</c:v>
                </c:pt>
                <c:pt idx="34">
                  <c:v>0.77761287534430934</c:v>
                </c:pt>
                <c:pt idx="35">
                  <c:v>0.73873223157709389</c:v>
                </c:pt>
                <c:pt idx="36">
                  <c:v>0.70179561999823914</c:v>
                </c:pt>
                <c:pt idx="37">
                  <c:v>0.66670583899832714</c:v>
                </c:pt>
                <c:pt idx="38">
                  <c:v>0.63337054704841078</c:v>
                </c:pt>
                <c:pt idx="39">
                  <c:v>0.60170201969599024</c:v>
                </c:pt>
                <c:pt idx="40">
                  <c:v>0.57161691871119069</c:v>
                </c:pt>
                <c:pt idx="41">
                  <c:v>0.54303607277563115</c:v>
                </c:pt>
              </c:numCache>
            </c:numRef>
          </c:yVal>
          <c:smooth val="1"/>
          <c:extLst>
            <c:ext xmlns:c16="http://schemas.microsoft.com/office/drawing/2014/chart" uri="{C3380CC4-5D6E-409C-BE32-E72D297353CC}">
              <c16:uniqueId val="{00000000-EB27-4E43-B659-DA39FB0AE366}"/>
            </c:ext>
          </c:extLst>
        </c:ser>
        <c:dLbls>
          <c:showLegendKey val="0"/>
          <c:showVal val="0"/>
          <c:showCatName val="0"/>
          <c:showSerName val="0"/>
          <c:showPercent val="0"/>
          <c:showBubbleSize val="0"/>
        </c:dLbls>
        <c:axId val="2093727001"/>
        <c:axId val="441902601"/>
      </c:scatterChart>
      <c:valAx>
        <c:axId val="209372700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441902601"/>
        <c:crosses val="autoZero"/>
        <c:crossBetween val="midCat"/>
      </c:valAx>
      <c:valAx>
        <c:axId val="44190260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2093727001"/>
        <c:crosses val="autoZero"/>
        <c:crossBetween val="midCat"/>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'Net Zero 2050 (ed)'!$I$158:$W$158</c:f>
              <c:numCache>
                <c:formatCode>General</c:formatCode>
                <c:ptCount val="15"/>
                <c:pt idx="0">
                  <c:v>2016</c:v>
                </c:pt>
                <c:pt idx="1">
                  <c:v>2017</c:v>
                </c:pt>
                <c:pt idx="2">
                  <c:v>2018</c:v>
                </c:pt>
                <c:pt idx="3">
                  <c:v>2019</c:v>
                </c:pt>
                <c:pt idx="4">
                  <c:v>2020</c:v>
                </c:pt>
                <c:pt idx="5">
                  <c:v>2021</c:v>
                </c:pt>
                <c:pt idx="6">
                  <c:v>2022</c:v>
                </c:pt>
                <c:pt idx="7">
                  <c:v>2023</c:v>
                </c:pt>
                <c:pt idx="8">
                  <c:v>2024</c:v>
                </c:pt>
                <c:pt idx="9">
                  <c:v>2025</c:v>
                </c:pt>
                <c:pt idx="10">
                  <c:v>2030</c:v>
                </c:pt>
                <c:pt idx="11">
                  <c:v>2035</c:v>
                </c:pt>
                <c:pt idx="12">
                  <c:v>2040</c:v>
                </c:pt>
                <c:pt idx="13">
                  <c:v>2045</c:v>
                </c:pt>
                <c:pt idx="14">
                  <c:v>2050</c:v>
                </c:pt>
              </c:numCache>
            </c:numRef>
          </c:xVal>
          <c:yVal>
            <c:numRef>
              <c:f>'Net Zero 2050 (ed)'!$I$159:$W$159</c:f>
              <c:numCache>
                <c:formatCode>General</c:formatCode>
                <c:ptCount val="15"/>
                <c:pt idx="0">
                  <c:v>12.21</c:v>
                </c:pt>
                <c:pt idx="1">
                  <c:v>10.72</c:v>
                </c:pt>
                <c:pt idx="2">
                  <c:v>10.49</c:v>
                </c:pt>
                <c:pt idx="3">
                  <c:v>10.02</c:v>
                </c:pt>
                <c:pt idx="4">
                  <c:v>9.9</c:v>
                </c:pt>
                <c:pt idx="5">
                  <c:v>9.59</c:v>
                </c:pt>
                <c:pt idx="6">
                  <c:v>9.31</c:v>
                </c:pt>
                <c:pt idx="7">
                  <c:v>9.09</c:v>
                </c:pt>
                <c:pt idx="8">
                  <c:v>8.91</c:v>
                </c:pt>
                <c:pt idx="9">
                  <c:v>8.7899999999999991</c:v>
                </c:pt>
                <c:pt idx="10">
                  <c:v>8.3592025386209983</c:v>
                </c:pt>
                <c:pt idx="11">
                  <c:v>8.1523018528833422</c:v>
                </c:pt>
                <c:pt idx="12">
                  <c:v>8.071104274896399</c:v>
                </c:pt>
                <c:pt idx="13">
                  <c:v>8.0308293838939715</c:v>
                </c:pt>
                <c:pt idx="14">
                  <c:v>8.0227985545100768</c:v>
                </c:pt>
              </c:numCache>
            </c:numRef>
          </c:yVal>
          <c:smooth val="1"/>
          <c:extLst>
            <c:ext xmlns:c16="http://schemas.microsoft.com/office/drawing/2014/chart" uri="{C3380CC4-5D6E-409C-BE32-E72D297353CC}">
              <c16:uniqueId val="{00000000-A905-41F0-9DA9-547EC225AE94}"/>
            </c:ext>
          </c:extLst>
        </c:ser>
        <c:dLbls>
          <c:showLegendKey val="0"/>
          <c:showVal val="0"/>
          <c:showCatName val="0"/>
          <c:showSerName val="0"/>
          <c:showPercent val="0"/>
          <c:showBubbleSize val="0"/>
        </c:dLbls>
        <c:axId val="303290295"/>
        <c:axId val="1433206418"/>
      </c:scatterChart>
      <c:valAx>
        <c:axId val="303290295"/>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1433206418"/>
        <c:crosses val="autoZero"/>
        <c:crossBetween val="midCat"/>
      </c:valAx>
      <c:valAx>
        <c:axId val="143320641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303290295"/>
        <c:crosses val="autoZero"/>
        <c:crossBetween val="midCat"/>
      </c:valAx>
    </c:plotArea>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s-EC" sz="1400" b="0" i="0">
                <a:solidFill>
                  <a:srgbClr val="757575"/>
                </a:solidFill>
                <a:latin typeface="+mn-lt"/>
              </a:rPr>
              <a:t>Electrificación</a:t>
            </a:r>
          </a:p>
        </c:rich>
      </c:tx>
      <c:overlay val="0"/>
    </c:title>
    <c:autoTitleDeleted val="0"/>
    <c:plotArea>
      <c:layout/>
      <c:lineChart>
        <c:grouping val="standard"/>
        <c:varyColors val="1"/>
        <c:ser>
          <c:idx val="0"/>
          <c:order val="0"/>
          <c:tx>
            <c:v>Sedan</c:v>
          </c:tx>
          <c:spPr>
            <a:ln w="28575" cmpd="sng">
              <a:solidFill>
                <a:schemeClr val="accent1"/>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(ed)'!$H$26:$AJ$26</c:f>
              <c:numCache>
                <c:formatCode>0.0%</c:formatCode>
                <c:ptCount val="29"/>
                <c:pt idx="0">
                  <c:v>1E-3</c:v>
                </c:pt>
                <c:pt idx="1">
                  <c:v>5.0000000000000001E-3</c:v>
                </c:pt>
                <c:pt idx="2">
                  <c:v>0.01</c:v>
                </c:pt>
                <c:pt idx="3">
                  <c:v>1.4E-2</c:v>
                </c:pt>
                <c:pt idx="4">
                  <c:v>2.9000000000000001E-2</c:v>
                </c:pt>
                <c:pt idx="5">
                  <c:v>4.2999999999999997E-2</c:v>
                </c:pt>
                <c:pt idx="6">
                  <c:v>5.7000000000000002E-2</c:v>
                </c:pt>
                <c:pt idx="7">
                  <c:v>7.0999999999999994E-2</c:v>
                </c:pt>
                <c:pt idx="8">
                  <c:v>8.5000000000000006E-2</c:v>
                </c:pt>
                <c:pt idx="9">
                  <c:v>0.105</c:v>
                </c:pt>
                <c:pt idx="10">
                  <c:v>0.126</c:v>
                </c:pt>
                <c:pt idx="11">
                  <c:v>0.14599999999999999</c:v>
                </c:pt>
                <c:pt idx="12">
                  <c:v>0.16600000000000001</c:v>
                </c:pt>
                <c:pt idx="13">
                  <c:v>0.186</c:v>
                </c:pt>
                <c:pt idx="14">
                  <c:v>0.20799999999999999</c:v>
                </c:pt>
                <c:pt idx="15">
                  <c:v>0.23</c:v>
                </c:pt>
                <c:pt idx="16">
                  <c:v>0.252</c:v>
                </c:pt>
                <c:pt idx="17">
                  <c:v>0.27500000000000002</c:v>
                </c:pt>
                <c:pt idx="18">
                  <c:v>0.29699999999999999</c:v>
                </c:pt>
                <c:pt idx="19">
                  <c:v>0.31900000000000001</c:v>
                </c:pt>
                <c:pt idx="20">
                  <c:v>0.34200000000000003</c:v>
                </c:pt>
                <c:pt idx="21">
                  <c:v>0.36499999999999999</c:v>
                </c:pt>
                <c:pt idx="22">
                  <c:v>0.38700000000000001</c:v>
                </c:pt>
                <c:pt idx="23">
                  <c:v>0.41</c:v>
                </c:pt>
                <c:pt idx="24">
                  <c:v>0.42199999999999999</c:v>
                </c:pt>
                <c:pt idx="25">
                  <c:v>0.434</c:v>
                </c:pt>
                <c:pt idx="26">
                  <c:v>0.44600000000000001</c:v>
                </c:pt>
                <c:pt idx="27">
                  <c:v>0.45800000000000002</c:v>
                </c:pt>
                <c:pt idx="28">
                  <c:v>0.46899999999999997</c:v>
                </c:pt>
              </c:numCache>
            </c:numRef>
          </c:val>
          <c:smooth val="0"/>
          <c:extLst>
            <c:ext xmlns:c16="http://schemas.microsoft.com/office/drawing/2014/chart" uri="{C3380CC4-5D6E-409C-BE32-E72D297353CC}">
              <c16:uniqueId val="{00000000-3177-4169-913A-224D5CF909A1}"/>
            </c:ext>
          </c:extLst>
        </c:ser>
        <c:ser>
          <c:idx val="1"/>
          <c:order val="1"/>
          <c:tx>
            <c:v>SUV</c:v>
          </c:tx>
          <c:spPr>
            <a:ln w="28575" cmpd="sng">
              <a:solidFill>
                <a:schemeClr val="accent2"/>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(ed)'!$H$27:$AJ$27</c:f>
              <c:numCache>
                <c:formatCode>0.0%</c:formatCode>
                <c:ptCount val="29"/>
                <c:pt idx="0">
                  <c:v>1E-3</c:v>
                </c:pt>
                <c:pt idx="1">
                  <c:v>5.0000000000000001E-3</c:v>
                </c:pt>
                <c:pt idx="2">
                  <c:v>0.01</c:v>
                </c:pt>
                <c:pt idx="3">
                  <c:v>1.4E-2</c:v>
                </c:pt>
                <c:pt idx="4">
                  <c:v>2.9000000000000001E-2</c:v>
                </c:pt>
                <c:pt idx="5">
                  <c:v>4.2999999999999997E-2</c:v>
                </c:pt>
                <c:pt idx="6">
                  <c:v>5.7000000000000002E-2</c:v>
                </c:pt>
                <c:pt idx="7">
                  <c:v>7.0999999999999994E-2</c:v>
                </c:pt>
                <c:pt idx="8">
                  <c:v>8.5000000000000006E-2</c:v>
                </c:pt>
                <c:pt idx="9">
                  <c:v>0.105</c:v>
                </c:pt>
                <c:pt idx="10">
                  <c:v>0.126</c:v>
                </c:pt>
                <c:pt idx="11">
                  <c:v>0.14599999999999999</c:v>
                </c:pt>
                <c:pt idx="12">
                  <c:v>0.16600000000000001</c:v>
                </c:pt>
                <c:pt idx="13">
                  <c:v>0.186</c:v>
                </c:pt>
                <c:pt idx="14">
                  <c:v>0.20799999999999999</c:v>
                </c:pt>
                <c:pt idx="15">
                  <c:v>0.23</c:v>
                </c:pt>
                <c:pt idx="16">
                  <c:v>0.252</c:v>
                </c:pt>
                <c:pt idx="17">
                  <c:v>0.27500000000000002</c:v>
                </c:pt>
                <c:pt idx="18">
                  <c:v>0.29699999999999999</c:v>
                </c:pt>
                <c:pt idx="19">
                  <c:v>0.31900000000000001</c:v>
                </c:pt>
                <c:pt idx="20">
                  <c:v>0.34200000000000003</c:v>
                </c:pt>
                <c:pt idx="21">
                  <c:v>0.36499999999999999</c:v>
                </c:pt>
                <c:pt idx="22">
                  <c:v>0.38700000000000001</c:v>
                </c:pt>
                <c:pt idx="23">
                  <c:v>0.41</c:v>
                </c:pt>
                <c:pt idx="24">
                  <c:v>0.42199999999999999</c:v>
                </c:pt>
                <c:pt idx="25">
                  <c:v>0.434</c:v>
                </c:pt>
                <c:pt idx="26">
                  <c:v>0.44600000000000001</c:v>
                </c:pt>
                <c:pt idx="27">
                  <c:v>0.45800000000000002</c:v>
                </c:pt>
                <c:pt idx="28">
                  <c:v>0.46899999999999997</c:v>
                </c:pt>
              </c:numCache>
            </c:numRef>
          </c:val>
          <c:smooth val="0"/>
          <c:extLst>
            <c:ext xmlns:c16="http://schemas.microsoft.com/office/drawing/2014/chart" uri="{C3380CC4-5D6E-409C-BE32-E72D297353CC}">
              <c16:uniqueId val="{00000001-3177-4169-913A-224D5CF909A1}"/>
            </c:ext>
          </c:extLst>
        </c:ser>
        <c:ser>
          <c:idx val="2"/>
          <c:order val="2"/>
          <c:tx>
            <c:v>Camioneta</c:v>
          </c:tx>
          <c:spPr>
            <a:ln w="28575" cmpd="sng">
              <a:solidFill>
                <a:schemeClr val="accent3"/>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(ed)'!$H$28:$AJ$28</c:f>
              <c:numCache>
                <c:formatCode>0.0%</c:formatCode>
                <c:ptCount val="29"/>
                <c:pt idx="0">
                  <c:v>2E-3</c:v>
                </c:pt>
                <c:pt idx="1">
                  <c:v>6.0000000000000001E-3</c:v>
                </c:pt>
                <c:pt idx="2">
                  <c:v>8.9999999999999993E-3</c:v>
                </c:pt>
                <c:pt idx="3">
                  <c:v>1.2E-2</c:v>
                </c:pt>
                <c:pt idx="4">
                  <c:v>2.1000000000000001E-2</c:v>
                </c:pt>
                <c:pt idx="5">
                  <c:v>0.03</c:v>
                </c:pt>
                <c:pt idx="6">
                  <c:v>3.9E-2</c:v>
                </c:pt>
                <c:pt idx="7">
                  <c:v>4.9000000000000002E-2</c:v>
                </c:pt>
                <c:pt idx="8">
                  <c:v>5.8000000000000003E-2</c:v>
                </c:pt>
                <c:pt idx="9">
                  <c:v>7.0000000000000007E-2</c:v>
                </c:pt>
                <c:pt idx="10">
                  <c:v>8.2000000000000003E-2</c:v>
                </c:pt>
                <c:pt idx="11">
                  <c:v>9.4E-2</c:v>
                </c:pt>
                <c:pt idx="12">
                  <c:v>0.106</c:v>
                </c:pt>
                <c:pt idx="13">
                  <c:v>0.11799999999999999</c:v>
                </c:pt>
                <c:pt idx="14">
                  <c:v>0.13400000000000001</c:v>
                </c:pt>
                <c:pt idx="15">
                  <c:v>0.15</c:v>
                </c:pt>
                <c:pt idx="16">
                  <c:v>0.16600000000000001</c:v>
                </c:pt>
                <c:pt idx="17">
                  <c:v>0.182</c:v>
                </c:pt>
                <c:pt idx="18">
                  <c:v>0.19800000000000001</c:v>
                </c:pt>
                <c:pt idx="19">
                  <c:v>0.23400000000000001</c:v>
                </c:pt>
                <c:pt idx="20">
                  <c:v>0.27</c:v>
                </c:pt>
                <c:pt idx="21">
                  <c:v>0.30599999999999999</c:v>
                </c:pt>
                <c:pt idx="22">
                  <c:v>0.34200000000000003</c:v>
                </c:pt>
                <c:pt idx="23">
                  <c:v>0.377</c:v>
                </c:pt>
                <c:pt idx="24">
                  <c:v>0.38900000000000001</c:v>
                </c:pt>
                <c:pt idx="25">
                  <c:v>0.4</c:v>
                </c:pt>
                <c:pt idx="26">
                  <c:v>0.41199999999999998</c:v>
                </c:pt>
                <c:pt idx="27">
                  <c:v>0.42299999999999999</c:v>
                </c:pt>
                <c:pt idx="28">
                  <c:v>0.435</c:v>
                </c:pt>
              </c:numCache>
            </c:numRef>
          </c:val>
          <c:smooth val="0"/>
          <c:extLst>
            <c:ext xmlns:c16="http://schemas.microsoft.com/office/drawing/2014/chart" uri="{C3380CC4-5D6E-409C-BE32-E72D297353CC}">
              <c16:uniqueId val="{00000002-3177-4169-913A-224D5CF909A1}"/>
            </c:ext>
          </c:extLst>
        </c:ser>
        <c:ser>
          <c:idx val="3"/>
          <c:order val="3"/>
          <c:tx>
            <c:v>Motocicleta</c:v>
          </c:tx>
          <c:spPr>
            <a:ln w="28575" cmpd="sng">
              <a:solidFill>
                <a:schemeClr val="accent4"/>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(ed)'!$H$29:$AJ$29</c:f>
              <c:numCache>
                <c:formatCode>0.0%</c:formatCode>
                <c:ptCount val="29"/>
                <c:pt idx="0">
                  <c:v>0</c:v>
                </c:pt>
                <c:pt idx="1">
                  <c:v>0</c:v>
                </c:pt>
                <c:pt idx="2">
                  <c:v>0</c:v>
                </c:pt>
                <c:pt idx="3">
                  <c:v>0</c:v>
                </c:pt>
                <c:pt idx="4">
                  <c:v>9.9000000000000005E-2</c:v>
                </c:pt>
                <c:pt idx="5">
                  <c:v>0.19800000000000001</c:v>
                </c:pt>
                <c:pt idx="6">
                  <c:v>0.29799999999999999</c:v>
                </c:pt>
                <c:pt idx="7">
                  <c:v>0.39700000000000002</c:v>
                </c:pt>
                <c:pt idx="8">
                  <c:v>0.496</c:v>
                </c:pt>
                <c:pt idx="9">
                  <c:v>0.59699999999999998</c:v>
                </c:pt>
                <c:pt idx="10">
                  <c:v>0.69799999999999995</c:v>
                </c:pt>
                <c:pt idx="11">
                  <c:v>0.79800000000000004</c:v>
                </c:pt>
                <c:pt idx="12">
                  <c:v>0.89900000000000002</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numCache>
            </c:numRef>
          </c:val>
          <c:smooth val="0"/>
          <c:extLst>
            <c:ext xmlns:c16="http://schemas.microsoft.com/office/drawing/2014/chart" uri="{C3380CC4-5D6E-409C-BE32-E72D297353CC}">
              <c16:uniqueId val="{00000003-3177-4169-913A-224D5CF909A1}"/>
            </c:ext>
          </c:extLst>
        </c:ser>
        <c:ser>
          <c:idx val="4"/>
          <c:order val="4"/>
          <c:tx>
            <c:v>Bus</c:v>
          </c:tx>
          <c:spPr>
            <a:ln w="28575" cmpd="sng">
              <a:solidFill>
                <a:schemeClr val="accent5"/>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(ed)'!$H$30:$AJ$30</c:f>
              <c:numCache>
                <c:formatCode>0.0%</c:formatCode>
                <c:ptCount val="29"/>
                <c:pt idx="0">
                  <c:v>0.01</c:v>
                </c:pt>
                <c:pt idx="1">
                  <c:v>2.3E-2</c:v>
                </c:pt>
                <c:pt idx="2">
                  <c:v>3.6999999999999998E-2</c:v>
                </c:pt>
                <c:pt idx="3">
                  <c:v>0.05</c:v>
                </c:pt>
                <c:pt idx="4">
                  <c:v>0.1</c:v>
                </c:pt>
                <c:pt idx="5">
                  <c:v>0.15</c:v>
                </c:pt>
                <c:pt idx="6">
                  <c:v>0.2</c:v>
                </c:pt>
                <c:pt idx="7">
                  <c:v>0.25</c:v>
                </c:pt>
                <c:pt idx="8">
                  <c:v>0.3</c:v>
                </c:pt>
                <c:pt idx="9">
                  <c:v>0.34</c:v>
                </c:pt>
                <c:pt idx="10">
                  <c:v>0.38</c:v>
                </c:pt>
                <c:pt idx="11">
                  <c:v>0.42</c:v>
                </c:pt>
                <c:pt idx="12">
                  <c:v>0.46</c:v>
                </c:pt>
                <c:pt idx="13">
                  <c:v>0.5</c:v>
                </c:pt>
                <c:pt idx="14">
                  <c:v>0.54</c:v>
                </c:pt>
                <c:pt idx="15">
                  <c:v>0.57999999999999996</c:v>
                </c:pt>
                <c:pt idx="16">
                  <c:v>0.62</c:v>
                </c:pt>
                <c:pt idx="17">
                  <c:v>0.65900000000000003</c:v>
                </c:pt>
                <c:pt idx="18">
                  <c:v>0.69899999999999995</c:v>
                </c:pt>
                <c:pt idx="19">
                  <c:v>0.74</c:v>
                </c:pt>
                <c:pt idx="20">
                  <c:v>0.78</c:v>
                </c:pt>
                <c:pt idx="21">
                  <c:v>0.82</c:v>
                </c:pt>
                <c:pt idx="22">
                  <c:v>0.86099999999999999</c:v>
                </c:pt>
                <c:pt idx="23">
                  <c:v>0.90100000000000002</c:v>
                </c:pt>
                <c:pt idx="24">
                  <c:v>0.90900000000000003</c:v>
                </c:pt>
                <c:pt idx="25">
                  <c:v>0.91800000000000004</c:v>
                </c:pt>
                <c:pt idx="26">
                  <c:v>0.92600000000000005</c:v>
                </c:pt>
                <c:pt idx="27">
                  <c:v>0.93500000000000005</c:v>
                </c:pt>
                <c:pt idx="28">
                  <c:v>0.94299999999999995</c:v>
                </c:pt>
              </c:numCache>
            </c:numRef>
          </c:val>
          <c:smooth val="0"/>
          <c:extLst>
            <c:ext xmlns:c16="http://schemas.microsoft.com/office/drawing/2014/chart" uri="{C3380CC4-5D6E-409C-BE32-E72D297353CC}">
              <c16:uniqueId val="{00000004-3177-4169-913A-224D5CF909A1}"/>
            </c:ext>
          </c:extLst>
        </c:ser>
        <c:ser>
          <c:idx val="5"/>
          <c:order val="5"/>
          <c:tx>
            <c:v>Microbus</c:v>
          </c:tx>
          <c:spPr>
            <a:ln w="28575" cmpd="sng">
              <a:solidFill>
                <a:schemeClr val="accent6"/>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(ed)'!$H$31:$AJ$31</c:f>
              <c:numCache>
                <c:formatCode>0.0%</c:formatCode>
                <c:ptCount val="29"/>
                <c:pt idx="0">
                  <c:v>5.0000000000000001E-3</c:v>
                </c:pt>
                <c:pt idx="1">
                  <c:v>1.4E-2</c:v>
                </c:pt>
                <c:pt idx="2">
                  <c:v>2.3E-2</c:v>
                </c:pt>
                <c:pt idx="3">
                  <c:v>3.2000000000000001E-2</c:v>
                </c:pt>
                <c:pt idx="4">
                  <c:v>6.4000000000000001E-2</c:v>
                </c:pt>
                <c:pt idx="5">
                  <c:v>9.6000000000000002E-2</c:v>
                </c:pt>
                <c:pt idx="6">
                  <c:v>0.129</c:v>
                </c:pt>
                <c:pt idx="7">
                  <c:v>0.161</c:v>
                </c:pt>
                <c:pt idx="8">
                  <c:v>0.193</c:v>
                </c:pt>
                <c:pt idx="9">
                  <c:v>0.223</c:v>
                </c:pt>
                <c:pt idx="10">
                  <c:v>0.253</c:v>
                </c:pt>
                <c:pt idx="11">
                  <c:v>0.28299999999999997</c:v>
                </c:pt>
                <c:pt idx="12">
                  <c:v>0.313</c:v>
                </c:pt>
                <c:pt idx="13">
                  <c:v>0.34300000000000003</c:v>
                </c:pt>
                <c:pt idx="14">
                  <c:v>0.374</c:v>
                </c:pt>
                <c:pt idx="15">
                  <c:v>0.40500000000000003</c:v>
                </c:pt>
                <c:pt idx="16">
                  <c:v>0.436</c:v>
                </c:pt>
                <c:pt idx="17">
                  <c:v>0.46700000000000003</c:v>
                </c:pt>
                <c:pt idx="18">
                  <c:v>0.498</c:v>
                </c:pt>
                <c:pt idx="19">
                  <c:v>0.52900000000000003</c:v>
                </c:pt>
                <c:pt idx="20">
                  <c:v>0.56100000000000005</c:v>
                </c:pt>
                <c:pt idx="21">
                  <c:v>0.59199999999999997</c:v>
                </c:pt>
                <c:pt idx="22">
                  <c:v>0.624</c:v>
                </c:pt>
                <c:pt idx="23">
                  <c:v>0.65500000000000003</c:v>
                </c:pt>
                <c:pt idx="24">
                  <c:v>0.66600000000000004</c:v>
                </c:pt>
                <c:pt idx="25">
                  <c:v>0.67600000000000005</c:v>
                </c:pt>
                <c:pt idx="26">
                  <c:v>0.68600000000000005</c:v>
                </c:pt>
                <c:pt idx="27">
                  <c:v>0.69599999999999995</c:v>
                </c:pt>
                <c:pt idx="28">
                  <c:v>0.70599999999999996</c:v>
                </c:pt>
              </c:numCache>
            </c:numRef>
          </c:val>
          <c:smooth val="0"/>
          <c:extLst>
            <c:ext xmlns:c16="http://schemas.microsoft.com/office/drawing/2014/chart" uri="{C3380CC4-5D6E-409C-BE32-E72D297353CC}">
              <c16:uniqueId val="{00000005-3177-4169-913A-224D5CF909A1}"/>
            </c:ext>
          </c:extLst>
        </c:ser>
        <c:ser>
          <c:idx val="6"/>
          <c:order val="6"/>
          <c:tx>
            <c:v>Taxi</c:v>
          </c:tx>
          <c:spPr>
            <a:ln w="28575" cmpd="sng">
              <a:solidFill>
                <a:schemeClr val="accent1"/>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(ed)'!$H$32:$AJ$32</c:f>
              <c:numCache>
                <c:formatCode>0.0%</c:formatCode>
                <c:ptCount val="29"/>
                <c:pt idx="0">
                  <c:v>1E-3</c:v>
                </c:pt>
                <c:pt idx="1">
                  <c:v>0.01</c:v>
                </c:pt>
                <c:pt idx="2">
                  <c:v>1.9E-2</c:v>
                </c:pt>
                <c:pt idx="3">
                  <c:v>2.9000000000000001E-2</c:v>
                </c:pt>
                <c:pt idx="4">
                  <c:v>5.7000000000000002E-2</c:v>
                </c:pt>
                <c:pt idx="5">
                  <c:v>8.5000000000000006E-2</c:v>
                </c:pt>
                <c:pt idx="6">
                  <c:v>0.114</c:v>
                </c:pt>
                <c:pt idx="7">
                  <c:v>0.14199999999999999</c:v>
                </c:pt>
                <c:pt idx="8">
                  <c:v>0.17100000000000001</c:v>
                </c:pt>
                <c:pt idx="9">
                  <c:v>0.21099999999999999</c:v>
                </c:pt>
                <c:pt idx="10">
                  <c:v>0.251</c:v>
                </c:pt>
                <c:pt idx="11">
                  <c:v>0.29099999999999998</c:v>
                </c:pt>
                <c:pt idx="12">
                  <c:v>0.33200000000000002</c:v>
                </c:pt>
                <c:pt idx="13">
                  <c:v>0.372</c:v>
                </c:pt>
                <c:pt idx="14">
                  <c:v>0.41599999999999998</c:v>
                </c:pt>
                <c:pt idx="15">
                  <c:v>0.46</c:v>
                </c:pt>
                <c:pt idx="16">
                  <c:v>0.505</c:v>
                </c:pt>
                <c:pt idx="17">
                  <c:v>0.54900000000000004</c:v>
                </c:pt>
                <c:pt idx="18">
                  <c:v>0.59299999999999997</c:v>
                </c:pt>
                <c:pt idx="19">
                  <c:v>0.63900000000000001</c:v>
                </c:pt>
                <c:pt idx="20">
                  <c:v>0.68400000000000005</c:v>
                </c:pt>
                <c:pt idx="21">
                  <c:v>0.72899999999999998</c:v>
                </c:pt>
                <c:pt idx="22">
                  <c:v>0.77400000000000002</c:v>
                </c:pt>
                <c:pt idx="23">
                  <c:v>0.82</c:v>
                </c:pt>
                <c:pt idx="24">
                  <c:v>0.84399999999999997</c:v>
                </c:pt>
                <c:pt idx="25">
                  <c:v>0.86699999999999999</c:v>
                </c:pt>
                <c:pt idx="26">
                  <c:v>0.89100000000000001</c:v>
                </c:pt>
                <c:pt idx="27">
                  <c:v>0.91500000000000004</c:v>
                </c:pt>
                <c:pt idx="28">
                  <c:v>0.93899999999999995</c:v>
                </c:pt>
              </c:numCache>
            </c:numRef>
          </c:val>
          <c:smooth val="0"/>
          <c:extLst>
            <c:ext xmlns:c16="http://schemas.microsoft.com/office/drawing/2014/chart" uri="{C3380CC4-5D6E-409C-BE32-E72D297353CC}">
              <c16:uniqueId val="{00000006-3177-4169-913A-224D5CF909A1}"/>
            </c:ext>
          </c:extLst>
        </c:ser>
        <c:dLbls>
          <c:showLegendKey val="0"/>
          <c:showVal val="0"/>
          <c:showCatName val="0"/>
          <c:showSerName val="0"/>
          <c:showPercent val="0"/>
          <c:showBubbleSize val="0"/>
        </c:dLbls>
        <c:smooth val="0"/>
        <c:axId val="2035969226"/>
        <c:axId val="743388548"/>
      </c:lineChart>
      <c:catAx>
        <c:axId val="2035969226"/>
        <c:scaling>
          <c:orientation val="minMax"/>
        </c:scaling>
        <c:delete val="0"/>
        <c:axPos val="b"/>
        <c:title>
          <c:tx>
            <c:rich>
              <a:bodyPr/>
              <a:lstStyle/>
              <a:p>
                <a:pPr lvl="0">
                  <a:defRPr b="0">
                    <a:solidFill>
                      <a:srgbClr val="000000"/>
                    </a:solidFill>
                    <a:latin typeface="+mn-lt"/>
                  </a:defRPr>
                </a:pPr>
                <a:endParaRPr lang="es-EC"/>
              </a:p>
            </c:rich>
          </c:tx>
          <c:overlay val="0"/>
        </c:title>
        <c:numFmt formatCode="General" sourceLinked="1"/>
        <c:majorTickMark val="none"/>
        <c:minorTickMark val="none"/>
        <c:tickLblPos val="nextTo"/>
        <c:txPr>
          <a:bodyPr rot="-5400000"/>
          <a:lstStyle/>
          <a:p>
            <a:pPr lvl="0">
              <a:defRPr sz="900" b="0" i="0">
                <a:solidFill>
                  <a:srgbClr val="000000"/>
                </a:solidFill>
                <a:latin typeface="+mn-lt"/>
              </a:defRPr>
            </a:pPr>
            <a:endParaRPr lang="es-EC"/>
          </a:p>
        </c:txPr>
        <c:crossAx val="743388548"/>
        <c:crosses val="autoZero"/>
        <c:auto val="1"/>
        <c:lblAlgn val="ctr"/>
        <c:lblOffset val="100"/>
        <c:noMultiLvlLbl val="1"/>
      </c:catAx>
      <c:valAx>
        <c:axId val="74338854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EC"/>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s-EC"/>
          </a:p>
        </c:txPr>
        <c:crossAx val="2035969226"/>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s-EC" sz="1400" b="0" i="0">
                <a:solidFill>
                  <a:srgbClr val="757575"/>
                </a:solidFill>
                <a:latin typeface="+mn-lt"/>
              </a:rPr>
              <a:t>Electrificación</a:t>
            </a:r>
          </a:p>
        </c:rich>
      </c:tx>
      <c:overlay val="0"/>
    </c:title>
    <c:autoTitleDeleted val="0"/>
    <c:plotArea>
      <c:layout/>
      <c:lineChart>
        <c:grouping val="standard"/>
        <c:varyColors val="1"/>
        <c:ser>
          <c:idx val="0"/>
          <c:order val="0"/>
          <c:tx>
            <c:v>Carga Liviana</c:v>
          </c:tx>
          <c:spPr>
            <a:ln w="28575" cmpd="sng">
              <a:solidFill>
                <a:schemeClr val="accent1"/>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(ed)'!$H$36:$AJ$36</c:f>
              <c:numCache>
                <c:formatCode>0.0%</c:formatCode>
                <c:ptCount val="29"/>
                <c:pt idx="0">
                  <c:v>4.0000000000000001E-3</c:v>
                </c:pt>
                <c:pt idx="1">
                  <c:v>6.0000000000000001E-3</c:v>
                </c:pt>
                <c:pt idx="2">
                  <c:v>8.0000000000000002E-3</c:v>
                </c:pt>
                <c:pt idx="3">
                  <c:v>0.01</c:v>
                </c:pt>
                <c:pt idx="4">
                  <c:v>1.4E-2</c:v>
                </c:pt>
                <c:pt idx="5">
                  <c:v>1.7999999999999999E-2</c:v>
                </c:pt>
                <c:pt idx="6">
                  <c:v>2.1999999999999999E-2</c:v>
                </c:pt>
                <c:pt idx="7">
                  <c:v>2.5999999999999999E-2</c:v>
                </c:pt>
                <c:pt idx="8">
                  <c:v>0.03</c:v>
                </c:pt>
                <c:pt idx="9">
                  <c:v>3.4000000000000002E-2</c:v>
                </c:pt>
                <c:pt idx="10">
                  <c:v>3.7999999999999999E-2</c:v>
                </c:pt>
                <c:pt idx="11">
                  <c:v>4.2000000000000003E-2</c:v>
                </c:pt>
                <c:pt idx="12">
                  <c:v>4.5999999999999999E-2</c:v>
                </c:pt>
                <c:pt idx="13">
                  <c:v>0.05</c:v>
                </c:pt>
                <c:pt idx="14">
                  <c:v>0.06</c:v>
                </c:pt>
                <c:pt idx="15">
                  <c:v>7.0000000000000007E-2</c:v>
                </c:pt>
                <c:pt idx="16">
                  <c:v>0.08</c:v>
                </c:pt>
                <c:pt idx="17">
                  <c:v>0.09</c:v>
                </c:pt>
                <c:pt idx="18">
                  <c:v>0.1</c:v>
                </c:pt>
                <c:pt idx="19">
                  <c:v>0.14899999999999999</c:v>
                </c:pt>
                <c:pt idx="20">
                  <c:v>0.19800000000000001</c:v>
                </c:pt>
                <c:pt idx="21">
                  <c:v>0.247</c:v>
                </c:pt>
                <c:pt idx="22">
                  <c:v>0.29599999999999999</c:v>
                </c:pt>
                <c:pt idx="23">
                  <c:v>0.34499999999999997</c:v>
                </c:pt>
                <c:pt idx="24">
                  <c:v>0.35599999999999998</c:v>
                </c:pt>
                <c:pt idx="25">
                  <c:v>0.36699999999999999</c:v>
                </c:pt>
                <c:pt idx="26">
                  <c:v>0.378</c:v>
                </c:pt>
                <c:pt idx="27">
                  <c:v>0.38900000000000001</c:v>
                </c:pt>
                <c:pt idx="28">
                  <c:v>0.4</c:v>
                </c:pt>
              </c:numCache>
            </c:numRef>
          </c:val>
          <c:smooth val="0"/>
          <c:extLst>
            <c:ext xmlns:c16="http://schemas.microsoft.com/office/drawing/2014/chart" uri="{C3380CC4-5D6E-409C-BE32-E72D297353CC}">
              <c16:uniqueId val="{00000000-F579-4CC5-ABA8-B823FDE20000}"/>
            </c:ext>
          </c:extLst>
        </c:ser>
        <c:ser>
          <c:idx val="1"/>
          <c:order val="1"/>
          <c:tx>
            <c:v>Carga Mediana</c:v>
          </c:tx>
          <c:spPr>
            <a:ln w="28575" cmpd="sng">
              <a:solidFill>
                <a:schemeClr val="accent2"/>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(ed)'!$H$37:$AJ$37</c:f>
              <c:numCache>
                <c:formatCode>0.0%</c:formatCode>
                <c:ptCount val="29"/>
                <c:pt idx="0">
                  <c:v>0</c:v>
                </c:pt>
                <c:pt idx="1">
                  <c:v>0</c:v>
                </c:pt>
                <c:pt idx="2">
                  <c:v>1E-3</c:v>
                </c:pt>
                <c:pt idx="3">
                  <c:v>1E-3</c:v>
                </c:pt>
                <c:pt idx="4">
                  <c:v>2E-3</c:v>
                </c:pt>
                <c:pt idx="5">
                  <c:v>4.0000000000000001E-3</c:v>
                </c:pt>
                <c:pt idx="6">
                  <c:v>5.0000000000000001E-3</c:v>
                </c:pt>
                <c:pt idx="7">
                  <c:v>7.0000000000000001E-3</c:v>
                </c:pt>
                <c:pt idx="8">
                  <c:v>8.0000000000000002E-3</c:v>
                </c:pt>
                <c:pt idx="9">
                  <c:v>1.2E-2</c:v>
                </c:pt>
                <c:pt idx="10">
                  <c:v>1.6E-2</c:v>
                </c:pt>
                <c:pt idx="11">
                  <c:v>0.02</c:v>
                </c:pt>
                <c:pt idx="12">
                  <c:v>2.4E-2</c:v>
                </c:pt>
                <c:pt idx="13">
                  <c:v>2.8000000000000001E-2</c:v>
                </c:pt>
                <c:pt idx="14">
                  <c:v>3.9E-2</c:v>
                </c:pt>
                <c:pt idx="15">
                  <c:v>4.9000000000000002E-2</c:v>
                </c:pt>
                <c:pt idx="16">
                  <c:v>0.06</c:v>
                </c:pt>
                <c:pt idx="17">
                  <c:v>7.0999999999999994E-2</c:v>
                </c:pt>
                <c:pt idx="18">
                  <c:v>8.2000000000000003E-2</c:v>
                </c:pt>
                <c:pt idx="19">
                  <c:v>9.1999999999999998E-2</c:v>
                </c:pt>
                <c:pt idx="20">
                  <c:v>0.10299999999999999</c:v>
                </c:pt>
                <c:pt idx="21">
                  <c:v>0.113</c:v>
                </c:pt>
                <c:pt idx="22">
                  <c:v>0.123</c:v>
                </c:pt>
                <c:pt idx="23">
                  <c:v>0.13300000000000001</c:v>
                </c:pt>
                <c:pt idx="24">
                  <c:v>0.14499999999999999</c:v>
                </c:pt>
                <c:pt idx="25">
                  <c:v>0.157</c:v>
                </c:pt>
                <c:pt idx="26">
                  <c:v>0.16900000000000001</c:v>
                </c:pt>
                <c:pt idx="27">
                  <c:v>0.18099999999999999</c:v>
                </c:pt>
                <c:pt idx="28">
                  <c:v>0.192</c:v>
                </c:pt>
              </c:numCache>
            </c:numRef>
          </c:val>
          <c:smooth val="0"/>
          <c:extLst>
            <c:ext xmlns:c16="http://schemas.microsoft.com/office/drawing/2014/chart" uri="{C3380CC4-5D6E-409C-BE32-E72D297353CC}">
              <c16:uniqueId val="{00000001-F579-4CC5-ABA8-B823FDE20000}"/>
            </c:ext>
          </c:extLst>
        </c:ser>
        <c:ser>
          <c:idx val="2"/>
          <c:order val="2"/>
          <c:tx>
            <c:v>Carga Pesada</c:v>
          </c:tx>
          <c:spPr>
            <a:ln w="28575" cmpd="sng">
              <a:solidFill>
                <a:schemeClr val="accent3"/>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(ed)'!$H$38:$AJ$38</c:f>
              <c:numCache>
                <c:formatCode>0.0%</c:formatCode>
                <c:ptCount val="29"/>
                <c:pt idx="0">
                  <c:v>0</c:v>
                </c:pt>
                <c:pt idx="1">
                  <c:v>0</c:v>
                </c:pt>
                <c:pt idx="2">
                  <c:v>0</c:v>
                </c:pt>
                <c:pt idx="3">
                  <c:v>1E-3</c:v>
                </c:pt>
                <c:pt idx="4">
                  <c:v>2E-3</c:v>
                </c:pt>
                <c:pt idx="5">
                  <c:v>3.0000000000000001E-3</c:v>
                </c:pt>
                <c:pt idx="6">
                  <c:v>4.0000000000000001E-3</c:v>
                </c:pt>
                <c:pt idx="7">
                  <c:v>6.0000000000000001E-3</c:v>
                </c:pt>
                <c:pt idx="8">
                  <c:v>7.0000000000000001E-3</c:v>
                </c:pt>
                <c:pt idx="9">
                  <c:v>8.0000000000000002E-3</c:v>
                </c:pt>
                <c:pt idx="10">
                  <c:v>0.01</c:v>
                </c:pt>
                <c:pt idx="11">
                  <c:v>1.0999999999999999E-2</c:v>
                </c:pt>
                <c:pt idx="12">
                  <c:v>1.2E-2</c:v>
                </c:pt>
                <c:pt idx="13">
                  <c:v>1.4E-2</c:v>
                </c:pt>
                <c:pt idx="14">
                  <c:v>2.3E-2</c:v>
                </c:pt>
                <c:pt idx="15">
                  <c:v>3.3000000000000002E-2</c:v>
                </c:pt>
                <c:pt idx="16">
                  <c:v>4.2000000000000003E-2</c:v>
                </c:pt>
                <c:pt idx="17">
                  <c:v>5.1999999999999998E-2</c:v>
                </c:pt>
                <c:pt idx="18">
                  <c:v>6.0999999999999999E-2</c:v>
                </c:pt>
                <c:pt idx="19">
                  <c:v>6.4000000000000001E-2</c:v>
                </c:pt>
                <c:pt idx="20">
                  <c:v>6.8000000000000005E-2</c:v>
                </c:pt>
                <c:pt idx="21">
                  <c:v>7.0999999999999994E-2</c:v>
                </c:pt>
                <c:pt idx="22">
                  <c:v>7.4999999999999997E-2</c:v>
                </c:pt>
                <c:pt idx="23">
                  <c:v>7.8E-2</c:v>
                </c:pt>
                <c:pt idx="24">
                  <c:v>8.2000000000000003E-2</c:v>
                </c:pt>
                <c:pt idx="25">
                  <c:v>8.5000000000000006E-2</c:v>
                </c:pt>
                <c:pt idx="26">
                  <c:v>8.7999999999999995E-2</c:v>
                </c:pt>
                <c:pt idx="27">
                  <c:v>9.1999999999999998E-2</c:v>
                </c:pt>
                <c:pt idx="28">
                  <c:v>9.5000000000000001E-2</c:v>
                </c:pt>
              </c:numCache>
            </c:numRef>
          </c:val>
          <c:smooth val="0"/>
          <c:extLst>
            <c:ext xmlns:c16="http://schemas.microsoft.com/office/drawing/2014/chart" uri="{C3380CC4-5D6E-409C-BE32-E72D297353CC}">
              <c16:uniqueId val="{00000002-F579-4CC5-ABA8-B823FDE20000}"/>
            </c:ext>
          </c:extLst>
        </c:ser>
        <c:dLbls>
          <c:showLegendKey val="0"/>
          <c:showVal val="0"/>
          <c:showCatName val="0"/>
          <c:showSerName val="0"/>
          <c:showPercent val="0"/>
          <c:showBubbleSize val="0"/>
        </c:dLbls>
        <c:smooth val="0"/>
        <c:axId val="930871407"/>
        <c:axId val="1489772849"/>
      </c:lineChart>
      <c:catAx>
        <c:axId val="930871407"/>
        <c:scaling>
          <c:orientation val="minMax"/>
        </c:scaling>
        <c:delete val="0"/>
        <c:axPos val="b"/>
        <c:title>
          <c:tx>
            <c:rich>
              <a:bodyPr/>
              <a:lstStyle/>
              <a:p>
                <a:pPr lvl="0">
                  <a:defRPr b="0">
                    <a:solidFill>
                      <a:srgbClr val="000000"/>
                    </a:solidFill>
                    <a:latin typeface="+mn-lt"/>
                  </a:defRPr>
                </a:pPr>
                <a:endParaRPr lang="es-EC"/>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489772849"/>
        <c:crosses val="autoZero"/>
        <c:auto val="1"/>
        <c:lblAlgn val="ctr"/>
        <c:lblOffset val="100"/>
        <c:noMultiLvlLbl val="1"/>
      </c:catAx>
      <c:valAx>
        <c:axId val="148977284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EC"/>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s-EC"/>
          </a:p>
        </c:txPr>
        <c:crossAx val="930871407"/>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Hidrógeno</c:v>
          </c:tx>
          <c:spPr>
            <a:ln w="28575" cmpd="sng">
              <a:solidFill>
                <a:schemeClr val="accent1"/>
              </a:solidFill>
            </a:ln>
          </c:spPr>
          <c:marker>
            <c:symbol val="none"/>
          </c:marker>
          <c:cat>
            <c:numRef>
              <c:f>'Net Zero 2050 (ed)'!$H$1:$AJ$1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'Net Zero 2050 (ed)'!$H$41:$AJ$41</c:f>
              <c:numCache>
                <c:formatCode>0.0%</c:formatCode>
                <c:ptCount val="29"/>
                <c:pt idx="0">
                  <c:v>0</c:v>
                </c:pt>
                <c:pt idx="1">
                  <c:v>0</c:v>
                </c:pt>
                <c:pt idx="2">
                  <c:v>0</c:v>
                </c:pt>
                <c:pt idx="3">
                  <c:v>0</c:v>
                </c:pt>
                <c:pt idx="4">
                  <c:v>0</c:v>
                </c:pt>
                <c:pt idx="5">
                  <c:v>0</c:v>
                </c:pt>
                <c:pt idx="6">
                  <c:v>0</c:v>
                </c:pt>
                <c:pt idx="7">
                  <c:v>0</c:v>
                </c:pt>
                <c:pt idx="8">
                  <c:v>0</c:v>
                </c:pt>
                <c:pt idx="9">
                  <c:v>2E-3</c:v>
                </c:pt>
                <c:pt idx="10">
                  <c:v>4.0000000000000001E-3</c:v>
                </c:pt>
                <c:pt idx="11">
                  <c:v>6.0000000000000001E-3</c:v>
                </c:pt>
                <c:pt idx="12">
                  <c:v>8.0000000000000002E-3</c:v>
                </c:pt>
                <c:pt idx="13">
                  <c:v>0.01</c:v>
                </c:pt>
                <c:pt idx="14">
                  <c:v>1.4E-2</c:v>
                </c:pt>
                <c:pt idx="15">
                  <c:v>1.7999999999999999E-2</c:v>
                </c:pt>
                <c:pt idx="16">
                  <c:v>2.3E-2</c:v>
                </c:pt>
                <c:pt idx="17">
                  <c:v>2.7E-2</c:v>
                </c:pt>
                <c:pt idx="18">
                  <c:v>3.1E-2</c:v>
                </c:pt>
                <c:pt idx="19">
                  <c:v>3.5000000000000003E-2</c:v>
                </c:pt>
                <c:pt idx="20">
                  <c:v>3.9E-2</c:v>
                </c:pt>
                <c:pt idx="21">
                  <c:v>4.2999999999999997E-2</c:v>
                </c:pt>
                <c:pt idx="22">
                  <c:v>4.7E-2</c:v>
                </c:pt>
                <c:pt idx="23">
                  <c:v>5.0999999999999997E-2</c:v>
                </c:pt>
                <c:pt idx="24">
                  <c:v>5.5E-2</c:v>
                </c:pt>
                <c:pt idx="25">
                  <c:v>5.8999999999999997E-2</c:v>
                </c:pt>
                <c:pt idx="26">
                  <c:v>6.3E-2</c:v>
                </c:pt>
                <c:pt idx="27">
                  <c:v>6.7000000000000004E-2</c:v>
                </c:pt>
                <c:pt idx="28">
                  <c:v>7.0999999999999994E-2</c:v>
                </c:pt>
              </c:numCache>
            </c:numRef>
          </c:val>
          <c:smooth val="0"/>
          <c:extLst>
            <c:ext xmlns:c16="http://schemas.microsoft.com/office/drawing/2014/chart" uri="{C3380CC4-5D6E-409C-BE32-E72D297353CC}">
              <c16:uniqueId val="{00000000-E843-4117-B8FB-528F3DC51170}"/>
            </c:ext>
          </c:extLst>
        </c:ser>
        <c:dLbls>
          <c:showLegendKey val="0"/>
          <c:showVal val="0"/>
          <c:showCatName val="0"/>
          <c:showSerName val="0"/>
          <c:showPercent val="0"/>
          <c:showBubbleSize val="0"/>
        </c:dLbls>
        <c:smooth val="0"/>
        <c:axId val="1237677757"/>
        <c:axId val="237895686"/>
      </c:lineChart>
      <c:catAx>
        <c:axId val="1237677757"/>
        <c:scaling>
          <c:orientation val="minMax"/>
        </c:scaling>
        <c:delete val="0"/>
        <c:axPos val="b"/>
        <c:title>
          <c:tx>
            <c:rich>
              <a:bodyPr/>
              <a:lstStyle/>
              <a:p>
                <a:pPr lvl="0">
                  <a:defRPr b="0">
                    <a:solidFill>
                      <a:srgbClr val="000000"/>
                    </a:solidFill>
                    <a:latin typeface="+mn-lt"/>
                  </a:defRPr>
                </a:pPr>
                <a:endParaRPr lang="es-EC"/>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237895686"/>
        <c:crosses val="autoZero"/>
        <c:auto val="1"/>
        <c:lblAlgn val="ctr"/>
        <c:lblOffset val="100"/>
        <c:noMultiLvlLbl val="1"/>
      </c:catAx>
      <c:valAx>
        <c:axId val="2378956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EC"/>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s-EC"/>
          </a:p>
        </c:txPr>
        <c:crossAx val="1237677757"/>
        <c:crosses val="autoZero"/>
        <c:crossBetween val="between"/>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image" Target="../media/image1.png"/><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5.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7.png"/><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12.xml"/><Relationship Id="rId7" Type="http://schemas.openxmlformats.org/officeDocument/2006/relationships/image" Target="../media/image3.pn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png"/><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40</xdr:col>
      <xdr:colOff>180975</xdr:colOff>
      <xdr:row>11</xdr:row>
      <xdr:rowOff>57150</xdr:rowOff>
    </xdr:from>
    <xdr:ext cx="4457700" cy="2781300"/>
    <xdr:graphicFrame macro="">
      <xdr:nvGraphicFramePr>
        <xdr:cNvPr id="1729997578" name="Chart 1">
          <a:extLst>
            <a:ext uri="{FF2B5EF4-FFF2-40B4-BE49-F238E27FC236}">
              <a16:creationId xmlns:a16="http://schemas.microsoft.com/office/drawing/2014/main" id="{00000000-0008-0000-0000-00000AAB1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107</xdr:col>
      <xdr:colOff>781050</xdr:colOff>
      <xdr:row>61</xdr:row>
      <xdr:rowOff>161925</xdr:rowOff>
    </xdr:from>
    <xdr:ext cx="4410075" cy="2762250"/>
    <xdr:graphicFrame macro="">
      <xdr:nvGraphicFramePr>
        <xdr:cNvPr id="1627358035" name="Chart 2">
          <a:extLst>
            <a:ext uri="{FF2B5EF4-FFF2-40B4-BE49-F238E27FC236}">
              <a16:creationId xmlns:a16="http://schemas.microsoft.com/office/drawing/2014/main" id="{00000000-0008-0000-0200-00005383FF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112</xdr:col>
      <xdr:colOff>447675</xdr:colOff>
      <xdr:row>61</xdr:row>
      <xdr:rowOff>142875</xdr:rowOff>
    </xdr:from>
    <xdr:ext cx="4410075" cy="2762250"/>
    <xdr:graphicFrame macro="">
      <xdr:nvGraphicFramePr>
        <xdr:cNvPr id="1360246956" name="Chart 3">
          <a:extLst>
            <a:ext uri="{FF2B5EF4-FFF2-40B4-BE49-F238E27FC236}">
              <a16:creationId xmlns:a16="http://schemas.microsoft.com/office/drawing/2014/main" id="{00000000-0008-0000-0200-0000ACB81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103</xdr:col>
      <xdr:colOff>542925</xdr:colOff>
      <xdr:row>61</xdr:row>
      <xdr:rowOff>47625</xdr:rowOff>
    </xdr:from>
    <xdr:ext cx="4410075" cy="2752725"/>
    <xdr:graphicFrame macro="">
      <xdr:nvGraphicFramePr>
        <xdr:cNvPr id="5479005" name="Chart 4">
          <a:extLst>
            <a:ext uri="{FF2B5EF4-FFF2-40B4-BE49-F238E27FC236}">
              <a16:creationId xmlns:a16="http://schemas.microsoft.com/office/drawing/2014/main" id="{00000000-0008-0000-0200-00005D9A5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97</xdr:col>
      <xdr:colOff>723900</xdr:colOff>
      <xdr:row>62</xdr:row>
      <xdr:rowOff>95250</xdr:rowOff>
    </xdr:from>
    <xdr:ext cx="4410075" cy="2752725"/>
    <xdr:graphicFrame macro="">
      <xdr:nvGraphicFramePr>
        <xdr:cNvPr id="1171224107" name="Chart 5">
          <a:extLst>
            <a:ext uri="{FF2B5EF4-FFF2-40B4-BE49-F238E27FC236}">
              <a16:creationId xmlns:a16="http://schemas.microsoft.com/office/drawing/2014/main" id="{00000000-0008-0000-0200-00002B76CF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9525</xdr:colOff>
      <xdr:row>76</xdr:row>
      <xdr:rowOff>9525</xdr:rowOff>
    </xdr:from>
    <xdr:ext cx="7562850" cy="22002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2045970</xdr:colOff>
      <xdr:row>130</xdr:row>
      <xdr:rowOff>20955</xdr:rowOff>
    </xdr:from>
    <xdr:ext cx="6162675" cy="2771775"/>
    <xdr:graphicFrame macro="">
      <xdr:nvGraphicFramePr>
        <xdr:cNvPr id="205844927" name="Chart 6">
          <a:extLst>
            <a:ext uri="{FF2B5EF4-FFF2-40B4-BE49-F238E27FC236}">
              <a16:creationId xmlns:a16="http://schemas.microsoft.com/office/drawing/2014/main" id="{00000000-0008-0000-0300-0000BFF14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152400</xdr:colOff>
      <xdr:row>165</xdr:row>
      <xdr:rowOff>19050</xdr:rowOff>
    </xdr:from>
    <xdr:ext cx="4476750" cy="2838450"/>
    <xdr:graphicFrame macro="">
      <xdr:nvGraphicFramePr>
        <xdr:cNvPr id="1142272953" name="Chart 7">
          <a:extLst>
            <a:ext uri="{FF2B5EF4-FFF2-40B4-BE49-F238E27FC236}">
              <a16:creationId xmlns:a16="http://schemas.microsoft.com/office/drawing/2014/main" id="{00000000-0008-0000-0300-0000B9B31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108</xdr:col>
      <xdr:colOff>971550</xdr:colOff>
      <xdr:row>55</xdr:row>
      <xdr:rowOff>133350</xdr:rowOff>
    </xdr:from>
    <xdr:ext cx="4429125" cy="2924175"/>
    <xdr:graphicFrame macro="">
      <xdr:nvGraphicFramePr>
        <xdr:cNvPr id="958666217" name="Chart 8">
          <a:extLst>
            <a:ext uri="{FF2B5EF4-FFF2-40B4-BE49-F238E27FC236}">
              <a16:creationId xmlns:a16="http://schemas.microsoft.com/office/drawing/2014/main" id="{00000000-0008-0000-0300-0000E91524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1857375</xdr:colOff>
      <xdr:row>120</xdr:row>
      <xdr:rowOff>0</xdr:rowOff>
    </xdr:from>
    <xdr:ext cx="6010275" cy="6610350"/>
    <xdr:grpSp>
      <xdr:nvGrpSpPr>
        <xdr:cNvPr id="2" name="Shape 2">
          <a:extLst>
            <a:ext uri="{FF2B5EF4-FFF2-40B4-BE49-F238E27FC236}">
              <a16:creationId xmlns:a16="http://schemas.microsoft.com/office/drawing/2014/main" id="{00000000-0008-0000-0300-000002000000}"/>
            </a:ext>
          </a:extLst>
        </xdr:cNvPr>
        <xdr:cNvGrpSpPr/>
      </xdr:nvGrpSpPr>
      <xdr:grpSpPr>
        <a:xfrm>
          <a:off x="1857375" y="21031200"/>
          <a:ext cx="6010275" cy="6610350"/>
          <a:chOff x="2340863" y="474825"/>
          <a:chExt cx="6010275" cy="6610350"/>
        </a:xfrm>
      </xdr:grpSpPr>
      <xdr:grpSp>
        <xdr:nvGrpSpPr>
          <xdr:cNvPr id="3" name="Shape 3">
            <a:extLst>
              <a:ext uri="{FF2B5EF4-FFF2-40B4-BE49-F238E27FC236}">
                <a16:creationId xmlns:a16="http://schemas.microsoft.com/office/drawing/2014/main" id="{00000000-0008-0000-0300-000003000000}"/>
              </a:ext>
            </a:extLst>
          </xdr:cNvPr>
          <xdr:cNvGrpSpPr/>
        </xdr:nvGrpSpPr>
        <xdr:grpSpPr>
          <a:xfrm>
            <a:off x="2340863" y="474825"/>
            <a:ext cx="6010275" cy="6610350"/>
            <a:chOff x="2340863" y="474825"/>
            <a:chExt cx="6010275" cy="661035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2340863" y="474825"/>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300-000005000000}"/>
                </a:ext>
              </a:extLst>
            </xdr:cNvPr>
            <xdr:cNvGrpSpPr/>
          </xdr:nvGrpSpPr>
          <xdr:grpSpPr>
            <a:xfrm>
              <a:off x="2340863" y="474825"/>
              <a:ext cx="6010275" cy="6610350"/>
              <a:chOff x="2340863" y="474825"/>
              <a:chExt cx="6010275" cy="6610350"/>
            </a:xfrm>
          </xdr:grpSpPr>
          <xdr:sp macro="" textlink="">
            <xdr:nvSpPr>
              <xdr:cNvPr id="6" name="Shape 6">
                <a:extLst>
                  <a:ext uri="{FF2B5EF4-FFF2-40B4-BE49-F238E27FC236}">
                    <a16:creationId xmlns:a16="http://schemas.microsoft.com/office/drawing/2014/main" id="{00000000-0008-0000-0300-000006000000}"/>
                  </a:ext>
                </a:extLst>
              </xdr:cNvPr>
              <xdr:cNvSpPr/>
            </xdr:nvSpPr>
            <xdr:spPr>
              <a:xfrm>
                <a:off x="2340863" y="474825"/>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7" name="Shape 7">
                <a:extLst>
                  <a:ext uri="{FF2B5EF4-FFF2-40B4-BE49-F238E27FC236}">
                    <a16:creationId xmlns:a16="http://schemas.microsoft.com/office/drawing/2014/main" id="{00000000-0008-0000-0300-000007000000}"/>
                  </a:ext>
                </a:extLst>
              </xdr:cNvPr>
              <xdr:cNvGrpSpPr/>
            </xdr:nvGrpSpPr>
            <xdr:grpSpPr>
              <a:xfrm>
                <a:off x="2340863" y="474825"/>
                <a:ext cx="6010275" cy="6610350"/>
                <a:chOff x="2340863" y="474825"/>
                <a:chExt cx="6010275" cy="6610350"/>
              </a:xfrm>
            </xdr:grpSpPr>
            <xdr:sp macro="" textlink="">
              <xdr:nvSpPr>
                <xdr:cNvPr id="8" name="Shape 8">
                  <a:extLst>
                    <a:ext uri="{FF2B5EF4-FFF2-40B4-BE49-F238E27FC236}">
                      <a16:creationId xmlns:a16="http://schemas.microsoft.com/office/drawing/2014/main" id="{00000000-0008-0000-0300-000008000000}"/>
                    </a:ext>
                  </a:extLst>
                </xdr:cNvPr>
                <xdr:cNvSpPr/>
              </xdr:nvSpPr>
              <xdr:spPr>
                <a:xfrm>
                  <a:off x="2340863" y="474825"/>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9" name="Shape 9">
                  <a:extLst>
                    <a:ext uri="{FF2B5EF4-FFF2-40B4-BE49-F238E27FC236}">
                      <a16:creationId xmlns:a16="http://schemas.microsoft.com/office/drawing/2014/main" id="{00000000-0008-0000-0300-000009000000}"/>
                    </a:ext>
                  </a:extLst>
                </xdr:cNvPr>
                <xdr:cNvGrpSpPr/>
              </xdr:nvGrpSpPr>
              <xdr:grpSpPr>
                <a:xfrm>
                  <a:off x="2340863" y="474825"/>
                  <a:ext cx="6010275" cy="6610350"/>
                  <a:chOff x="2340863" y="474825"/>
                  <a:chExt cx="6010275" cy="6610350"/>
                </a:xfrm>
              </xdr:grpSpPr>
              <xdr:sp macro="" textlink="">
                <xdr:nvSpPr>
                  <xdr:cNvPr id="10" name="Shape 10">
                    <a:extLst>
                      <a:ext uri="{FF2B5EF4-FFF2-40B4-BE49-F238E27FC236}">
                        <a16:creationId xmlns:a16="http://schemas.microsoft.com/office/drawing/2014/main" id="{00000000-0008-0000-0300-00000A000000}"/>
                      </a:ext>
                    </a:extLst>
                  </xdr:cNvPr>
                  <xdr:cNvSpPr/>
                </xdr:nvSpPr>
                <xdr:spPr>
                  <a:xfrm>
                    <a:off x="2340863" y="474825"/>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1" name="Shape 11">
                    <a:extLst>
                      <a:ext uri="{FF2B5EF4-FFF2-40B4-BE49-F238E27FC236}">
                        <a16:creationId xmlns:a16="http://schemas.microsoft.com/office/drawing/2014/main" id="{00000000-0008-0000-0300-00000B000000}"/>
                      </a:ext>
                    </a:extLst>
                  </xdr:cNvPr>
                  <xdr:cNvGrpSpPr/>
                </xdr:nvGrpSpPr>
                <xdr:grpSpPr>
                  <a:xfrm>
                    <a:off x="2340863" y="474825"/>
                    <a:ext cx="6010275" cy="6610350"/>
                    <a:chOff x="2340863" y="474825"/>
                    <a:chExt cx="6010275" cy="6610350"/>
                  </a:xfrm>
                </xdr:grpSpPr>
                <xdr:sp macro="" textlink="">
                  <xdr:nvSpPr>
                    <xdr:cNvPr id="12" name="Shape 12">
                      <a:extLst>
                        <a:ext uri="{FF2B5EF4-FFF2-40B4-BE49-F238E27FC236}">
                          <a16:creationId xmlns:a16="http://schemas.microsoft.com/office/drawing/2014/main" id="{00000000-0008-0000-0300-00000C000000}"/>
                        </a:ext>
                      </a:extLst>
                    </xdr:cNvPr>
                    <xdr:cNvSpPr/>
                  </xdr:nvSpPr>
                  <xdr:spPr>
                    <a:xfrm>
                      <a:off x="2340863" y="474825"/>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3" name="Shape 13">
                      <a:extLst>
                        <a:ext uri="{FF2B5EF4-FFF2-40B4-BE49-F238E27FC236}">
                          <a16:creationId xmlns:a16="http://schemas.microsoft.com/office/drawing/2014/main" id="{00000000-0008-0000-0300-00000D000000}"/>
                        </a:ext>
                      </a:extLst>
                    </xdr:cNvPr>
                    <xdr:cNvGrpSpPr/>
                  </xdr:nvGrpSpPr>
                  <xdr:grpSpPr>
                    <a:xfrm>
                      <a:off x="2340863" y="474825"/>
                      <a:ext cx="6010275" cy="6610350"/>
                      <a:chOff x="2340863" y="474824"/>
                      <a:chExt cx="6010275" cy="6610351"/>
                    </a:xfrm>
                  </xdr:grpSpPr>
                  <xdr:sp macro="" textlink="">
                    <xdr:nvSpPr>
                      <xdr:cNvPr id="14" name="Shape 14">
                        <a:extLst>
                          <a:ext uri="{FF2B5EF4-FFF2-40B4-BE49-F238E27FC236}">
                            <a16:creationId xmlns:a16="http://schemas.microsoft.com/office/drawing/2014/main" id="{00000000-0008-0000-0300-00000E000000}"/>
                          </a:ext>
                        </a:extLst>
                      </xdr:cNvPr>
                      <xdr:cNvSpPr/>
                    </xdr:nvSpPr>
                    <xdr:spPr>
                      <a:xfrm>
                        <a:off x="2340863" y="474824"/>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5" name="Shape 15">
                        <a:extLst>
                          <a:ext uri="{FF2B5EF4-FFF2-40B4-BE49-F238E27FC236}">
                            <a16:creationId xmlns:a16="http://schemas.microsoft.com/office/drawing/2014/main" id="{00000000-0008-0000-0300-00000F000000}"/>
                          </a:ext>
                        </a:extLst>
                      </xdr:cNvPr>
                      <xdr:cNvGrpSpPr/>
                    </xdr:nvGrpSpPr>
                    <xdr:grpSpPr>
                      <a:xfrm>
                        <a:off x="2340863" y="474824"/>
                        <a:ext cx="6010275" cy="6610351"/>
                        <a:chOff x="2340863" y="474823"/>
                        <a:chExt cx="6010275" cy="6610351"/>
                      </a:xfrm>
                    </xdr:grpSpPr>
                    <xdr:sp macro="" textlink="">
                      <xdr:nvSpPr>
                        <xdr:cNvPr id="16" name="Shape 16">
                          <a:extLst>
                            <a:ext uri="{FF2B5EF4-FFF2-40B4-BE49-F238E27FC236}">
                              <a16:creationId xmlns:a16="http://schemas.microsoft.com/office/drawing/2014/main" id="{00000000-0008-0000-0300-000010000000}"/>
                            </a:ext>
                          </a:extLst>
                        </xdr:cNvPr>
                        <xdr:cNvSpPr/>
                      </xdr:nvSpPr>
                      <xdr:spPr>
                        <a:xfrm>
                          <a:off x="2340863" y="474824"/>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7" name="Shape 17">
                          <a:extLst>
                            <a:ext uri="{FF2B5EF4-FFF2-40B4-BE49-F238E27FC236}">
                              <a16:creationId xmlns:a16="http://schemas.microsoft.com/office/drawing/2014/main" id="{00000000-0008-0000-0300-000011000000}"/>
                            </a:ext>
                          </a:extLst>
                        </xdr:cNvPr>
                        <xdr:cNvGrpSpPr/>
                      </xdr:nvGrpSpPr>
                      <xdr:grpSpPr>
                        <a:xfrm>
                          <a:off x="2340863" y="474823"/>
                          <a:ext cx="6010275" cy="6610350"/>
                          <a:chOff x="1859937" y="14625484"/>
                          <a:chExt cx="6122253" cy="6291375"/>
                        </a:xfrm>
                      </xdr:grpSpPr>
                      <xdr:sp macro="" textlink="">
                        <xdr:nvSpPr>
                          <xdr:cNvPr id="18" name="Shape 18">
                            <a:extLst>
                              <a:ext uri="{FF2B5EF4-FFF2-40B4-BE49-F238E27FC236}">
                                <a16:creationId xmlns:a16="http://schemas.microsoft.com/office/drawing/2014/main" id="{00000000-0008-0000-0300-000012000000}"/>
                              </a:ext>
                            </a:extLst>
                          </xdr:cNvPr>
                          <xdr:cNvSpPr/>
                        </xdr:nvSpPr>
                        <xdr:spPr>
                          <a:xfrm>
                            <a:off x="1859937" y="14625484"/>
                            <a:ext cx="6122250" cy="6291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19" name="Shape 19">
                            <a:extLst>
                              <a:ext uri="{FF2B5EF4-FFF2-40B4-BE49-F238E27FC236}">
                                <a16:creationId xmlns:a16="http://schemas.microsoft.com/office/drawing/2014/main" id="{00000000-0008-0000-0300-000013000000}"/>
                              </a:ext>
                            </a:extLst>
                          </xdr:cNvPr>
                          <xdr:cNvPicPr preferRelativeResize="0"/>
                        </xdr:nvPicPr>
                        <xdr:blipFill rotWithShape="1">
                          <a:blip xmlns:r="http://schemas.openxmlformats.org/officeDocument/2006/relationships" r:embed="rId4">
                            <a:alphaModFix/>
                          </a:blip>
                          <a:srcRect/>
                          <a:stretch/>
                        </xdr:blipFill>
                        <xdr:spPr>
                          <a:xfrm>
                            <a:off x="1900903" y="14625484"/>
                            <a:ext cx="6081287" cy="2232853"/>
                          </a:xfrm>
                          <a:prstGeom prst="rect">
                            <a:avLst/>
                          </a:prstGeom>
                          <a:noFill/>
                          <a:ln>
                            <a:noFill/>
                          </a:ln>
                        </xdr:spPr>
                      </xdr:pic>
                      <xdr:pic>
                        <xdr:nvPicPr>
                          <xdr:cNvPr id="20" name="Shape 20">
                            <a:extLst>
                              <a:ext uri="{FF2B5EF4-FFF2-40B4-BE49-F238E27FC236}">
                                <a16:creationId xmlns:a16="http://schemas.microsoft.com/office/drawing/2014/main" id="{00000000-0008-0000-0300-000014000000}"/>
                              </a:ext>
                            </a:extLst>
                          </xdr:cNvPr>
                          <xdr:cNvPicPr preferRelativeResize="0"/>
                        </xdr:nvPicPr>
                        <xdr:blipFill rotWithShape="1">
                          <a:blip xmlns:r="http://schemas.openxmlformats.org/officeDocument/2006/relationships" r:embed="rId5">
                            <a:alphaModFix/>
                          </a:blip>
                          <a:srcRect t="1344"/>
                          <a:stretch/>
                        </xdr:blipFill>
                        <xdr:spPr>
                          <a:xfrm>
                            <a:off x="1859937" y="16706644"/>
                            <a:ext cx="5860288" cy="4210216"/>
                          </a:xfrm>
                          <a:prstGeom prst="rect">
                            <a:avLst/>
                          </a:prstGeom>
                          <a:noFill/>
                          <a:ln>
                            <a:noFill/>
                          </a:ln>
                        </xdr:spPr>
                      </xdr:pic>
                    </xdr:grpSp>
                  </xdr:grpSp>
                </xdr:grpSp>
              </xdr:grpSp>
            </xdr:grpSp>
          </xdr:grpSp>
        </xdr:grpSp>
      </xdr:grpSp>
    </xdr:grpSp>
    <xdr:clientData fLocksWithSheet="0"/>
  </xdr:oneCellAnchor>
  <xdr:oneCellAnchor>
    <xdr:from>
      <xdr:col>72</xdr:col>
      <xdr:colOff>571500</xdr:colOff>
      <xdr:row>34</xdr:row>
      <xdr:rowOff>76200</xdr:rowOff>
    </xdr:from>
    <xdr:ext cx="4324350" cy="1628775"/>
    <xdr:grpSp>
      <xdr:nvGrpSpPr>
        <xdr:cNvPr id="21" name="Shape 2">
          <a:extLst>
            <a:ext uri="{FF2B5EF4-FFF2-40B4-BE49-F238E27FC236}">
              <a16:creationId xmlns:a16="http://schemas.microsoft.com/office/drawing/2014/main" id="{00000000-0008-0000-0300-000015000000}"/>
            </a:ext>
          </a:extLst>
        </xdr:cNvPr>
        <xdr:cNvGrpSpPr/>
      </xdr:nvGrpSpPr>
      <xdr:grpSpPr>
        <a:xfrm>
          <a:off x="80695800" y="6035040"/>
          <a:ext cx="4324350" cy="1628775"/>
          <a:chOff x="3183825" y="2965613"/>
          <a:chExt cx="4324350" cy="1628775"/>
        </a:xfrm>
      </xdr:grpSpPr>
      <xdr:grpSp>
        <xdr:nvGrpSpPr>
          <xdr:cNvPr id="22" name="Shape 21">
            <a:extLst>
              <a:ext uri="{FF2B5EF4-FFF2-40B4-BE49-F238E27FC236}">
                <a16:creationId xmlns:a16="http://schemas.microsoft.com/office/drawing/2014/main" id="{00000000-0008-0000-0300-000016000000}"/>
              </a:ext>
            </a:extLst>
          </xdr:cNvPr>
          <xdr:cNvGrpSpPr/>
        </xdr:nvGrpSpPr>
        <xdr:grpSpPr>
          <a:xfrm>
            <a:off x="3183825" y="2965613"/>
            <a:ext cx="4324350" cy="1628775"/>
            <a:chOff x="3183825" y="2965613"/>
            <a:chExt cx="4324350" cy="1628775"/>
          </a:xfrm>
        </xdr:grpSpPr>
        <xdr:sp macro="" textlink="">
          <xdr:nvSpPr>
            <xdr:cNvPr id="23" name="Shape 4">
              <a:extLst>
                <a:ext uri="{FF2B5EF4-FFF2-40B4-BE49-F238E27FC236}">
                  <a16:creationId xmlns:a16="http://schemas.microsoft.com/office/drawing/2014/main" id="{00000000-0008-0000-0300-000017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300-000018000000}"/>
                </a:ext>
              </a:extLst>
            </xdr:cNvPr>
            <xdr:cNvGrpSpPr/>
          </xdr:nvGrpSpPr>
          <xdr:grpSpPr>
            <a:xfrm>
              <a:off x="3183825" y="2965613"/>
              <a:ext cx="4324350" cy="1628775"/>
              <a:chOff x="3183825" y="2965613"/>
              <a:chExt cx="4324350" cy="1628775"/>
            </a:xfrm>
          </xdr:grpSpPr>
          <xdr:sp macro="" textlink="">
            <xdr:nvSpPr>
              <xdr:cNvPr id="25" name="Shape 23">
                <a:extLst>
                  <a:ext uri="{FF2B5EF4-FFF2-40B4-BE49-F238E27FC236}">
                    <a16:creationId xmlns:a16="http://schemas.microsoft.com/office/drawing/2014/main" id="{00000000-0008-0000-0300-000019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6" name="Shape 24">
                <a:extLst>
                  <a:ext uri="{FF2B5EF4-FFF2-40B4-BE49-F238E27FC236}">
                    <a16:creationId xmlns:a16="http://schemas.microsoft.com/office/drawing/2014/main" id="{00000000-0008-0000-0300-00001A000000}"/>
                  </a:ext>
                </a:extLst>
              </xdr:cNvPr>
              <xdr:cNvGrpSpPr/>
            </xdr:nvGrpSpPr>
            <xdr:grpSpPr>
              <a:xfrm>
                <a:off x="3183825" y="2965613"/>
                <a:ext cx="4324350" cy="1628775"/>
                <a:chOff x="3183825" y="2965613"/>
                <a:chExt cx="4324350" cy="1628775"/>
              </a:xfrm>
            </xdr:grpSpPr>
            <xdr:sp macro="" textlink="">
              <xdr:nvSpPr>
                <xdr:cNvPr id="27" name="Shape 25">
                  <a:extLst>
                    <a:ext uri="{FF2B5EF4-FFF2-40B4-BE49-F238E27FC236}">
                      <a16:creationId xmlns:a16="http://schemas.microsoft.com/office/drawing/2014/main" id="{00000000-0008-0000-0300-00001B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8" name="Shape 26">
                  <a:extLst>
                    <a:ext uri="{FF2B5EF4-FFF2-40B4-BE49-F238E27FC236}">
                      <a16:creationId xmlns:a16="http://schemas.microsoft.com/office/drawing/2014/main" id="{00000000-0008-0000-0300-00001C000000}"/>
                    </a:ext>
                  </a:extLst>
                </xdr:cNvPr>
                <xdr:cNvGrpSpPr/>
              </xdr:nvGrpSpPr>
              <xdr:grpSpPr>
                <a:xfrm>
                  <a:off x="3183825" y="2965613"/>
                  <a:ext cx="4324350" cy="1628775"/>
                  <a:chOff x="3183825" y="2965613"/>
                  <a:chExt cx="4324350" cy="1628775"/>
                </a:xfrm>
              </xdr:grpSpPr>
              <xdr:sp macro="" textlink="">
                <xdr:nvSpPr>
                  <xdr:cNvPr id="29" name="Shape 27">
                    <a:extLst>
                      <a:ext uri="{FF2B5EF4-FFF2-40B4-BE49-F238E27FC236}">
                        <a16:creationId xmlns:a16="http://schemas.microsoft.com/office/drawing/2014/main" id="{00000000-0008-0000-0300-00001D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30" name="Shape 28">
                    <a:extLst>
                      <a:ext uri="{FF2B5EF4-FFF2-40B4-BE49-F238E27FC236}">
                        <a16:creationId xmlns:a16="http://schemas.microsoft.com/office/drawing/2014/main" id="{00000000-0008-0000-0300-00001E000000}"/>
                      </a:ext>
                    </a:extLst>
                  </xdr:cNvPr>
                  <xdr:cNvGrpSpPr/>
                </xdr:nvGrpSpPr>
                <xdr:grpSpPr>
                  <a:xfrm>
                    <a:off x="3183825" y="2965613"/>
                    <a:ext cx="4324350" cy="1628775"/>
                    <a:chOff x="3183825" y="2965613"/>
                    <a:chExt cx="4324350" cy="1628775"/>
                  </a:xfrm>
                </xdr:grpSpPr>
                <xdr:sp macro="" textlink="">
                  <xdr:nvSpPr>
                    <xdr:cNvPr id="31" name="Shape 29">
                      <a:extLst>
                        <a:ext uri="{FF2B5EF4-FFF2-40B4-BE49-F238E27FC236}">
                          <a16:creationId xmlns:a16="http://schemas.microsoft.com/office/drawing/2014/main" id="{00000000-0008-0000-0300-00001F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32" name="Shape 30">
                      <a:extLst>
                        <a:ext uri="{FF2B5EF4-FFF2-40B4-BE49-F238E27FC236}">
                          <a16:creationId xmlns:a16="http://schemas.microsoft.com/office/drawing/2014/main" id="{00000000-0008-0000-0300-000020000000}"/>
                        </a:ext>
                      </a:extLst>
                    </xdr:cNvPr>
                    <xdr:cNvGrpSpPr/>
                  </xdr:nvGrpSpPr>
                  <xdr:grpSpPr>
                    <a:xfrm>
                      <a:off x="3183825" y="2965613"/>
                      <a:ext cx="4324350" cy="1628775"/>
                      <a:chOff x="3183825" y="2965613"/>
                      <a:chExt cx="4324350" cy="1628775"/>
                    </a:xfrm>
                  </xdr:grpSpPr>
                  <xdr:sp macro="" textlink="">
                    <xdr:nvSpPr>
                      <xdr:cNvPr id="33" name="Shape 31">
                        <a:extLst>
                          <a:ext uri="{FF2B5EF4-FFF2-40B4-BE49-F238E27FC236}">
                            <a16:creationId xmlns:a16="http://schemas.microsoft.com/office/drawing/2014/main" id="{00000000-0008-0000-0300-000021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34" name="Shape 32">
                        <a:extLst>
                          <a:ext uri="{FF2B5EF4-FFF2-40B4-BE49-F238E27FC236}">
                            <a16:creationId xmlns:a16="http://schemas.microsoft.com/office/drawing/2014/main" id="{00000000-0008-0000-0300-000022000000}"/>
                          </a:ext>
                        </a:extLst>
                      </xdr:cNvPr>
                      <xdr:cNvGrpSpPr/>
                    </xdr:nvGrpSpPr>
                    <xdr:grpSpPr>
                      <a:xfrm>
                        <a:off x="3183825" y="2965613"/>
                        <a:ext cx="4324350" cy="1628775"/>
                        <a:chOff x="3183823" y="2965614"/>
                        <a:chExt cx="4324351" cy="1628775"/>
                      </a:xfrm>
                    </xdr:grpSpPr>
                    <xdr:sp macro="" textlink="">
                      <xdr:nvSpPr>
                        <xdr:cNvPr id="35" name="Shape 33">
                          <a:extLst>
                            <a:ext uri="{FF2B5EF4-FFF2-40B4-BE49-F238E27FC236}">
                              <a16:creationId xmlns:a16="http://schemas.microsoft.com/office/drawing/2014/main" id="{00000000-0008-0000-0300-000023000000}"/>
                            </a:ext>
                          </a:extLst>
                        </xdr:cNvPr>
                        <xdr:cNvSpPr/>
                      </xdr:nvSpPr>
                      <xdr:spPr>
                        <a:xfrm>
                          <a:off x="3183823" y="2965614"/>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36" name="Shape 34">
                          <a:extLst>
                            <a:ext uri="{FF2B5EF4-FFF2-40B4-BE49-F238E27FC236}">
                              <a16:creationId xmlns:a16="http://schemas.microsoft.com/office/drawing/2014/main" id="{00000000-0008-0000-0300-000024000000}"/>
                            </a:ext>
                          </a:extLst>
                        </xdr:cNvPr>
                        <xdr:cNvGrpSpPr/>
                      </xdr:nvGrpSpPr>
                      <xdr:grpSpPr>
                        <a:xfrm>
                          <a:off x="3183823" y="2965614"/>
                          <a:ext cx="4324351" cy="1628775"/>
                          <a:chOff x="52974875" y="6381644"/>
                          <a:chExt cx="4429125" cy="1580101"/>
                        </a:xfrm>
                      </xdr:grpSpPr>
                      <xdr:sp macro="" textlink="">
                        <xdr:nvSpPr>
                          <xdr:cNvPr id="37" name="Shape 35">
                            <a:extLst>
                              <a:ext uri="{FF2B5EF4-FFF2-40B4-BE49-F238E27FC236}">
                                <a16:creationId xmlns:a16="http://schemas.microsoft.com/office/drawing/2014/main" id="{00000000-0008-0000-0300-000025000000}"/>
                              </a:ext>
                            </a:extLst>
                          </xdr:cNvPr>
                          <xdr:cNvSpPr/>
                        </xdr:nvSpPr>
                        <xdr:spPr>
                          <a:xfrm>
                            <a:off x="52974875" y="6381644"/>
                            <a:ext cx="4429100" cy="1580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38" name="Shape 36">
                            <a:extLst>
                              <a:ext uri="{FF2B5EF4-FFF2-40B4-BE49-F238E27FC236}">
                                <a16:creationId xmlns:a16="http://schemas.microsoft.com/office/drawing/2014/main" id="{00000000-0008-0000-0300-000026000000}"/>
                              </a:ext>
                            </a:extLst>
                          </xdr:cNvPr>
                          <xdr:cNvPicPr preferRelativeResize="0"/>
                        </xdr:nvPicPr>
                        <xdr:blipFill rotWithShape="1">
                          <a:blip xmlns:r="http://schemas.openxmlformats.org/officeDocument/2006/relationships" r:embed="rId6">
                            <a:alphaModFix/>
                          </a:blip>
                          <a:srcRect/>
                          <a:stretch/>
                        </xdr:blipFill>
                        <xdr:spPr>
                          <a:xfrm>
                            <a:off x="55260875" y="6381644"/>
                            <a:ext cx="2143125" cy="1580101"/>
                          </a:xfrm>
                          <a:prstGeom prst="rect">
                            <a:avLst/>
                          </a:prstGeom>
                          <a:noFill/>
                          <a:ln>
                            <a:noFill/>
                          </a:ln>
                        </xdr:spPr>
                      </xdr:pic>
                      <xdr:pic>
                        <xdr:nvPicPr>
                          <xdr:cNvPr id="39" name="Shape 37">
                            <a:extLst>
                              <a:ext uri="{FF2B5EF4-FFF2-40B4-BE49-F238E27FC236}">
                                <a16:creationId xmlns:a16="http://schemas.microsoft.com/office/drawing/2014/main" id="{00000000-0008-0000-0300-000027000000}"/>
                              </a:ext>
                            </a:extLst>
                          </xdr:cNvPr>
                          <xdr:cNvPicPr preferRelativeResize="0"/>
                        </xdr:nvPicPr>
                        <xdr:blipFill rotWithShape="1">
                          <a:blip xmlns:r="http://schemas.openxmlformats.org/officeDocument/2006/relationships" r:embed="rId7">
                            <a:alphaModFix/>
                          </a:blip>
                          <a:srcRect/>
                          <a:stretch/>
                        </xdr:blipFill>
                        <xdr:spPr>
                          <a:xfrm>
                            <a:off x="52974875" y="6746875"/>
                            <a:ext cx="2278577" cy="1095375"/>
                          </a:xfrm>
                          <a:prstGeom prst="rect">
                            <a:avLst/>
                          </a:prstGeom>
                          <a:noFill/>
                          <a:ln>
                            <a:noFill/>
                          </a:ln>
                        </xdr:spPr>
                      </xdr:pic>
                    </xdr:grpSp>
                  </xdr:grpSp>
                </xdr:grpSp>
              </xdr:grpSp>
            </xdr:grpSp>
          </xdr:grpSp>
        </xdr:grpSp>
      </xdr:grpSp>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68</xdr:col>
      <xdr:colOff>457200</xdr:colOff>
      <xdr:row>16</xdr:row>
      <xdr:rowOff>85725</xdr:rowOff>
    </xdr:from>
    <xdr:ext cx="4543425" cy="3590925"/>
    <xdr:pic>
      <xdr:nvPicPr>
        <xdr:cNvPr id="2" name="image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20</xdr:col>
      <xdr:colOff>504825</xdr:colOff>
      <xdr:row>6</xdr:row>
      <xdr:rowOff>28575</xdr:rowOff>
    </xdr:from>
    <xdr:ext cx="4286250" cy="2743200"/>
    <xdr:graphicFrame macro="">
      <xdr:nvGraphicFramePr>
        <xdr:cNvPr id="1231065165" name="Chart 9">
          <a:extLst>
            <a:ext uri="{FF2B5EF4-FFF2-40B4-BE49-F238E27FC236}">
              <a16:creationId xmlns:a16="http://schemas.microsoft.com/office/drawing/2014/main" id="{00000000-0008-0000-0900-00004D9060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43</xdr:col>
      <xdr:colOff>381000</xdr:colOff>
      <xdr:row>64</xdr:row>
      <xdr:rowOff>28575</xdr:rowOff>
    </xdr:from>
    <xdr:ext cx="6781800" cy="3314700"/>
    <xdr:pic>
      <xdr:nvPicPr>
        <xdr:cNvPr id="2" name="image3.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41</xdr:col>
      <xdr:colOff>866775</xdr:colOff>
      <xdr:row>23</xdr:row>
      <xdr:rowOff>66675</xdr:rowOff>
    </xdr:from>
    <xdr:ext cx="4552950" cy="3619500"/>
    <xdr:pic>
      <xdr:nvPicPr>
        <xdr:cNvPr id="3" name="image2.pn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6</xdr:col>
      <xdr:colOff>1771650</xdr:colOff>
      <xdr:row>124</xdr:row>
      <xdr:rowOff>66675</xdr:rowOff>
    </xdr:from>
    <xdr:ext cx="6162675" cy="2771775"/>
    <xdr:graphicFrame macro="">
      <xdr:nvGraphicFramePr>
        <xdr:cNvPr id="899873085" name="Chart 10">
          <a:extLst>
            <a:ext uri="{FF2B5EF4-FFF2-40B4-BE49-F238E27FC236}">
              <a16:creationId xmlns:a16="http://schemas.microsoft.com/office/drawing/2014/main" id="{00000000-0008-0000-0A00-00003DF9A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152400</xdr:colOff>
      <xdr:row>160</xdr:row>
      <xdr:rowOff>19050</xdr:rowOff>
    </xdr:from>
    <xdr:ext cx="4476750" cy="2838450"/>
    <xdr:graphicFrame macro="">
      <xdr:nvGraphicFramePr>
        <xdr:cNvPr id="202237419" name="Chart 11">
          <a:extLst>
            <a:ext uri="{FF2B5EF4-FFF2-40B4-BE49-F238E27FC236}">
              <a16:creationId xmlns:a16="http://schemas.microsoft.com/office/drawing/2014/main" id="{00000000-0008-0000-0A00-0000EBE50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36</xdr:col>
      <xdr:colOff>400050</xdr:colOff>
      <xdr:row>14</xdr:row>
      <xdr:rowOff>104775</xdr:rowOff>
    </xdr:from>
    <xdr:ext cx="7648575" cy="4029075"/>
    <xdr:graphicFrame macro="">
      <xdr:nvGraphicFramePr>
        <xdr:cNvPr id="1611150018" name="Chart 12">
          <a:extLst>
            <a:ext uri="{FF2B5EF4-FFF2-40B4-BE49-F238E27FC236}">
              <a16:creationId xmlns:a16="http://schemas.microsoft.com/office/drawing/2014/main" id="{00000000-0008-0000-0A00-0000C2320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36</xdr:col>
      <xdr:colOff>3200400</xdr:colOff>
      <xdr:row>37</xdr:row>
      <xdr:rowOff>133350</xdr:rowOff>
    </xdr:from>
    <xdr:ext cx="4914900" cy="2381250"/>
    <xdr:graphicFrame macro="">
      <xdr:nvGraphicFramePr>
        <xdr:cNvPr id="1191409635" name="Chart 13" title="Gráfico">
          <a:extLst>
            <a:ext uri="{FF2B5EF4-FFF2-40B4-BE49-F238E27FC236}">
              <a16:creationId xmlns:a16="http://schemas.microsoft.com/office/drawing/2014/main" id="{00000000-0008-0000-0A00-0000E3770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6</xdr:col>
      <xdr:colOff>2339340</xdr:colOff>
      <xdr:row>32</xdr:row>
      <xdr:rowOff>47625</xdr:rowOff>
    </xdr:from>
    <xdr:ext cx="4695825" cy="3181350"/>
    <xdr:graphicFrame macro="">
      <xdr:nvGraphicFramePr>
        <xdr:cNvPr id="1768562178" name="Chart 14">
          <a:extLst>
            <a:ext uri="{FF2B5EF4-FFF2-40B4-BE49-F238E27FC236}">
              <a16:creationId xmlns:a16="http://schemas.microsoft.com/office/drawing/2014/main" id="{00000000-0008-0000-0A00-0000021E6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1857375</xdr:colOff>
      <xdr:row>115</xdr:row>
      <xdr:rowOff>0</xdr:rowOff>
    </xdr:from>
    <xdr:ext cx="6010275" cy="6610350"/>
    <xdr:grpSp>
      <xdr:nvGrpSpPr>
        <xdr:cNvPr id="2" name="Shape 2">
          <a:extLst>
            <a:ext uri="{FF2B5EF4-FFF2-40B4-BE49-F238E27FC236}">
              <a16:creationId xmlns:a16="http://schemas.microsoft.com/office/drawing/2014/main" id="{00000000-0008-0000-0A00-000002000000}"/>
            </a:ext>
          </a:extLst>
        </xdr:cNvPr>
        <xdr:cNvGrpSpPr/>
      </xdr:nvGrpSpPr>
      <xdr:grpSpPr>
        <a:xfrm>
          <a:off x="1857375" y="20162520"/>
          <a:ext cx="6010275" cy="6610350"/>
          <a:chOff x="2340863" y="474825"/>
          <a:chExt cx="6010275" cy="6610350"/>
        </a:xfrm>
      </xdr:grpSpPr>
      <xdr:grpSp>
        <xdr:nvGrpSpPr>
          <xdr:cNvPr id="38" name="Shape 38">
            <a:extLst>
              <a:ext uri="{FF2B5EF4-FFF2-40B4-BE49-F238E27FC236}">
                <a16:creationId xmlns:a16="http://schemas.microsoft.com/office/drawing/2014/main" id="{00000000-0008-0000-0A00-000026000000}"/>
              </a:ext>
            </a:extLst>
          </xdr:cNvPr>
          <xdr:cNvGrpSpPr/>
        </xdr:nvGrpSpPr>
        <xdr:grpSpPr>
          <a:xfrm>
            <a:off x="2340863" y="474825"/>
            <a:ext cx="6010275" cy="6610350"/>
            <a:chOff x="2340863" y="474825"/>
            <a:chExt cx="6010275" cy="6610350"/>
          </a:xfrm>
        </xdr:grpSpPr>
        <xdr:sp macro="" textlink="">
          <xdr:nvSpPr>
            <xdr:cNvPr id="4" name="Shape 4">
              <a:extLst>
                <a:ext uri="{FF2B5EF4-FFF2-40B4-BE49-F238E27FC236}">
                  <a16:creationId xmlns:a16="http://schemas.microsoft.com/office/drawing/2014/main" id="{00000000-0008-0000-0A00-000004000000}"/>
                </a:ext>
              </a:extLst>
            </xdr:cNvPr>
            <xdr:cNvSpPr/>
          </xdr:nvSpPr>
          <xdr:spPr>
            <a:xfrm>
              <a:off x="2340863" y="474825"/>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9" name="Shape 39">
              <a:extLst>
                <a:ext uri="{FF2B5EF4-FFF2-40B4-BE49-F238E27FC236}">
                  <a16:creationId xmlns:a16="http://schemas.microsoft.com/office/drawing/2014/main" id="{00000000-0008-0000-0A00-000027000000}"/>
                </a:ext>
              </a:extLst>
            </xdr:cNvPr>
            <xdr:cNvGrpSpPr/>
          </xdr:nvGrpSpPr>
          <xdr:grpSpPr>
            <a:xfrm>
              <a:off x="2340863" y="474825"/>
              <a:ext cx="6010275" cy="6610350"/>
              <a:chOff x="2340863" y="474825"/>
              <a:chExt cx="6010275" cy="6610350"/>
            </a:xfrm>
          </xdr:grpSpPr>
          <xdr:sp macro="" textlink="">
            <xdr:nvSpPr>
              <xdr:cNvPr id="40" name="Shape 40">
                <a:extLst>
                  <a:ext uri="{FF2B5EF4-FFF2-40B4-BE49-F238E27FC236}">
                    <a16:creationId xmlns:a16="http://schemas.microsoft.com/office/drawing/2014/main" id="{00000000-0008-0000-0A00-000028000000}"/>
                  </a:ext>
                </a:extLst>
              </xdr:cNvPr>
              <xdr:cNvSpPr/>
            </xdr:nvSpPr>
            <xdr:spPr>
              <a:xfrm>
                <a:off x="2340863" y="474825"/>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1" name="Shape 41">
                <a:extLst>
                  <a:ext uri="{FF2B5EF4-FFF2-40B4-BE49-F238E27FC236}">
                    <a16:creationId xmlns:a16="http://schemas.microsoft.com/office/drawing/2014/main" id="{00000000-0008-0000-0A00-000029000000}"/>
                  </a:ext>
                </a:extLst>
              </xdr:cNvPr>
              <xdr:cNvGrpSpPr/>
            </xdr:nvGrpSpPr>
            <xdr:grpSpPr>
              <a:xfrm>
                <a:off x="2340863" y="474825"/>
                <a:ext cx="6010275" cy="6610350"/>
                <a:chOff x="2340863" y="474825"/>
                <a:chExt cx="6010275" cy="6610350"/>
              </a:xfrm>
            </xdr:grpSpPr>
            <xdr:sp macro="" textlink="">
              <xdr:nvSpPr>
                <xdr:cNvPr id="42" name="Shape 42">
                  <a:extLst>
                    <a:ext uri="{FF2B5EF4-FFF2-40B4-BE49-F238E27FC236}">
                      <a16:creationId xmlns:a16="http://schemas.microsoft.com/office/drawing/2014/main" id="{00000000-0008-0000-0A00-00002A000000}"/>
                    </a:ext>
                  </a:extLst>
                </xdr:cNvPr>
                <xdr:cNvSpPr/>
              </xdr:nvSpPr>
              <xdr:spPr>
                <a:xfrm>
                  <a:off x="2340863" y="474825"/>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3" name="Shape 43">
                  <a:extLst>
                    <a:ext uri="{FF2B5EF4-FFF2-40B4-BE49-F238E27FC236}">
                      <a16:creationId xmlns:a16="http://schemas.microsoft.com/office/drawing/2014/main" id="{00000000-0008-0000-0A00-00002B000000}"/>
                    </a:ext>
                  </a:extLst>
                </xdr:cNvPr>
                <xdr:cNvGrpSpPr/>
              </xdr:nvGrpSpPr>
              <xdr:grpSpPr>
                <a:xfrm>
                  <a:off x="2340863" y="474825"/>
                  <a:ext cx="6010275" cy="6610350"/>
                  <a:chOff x="2340863" y="474825"/>
                  <a:chExt cx="6010275" cy="6610350"/>
                </a:xfrm>
              </xdr:grpSpPr>
              <xdr:sp macro="" textlink="">
                <xdr:nvSpPr>
                  <xdr:cNvPr id="44" name="Shape 44">
                    <a:extLst>
                      <a:ext uri="{FF2B5EF4-FFF2-40B4-BE49-F238E27FC236}">
                        <a16:creationId xmlns:a16="http://schemas.microsoft.com/office/drawing/2014/main" id="{00000000-0008-0000-0A00-00002C000000}"/>
                      </a:ext>
                    </a:extLst>
                  </xdr:cNvPr>
                  <xdr:cNvSpPr/>
                </xdr:nvSpPr>
                <xdr:spPr>
                  <a:xfrm>
                    <a:off x="2340863" y="474825"/>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5" name="Shape 45">
                    <a:extLst>
                      <a:ext uri="{FF2B5EF4-FFF2-40B4-BE49-F238E27FC236}">
                        <a16:creationId xmlns:a16="http://schemas.microsoft.com/office/drawing/2014/main" id="{00000000-0008-0000-0A00-00002D000000}"/>
                      </a:ext>
                    </a:extLst>
                  </xdr:cNvPr>
                  <xdr:cNvGrpSpPr/>
                </xdr:nvGrpSpPr>
                <xdr:grpSpPr>
                  <a:xfrm>
                    <a:off x="2340863" y="474825"/>
                    <a:ext cx="6010275" cy="6610350"/>
                    <a:chOff x="2340863" y="474825"/>
                    <a:chExt cx="6010275" cy="6610350"/>
                  </a:xfrm>
                </xdr:grpSpPr>
                <xdr:sp macro="" textlink="">
                  <xdr:nvSpPr>
                    <xdr:cNvPr id="46" name="Shape 46">
                      <a:extLst>
                        <a:ext uri="{FF2B5EF4-FFF2-40B4-BE49-F238E27FC236}">
                          <a16:creationId xmlns:a16="http://schemas.microsoft.com/office/drawing/2014/main" id="{00000000-0008-0000-0A00-00002E000000}"/>
                        </a:ext>
                      </a:extLst>
                    </xdr:cNvPr>
                    <xdr:cNvSpPr/>
                  </xdr:nvSpPr>
                  <xdr:spPr>
                    <a:xfrm>
                      <a:off x="2340863" y="474825"/>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7" name="Shape 47">
                      <a:extLst>
                        <a:ext uri="{FF2B5EF4-FFF2-40B4-BE49-F238E27FC236}">
                          <a16:creationId xmlns:a16="http://schemas.microsoft.com/office/drawing/2014/main" id="{00000000-0008-0000-0A00-00002F000000}"/>
                        </a:ext>
                      </a:extLst>
                    </xdr:cNvPr>
                    <xdr:cNvGrpSpPr/>
                  </xdr:nvGrpSpPr>
                  <xdr:grpSpPr>
                    <a:xfrm>
                      <a:off x="2340863" y="474825"/>
                      <a:ext cx="6010275" cy="6610350"/>
                      <a:chOff x="2340863" y="474824"/>
                      <a:chExt cx="6010275" cy="6610351"/>
                    </a:xfrm>
                  </xdr:grpSpPr>
                  <xdr:sp macro="" textlink="">
                    <xdr:nvSpPr>
                      <xdr:cNvPr id="48" name="Shape 48">
                        <a:extLst>
                          <a:ext uri="{FF2B5EF4-FFF2-40B4-BE49-F238E27FC236}">
                            <a16:creationId xmlns:a16="http://schemas.microsoft.com/office/drawing/2014/main" id="{00000000-0008-0000-0A00-000030000000}"/>
                          </a:ext>
                        </a:extLst>
                      </xdr:cNvPr>
                      <xdr:cNvSpPr/>
                    </xdr:nvSpPr>
                    <xdr:spPr>
                      <a:xfrm>
                        <a:off x="2340863" y="474824"/>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49" name="Shape 49">
                        <a:extLst>
                          <a:ext uri="{FF2B5EF4-FFF2-40B4-BE49-F238E27FC236}">
                            <a16:creationId xmlns:a16="http://schemas.microsoft.com/office/drawing/2014/main" id="{00000000-0008-0000-0A00-000031000000}"/>
                          </a:ext>
                        </a:extLst>
                      </xdr:cNvPr>
                      <xdr:cNvGrpSpPr/>
                    </xdr:nvGrpSpPr>
                    <xdr:grpSpPr>
                      <a:xfrm>
                        <a:off x="2340863" y="474824"/>
                        <a:ext cx="6010275" cy="6610351"/>
                        <a:chOff x="2340863" y="474823"/>
                        <a:chExt cx="6010275" cy="6610351"/>
                      </a:xfrm>
                    </xdr:grpSpPr>
                    <xdr:sp macro="" textlink="">
                      <xdr:nvSpPr>
                        <xdr:cNvPr id="50" name="Shape 50">
                          <a:extLst>
                            <a:ext uri="{FF2B5EF4-FFF2-40B4-BE49-F238E27FC236}">
                              <a16:creationId xmlns:a16="http://schemas.microsoft.com/office/drawing/2014/main" id="{00000000-0008-0000-0A00-000032000000}"/>
                            </a:ext>
                          </a:extLst>
                        </xdr:cNvPr>
                        <xdr:cNvSpPr/>
                      </xdr:nvSpPr>
                      <xdr:spPr>
                        <a:xfrm>
                          <a:off x="2340863" y="474824"/>
                          <a:ext cx="6010275" cy="6610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51" name="Shape 51">
                          <a:extLst>
                            <a:ext uri="{FF2B5EF4-FFF2-40B4-BE49-F238E27FC236}">
                              <a16:creationId xmlns:a16="http://schemas.microsoft.com/office/drawing/2014/main" id="{00000000-0008-0000-0A00-000033000000}"/>
                            </a:ext>
                          </a:extLst>
                        </xdr:cNvPr>
                        <xdr:cNvGrpSpPr/>
                      </xdr:nvGrpSpPr>
                      <xdr:grpSpPr>
                        <a:xfrm>
                          <a:off x="2340863" y="474823"/>
                          <a:ext cx="6010275" cy="6610350"/>
                          <a:chOff x="1859937" y="14625484"/>
                          <a:chExt cx="6122253" cy="6291375"/>
                        </a:xfrm>
                      </xdr:grpSpPr>
                      <xdr:sp macro="" textlink="">
                        <xdr:nvSpPr>
                          <xdr:cNvPr id="52" name="Shape 52">
                            <a:extLst>
                              <a:ext uri="{FF2B5EF4-FFF2-40B4-BE49-F238E27FC236}">
                                <a16:creationId xmlns:a16="http://schemas.microsoft.com/office/drawing/2014/main" id="{00000000-0008-0000-0A00-000034000000}"/>
                              </a:ext>
                            </a:extLst>
                          </xdr:cNvPr>
                          <xdr:cNvSpPr/>
                        </xdr:nvSpPr>
                        <xdr:spPr>
                          <a:xfrm>
                            <a:off x="1859937" y="14625484"/>
                            <a:ext cx="6122250" cy="62913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53" name="Shape 53">
                            <a:extLst>
                              <a:ext uri="{FF2B5EF4-FFF2-40B4-BE49-F238E27FC236}">
                                <a16:creationId xmlns:a16="http://schemas.microsoft.com/office/drawing/2014/main" id="{00000000-0008-0000-0A00-000035000000}"/>
                              </a:ext>
                            </a:extLst>
                          </xdr:cNvPr>
                          <xdr:cNvPicPr preferRelativeResize="0"/>
                        </xdr:nvPicPr>
                        <xdr:blipFill rotWithShape="1">
                          <a:blip xmlns:r="http://schemas.openxmlformats.org/officeDocument/2006/relationships" r:embed="rId6">
                            <a:alphaModFix/>
                          </a:blip>
                          <a:srcRect/>
                          <a:stretch/>
                        </xdr:blipFill>
                        <xdr:spPr>
                          <a:xfrm>
                            <a:off x="1900903" y="14625484"/>
                            <a:ext cx="6081287" cy="2232853"/>
                          </a:xfrm>
                          <a:prstGeom prst="rect">
                            <a:avLst/>
                          </a:prstGeom>
                          <a:noFill/>
                          <a:ln>
                            <a:noFill/>
                          </a:ln>
                        </xdr:spPr>
                      </xdr:pic>
                      <xdr:pic>
                        <xdr:nvPicPr>
                          <xdr:cNvPr id="54" name="Shape 54">
                            <a:extLst>
                              <a:ext uri="{FF2B5EF4-FFF2-40B4-BE49-F238E27FC236}">
                                <a16:creationId xmlns:a16="http://schemas.microsoft.com/office/drawing/2014/main" id="{00000000-0008-0000-0A00-000036000000}"/>
                              </a:ext>
                            </a:extLst>
                          </xdr:cNvPr>
                          <xdr:cNvPicPr preferRelativeResize="0"/>
                        </xdr:nvPicPr>
                        <xdr:blipFill rotWithShape="1">
                          <a:blip xmlns:r="http://schemas.openxmlformats.org/officeDocument/2006/relationships" r:embed="rId7">
                            <a:alphaModFix/>
                          </a:blip>
                          <a:srcRect t="1344"/>
                          <a:stretch/>
                        </xdr:blipFill>
                        <xdr:spPr>
                          <a:xfrm>
                            <a:off x="1859937" y="16706644"/>
                            <a:ext cx="5860288" cy="4210216"/>
                          </a:xfrm>
                          <a:prstGeom prst="rect">
                            <a:avLst/>
                          </a:prstGeom>
                          <a:noFill/>
                          <a:ln>
                            <a:noFill/>
                          </a:ln>
                        </xdr:spPr>
                      </xdr:pic>
                    </xdr:grpSp>
                  </xdr:grpSp>
                </xdr:grpSp>
              </xdr:grpSp>
            </xdr:grpSp>
          </xdr:grpSp>
        </xdr:grpSp>
      </xdr:grpSp>
    </xdr:grpSp>
    <xdr:clientData fLocksWithSheet="0"/>
  </xdr:oneCellAnchor>
  <xdr:oneCellAnchor>
    <xdr:from>
      <xdr:col>50</xdr:col>
      <xdr:colOff>571500</xdr:colOff>
      <xdr:row>31</xdr:row>
      <xdr:rowOff>76200</xdr:rowOff>
    </xdr:from>
    <xdr:ext cx="4324350" cy="1628775"/>
    <xdr:grpSp>
      <xdr:nvGrpSpPr>
        <xdr:cNvPr id="3" name="Shape 2">
          <a:extLst>
            <a:ext uri="{FF2B5EF4-FFF2-40B4-BE49-F238E27FC236}">
              <a16:creationId xmlns:a16="http://schemas.microsoft.com/office/drawing/2014/main" id="{00000000-0008-0000-0A00-000003000000}"/>
            </a:ext>
          </a:extLst>
        </xdr:cNvPr>
        <xdr:cNvGrpSpPr/>
      </xdr:nvGrpSpPr>
      <xdr:grpSpPr>
        <a:xfrm>
          <a:off x="71376540" y="5494020"/>
          <a:ext cx="4324350" cy="1628775"/>
          <a:chOff x="3183825" y="2965613"/>
          <a:chExt cx="4324350" cy="1628775"/>
        </a:xfrm>
      </xdr:grpSpPr>
      <xdr:grpSp>
        <xdr:nvGrpSpPr>
          <xdr:cNvPr id="55" name="Shape 55">
            <a:extLst>
              <a:ext uri="{FF2B5EF4-FFF2-40B4-BE49-F238E27FC236}">
                <a16:creationId xmlns:a16="http://schemas.microsoft.com/office/drawing/2014/main" id="{00000000-0008-0000-0A00-000037000000}"/>
              </a:ext>
            </a:extLst>
          </xdr:cNvPr>
          <xdr:cNvGrpSpPr/>
        </xdr:nvGrpSpPr>
        <xdr:grpSpPr>
          <a:xfrm>
            <a:off x="3183825" y="2965613"/>
            <a:ext cx="4324350" cy="1628775"/>
            <a:chOff x="3183825" y="2965613"/>
            <a:chExt cx="4324350" cy="1628775"/>
          </a:xfrm>
        </xdr:grpSpPr>
        <xdr:sp macro="" textlink="">
          <xdr:nvSpPr>
            <xdr:cNvPr id="5" name="Shape 4">
              <a:extLst>
                <a:ext uri="{FF2B5EF4-FFF2-40B4-BE49-F238E27FC236}">
                  <a16:creationId xmlns:a16="http://schemas.microsoft.com/office/drawing/2014/main" id="{00000000-0008-0000-0A00-000005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6" name="Shape 56">
              <a:extLst>
                <a:ext uri="{FF2B5EF4-FFF2-40B4-BE49-F238E27FC236}">
                  <a16:creationId xmlns:a16="http://schemas.microsoft.com/office/drawing/2014/main" id="{00000000-0008-0000-0A00-000038000000}"/>
                </a:ext>
              </a:extLst>
            </xdr:cNvPr>
            <xdr:cNvGrpSpPr/>
          </xdr:nvGrpSpPr>
          <xdr:grpSpPr>
            <a:xfrm>
              <a:off x="3183825" y="2965613"/>
              <a:ext cx="4324350" cy="1628775"/>
              <a:chOff x="3183825" y="2965613"/>
              <a:chExt cx="4324350" cy="1628775"/>
            </a:xfrm>
          </xdr:grpSpPr>
          <xdr:sp macro="" textlink="">
            <xdr:nvSpPr>
              <xdr:cNvPr id="57" name="Shape 57">
                <a:extLst>
                  <a:ext uri="{FF2B5EF4-FFF2-40B4-BE49-F238E27FC236}">
                    <a16:creationId xmlns:a16="http://schemas.microsoft.com/office/drawing/2014/main" id="{00000000-0008-0000-0A00-000039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58" name="Shape 58">
                <a:extLst>
                  <a:ext uri="{FF2B5EF4-FFF2-40B4-BE49-F238E27FC236}">
                    <a16:creationId xmlns:a16="http://schemas.microsoft.com/office/drawing/2014/main" id="{00000000-0008-0000-0A00-00003A000000}"/>
                  </a:ext>
                </a:extLst>
              </xdr:cNvPr>
              <xdr:cNvGrpSpPr/>
            </xdr:nvGrpSpPr>
            <xdr:grpSpPr>
              <a:xfrm>
                <a:off x="3183825" y="2965613"/>
                <a:ext cx="4324350" cy="1628775"/>
                <a:chOff x="3183825" y="2965613"/>
                <a:chExt cx="4324350" cy="1628775"/>
              </a:xfrm>
            </xdr:grpSpPr>
            <xdr:sp macro="" textlink="">
              <xdr:nvSpPr>
                <xdr:cNvPr id="59" name="Shape 59">
                  <a:extLst>
                    <a:ext uri="{FF2B5EF4-FFF2-40B4-BE49-F238E27FC236}">
                      <a16:creationId xmlns:a16="http://schemas.microsoft.com/office/drawing/2014/main" id="{00000000-0008-0000-0A00-00003B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60" name="Shape 60">
                  <a:extLst>
                    <a:ext uri="{FF2B5EF4-FFF2-40B4-BE49-F238E27FC236}">
                      <a16:creationId xmlns:a16="http://schemas.microsoft.com/office/drawing/2014/main" id="{00000000-0008-0000-0A00-00003C000000}"/>
                    </a:ext>
                  </a:extLst>
                </xdr:cNvPr>
                <xdr:cNvGrpSpPr/>
              </xdr:nvGrpSpPr>
              <xdr:grpSpPr>
                <a:xfrm>
                  <a:off x="3183825" y="2965613"/>
                  <a:ext cx="4324350" cy="1628775"/>
                  <a:chOff x="3183825" y="2965613"/>
                  <a:chExt cx="4324350" cy="1628775"/>
                </a:xfrm>
              </xdr:grpSpPr>
              <xdr:sp macro="" textlink="">
                <xdr:nvSpPr>
                  <xdr:cNvPr id="61" name="Shape 61">
                    <a:extLst>
                      <a:ext uri="{FF2B5EF4-FFF2-40B4-BE49-F238E27FC236}">
                        <a16:creationId xmlns:a16="http://schemas.microsoft.com/office/drawing/2014/main" id="{00000000-0008-0000-0A00-00003D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62" name="Shape 62">
                    <a:extLst>
                      <a:ext uri="{FF2B5EF4-FFF2-40B4-BE49-F238E27FC236}">
                        <a16:creationId xmlns:a16="http://schemas.microsoft.com/office/drawing/2014/main" id="{00000000-0008-0000-0A00-00003E000000}"/>
                      </a:ext>
                    </a:extLst>
                  </xdr:cNvPr>
                  <xdr:cNvGrpSpPr/>
                </xdr:nvGrpSpPr>
                <xdr:grpSpPr>
                  <a:xfrm>
                    <a:off x="3183825" y="2965613"/>
                    <a:ext cx="4324350" cy="1628775"/>
                    <a:chOff x="3183825" y="2965613"/>
                    <a:chExt cx="4324350" cy="1628775"/>
                  </a:xfrm>
                </xdr:grpSpPr>
                <xdr:sp macro="" textlink="">
                  <xdr:nvSpPr>
                    <xdr:cNvPr id="63" name="Shape 63">
                      <a:extLst>
                        <a:ext uri="{FF2B5EF4-FFF2-40B4-BE49-F238E27FC236}">
                          <a16:creationId xmlns:a16="http://schemas.microsoft.com/office/drawing/2014/main" id="{00000000-0008-0000-0A00-00003F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64" name="Shape 64">
                      <a:extLst>
                        <a:ext uri="{FF2B5EF4-FFF2-40B4-BE49-F238E27FC236}">
                          <a16:creationId xmlns:a16="http://schemas.microsoft.com/office/drawing/2014/main" id="{00000000-0008-0000-0A00-000040000000}"/>
                        </a:ext>
                      </a:extLst>
                    </xdr:cNvPr>
                    <xdr:cNvGrpSpPr/>
                  </xdr:nvGrpSpPr>
                  <xdr:grpSpPr>
                    <a:xfrm>
                      <a:off x="3183825" y="2965613"/>
                      <a:ext cx="4324350" cy="1628775"/>
                      <a:chOff x="3183825" y="2965613"/>
                      <a:chExt cx="4324350" cy="1628775"/>
                    </a:xfrm>
                  </xdr:grpSpPr>
                  <xdr:sp macro="" textlink="">
                    <xdr:nvSpPr>
                      <xdr:cNvPr id="65" name="Shape 65">
                        <a:extLst>
                          <a:ext uri="{FF2B5EF4-FFF2-40B4-BE49-F238E27FC236}">
                            <a16:creationId xmlns:a16="http://schemas.microsoft.com/office/drawing/2014/main" id="{00000000-0008-0000-0A00-000041000000}"/>
                          </a:ext>
                        </a:extLst>
                      </xdr:cNvPr>
                      <xdr:cNvSpPr/>
                    </xdr:nvSpPr>
                    <xdr:spPr>
                      <a:xfrm>
                        <a:off x="3183825" y="2965613"/>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66" name="Shape 66">
                        <a:extLst>
                          <a:ext uri="{FF2B5EF4-FFF2-40B4-BE49-F238E27FC236}">
                            <a16:creationId xmlns:a16="http://schemas.microsoft.com/office/drawing/2014/main" id="{00000000-0008-0000-0A00-000042000000}"/>
                          </a:ext>
                        </a:extLst>
                      </xdr:cNvPr>
                      <xdr:cNvGrpSpPr/>
                    </xdr:nvGrpSpPr>
                    <xdr:grpSpPr>
                      <a:xfrm>
                        <a:off x="3183825" y="2965613"/>
                        <a:ext cx="4324350" cy="1628775"/>
                        <a:chOff x="3183823" y="2965614"/>
                        <a:chExt cx="4324351" cy="1628775"/>
                      </a:xfrm>
                    </xdr:grpSpPr>
                    <xdr:sp macro="" textlink="">
                      <xdr:nvSpPr>
                        <xdr:cNvPr id="67" name="Shape 67">
                          <a:extLst>
                            <a:ext uri="{FF2B5EF4-FFF2-40B4-BE49-F238E27FC236}">
                              <a16:creationId xmlns:a16="http://schemas.microsoft.com/office/drawing/2014/main" id="{00000000-0008-0000-0A00-000043000000}"/>
                            </a:ext>
                          </a:extLst>
                        </xdr:cNvPr>
                        <xdr:cNvSpPr/>
                      </xdr:nvSpPr>
                      <xdr:spPr>
                        <a:xfrm>
                          <a:off x="3183823" y="2965614"/>
                          <a:ext cx="4324350" cy="1628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68" name="Shape 68">
                          <a:extLst>
                            <a:ext uri="{FF2B5EF4-FFF2-40B4-BE49-F238E27FC236}">
                              <a16:creationId xmlns:a16="http://schemas.microsoft.com/office/drawing/2014/main" id="{00000000-0008-0000-0A00-000044000000}"/>
                            </a:ext>
                          </a:extLst>
                        </xdr:cNvPr>
                        <xdr:cNvGrpSpPr/>
                      </xdr:nvGrpSpPr>
                      <xdr:grpSpPr>
                        <a:xfrm>
                          <a:off x="3183823" y="2965614"/>
                          <a:ext cx="4324351" cy="1628775"/>
                          <a:chOff x="52974875" y="6381644"/>
                          <a:chExt cx="4429125" cy="1580101"/>
                        </a:xfrm>
                      </xdr:grpSpPr>
                      <xdr:sp macro="" textlink="">
                        <xdr:nvSpPr>
                          <xdr:cNvPr id="69" name="Shape 69">
                            <a:extLst>
                              <a:ext uri="{FF2B5EF4-FFF2-40B4-BE49-F238E27FC236}">
                                <a16:creationId xmlns:a16="http://schemas.microsoft.com/office/drawing/2014/main" id="{00000000-0008-0000-0A00-000045000000}"/>
                              </a:ext>
                            </a:extLst>
                          </xdr:cNvPr>
                          <xdr:cNvSpPr/>
                        </xdr:nvSpPr>
                        <xdr:spPr>
                          <a:xfrm>
                            <a:off x="52974875" y="6381644"/>
                            <a:ext cx="4429100" cy="1580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pic>
                        <xdr:nvPicPr>
                          <xdr:cNvPr id="70" name="Shape 70">
                            <a:extLst>
                              <a:ext uri="{FF2B5EF4-FFF2-40B4-BE49-F238E27FC236}">
                                <a16:creationId xmlns:a16="http://schemas.microsoft.com/office/drawing/2014/main" id="{00000000-0008-0000-0A00-000046000000}"/>
                              </a:ext>
                            </a:extLst>
                          </xdr:cNvPr>
                          <xdr:cNvPicPr preferRelativeResize="0"/>
                        </xdr:nvPicPr>
                        <xdr:blipFill rotWithShape="1">
                          <a:blip xmlns:r="http://schemas.openxmlformats.org/officeDocument/2006/relationships" r:embed="rId8">
                            <a:alphaModFix/>
                          </a:blip>
                          <a:srcRect/>
                          <a:stretch/>
                        </xdr:blipFill>
                        <xdr:spPr>
                          <a:xfrm>
                            <a:off x="55260875" y="6381644"/>
                            <a:ext cx="2143125" cy="1580101"/>
                          </a:xfrm>
                          <a:prstGeom prst="rect">
                            <a:avLst/>
                          </a:prstGeom>
                          <a:noFill/>
                          <a:ln>
                            <a:noFill/>
                          </a:ln>
                        </xdr:spPr>
                      </xdr:pic>
                      <xdr:pic>
                        <xdr:nvPicPr>
                          <xdr:cNvPr id="71" name="Shape 71">
                            <a:extLst>
                              <a:ext uri="{FF2B5EF4-FFF2-40B4-BE49-F238E27FC236}">
                                <a16:creationId xmlns:a16="http://schemas.microsoft.com/office/drawing/2014/main" id="{00000000-0008-0000-0A00-000047000000}"/>
                              </a:ext>
                            </a:extLst>
                          </xdr:cNvPr>
                          <xdr:cNvPicPr preferRelativeResize="0"/>
                        </xdr:nvPicPr>
                        <xdr:blipFill rotWithShape="1">
                          <a:blip xmlns:r="http://schemas.openxmlformats.org/officeDocument/2006/relationships" r:embed="rId9">
                            <a:alphaModFix/>
                          </a:blip>
                          <a:srcRect/>
                          <a:stretch/>
                        </xdr:blipFill>
                        <xdr:spPr>
                          <a:xfrm>
                            <a:off x="52974875" y="6746875"/>
                            <a:ext cx="2278577" cy="1095375"/>
                          </a:xfrm>
                          <a:prstGeom prst="rect">
                            <a:avLst/>
                          </a:prstGeom>
                          <a:noFill/>
                          <a:ln>
                            <a:noFill/>
                          </a:ln>
                        </xdr:spPr>
                      </xdr:pic>
                    </xdr:grpSp>
                  </xdr:grpSp>
                </xdr:grpSp>
              </xdr:grpSp>
            </xdr:grpSp>
          </xdr:grpSp>
        </xdr:grpSp>
      </xdr:grpSp>
    </xdr:grp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66</xdr:col>
      <xdr:colOff>457200</xdr:colOff>
      <xdr:row>19</xdr:row>
      <xdr:rowOff>85725</xdr:rowOff>
    </xdr:from>
    <xdr:ext cx="4543425" cy="359092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cuments/DOCTORADO/PLANMICC/Entregables/producto%204/TEPA%20to%20PLANMICC/Pledges_2_PoliticasAnunciadas_ELENA_Result_TEP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ocuments/DOCTORADO/PLANMICC/Entregables/producto%204/TEPA%20to%20PLANMICC/NetZero2070_2_Sustdev_ELENA_Result_TEP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mary Energy"/>
      <sheetName val="Primary Energy (Supply)"/>
      <sheetName val="Energy transformation"/>
      <sheetName val="Power sector"/>
      <sheetName val="Energy consumption"/>
      <sheetName val="transport"/>
      <sheetName val="Emissions"/>
      <sheetName val="Sheet1"/>
      <sheetName val="Land Use"/>
      <sheetName val="Land Use NEWW"/>
      <sheetName val="Energy crops"/>
      <sheetName val="Sectorial disagregation"/>
      <sheetName val="Regional_Sum"/>
      <sheetName val="Ecuador"/>
      <sheetName val="Coast"/>
      <sheetName val="Amazon"/>
      <sheetName val="Ande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mary Energy"/>
      <sheetName val="Primary Energy (Supply)"/>
      <sheetName val="Energy transformation"/>
      <sheetName val="Power sector"/>
      <sheetName val="Energy consumption"/>
      <sheetName val="transport"/>
      <sheetName val="Emissions"/>
      <sheetName val="Sheet1"/>
      <sheetName val="Land Use"/>
      <sheetName val="Land Use NEWW"/>
      <sheetName val="Energy crops"/>
      <sheetName val="Sectorial disagregation"/>
      <sheetName val="Regional_Sum"/>
      <sheetName val="Ecuador"/>
      <sheetName val="Coast"/>
      <sheetName val="Amazon"/>
      <sheetName val="An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www.dropbox.com/s/xrw3l5x323d433w/MAATE%202021_Plan%20de%20Implementaciopn%20NDC%20validado%20CICC%20%284%29.pdf?dl=0" TargetMode="External"/><Relationship Id="rId7" Type="http://schemas.openxmlformats.org/officeDocument/2006/relationships/drawing" Target="../drawings/drawing2.xml"/><Relationship Id="rId2" Type="http://schemas.openxmlformats.org/officeDocument/2006/relationships/hyperlink" Target="https://www.dropbox.com/s/xrw3l5x323d433w/MAATE%202021_Plan%20de%20Implementaciopn%20NDC%20validado%20CICC%20%284%29.pdf?dl=0" TargetMode="External"/><Relationship Id="rId1" Type="http://schemas.openxmlformats.org/officeDocument/2006/relationships/hyperlink" Target="https://www.dropbox.com/scl/fi/vop32yzmyogavya5mlcca/Tabla-Resumen-de-Pol-ticas-Actuales-Lissete-D-vila-2022-12-29.gsheet?dl=0&amp;rlkey=jcjgpa3qxccoib0t4hfhkz85a" TargetMode="External"/><Relationship Id="rId6" Type="http://schemas.openxmlformats.org/officeDocument/2006/relationships/hyperlink" Target="https://theicct.org/publication/real-world-phev-use-jun22/" TargetMode="External"/><Relationship Id="rId5" Type="http://schemas.openxmlformats.org/officeDocument/2006/relationships/hyperlink" Target="https://www.dropbox.com/s/xrw3l5x323d433w/MAATE%202021_Plan%20de%20Implementaciopn%20NDC%20validado%20CICC%20%284%29.pdf?dl=0" TargetMode="External"/><Relationship Id="rId4" Type="http://schemas.openxmlformats.org/officeDocument/2006/relationships/hyperlink" Target="https://www.dropbox.com/s/xrw3l5x323d433w/MAATE%202021_Plan%20de%20Implementaciopn%20NDC%20validado%20CICC%20%284%29.pdf?dl=0" TargetMode="External"/><Relationship Id="rId9"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hyperlink" Target="https://www.iea.org/reports/trucks-and-buses" TargetMode="Externa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hyperlink" Target="https://www.iea.org/reports/trucks-and-buses" TargetMode="Externa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dropbox.com/s/xrw3l5x323d433w/MAATE%202021_Plan%20de%20Implementaciopn%20NDC%20validado%20CICC%20%284%29.pdf?dl=0" TargetMode="External"/><Relationship Id="rId7" Type="http://schemas.openxmlformats.org/officeDocument/2006/relationships/vmlDrawing" Target="../drawings/vmlDrawing4.vml"/><Relationship Id="rId2" Type="http://schemas.openxmlformats.org/officeDocument/2006/relationships/hyperlink" Target="https://www.dropbox.com/s/xrw3l5x323d433w/MAATE%202021_Plan%20de%20Implementaciopn%20NDC%20validado%20CICC%20%284%29.pdf?dl=0" TargetMode="External"/><Relationship Id="rId1" Type="http://schemas.openxmlformats.org/officeDocument/2006/relationships/hyperlink" Target="https://www.dropbox.com/scl/fi/vop32yzmyogavya5mlcca/Tabla-Resumen-de-Pol-ticas-Actuales-Lissete-D-vila-2022-12-29.gsheet?dl=0&amp;rlkey=jcjgpa3qxccoib0t4hfhkz85a" TargetMode="External"/><Relationship Id="rId6" Type="http://schemas.openxmlformats.org/officeDocument/2006/relationships/drawing" Target="../drawings/drawing5.xml"/><Relationship Id="rId5" Type="http://schemas.openxmlformats.org/officeDocument/2006/relationships/hyperlink" Target="https://www.dropbox.com/s/xrw3l5x323d433w/MAATE%202021_Plan%20de%20Implementaciopn%20NDC%20validado%20CICC%20%284%29.pdf?dl=0" TargetMode="External"/><Relationship Id="rId4" Type="http://schemas.openxmlformats.org/officeDocument/2006/relationships/hyperlink" Target="https://www.dropbox.com/s/xrw3l5x323d433w/MAATE%202021_Plan%20de%20Implementaciopn%20NDC%20validado%20CICC%20%284%29.pdf?dl=0" TargetMode="Externa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hyperlink" Target="https://www.iea.org/reports/trucks-and-buses" TargetMode="External"/><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hyperlink" Target="https://www.iea.org/reports/trucks-and-buses" TargetMode="External"/><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000"/>
  <sheetViews>
    <sheetView workbookViewId="0">
      <selection activeCell="B29" sqref="B29"/>
    </sheetView>
  </sheetViews>
  <sheetFormatPr defaultColWidth="14.44140625" defaultRowHeight="15" customHeight="1"/>
  <cols>
    <col min="1" max="1" width="24.88671875" customWidth="1"/>
    <col min="2" max="52" width="9.109375" customWidth="1"/>
  </cols>
  <sheetData>
    <row r="1" spans="1:52" ht="14.4">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t="14.4">
      <c r="A2" s="1"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ht="14.4">
      <c r="A3" s="1"/>
      <c r="B3" s="1">
        <v>2000</v>
      </c>
      <c r="C3" s="1">
        <v>2001</v>
      </c>
      <c r="D3" s="1">
        <v>2002</v>
      </c>
      <c r="E3" s="1">
        <v>2003</v>
      </c>
      <c r="F3" s="1">
        <v>2004</v>
      </c>
      <c r="G3" s="1">
        <v>2005</v>
      </c>
      <c r="H3" s="1">
        <v>2006</v>
      </c>
      <c r="I3" s="1">
        <v>2007</v>
      </c>
      <c r="J3" s="1">
        <v>2008</v>
      </c>
      <c r="K3" s="1">
        <v>2009</v>
      </c>
      <c r="L3" s="1">
        <v>2010</v>
      </c>
      <c r="M3" s="1">
        <v>2011</v>
      </c>
      <c r="N3" s="1">
        <v>2012</v>
      </c>
      <c r="O3" s="1">
        <v>2013</v>
      </c>
      <c r="P3" s="1">
        <v>2014</v>
      </c>
      <c r="Q3" s="1">
        <v>2015</v>
      </c>
      <c r="R3" s="1">
        <v>2016</v>
      </c>
      <c r="S3" s="1">
        <v>2017</v>
      </c>
      <c r="T3" s="1">
        <v>2018</v>
      </c>
      <c r="U3" s="1">
        <v>2019</v>
      </c>
      <c r="V3" s="1">
        <v>2020</v>
      </c>
      <c r="W3" s="1">
        <v>2021</v>
      </c>
      <c r="X3" s="1">
        <v>2022</v>
      </c>
      <c r="Y3" s="1">
        <v>2023</v>
      </c>
      <c r="Z3" s="1">
        <v>2024</v>
      </c>
      <c r="AA3" s="1">
        <v>2025</v>
      </c>
      <c r="AB3" s="1">
        <v>2026</v>
      </c>
      <c r="AC3" s="1">
        <v>2027</v>
      </c>
      <c r="AD3" s="1">
        <v>2028</v>
      </c>
      <c r="AE3" s="1">
        <v>2029</v>
      </c>
      <c r="AF3" s="1">
        <v>2030</v>
      </c>
      <c r="AG3" s="1">
        <v>2031</v>
      </c>
      <c r="AH3" s="1">
        <v>2032</v>
      </c>
      <c r="AI3" s="1">
        <v>2033</v>
      </c>
      <c r="AJ3" s="1">
        <v>2034</v>
      </c>
      <c r="AK3" s="1">
        <v>2035</v>
      </c>
      <c r="AL3" s="1">
        <v>2036</v>
      </c>
      <c r="AM3" s="1">
        <v>2037</v>
      </c>
      <c r="AN3" s="1">
        <v>2038</v>
      </c>
      <c r="AO3" s="1">
        <v>2039</v>
      </c>
      <c r="AP3" s="1">
        <v>2040</v>
      </c>
      <c r="AQ3" s="1">
        <v>2041</v>
      </c>
      <c r="AR3" s="1">
        <v>2042</v>
      </c>
      <c r="AS3" s="1">
        <v>2043</v>
      </c>
      <c r="AT3" s="1">
        <v>2044</v>
      </c>
      <c r="AU3" s="1">
        <v>2045</v>
      </c>
      <c r="AV3" s="1">
        <v>2046</v>
      </c>
      <c r="AW3" s="1">
        <v>2047</v>
      </c>
      <c r="AX3" s="1">
        <v>2048</v>
      </c>
      <c r="AY3" s="1">
        <v>2049</v>
      </c>
      <c r="AZ3" s="1">
        <v>2050</v>
      </c>
    </row>
    <row r="4" spans="1:52" ht="14.4">
      <c r="A4" s="1" t="s">
        <v>2</v>
      </c>
      <c r="B4" s="2">
        <v>145.42099999999999</v>
      </c>
      <c r="C4" s="1">
        <v>146.76599999999999</v>
      </c>
      <c r="D4" s="1">
        <v>139.102</v>
      </c>
      <c r="E4" s="1">
        <v>143.56299999999999</v>
      </c>
      <c r="F4" s="1">
        <v>186.05099999999999</v>
      </c>
      <c r="G4" s="1">
        <v>183.64500000000001</v>
      </c>
      <c r="H4" s="1">
        <v>191.041</v>
      </c>
      <c r="I4" s="1">
        <v>184.012</v>
      </c>
      <c r="J4" s="1">
        <v>187.935</v>
      </c>
      <c r="K4" s="1">
        <v>180.59299999999999</v>
      </c>
      <c r="L4" s="1">
        <v>179.35400000000001</v>
      </c>
      <c r="M4" s="1">
        <v>184.35400000000001</v>
      </c>
      <c r="N4" s="1">
        <v>189.798</v>
      </c>
      <c r="O4" s="1">
        <v>196.584</v>
      </c>
      <c r="P4" s="1">
        <v>204.989</v>
      </c>
      <c r="Q4" s="1">
        <v>201.70400000000001</v>
      </c>
      <c r="R4" s="1">
        <v>204.40199999999999</v>
      </c>
      <c r="S4" s="1">
        <v>197.56700000000001</v>
      </c>
      <c r="T4" s="1">
        <v>204.363</v>
      </c>
      <c r="U4" s="1">
        <v>197.274</v>
      </c>
      <c r="V4" s="1">
        <v>190.27</v>
      </c>
      <c r="W4" s="1">
        <v>183.61600000000001</v>
      </c>
      <c r="X4" s="1">
        <v>179.49600000000001</v>
      </c>
      <c r="Y4" s="1">
        <v>171.74</v>
      </c>
      <c r="Z4" s="1">
        <v>163.227</v>
      </c>
      <c r="AA4" s="1">
        <v>155.63399999999999</v>
      </c>
      <c r="AB4" s="1">
        <v>148.78</v>
      </c>
      <c r="AC4" s="1">
        <v>142.601</v>
      </c>
      <c r="AD4" s="1">
        <v>137.00399999999999</v>
      </c>
      <c r="AE4" s="1">
        <v>131.89400000000001</v>
      </c>
      <c r="AF4" s="1">
        <v>127.17700000000001</v>
      </c>
      <c r="AG4" s="1">
        <v>122.771</v>
      </c>
      <c r="AH4" s="1">
        <v>118.607</v>
      </c>
      <c r="AI4" s="1">
        <v>114.629</v>
      </c>
      <c r="AJ4" s="1">
        <v>110.795</v>
      </c>
      <c r="AK4" s="1">
        <v>107.072</v>
      </c>
      <c r="AL4" s="1">
        <v>103.437</v>
      </c>
      <c r="AM4" s="1">
        <v>99.872200000000007</v>
      </c>
      <c r="AN4" s="1">
        <v>96.366500000000002</v>
      </c>
      <c r="AO4" s="1">
        <v>91.754999999999995</v>
      </c>
      <c r="AP4" s="1">
        <v>85.528599999999997</v>
      </c>
      <c r="AQ4" s="1">
        <v>79.301400000000001</v>
      </c>
      <c r="AR4" s="1">
        <v>74.4208</v>
      </c>
      <c r="AS4" s="1">
        <v>72.414100000000005</v>
      </c>
      <c r="AT4" s="1">
        <v>70.450299999999999</v>
      </c>
      <c r="AU4" s="1">
        <v>67.680499999999995</v>
      </c>
      <c r="AV4" s="1">
        <v>64.838700000000003</v>
      </c>
      <c r="AW4" s="1">
        <v>62.098100000000002</v>
      </c>
      <c r="AX4" s="1">
        <v>59.454599999999999</v>
      </c>
      <c r="AY4" s="1">
        <v>56.905900000000003</v>
      </c>
      <c r="AZ4" s="1">
        <v>54.449800000000003</v>
      </c>
    </row>
    <row r="5" spans="1:52" ht="14.4">
      <c r="A5" s="1" t="s">
        <v>3</v>
      </c>
      <c r="B5" s="1">
        <v>145.42099999999999</v>
      </c>
      <c r="C5" s="1">
        <v>146.76599999999999</v>
      </c>
      <c r="D5" s="1">
        <v>139.102</v>
      </c>
      <c r="E5" s="1">
        <v>143.56299999999999</v>
      </c>
      <c r="F5" s="1">
        <v>186.05099999999999</v>
      </c>
      <c r="G5" s="1">
        <v>183.64500000000001</v>
      </c>
      <c r="H5" s="1">
        <v>191.041</v>
      </c>
      <c r="I5" s="1">
        <v>184.012</v>
      </c>
      <c r="J5" s="1">
        <v>187.935</v>
      </c>
      <c r="K5" s="1">
        <v>180.59299999999999</v>
      </c>
      <c r="L5" s="1">
        <v>179.35400000000001</v>
      </c>
      <c r="M5" s="1">
        <v>184.35400000000001</v>
      </c>
      <c r="N5" s="1">
        <v>189.798</v>
      </c>
      <c r="O5" s="1">
        <v>196.584</v>
      </c>
      <c r="P5" s="1">
        <v>204.989</v>
      </c>
      <c r="Q5" s="1">
        <v>201.70400000000001</v>
      </c>
      <c r="R5" s="1">
        <v>204.40199999999999</v>
      </c>
      <c r="S5" s="1">
        <v>197.56700000000001</v>
      </c>
      <c r="T5" s="1">
        <v>204.363</v>
      </c>
      <c r="U5" s="1">
        <v>197.274</v>
      </c>
      <c r="V5" s="1">
        <v>190.27</v>
      </c>
      <c r="W5" s="1">
        <v>183.61600000000001</v>
      </c>
      <c r="X5" s="1">
        <v>179.49600000000001</v>
      </c>
      <c r="Y5" s="1">
        <v>171.74</v>
      </c>
      <c r="Z5" s="1">
        <v>163.227</v>
      </c>
      <c r="AA5" s="1">
        <v>155.63399999999999</v>
      </c>
      <c r="AB5" s="1">
        <v>112.146</v>
      </c>
      <c r="AC5" s="1">
        <v>110.636</v>
      </c>
      <c r="AD5" s="1">
        <v>112.89400000000001</v>
      </c>
      <c r="AE5" s="1">
        <v>115.17</v>
      </c>
      <c r="AF5" s="1">
        <v>117.41200000000001</v>
      </c>
      <c r="AG5" s="1">
        <v>119.905</v>
      </c>
      <c r="AH5" s="1">
        <v>122.27800000000001</v>
      </c>
      <c r="AI5" s="1">
        <v>118.6</v>
      </c>
      <c r="AJ5" s="1">
        <v>114.622</v>
      </c>
      <c r="AK5" s="1">
        <v>110.788</v>
      </c>
      <c r="AL5" s="1">
        <v>107.066</v>
      </c>
      <c r="AM5" s="1">
        <v>103.43</v>
      </c>
      <c r="AN5" s="1">
        <v>99.866</v>
      </c>
      <c r="AO5" s="1">
        <v>96.360399999999998</v>
      </c>
      <c r="AP5" s="1">
        <v>91.744299999999996</v>
      </c>
      <c r="AQ5" s="1">
        <v>85.517300000000006</v>
      </c>
      <c r="AR5" s="1">
        <v>79.290700000000001</v>
      </c>
      <c r="AS5" s="1">
        <v>74.413399999999996</v>
      </c>
      <c r="AT5" s="1">
        <v>72.412199999999999</v>
      </c>
      <c r="AU5" s="1">
        <v>70.446299999999994</v>
      </c>
      <c r="AV5" s="1">
        <v>67.675399999999996</v>
      </c>
      <c r="AW5" s="1">
        <v>64.833799999999997</v>
      </c>
      <c r="AX5" s="1">
        <v>62.093299999999999</v>
      </c>
      <c r="AY5" s="1">
        <v>59.450099999999999</v>
      </c>
      <c r="AZ5" s="1">
        <v>56.901499999999999</v>
      </c>
    </row>
    <row r="6" spans="1:52" ht="14.4">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row>
    <row r="7" spans="1:52" ht="14.4">
      <c r="A7" s="1" t="s">
        <v>4</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row>
    <row r="8" spans="1:52" ht="14.4">
      <c r="A8" s="1"/>
      <c r="B8" s="1">
        <v>2000</v>
      </c>
      <c r="C8" s="1">
        <v>2001</v>
      </c>
      <c r="D8" s="1">
        <v>2002</v>
      </c>
      <c r="E8" s="1">
        <v>2003</v>
      </c>
      <c r="F8" s="1">
        <v>2004</v>
      </c>
      <c r="G8" s="1">
        <v>2005</v>
      </c>
      <c r="H8" s="1">
        <v>2006</v>
      </c>
      <c r="I8" s="1">
        <v>2007</v>
      </c>
      <c r="J8" s="1">
        <v>2008</v>
      </c>
      <c r="K8" s="1">
        <v>2009</v>
      </c>
      <c r="L8" s="1">
        <v>2010</v>
      </c>
      <c r="M8" s="1">
        <v>2011</v>
      </c>
      <c r="N8" s="1">
        <v>2012</v>
      </c>
      <c r="O8" s="1">
        <v>2013</v>
      </c>
      <c r="P8" s="1">
        <v>2014</v>
      </c>
      <c r="Q8" s="1">
        <v>2015</v>
      </c>
      <c r="R8" s="1">
        <v>2016</v>
      </c>
      <c r="S8" s="1">
        <v>2017</v>
      </c>
      <c r="T8" s="1">
        <v>2018</v>
      </c>
      <c r="U8" s="1">
        <v>2019</v>
      </c>
      <c r="V8" s="1">
        <v>2020</v>
      </c>
      <c r="W8" s="1">
        <v>2021</v>
      </c>
      <c r="X8" s="1">
        <v>2022</v>
      </c>
      <c r="Y8" s="1">
        <v>2023</v>
      </c>
      <c r="Z8" s="1">
        <v>2024</v>
      </c>
      <c r="AA8" s="1">
        <v>2025</v>
      </c>
      <c r="AB8" s="1">
        <v>2026</v>
      </c>
      <c r="AC8" s="1">
        <v>2027</v>
      </c>
      <c r="AD8" s="1">
        <v>2028</v>
      </c>
      <c r="AE8" s="1">
        <v>2029</v>
      </c>
      <c r="AF8" s="1">
        <v>2030</v>
      </c>
      <c r="AG8" s="1">
        <v>2031</v>
      </c>
      <c r="AH8" s="1">
        <v>2032</v>
      </c>
      <c r="AI8" s="1">
        <v>2033</v>
      </c>
      <c r="AJ8" s="1">
        <v>2034</v>
      </c>
      <c r="AK8" s="1">
        <v>2035</v>
      </c>
      <c r="AL8" s="1">
        <v>2036</v>
      </c>
      <c r="AM8" s="1">
        <v>2037</v>
      </c>
      <c r="AN8" s="1">
        <v>2038</v>
      </c>
      <c r="AO8" s="1">
        <v>2039</v>
      </c>
      <c r="AP8" s="1">
        <v>2040</v>
      </c>
      <c r="AQ8" s="1">
        <v>2041</v>
      </c>
      <c r="AR8" s="1">
        <v>2042</v>
      </c>
      <c r="AS8" s="1">
        <v>2043</v>
      </c>
      <c r="AT8" s="1">
        <v>2044</v>
      </c>
      <c r="AU8" s="1">
        <v>2045</v>
      </c>
      <c r="AV8" s="1">
        <v>2046</v>
      </c>
      <c r="AW8" s="1">
        <v>2047</v>
      </c>
      <c r="AX8" s="1">
        <v>2048</v>
      </c>
      <c r="AY8" s="1">
        <v>2049</v>
      </c>
      <c r="AZ8" s="1">
        <v>2050</v>
      </c>
    </row>
    <row r="9" spans="1:52" ht="14.4">
      <c r="A9" s="1" t="s">
        <v>2</v>
      </c>
      <c r="B9" s="1">
        <v>145.42099999999999</v>
      </c>
      <c r="C9" s="1">
        <v>146.76599999999999</v>
      </c>
      <c r="D9" s="1">
        <v>139.102</v>
      </c>
      <c r="E9" s="1">
        <v>143.56299999999999</v>
      </c>
      <c r="F9" s="1">
        <v>186.05099999999999</v>
      </c>
      <c r="G9" s="1">
        <v>183.64500000000001</v>
      </c>
      <c r="H9" s="1">
        <v>191.041</v>
      </c>
      <c r="I9" s="1">
        <v>184.012</v>
      </c>
      <c r="J9" s="1">
        <v>187.935</v>
      </c>
      <c r="K9" s="1">
        <v>180.59299999999999</v>
      </c>
      <c r="L9" s="1">
        <v>179.35400000000001</v>
      </c>
      <c r="M9" s="1">
        <v>184.35400000000001</v>
      </c>
      <c r="N9" s="1">
        <v>189.798</v>
      </c>
      <c r="O9" s="1">
        <v>196.584</v>
      </c>
      <c r="P9" s="1">
        <v>202.9</v>
      </c>
      <c r="Q9" s="1">
        <v>199.93100000000001</v>
      </c>
      <c r="R9" s="1">
        <v>199.80199999999999</v>
      </c>
      <c r="S9" s="1">
        <v>196.62799999999999</v>
      </c>
      <c r="T9" s="1">
        <v>196.59800000000001</v>
      </c>
      <c r="U9" s="1">
        <v>190.78200000000001</v>
      </c>
      <c r="V9" s="1">
        <v>181.126</v>
      </c>
      <c r="W9" s="1">
        <v>172.24199999999999</v>
      </c>
      <c r="X9" s="1">
        <v>159.94399999999999</v>
      </c>
      <c r="Y9" s="1">
        <v>145.072</v>
      </c>
      <c r="Z9" s="1">
        <v>128.81899999999999</v>
      </c>
      <c r="AA9" s="1">
        <v>112.658</v>
      </c>
      <c r="AB9" s="1">
        <v>97.801400000000001</v>
      </c>
      <c r="AC9" s="1">
        <v>84.701700000000002</v>
      </c>
      <c r="AD9" s="1">
        <v>73.317499999999995</v>
      </c>
      <c r="AE9" s="1">
        <v>60.654000000000003</v>
      </c>
      <c r="AF9" s="1">
        <v>46.801600000000001</v>
      </c>
      <c r="AG9" s="1">
        <v>39.0946</v>
      </c>
      <c r="AH9" s="1">
        <v>32.808999999999997</v>
      </c>
      <c r="AI9" s="1">
        <v>25.2835</v>
      </c>
      <c r="AJ9" s="1">
        <v>18.197600000000001</v>
      </c>
      <c r="AK9" s="1">
        <v>5.7262000000000004</v>
      </c>
      <c r="AL9" s="1">
        <v>8.8817800000000003E-16</v>
      </c>
      <c r="AM9" s="1">
        <v>9.8607599999999995E-32</v>
      </c>
      <c r="AN9" s="1">
        <v>0</v>
      </c>
      <c r="AO9" s="1">
        <v>0</v>
      </c>
      <c r="AP9" s="1">
        <v>0</v>
      </c>
      <c r="AQ9" s="1">
        <v>0</v>
      </c>
      <c r="AR9" s="1">
        <v>0</v>
      </c>
      <c r="AS9" s="1">
        <v>0</v>
      </c>
      <c r="AT9" s="1">
        <v>0</v>
      </c>
      <c r="AU9" s="1">
        <v>0</v>
      </c>
      <c r="AV9" s="1">
        <v>0</v>
      </c>
      <c r="AW9" s="1">
        <v>0</v>
      </c>
      <c r="AX9" s="1">
        <v>0</v>
      </c>
      <c r="AY9" s="1">
        <v>0</v>
      </c>
      <c r="AZ9" s="1">
        <v>0</v>
      </c>
    </row>
    <row r="10" spans="1:52" ht="14.4">
      <c r="A10" s="1" t="s">
        <v>3</v>
      </c>
      <c r="B10" s="1">
        <v>145.42099999999999</v>
      </c>
      <c r="C10" s="1">
        <v>146.76599999999999</v>
      </c>
      <c r="D10" s="1">
        <v>139.102</v>
      </c>
      <c r="E10" s="1">
        <v>143.56299999999999</v>
      </c>
      <c r="F10" s="1">
        <v>186.05099999999999</v>
      </c>
      <c r="G10" s="1">
        <v>183.64500000000001</v>
      </c>
      <c r="H10" s="1">
        <v>191.041</v>
      </c>
      <c r="I10" s="1">
        <v>184.012</v>
      </c>
      <c r="J10" s="1">
        <v>187.935</v>
      </c>
      <c r="K10" s="1">
        <v>180.59299999999999</v>
      </c>
      <c r="L10" s="1">
        <v>179.35400000000001</v>
      </c>
      <c r="M10" s="1">
        <v>184.35400000000001</v>
      </c>
      <c r="N10" s="1">
        <v>189.798</v>
      </c>
      <c r="O10" s="1">
        <v>196.584</v>
      </c>
      <c r="P10" s="1">
        <v>202.9</v>
      </c>
      <c r="Q10" s="1">
        <v>199.93100000000001</v>
      </c>
      <c r="R10" s="1">
        <v>199.80199999999999</v>
      </c>
      <c r="S10" s="1">
        <v>196.62799999999999</v>
      </c>
      <c r="T10" s="1">
        <v>196.59800000000001</v>
      </c>
      <c r="U10" s="1">
        <v>190.78200000000001</v>
      </c>
      <c r="V10" s="1">
        <v>181.126</v>
      </c>
      <c r="W10" s="1">
        <v>172.24199999999999</v>
      </c>
      <c r="X10" s="1">
        <v>159.94399999999999</v>
      </c>
      <c r="Y10" s="1">
        <v>145.072</v>
      </c>
      <c r="Z10" s="1">
        <v>128.81899999999999</v>
      </c>
      <c r="AA10" s="1">
        <v>112.658</v>
      </c>
      <c r="AB10" s="1">
        <v>97.801400000000001</v>
      </c>
      <c r="AC10" s="1">
        <v>84.701700000000002</v>
      </c>
      <c r="AD10" s="1">
        <v>73.317499999999995</v>
      </c>
      <c r="AE10" s="1">
        <v>60.654000000000003</v>
      </c>
      <c r="AF10" s="1">
        <v>46.801600000000001</v>
      </c>
      <c r="AG10" s="1">
        <v>39.0946</v>
      </c>
      <c r="AH10" s="1">
        <v>32.808999999999997</v>
      </c>
      <c r="AI10" s="1">
        <v>25.2835</v>
      </c>
      <c r="AJ10" s="1">
        <v>18.197600000000001</v>
      </c>
      <c r="AK10" s="1">
        <v>5.7262000000000004</v>
      </c>
      <c r="AL10" s="1">
        <v>8.8817800000000003E-16</v>
      </c>
      <c r="AM10" s="1">
        <v>9.8607599999999995E-32</v>
      </c>
      <c r="AN10" s="1">
        <v>0</v>
      </c>
      <c r="AO10" s="1">
        <v>0</v>
      </c>
      <c r="AP10" s="1">
        <v>0</v>
      </c>
      <c r="AQ10" s="1">
        <v>0</v>
      </c>
      <c r="AR10" s="1">
        <v>0</v>
      </c>
      <c r="AS10" s="1">
        <v>0</v>
      </c>
      <c r="AT10" s="1">
        <v>0</v>
      </c>
      <c r="AU10" s="1">
        <v>0</v>
      </c>
      <c r="AV10" s="1">
        <v>0</v>
      </c>
      <c r="AW10" s="1">
        <v>0</v>
      </c>
      <c r="AX10" s="1">
        <v>0</v>
      </c>
      <c r="AY10" s="1">
        <v>0</v>
      </c>
      <c r="AZ10" s="1">
        <v>0</v>
      </c>
    </row>
    <row r="11" spans="1:52" ht="15" customHeight="1">
      <c r="A11" s="1"/>
      <c r="B11" s="1"/>
      <c r="C11" s="1"/>
      <c r="D11" s="1"/>
      <c r="E11" s="1"/>
      <c r="F11" s="1"/>
      <c r="G11" s="1"/>
      <c r="H11" s="1"/>
      <c r="I11" s="1"/>
      <c r="J11" s="1"/>
      <c r="K11" s="1"/>
      <c r="L11" s="1"/>
      <c r="M11" s="1"/>
      <c r="N11" s="1"/>
      <c r="O11" s="1"/>
      <c r="P11" s="1"/>
      <c r="Q11" s="1"/>
      <c r="R11" s="1"/>
      <c r="S11" s="1"/>
      <c r="T11" s="1"/>
      <c r="U11" s="1"/>
      <c r="V11" s="1"/>
      <c r="W11" s="1"/>
      <c r="X11" s="1">
        <f t="shared" ref="X11:AZ11" si="0">X9/W9</f>
        <v>0.92860045749584885</v>
      </c>
      <c r="Y11" s="1">
        <f t="shared" si="0"/>
        <v>0.90701745610963846</v>
      </c>
      <c r="Z11" s="1">
        <f t="shared" si="0"/>
        <v>0.88796597551560597</v>
      </c>
      <c r="AA11" s="1">
        <f t="shared" si="0"/>
        <v>0.87454490409023522</v>
      </c>
      <c r="AB11" s="1">
        <f t="shared" si="0"/>
        <v>0.86812654227840014</v>
      </c>
      <c r="AC11" s="1">
        <f t="shared" si="0"/>
        <v>0.86605815458674418</v>
      </c>
      <c r="AD11" s="1">
        <f t="shared" si="0"/>
        <v>0.86559655827450921</v>
      </c>
      <c r="AE11" s="1">
        <f t="shared" si="0"/>
        <v>0.82727861697411953</v>
      </c>
      <c r="AF11" s="1">
        <f t="shared" si="0"/>
        <v>0.77161605170310277</v>
      </c>
      <c r="AG11" s="1">
        <f t="shared" si="0"/>
        <v>0.83532614269597616</v>
      </c>
      <c r="AH11" s="1">
        <f t="shared" si="0"/>
        <v>0.83922076194666262</v>
      </c>
      <c r="AI11" s="1">
        <f t="shared" si="0"/>
        <v>0.77062696211405413</v>
      </c>
      <c r="AJ11" s="1">
        <f t="shared" si="0"/>
        <v>0.71974212431032103</v>
      </c>
      <c r="AK11" s="1">
        <f t="shared" si="0"/>
        <v>0.314667868290324</v>
      </c>
      <c r="AL11" s="1">
        <f t="shared" si="0"/>
        <v>1.5510775034053997E-16</v>
      </c>
      <c r="AM11" s="1">
        <f t="shared" si="0"/>
        <v>1.1102234011650817E-16</v>
      </c>
      <c r="AN11" s="1">
        <f t="shared" si="0"/>
        <v>0</v>
      </c>
      <c r="AO11" s="1" t="e">
        <f t="shared" si="0"/>
        <v>#DIV/0!</v>
      </c>
      <c r="AP11" s="1" t="e">
        <f t="shared" si="0"/>
        <v>#DIV/0!</v>
      </c>
      <c r="AQ11" s="1" t="e">
        <f t="shared" si="0"/>
        <v>#DIV/0!</v>
      </c>
      <c r="AR11" s="1" t="e">
        <f t="shared" si="0"/>
        <v>#DIV/0!</v>
      </c>
      <c r="AS11" s="1" t="e">
        <f t="shared" si="0"/>
        <v>#DIV/0!</v>
      </c>
      <c r="AT11" s="1" t="e">
        <f t="shared" si="0"/>
        <v>#DIV/0!</v>
      </c>
      <c r="AU11" s="1" t="e">
        <f t="shared" si="0"/>
        <v>#DIV/0!</v>
      </c>
      <c r="AV11" s="1" t="e">
        <f t="shared" si="0"/>
        <v>#DIV/0!</v>
      </c>
      <c r="AW11" s="1" t="e">
        <f t="shared" si="0"/>
        <v>#DIV/0!</v>
      </c>
      <c r="AX11" s="1" t="e">
        <f t="shared" si="0"/>
        <v>#DIV/0!</v>
      </c>
      <c r="AY11" s="1" t="e">
        <f t="shared" si="0"/>
        <v>#DIV/0!</v>
      </c>
      <c r="AZ11" s="1" t="e">
        <f t="shared" si="0"/>
        <v>#DIV/0!</v>
      </c>
    </row>
    <row r="12" spans="1:52" ht="15" customHeight="1">
      <c r="A12" s="1"/>
      <c r="B12" s="1"/>
      <c r="C12" s="1"/>
      <c r="D12" s="1"/>
      <c r="E12" s="1"/>
      <c r="F12" s="1"/>
      <c r="G12" s="1"/>
      <c r="H12" s="1"/>
      <c r="I12" s="1"/>
      <c r="J12" s="1"/>
      <c r="K12" s="1"/>
      <c r="L12" s="1"/>
      <c r="M12" s="1"/>
      <c r="N12" s="1"/>
      <c r="O12" s="1"/>
      <c r="P12" s="1"/>
      <c r="Q12" s="1"/>
      <c r="R12" s="1"/>
      <c r="S12" s="1"/>
      <c r="T12" s="1"/>
      <c r="U12" s="1"/>
      <c r="V12" s="1"/>
      <c r="W12" s="1"/>
      <c r="X12" s="1">
        <f t="shared" ref="X12:AZ12" si="1">X10/W10</f>
        <v>0.92860045749584885</v>
      </c>
      <c r="Y12" s="1">
        <f t="shared" si="1"/>
        <v>0.90701745610963846</v>
      </c>
      <c r="Z12" s="1">
        <f t="shared" si="1"/>
        <v>0.88796597551560597</v>
      </c>
      <c r="AA12" s="1">
        <f t="shared" si="1"/>
        <v>0.87454490409023522</v>
      </c>
      <c r="AB12" s="1">
        <f t="shared" si="1"/>
        <v>0.86812654227840014</v>
      </c>
      <c r="AC12" s="1">
        <f t="shared" si="1"/>
        <v>0.86605815458674418</v>
      </c>
      <c r="AD12" s="1">
        <f t="shared" si="1"/>
        <v>0.86559655827450921</v>
      </c>
      <c r="AE12" s="1">
        <f t="shared" si="1"/>
        <v>0.82727861697411953</v>
      </c>
      <c r="AF12" s="1">
        <f t="shared" si="1"/>
        <v>0.77161605170310277</v>
      </c>
      <c r="AG12" s="1">
        <f t="shared" si="1"/>
        <v>0.83532614269597616</v>
      </c>
      <c r="AH12" s="1">
        <f t="shared" si="1"/>
        <v>0.83922076194666262</v>
      </c>
      <c r="AI12" s="1">
        <f t="shared" si="1"/>
        <v>0.77062696211405413</v>
      </c>
      <c r="AJ12" s="1">
        <f t="shared" si="1"/>
        <v>0.71974212431032103</v>
      </c>
      <c r="AK12" s="1">
        <f t="shared" si="1"/>
        <v>0.314667868290324</v>
      </c>
      <c r="AL12" s="1">
        <f t="shared" si="1"/>
        <v>1.5510775034053997E-16</v>
      </c>
      <c r="AM12" s="1">
        <f t="shared" si="1"/>
        <v>1.1102234011650817E-16</v>
      </c>
      <c r="AN12" s="1">
        <f t="shared" si="1"/>
        <v>0</v>
      </c>
      <c r="AO12" s="1" t="e">
        <f t="shared" si="1"/>
        <v>#DIV/0!</v>
      </c>
      <c r="AP12" s="1" t="e">
        <f t="shared" si="1"/>
        <v>#DIV/0!</v>
      </c>
      <c r="AQ12" s="1" t="e">
        <f t="shared" si="1"/>
        <v>#DIV/0!</v>
      </c>
      <c r="AR12" s="1" t="e">
        <f t="shared" si="1"/>
        <v>#DIV/0!</v>
      </c>
      <c r="AS12" s="1" t="e">
        <f t="shared" si="1"/>
        <v>#DIV/0!</v>
      </c>
      <c r="AT12" s="1" t="e">
        <f t="shared" si="1"/>
        <v>#DIV/0!</v>
      </c>
      <c r="AU12" s="1" t="e">
        <f t="shared" si="1"/>
        <v>#DIV/0!</v>
      </c>
      <c r="AV12" s="1" t="e">
        <f t="shared" si="1"/>
        <v>#DIV/0!</v>
      </c>
      <c r="AW12" s="1" t="e">
        <f t="shared" si="1"/>
        <v>#DIV/0!</v>
      </c>
      <c r="AX12" s="1" t="e">
        <f t="shared" si="1"/>
        <v>#DIV/0!</v>
      </c>
      <c r="AY12" s="1" t="e">
        <f t="shared" si="1"/>
        <v>#DIV/0!</v>
      </c>
      <c r="AZ12" s="1" t="e">
        <f t="shared" si="1"/>
        <v>#DIV/0!</v>
      </c>
    </row>
    <row r="13" spans="1:52" ht="14.4">
      <c r="A13" s="1" t="s">
        <v>5</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1:52" ht="14.4">
      <c r="A14" s="1" t="s">
        <v>1</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1:52" ht="14.4">
      <c r="A15" s="1"/>
      <c r="B15" s="1">
        <v>2000</v>
      </c>
      <c r="C15" s="1">
        <v>2001</v>
      </c>
      <c r="D15" s="1">
        <v>2002</v>
      </c>
      <c r="E15" s="1">
        <v>2003</v>
      </c>
      <c r="F15" s="1">
        <v>2004</v>
      </c>
      <c r="G15" s="1">
        <v>2005</v>
      </c>
      <c r="H15" s="1">
        <v>2006</v>
      </c>
      <c r="I15" s="1">
        <v>2007</v>
      </c>
      <c r="J15" s="1">
        <v>2008</v>
      </c>
      <c r="K15" s="1">
        <v>2009</v>
      </c>
      <c r="L15" s="1">
        <v>2010</v>
      </c>
      <c r="M15" s="1">
        <v>2011</v>
      </c>
      <c r="N15" s="1">
        <v>2012</v>
      </c>
      <c r="O15" s="1">
        <v>2013</v>
      </c>
      <c r="P15" s="1">
        <v>2014</v>
      </c>
      <c r="Q15" s="1">
        <v>2015</v>
      </c>
      <c r="R15" s="1">
        <v>2016</v>
      </c>
      <c r="S15" s="1">
        <v>2017</v>
      </c>
      <c r="T15" s="1">
        <v>2018</v>
      </c>
      <c r="U15" s="1">
        <v>2019</v>
      </c>
      <c r="V15" s="1">
        <v>2020</v>
      </c>
      <c r="W15" s="1">
        <v>2021</v>
      </c>
      <c r="X15" s="1">
        <v>2022</v>
      </c>
      <c r="Y15" s="1">
        <v>2023</v>
      </c>
      <c r="Z15" s="1">
        <v>2024</v>
      </c>
      <c r="AA15" s="1">
        <v>2025</v>
      </c>
      <c r="AB15" s="1">
        <v>2026</v>
      </c>
      <c r="AC15" s="1">
        <v>2027</v>
      </c>
      <c r="AD15" s="1">
        <v>2028</v>
      </c>
      <c r="AE15" s="1">
        <v>2029</v>
      </c>
      <c r="AF15" s="1">
        <v>2030</v>
      </c>
      <c r="AG15" s="1">
        <v>2031</v>
      </c>
      <c r="AH15" s="1">
        <v>2032</v>
      </c>
      <c r="AI15" s="1">
        <v>2033</v>
      </c>
      <c r="AJ15" s="1">
        <v>2034</v>
      </c>
      <c r="AK15" s="1">
        <v>2035</v>
      </c>
      <c r="AL15" s="1">
        <v>2036</v>
      </c>
      <c r="AM15" s="1">
        <v>2037</v>
      </c>
      <c r="AN15" s="1">
        <v>2038</v>
      </c>
      <c r="AO15" s="1">
        <v>2039</v>
      </c>
      <c r="AP15" s="1">
        <v>2040</v>
      </c>
      <c r="AQ15" s="1">
        <v>2041</v>
      </c>
      <c r="AR15" s="1">
        <v>2042</v>
      </c>
      <c r="AS15" s="1">
        <v>2043</v>
      </c>
      <c r="AT15" s="1">
        <v>2044</v>
      </c>
      <c r="AU15" s="1">
        <v>2045</v>
      </c>
      <c r="AV15" s="1">
        <v>2046</v>
      </c>
      <c r="AW15" s="1">
        <v>2047</v>
      </c>
      <c r="AX15" s="1">
        <v>2048</v>
      </c>
      <c r="AY15" s="1">
        <v>2049</v>
      </c>
      <c r="AZ15" s="1">
        <v>2050</v>
      </c>
    </row>
    <row r="16" spans="1:52" ht="14.4">
      <c r="A16" s="1" t="s">
        <v>6</v>
      </c>
      <c r="B16" s="1">
        <v>81.494600000000005</v>
      </c>
      <c r="C16" s="1">
        <v>84.215900000000005</v>
      </c>
      <c r="D16" s="1">
        <v>78.348200000000006</v>
      </c>
      <c r="E16" s="1">
        <v>86.873500000000007</v>
      </c>
      <c r="F16" s="1">
        <v>123.301</v>
      </c>
      <c r="G16" s="1">
        <v>125.758</v>
      </c>
      <c r="H16" s="1">
        <v>130.202</v>
      </c>
      <c r="I16" s="1">
        <v>122.584</v>
      </c>
      <c r="J16" s="1">
        <v>124.333</v>
      </c>
      <c r="K16" s="1">
        <v>116.786</v>
      </c>
      <c r="L16" s="1">
        <v>122.627</v>
      </c>
      <c r="M16" s="1">
        <v>120.33199999999999</v>
      </c>
      <c r="N16" s="1">
        <v>126.65</v>
      </c>
      <c r="O16" s="1">
        <v>137.87899999999999</v>
      </c>
      <c r="P16" s="1">
        <v>151.86500000000001</v>
      </c>
      <c r="Q16" s="1">
        <v>150.392</v>
      </c>
      <c r="R16" s="1">
        <v>141.864</v>
      </c>
      <c r="S16" s="1">
        <v>133.40199999999999</v>
      </c>
      <c r="T16" s="1">
        <v>139.07300000000001</v>
      </c>
      <c r="U16" s="1">
        <v>137.595</v>
      </c>
      <c r="V16" s="1">
        <v>128.53399999999999</v>
      </c>
      <c r="W16" s="1">
        <v>122.646</v>
      </c>
      <c r="X16" s="1">
        <v>118.068</v>
      </c>
      <c r="Y16" s="1">
        <v>109.98</v>
      </c>
      <c r="Z16" s="1">
        <v>101.077</v>
      </c>
      <c r="AA16" s="1">
        <v>93.181200000000004</v>
      </c>
      <c r="AB16" s="1">
        <v>86.881399999999999</v>
      </c>
      <c r="AC16" s="1">
        <v>82.378900000000002</v>
      </c>
      <c r="AD16" s="1">
        <v>76.789599999999993</v>
      </c>
      <c r="AE16" s="1">
        <v>71.789400000000001</v>
      </c>
      <c r="AF16" s="1">
        <v>67.260800000000003</v>
      </c>
      <c r="AG16" s="1">
        <v>62.700299999999999</v>
      </c>
      <c r="AH16" s="1">
        <v>58.735999999999997</v>
      </c>
      <c r="AI16" s="1">
        <v>54.920699999999997</v>
      </c>
      <c r="AJ16" s="1">
        <v>51.025399999999998</v>
      </c>
      <c r="AK16" s="1">
        <v>46.666899999999998</v>
      </c>
      <c r="AL16" s="1">
        <v>42.157899999999998</v>
      </c>
      <c r="AM16" s="1">
        <v>38.272399999999998</v>
      </c>
      <c r="AN16" s="1">
        <v>34.613599999999998</v>
      </c>
      <c r="AO16" s="1">
        <v>29.995200000000001</v>
      </c>
      <c r="AP16" s="1">
        <v>23.584299999999999</v>
      </c>
      <c r="AQ16" s="1">
        <v>17.3736</v>
      </c>
      <c r="AR16" s="1">
        <v>12.5695</v>
      </c>
      <c r="AS16" s="1">
        <v>10.691000000000001</v>
      </c>
      <c r="AT16" s="1">
        <v>8.8991799999999994</v>
      </c>
      <c r="AU16" s="1">
        <v>6.3531300000000002</v>
      </c>
      <c r="AV16" s="1">
        <v>3.7691400000000002</v>
      </c>
      <c r="AW16" s="1">
        <v>1.32908</v>
      </c>
      <c r="AX16" s="1">
        <v>0</v>
      </c>
      <c r="AY16" s="1">
        <v>0</v>
      </c>
      <c r="AZ16" s="1">
        <v>0</v>
      </c>
    </row>
    <row r="17" spans="1:52" ht="14.4">
      <c r="A17" s="1" t="s">
        <v>7</v>
      </c>
      <c r="B17" s="1">
        <v>81.494600000000005</v>
      </c>
      <c r="C17" s="1">
        <v>84.215900000000005</v>
      </c>
      <c r="D17" s="1">
        <v>78.348200000000006</v>
      </c>
      <c r="E17" s="1">
        <v>86.873500000000007</v>
      </c>
      <c r="F17" s="1">
        <v>123.301</v>
      </c>
      <c r="G17" s="1">
        <v>125.758</v>
      </c>
      <c r="H17" s="1">
        <v>130.202</v>
      </c>
      <c r="I17" s="1">
        <v>122.584</v>
      </c>
      <c r="J17" s="1">
        <v>124.333</v>
      </c>
      <c r="K17" s="1">
        <v>116.786</v>
      </c>
      <c r="L17" s="1">
        <v>122.627</v>
      </c>
      <c r="M17" s="1">
        <v>120.33199999999999</v>
      </c>
      <c r="N17" s="1">
        <v>126.65</v>
      </c>
      <c r="O17" s="1">
        <v>137.87899999999999</v>
      </c>
      <c r="P17" s="1">
        <v>151.86500000000001</v>
      </c>
      <c r="Q17" s="1">
        <v>150.392</v>
      </c>
      <c r="R17" s="1">
        <v>141.864</v>
      </c>
      <c r="S17" s="1">
        <v>133.40199999999999</v>
      </c>
      <c r="T17" s="1">
        <v>139.07300000000001</v>
      </c>
      <c r="U17" s="1">
        <v>137.595</v>
      </c>
      <c r="V17" s="1">
        <v>128.53399999999999</v>
      </c>
      <c r="W17" s="1">
        <v>122.646</v>
      </c>
      <c r="X17" s="1">
        <v>118.068</v>
      </c>
      <c r="Y17" s="1">
        <v>109.98</v>
      </c>
      <c r="Z17" s="1">
        <v>101.077</v>
      </c>
      <c r="AA17" s="1">
        <v>93.181200000000004</v>
      </c>
      <c r="AB17" s="1">
        <v>54.657899999999998</v>
      </c>
      <c r="AC17" s="1">
        <v>55.716900000000003</v>
      </c>
      <c r="AD17" s="1">
        <v>58.771999999999998</v>
      </c>
      <c r="AE17" s="1">
        <v>61.988500000000002</v>
      </c>
      <c r="AF17" s="1">
        <v>65.285499999999999</v>
      </c>
      <c r="AG17" s="1">
        <v>65.767300000000006</v>
      </c>
      <c r="AH17" s="1">
        <v>61.636400000000002</v>
      </c>
      <c r="AI17" s="1">
        <v>57.693399999999997</v>
      </c>
      <c r="AJ17" s="1">
        <v>53.700099999999999</v>
      </c>
      <c r="AK17" s="1">
        <v>49.265999999999998</v>
      </c>
      <c r="AL17" s="1">
        <v>44.697800000000001</v>
      </c>
      <c r="AM17" s="1">
        <v>40.764699999999998</v>
      </c>
      <c r="AN17" s="1">
        <v>37.066299999999998</v>
      </c>
      <c r="AO17" s="1">
        <v>33.572299999999998</v>
      </c>
      <c r="AP17" s="1">
        <v>28.025099999999998</v>
      </c>
      <c r="AQ17" s="1">
        <v>21.6936</v>
      </c>
      <c r="AR17" s="1">
        <v>15.6594</v>
      </c>
      <c r="AS17" s="1">
        <v>11.452</v>
      </c>
      <c r="AT17" s="1">
        <v>10.5341</v>
      </c>
      <c r="AU17" s="1">
        <v>8.4163300000000003</v>
      </c>
      <c r="AV17" s="1">
        <v>5.7572999999999999</v>
      </c>
      <c r="AW17" s="1">
        <v>3.2462800000000001</v>
      </c>
      <c r="AX17" s="1">
        <v>0.87005100000000002</v>
      </c>
      <c r="AY17" s="1">
        <v>0</v>
      </c>
      <c r="AZ17" s="1">
        <v>0</v>
      </c>
    </row>
    <row r="18" spans="1:52" ht="14.4">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row>
    <row r="19" spans="1:52" ht="14.4">
      <c r="A19" s="1" t="s">
        <v>4</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row>
    <row r="20" spans="1:52" ht="14.4">
      <c r="A20" s="1"/>
      <c r="B20" s="1">
        <v>2000</v>
      </c>
      <c r="C20" s="1">
        <v>2001</v>
      </c>
      <c r="D20" s="1">
        <v>2002</v>
      </c>
      <c r="E20" s="1">
        <v>2003</v>
      </c>
      <c r="F20" s="1">
        <v>2004</v>
      </c>
      <c r="G20" s="1">
        <v>2005</v>
      </c>
      <c r="H20" s="1">
        <v>2006</v>
      </c>
      <c r="I20" s="1">
        <v>2007</v>
      </c>
      <c r="J20" s="1">
        <v>2008</v>
      </c>
      <c r="K20" s="1">
        <v>2009</v>
      </c>
      <c r="L20" s="1">
        <v>2010</v>
      </c>
      <c r="M20" s="1">
        <v>2011</v>
      </c>
      <c r="N20" s="1">
        <v>2012</v>
      </c>
      <c r="O20" s="1">
        <v>2013</v>
      </c>
      <c r="P20" s="1">
        <v>2014</v>
      </c>
      <c r="Q20" s="1">
        <v>2015</v>
      </c>
      <c r="R20" s="1">
        <v>2016</v>
      </c>
      <c r="S20" s="1">
        <v>2017</v>
      </c>
      <c r="T20" s="1">
        <v>2018</v>
      </c>
      <c r="U20" s="1">
        <v>2019</v>
      </c>
      <c r="V20" s="1">
        <v>2020</v>
      </c>
      <c r="W20" s="1">
        <v>2021</v>
      </c>
      <c r="X20" s="1">
        <v>2022</v>
      </c>
      <c r="Y20" s="1">
        <v>2023</v>
      </c>
      <c r="Z20" s="1">
        <v>2024</v>
      </c>
      <c r="AA20" s="1">
        <v>2025</v>
      </c>
      <c r="AB20" s="1">
        <v>2026</v>
      </c>
      <c r="AC20" s="1">
        <v>2027</v>
      </c>
      <c r="AD20" s="1">
        <v>2028</v>
      </c>
      <c r="AE20" s="1">
        <v>2029</v>
      </c>
      <c r="AF20" s="1">
        <v>2030</v>
      </c>
      <c r="AG20" s="1">
        <v>2031</v>
      </c>
      <c r="AH20" s="1">
        <v>2032</v>
      </c>
      <c r="AI20" s="1">
        <v>2033</v>
      </c>
      <c r="AJ20" s="1">
        <v>2034</v>
      </c>
      <c r="AK20" s="1">
        <v>2035</v>
      </c>
      <c r="AL20" s="1">
        <v>2036</v>
      </c>
      <c r="AM20" s="1">
        <v>2037</v>
      </c>
      <c r="AN20" s="1">
        <v>2038</v>
      </c>
      <c r="AO20" s="1">
        <v>2039</v>
      </c>
      <c r="AP20" s="1">
        <v>2040</v>
      </c>
      <c r="AQ20" s="1">
        <v>2041</v>
      </c>
      <c r="AR20" s="1">
        <v>2042</v>
      </c>
      <c r="AS20" s="1">
        <v>2043</v>
      </c>
      <c r="AT20" s="1">
        <v>2044</v>
      </c>
      <c r="AU20" s="1">
        <v>2045</v>
      </c>
      <c r="AV20" s="1">
        <v>2046</v>
      </c>
      <c r="AW20" s="1">
        <v>2047</v>
      </c>
      <c r="AX20" s="1">
        <v>2048</v>
      </c>
      <c r="AY20" s="1">
        <v>2049</v>
      </c>
      <c r="AZ20" s="1">
        <v>2050</v>
      </c>
    </row>
    <row r="21" spans="1:52" ht="15.75" customHeight="1">
      <c r="A21" s="1" t="s">
        <v>6</v>
      </c>
      <c r="B21" s="1">
        <v>81.494600000000005</v>
      </c>
      <c r="C21" s="1">
        <v>84.215900000000005</v>
      </c>
      <c r="D21" s="1">
        <v>78.348200000000006</v>
      </c>
      <c r="E21" s="1">
        <v>86.873500000000007</v>
      </c>
      <c r="F21" s="1">
        <v>123.301</v>
      </c>
      <c r="G21" s="1">
        <v>125.758</v>
      </c>
      <c r="H21" s="1">
        <v>130.202</v>
      </c>
      <c r="I21" s="1">
        <v>122.584</v>
      </c>
      <c r="J21" s="1">
        <v>124.333</v>
      </c>
      <c r="K21" s="1">
        <v>116.786</v>
      </c>
      <c r="L21" s="1">
        <v>122.627</v>
      </c>
      <c r="M21" s="1">
        <v>120.33199999999999</v>
      </c>
      <c r="N21" s="1">
        <v>126.65</v>
      </c>
      <c r="O21" s="1">
        <v>137.87899999999999</v>
      </c>
      <c r="P21" s="1">
        <v>151.86500000000001</v>
      </c>
      <c r="Q21" s="1">
        <v>150.392</v>
      </c>
      <c r="R21" s="1">
        <v>141.864</v>
      </c>
      <c r="S21" s="1">
        <v>133.40199999999999</v>
      </c>
      <c r="T21" s="1">
        <v>131.31100000000001</v>
      </c>
      <c r="U21" s="1">
        <v>131.107</v>
      </c>
      <c r="V21" s="1">
        <v>119.392</v>
      </c>
      <c r="W21" s="1">
        <v>111.27500000000001</v>
      </c>
      <c r="X21" s="1">
        <v>98.515500000000003</v>
      </c>
      <c r="Y21" s="1">
        <v>83.314099999999996</v>
      </c>
      <c r="Z21" s="1">
        <v>66.670900000000003</v>
      </c>
      <c r="AA21" s="1">
        <v>50.2059</v>
      </c>
      <c r="AB21" s="1">
        <v>35.9039</v>
      </c>
      <c r="AC21" s="1">
        <v>24.480699999999999</v>
      </c>
      <c r="AD21" s="1">
        <v>13.1037</v>
      </c>
      <c r="AE21" s="1">
        <v>0.54934799999999995</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row>
    <row r="22" spans="1:52" ht="15.75" customHeight="1">
      <c r="A22" s="1" t="s">
        <v>7</v>
      </c>
      <c r="B22" s="1">
        <v>81.494600000000005</v>
      </c>
      <c r="C22" s="1">
        <v>84.215900000000005</v>
      </c>
      <c r="D22" s="1">
        <v>78.348200000000006</v>
      </c>
      <c r="E22" s="1">
        <v>86.873500000000007</v>
      </c>
      <c r="F22" s="1">
        <v>123.301</v>
      </c>
      <c r="G22" s="1">
        <v>125.758</v>
      </c>
      <c r="H22" s="1">
        <v>130.202</v>
      </c>
      <c r="I22" s="1">
        <v>122.584</v>
      </c>
      <c r="J22" s="1">
        <v>124.333</v>
      </c>
      <c r="K22" s="1">
        <v>116.786</v>
      </c>
      <c r="L22" s="1">
        <v>122.627</v>
      </c>
      <c r="M22" s="1">
        <v>120.33199999999999</v>
      </c>
      <c r="N22" s="1">
        <v>126.65</v>
      </c>
      <c r="O22" s="1">
        <v>137.87899999999999</v>
      </c>
      <c r="P22" s="1">
        <v>151.86500000000001</v>
      </c>
      <c r="Q22" s="1">
        <v>150.392</v>
      </c>
      <c r="R22" s="1">
        <v>141.864</v>
      </c>
      <c r="S22" s="1">
        <v>133.40199999999999</v>
      </c>
      <c r="T22" s="1">
        <v>131.31100000000001</v>
      </c>
      <c r="U22" s="1">
        <v>131.107</v>
      </c>
      <c r="V22" s="1">
        <v>119.392</v>
      </c>
      <c r="W22" s="1">
        <v>111.27500000000001</v>
      </c>
      <c r="X22" s="1">
        <v>98.515500000000003</v>
      </c>
      <c r="Y22" s="1">
        <v>83.314099999999996</v>
      </c>
      <c r="Z22" s="1">
        <v>66.670900000000003</v>
      </c>
      <c r="AA22" s="1">
        <v>50.2059</v>
      </c>
      <c r="AB22" s="1">
        <v>35.9039</v>
      </c>
      <c r="AC22" s="1">
        <v>24.480699999999999</v>
      </c>
      <c r="AD22" s="1">
        <v>13.1037</v>
      </c>
      <c r="AE22" s="1">
        <v>0.54934799999999995</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
        <v>0</v>
      </c>
      <c r="AY22" s="1">
        <v>0</v>
      </c>
      <c r="AZ22" s="1">
        <v>0</v>
      </c>
    </row>
    <row r="23" spans="1:52"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1:52"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1:52" ht="15.75" customHeight="1">
      <c r="A25" s="1" t="s">
        <v>8</v>
      </c>
      <c r="B25" s="1">
        <f t="shared" ref="B25:AZ25" si="2">B10-B22</f>
        <v>63.926399999999987</v>
      </c>
      <c r="C25" s="1">
        <f t="shared" si="2"/>
        <v>62.550099999999986</v>
      </c>
      <c r="D25" s="1">
        <f t="shared" si="2"/>
        <v>60.753799999999998</v>
      </c>
      <c r="E25" s="1">
        <f t="shared" si="2"/>
        <v>56.689499999999981</v>
      </c>
      <c r="F25" s="1">
        <f t="shared" si="2"/>
        <v>62.749999999999986</v>
      </c>
      <c r="G25" s="1">
        <f t="shared" si="2"/>
        <v>57.887000000000015</v>
      </c>
      <c r="H25" s="1">
        <f t="shared" si="2"/>
        <v>60.838999999999999</v>
      </c>
      <c r="I25" s="1">
        <f t="shared" si="2"/>
        <v>61.427999999999997</v>
      </c>
      <c r="J25" s="1">
        <f t="shared" si="2"/>
        <v>63.602000000000004</v>
      </c>
      <c r="K25" s="1">
        <f t="shared" si="2"/>
        <v>63.806999999999988</v>
      </c>
      <c r="L25" s="1">
        <f t="shared" si="2"/>
        <v>56.727000000000018</v>
      </c>
      <c r="M25" s="1">
        <f t="shared" si="2"/>
        <v>64.02200000000002</v>
      </c>
      <c r="N25" s="1">
        <f t="shared" si="2"/>
        <v>63.147999999999996</v>
      </c>
      <c r="O25" s="1">
        <f t="shared" si="2"/>
        <v>58.705000000000013</v>
      </c>
      <c r="P25" s="1">
        <f t="shared" si="2"/>
        <v>51.034999999999997</v>
      </c>
      <c r="Q25" s="1">
        <f t="shared" si="2"/>
        <v>49.539000000000016</v>
      </c>
      <c r="R25" s="1">
        <f t="shared" si="2"/>
        <v>57.937999999999988</v>
      </c>
      <c r="S25" s="1">
        <f t="shared" si="2"/>
        <v>63.225999999999999</v>
      </c>
      <c r="T25" s="3">
        <f t="shared" si="2"/>
        <v>65.287000000000006</v>
      </c>
      <c r="U25" s="1">
        <f t="shared" si="2"/>
        <v>59.675000000000011</v>
      </c>
      <c r="V25" s="1">
        <f t="shared" si="2"/>
        <v>61.734000000000009</v>
      </c>
      <c r="W25" s="1">
        <f t="shared" si="2"/>
        <v>60.966999999999985</v>
      </c>
      <c r="X25" s="1">
        <f t="shared" si="2"/>
        <v>61.428499999999985</v>
      </c>
      <c r="Y25" s="1">
        <f t="shared" si="2"/>
        <v>61.757900000000006</v>
      </c>
      <c r="Z25" s="1">
        <f t="shared" si="2"/>
        <v>62.148099999999985</v>
      </c>
      <c r="AA25" s="1">
        <f t="shared" si="2"/>
        <v>62.452100000000002</v>
      </c>
      <c r="AB25" s="1">
        <f t="shared" si="2"/>
        <v>61.897500000000001</v>
      </c>
      <c r="AC25" s="1">
        <f t="shared" si="2"/>
        <v>60.221000000000004</v>
      </c>
      <c r="AD25" s="1">
        <f t="shared" si="2"/>
        <v>60.213799999999992</v>
      </c>
      <c r="AE25" s="1">
        <f t="shared" si="2"/>
        <v>60.104652000000002</v>
      </c>
      <c r="AF25" s="1">
        <f t="shared" si="2"/>
        <v>46.801600000000001</v>
      </c>
      <c r="AG25" s="1">
        <f t="shared" si="2"/>
        <v>39.0946</v>
      </c>
      <c r="AH25" s="1">
        <f t="shared" si="2"/>
        <v>32.808999999999997</v>
      </c>
      <c r="AI25" s="1">
        <f t="shared" si="2"/>
        <v>25.2835</v>
      </c>
      <c r="AJ25" s="1">
        <f t="shared" si="2"/>
        <v>18.197600000000001</v>
      </c>
      <c r="AK25" s="1">
        <f t="shared" si="2"/>
        <v>5.7262000000000004</v>
      </c>
      <c r="AL25" s="1">
        <f t="shared" si="2"/>
        <v>8.8817800000000003E-16</v>
      </c>
      <c r="AM25" s="1">
        <f t="shared" si="2"/>
        <v>9.8607599999999995E-32</v>
      </c>
      <c r="AN25" s="1">
        <f t="shared" si="2"/>
        <v>0</v>
      </c>
      <c r="AO25" s="1">
        <f t="shared" si="2"/>
        <v>0</v>
      </c>
      <c r="AP25" s="1">
        <f t="shared" si="2"/>
        <v>0</v>
      </c>
      <c r="AQ25" s="1">
        <f t="shared" si="2"/>
        <v>0</v>
      </c>
      <c r="AR25" s="1">
        <f t="shared" si="2"/>
        <v>0</v>
      </c>
      <c r="AS25" s="1">
        <f t="shared" si="2"/>
        <v>0</v>
      </c>
      <c r="AT25" s="1">
        <f t="shared" si="2"/>
        <v>0</v>
      </c>
      <c r="AU25" s="1">
        <f t="shared" si="2"/>
        <v>0</v>
      </c>
      <c r="AV25" s="1">
        <f t="shared" si="2"/>
        <v>0</v>
      </c>
      <c r="AW25" s="1">
        <f t="shared" si="2"/>
        <v>0</v>
      </c>
      <c r="AX25" s="1">
        <f t="shared" si="2"/>
        <v>0</v>
      </c>
      <c r="AY25" s="1">
        <f t="shared" si="2"/>
        <v>0</v>
      </c>
      <c r="AZ25" s="1">
        <f t="shared" si="2"/>
        <v>0</v>
      </c>
    </row>
    <row r="26" spans="1:52" ht="15.75" customHeight="1">
      <c r="A26" s="1"/>
      <c r="B26" s="1"/>
      <c r="C26" s="1"/>
      <c r="D26" s="1"/>
      <c r="E26" s="1"/>
      <c r="F26" s="1"/>
      <c r="G26" s="1"/>
      <c r="H26" s="1"/>
      <c r="I26" s="1"/>
      <c r="J26" s="1"/>
      <c r="K26" s="1"/>
      <c r="L26" s="1"/>
      <c r="M26" s="1"/>
      <c r="N26" s="1"/>
      <c r="O26" s="1"/>
      <c r="P26" s="1"/>
      <c r="Q26" s="1"/>
      <c r="R26" s="1"/>
      <c r="S26" s="1"/>
      <c r="T26" s="1" t="s">
        <v>9</v>
      </c>
      <c r="U26" s="1"/>
      <c r="V26" s="1"/>
      <c r="W26" s="1"/>
      <c r="X26" s="1">
        <f t="shared" ref="X26:AZ26" si="3">$T$25-X25</f>
        <v>3.8585000000000207</v>
      </c>
      <c r="Y26" s="1">
        <f t="shared" si="3"/>
        <v>3.5290999999999997</v>
      </c>
      <c r="Z26" s="1">
        <f t="shared" si="3"/>
        <v>3.1389000000000209</v>
      </c>
      <c r="AA26" s="1">
        <f t="shared" si="3"/>
        <v>2.8349000000000046</v>
      </c>
      <c r="AB26" s="1">
        <f t="shared" si="3"/>
        <v>3.3895000000000053</v>
      </c>
      <c r="AC26" s="1">
        <f t="shared" si="3"/>
        <v>5.0660000000000025</v>
      </c>
      <c r="AD26" s="1">
        <f t="shared" si="3"/>
        <v>5.0732000000000141</v>
      </c>
      <c r="AE26" s="1">
        <f t="shared" si="3"/>
        <v>5.1823480000000046</v>
      </c>
      <c r="AF26" s="1">
        <f t="shared" si="3"/>
        <v>18.485400000000006</v>
      </c>
      <c r="AG26" s="1">
        <f t="shared" si="3"/>
        <v>26.192400000000006</v>
      </c>
      <c r="AH26" s="1">
        <f t="shared" si="3"/>
        <v>32.478000000000009</v>
      </c>
      <c r="AI26" s="1">
        <f t="shared" si="3"/>
        <v>40.003500000000003</v>
      </c>
      <c r="AJ26" s="1">
        <f t="shared" si="3"/>
        <v>47.089400000000005</v>
      </c>
      <c r="AK26" s="1">
        <f t="shared" si="3"/>
        <v>59.560800000000008</v>
      </c>
      <c r="AL26" s="1">
        <f t="shared" si="3"/>
        <v>65.287000000000006</v>
      </c>
      <c r="AM26" s="1">
        <f t="shared" si="3"/>
        <v>65.287000000000006</v>
      </c>
      <c r="AN26" s="1">
        <f t="shared" si="3"/>
        <v>65.287000000000006</v>
      </c>
      <c r="AO26" s="1">
        <f t="shared" si="3"/>
        <v>65.287000000000006</v>
      </c>
      <c r="AP26" s="1">
        <f t="shared" si="3"/>
        <v>65.287000000000006</v>
      </c>
      <c r="AQ26" s="1">
        <f t="shared" si="3"/>
        <v>65.287000000000006</v>
      </c>
      <c r="AR26" s="1">
        <f t="shared" si="3"/>
        <v>65.287000000000006</v>
      </c>
      <c r="AS26" s="1">
        <f t="shared" si="3"/>
        <v>65.287000000000006</v>
      </c>
      <c r="AT26" s="1">
        <f t="shared" si="3"/>
        <v>65.287000000000006</v>
      </c>
      <c r="AU26" s="1">
        <f t="shared" si="3"/>
        <v>65.287000000000006</v>
      </c>
      <c r="AV26" s="1">
        <f t="shared" si="3"/>
        <v>65.287000000000006</v>
      </c>
      <c r="AW26" s="1">
        <f t="shared" si="3"/>
        <v>65.287000000000006</v>
      </c>
      <c r="AX26" s="1">
        <f t="shared" si="3"/>
        <v>65.287000000000006</v>
      </c>
      <c r="AY26" s="1">
        <f t="shared" si="3"/>
        <v>65.287000000000006</v>
      </c>
      <c r="AZ26" s="1">
        <f t="shared" si="3"/>
        <v>65.287000000000006</v>
      </c>
    </row>
    <row r="27" spans="1:52" ht="15.75" customHeight="1">
      <c r="A27" s="1"/>
      <c r="B27" s="1"/>
      <c r="C27" s="1"/>
      <c r="D27" s="1"/>
      <c r="E27" s="1"/>
      <c r="F27" s="1"/>
      <c r="G27" s="1"/>
      <c r="H27" s="1"/>
      <c r="I27" s="1"/>
      <c r="J27" s="1"/>
      <c r="K27" s="1"/>
      <c r="L27" s="1"/>
      <c r="M27" s="1"/>
      <c r="N27" s="1"/>
      <c r="O27" s="1"/>
      <c r="P27" s="1"/>
      <c r="Q27" s="1"/>
      <c r="R27" s="1"/>
      <c r="S27" s="1"/>
      <c r="T27" s="4" t="s">
        <v>10</v>
      </c>
      <c r="U27" s="5" t="s">
        <v>11</v>
      </c>
      <c r="V27" s="6">
        <v>5.8065553845323302E-3</v>
      </c>
      <c r="W27" s="7" t="s">
        <v>12</v>
      </c>
      <c r="X27" s="1">
        <f t="shared" ref="X27:AZ27" si="4">X26*$V$28</f>
        <v>22.404593951218114</v>
      </c>
      <c r="Y27" s="1">
        <f t="shared" si="4"/>
        <v>20.491914607553042</v>
      </c>
      <c r="Z27" s="1">
        <f t="shared" si="4"/>
        <v>18.226196696508651</v>
      </c>
      <c r="AA27" s="1">
        <f t="shared" si="4"/>
        <v>16.461003859610727</v>
      </c>
      <c r="AB27" s="1">
        <f t="shared" si="4"/>
        <v>19.681319475872364</v>
      </c>
      <c r="AC27" s="1">
        <f t="shared" si="4"/>
        <v>29.416009578040796</v>
      </c>
      <c r="AD27" s="1">
        <f t="shared" si="4"/>
        <v>29.457816776809498</v>
      </c>
      <c r="AE27" s="1">
        <f t="shared" si="4"/>
        <v>30.091590683920376</v>
      </c>
      <c r="AF27" s="1">
        <f t="shared" si="4"/>
        <v>107.33649890523397</v>
      </c>
      <c r="AG27" s="1">
        <f t="shared" si="4"/>
        <v>152.08762125382464</v>
      </c>
      <c r="AH27" s="1">
        <f t="shared" si="4"/>
        <v>188.58530577884105</v>
      </c>
      <c r="AI27" s="1">
        <f t="shared" si="4"/>
        <v>232.28253832513909</v>
      </c>
      <c r="AJ27" s="1">
        <f t="shared" si="4"/>
        <v>273.42720912439671</v>
      </c>
      <c r="AK27" s="1">
        <f t="shared" si="4"/>
        <v>345.84308394705323</v>
      </c>
      <c r="AL27" s="1">
        <f t="shared" si="4"/>
        <v>379.09258138996228</v>
      </c>
      <c r="AM27" s="1">
        <f t="shared" si="4"/>
        <v>379.09258138996228</v>
      </c>
      <c r="AN27" s="1">
        <f t="shared" si="4"/>
        <v>379.09258138996228</v>
      </c>
      <c r="AO27" s="1">
        <f t="shared" si="4"/>
        <v>379.09258138996228</v>
      </c>
      <c r="AP27" s="1">
        <f t="shared" si="4"/>
        <v>379.09258138996228</v>
      </c>
      <c r="AQ27" s="1">
        <f t="shared" si="4"/>
        <v>379.09258138996228</v>
      </c>
      <c r="AR27" s="1">
        <f t="shared" si="4"/>
        <v>379.09258138996228</v>
      </c>
      <c r="AS27" s="1">
        <f t="shared" si="4"/>
        <v>379.09258138996228</v>
      </c>
      <c r="AT27" s="1">
        <f t="shared" si="4"/>
        <v>379.09258138996228</v>
      </c>
      <c r="AU27" s="1">
        <f t="shared" si="4"/>
        <v>379.09258138996228</v>
      </c>
      <c r="AV27" s="1">
        <f t="shared" si="4"/>
        <v>379.09258138996228</v>
      </c>
      <c r="AW27" s="1">
        <f t="shared" si="4"/>
        <v>379.09258138996228</v>
      </c>
      <c r="AX27" s="1">
        <f t="shared" si="4"/>
        <v>379.09258138996228</v>
      </c>
      <c r="AY27" s="1">
        <f t="shared" si="4"/>
        <v>379.09258138996228</v>
      </c>
      <c r="AZ27" s="1">
        <f t="shared" si="4"/>
        <v>379.09258138996228</v>
      </c>
    </row>
    <row r="28" spans="1:52" ht="15.75" customHeight="1">
      <c r="A28" s="1"/>
      <c r="B28" s="1"/>
      <c r="C28" s="1"/>
      <c r="D28" s="1"/>
      <c r="E28" s="1"/>
      <c r="F28" s="1"/>
      <c r="G28" s="1"/>
      <c r="H28" s="1"/>
      <c r="I28" s="1"/>
      <c r="J28" s="1"/>
      <c r="K28" s="1"/>
      <c r="L28" s="1"/>
      <c r="M28" s="1"/>
      <c r="N28" s="1"/>
      <c r="O28" s="1"/>
      <c r="P28" s="1"/>
      <c r="Q28" s="1"/>
      <c r="R28" s="1"/>
      <c r="S28" s="1"/>
      <c r="T28" s="1"/>
      <c r="U28" s="1" t="s">
        <v>13</v>
      </c>
      <c r="V28" s="1">
        <f>V27*1000</f>
        <v>5.8065553845323299</v>
      </c>
      <c r="W28" s="1" t="s">
        <v>12</v>
      </c>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row>
    <row r="29" spans="1:52"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row>
    <row r="30" spans="1:52"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row>
    <row r="31" spans="1:52"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row>
    <row r="32" spans="1:5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row>
    <row r="33" spans="1:52"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row>
    <row r="34" spans="1:52"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row>
    <row r="35" spans="1:52"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row>
    <row r="36" spans="1:52"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row>
    <row r="37" spans="1:52"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row>
    <row r="38" spans="1:52"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row>
    <row r="39" spans="1:52"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row>
    <row r="40" spans="1:52"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row>
    <row r="50" spans="1:52"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row>
    <row r="51" spans="1:52"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row>
    <row r="52" spans="1: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row>
    <row r="53" spans="1:52"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row>
    <row r="55" spans="1:52"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row>
    <row r="56" spans="1:52"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row>
    <row r="57" spans="1:52"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row>
    <row r="58" spans="1:52"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row>
    <row r="59" spans="1:52"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row>
    <row r="60" spans="1:52"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row>
    <row r="61" spans="1:52"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row>
    <row r="62" spans="1:5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row>
    <row r="63" spans="1:52"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row>
    <row r="64" spans="1:52"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row>
    <row r="65" spans="1:52"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row>
    <row r="66" spans="1:52"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row>
    <row r="67" spans="1:52"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row>
    <row r="68" spans="1:52"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row>
    <row r="69" spans="1:52"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row>
    <row r="70" spans="1:52"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row>
    <row r="71" spans="1:52"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row>
    <row r="72" spans="1:5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row>
    <row r="73" spans="1:52"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row>
    <row r="74" spans="1:52"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row>
    <row r="75" spans="1:52"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row>
    <row r="76" spans="1:52"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row>
    <row r="77" spans="1:52"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row>
    <row r="78" spans="1:52"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row>
    <row r="79" spans="1:52"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row>
    <row r="80" spans="1:52"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row>
    <row r="81" spans="1:52"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row>
    <row r="82" spans="1:5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row>
    <row r="83" spans="1:52"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row>
    <row r="84" spans="1:52"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row>
    <row r="85" spans="1:52"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row>
    <row r="86" spans="1:52"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row>
    <row r="87" spans="1:52"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row>
    <row r="88" spans="1:52"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row>
    <row r="89" spans="1:52"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row>
    <row r="90" spans="1:52"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row>
    <row r="91" spans="1:52"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row>
    <row r="92" spans="1:5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row>
    <row r="93" spans="1:52"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row>
    <row r="94" spans="1:52"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row>
    <row r="95" spans="1:52"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row>
    <row r="96" spans="1:52"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row>
    <row r="97" spans="1:52"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row>
    <row r="98" spans="1:52"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row>
    <row r="99" spans="1:52"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row>
    <row r="100" spans="1:52"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row>
    <row r="101" spans="1:52"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row>
    <row r="102" spans="1:5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row>
    <row r="104" spans="1:52"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row>
    <row r="105" spans="1:52"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row>
    <row r="110" spans="1:52"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row>
    <row r="113" spans="1:52"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row>
    <row r="114" spans="1:52"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row>
    <row r="115" spans="1:52"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row>
    <row r="116" spans="1:52"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row>
    <row r="117" spans="1:52"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row>
    <row r="118" spans="1:52"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row>
    <row r="119" spans="1:52"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row>
    <row r="122" spans="1:5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row>
    <row r="123" spans="1:52"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row>
    <row r="124" spans="1:52"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row>
    <row r="125" spans="1:52"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row>
    <row r="126" spans="1:52"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row>
    <row r="127" spans="1:52"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row>
    <row r="128" spans="1:52"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row>
    <row r="130" spans="1:52"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row>
    <row r="131" spans="1:52"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row>
    <row r="132" spans="1:5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row>
    <row r="133" spans="1:52"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row>
    <row r="134" spans="1:52"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row>
    <row r="135" spans="1:52"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row>
    <row r="136" spans="1:52"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row>
    <row r="137" spans="1:52"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row>
    <row r="138" spans="1:52"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row>
    <row r="139" spans="1:52"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row>
    <row r="140" spans="1:52"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row>
    <row r="141" spans="1:52"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row>
    <row r="142" spans="1:5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row>
    <row r="143" spans="1:52"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row>
    <row r="144" spans="1:52"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row>
    <row r="145" spans="1:52"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row>
    <row r="147" spans="1:52"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row>
    <row r="148" spans="1:52"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row>
    <row r="149" spans="1:52"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row>
    <row r="150" spans="1:52"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row>
    <row r="151" spans="1:52"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row>
    <row r="152" spans="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row>
    <row r="153" spans="1:52"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row>
    <row r="154" spans="1:52"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row>
    <row r="155" spans="1:52"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row>
    <row r="156" spans="1:52"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row>
    <row r="157" spans="1:52"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row>
    <row r="158" spans="1:52"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row>
    <row r="160" spans="1:52"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row>
    <row r="161" spans="1:52"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row>
    <row r="163" spans="1:52"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row>
    <row r="164" spans="1:52"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row>
    <row r="165" spans="1:52"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row>
    <row r="167" spans="1:52"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row>
    <row r="168" spans="1:52"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row>
    <row r="169" spans="1:52"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row>
    <row r="170" spans="1:52"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row>
    <row r="171" spans="1:52"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row>
    <row r="172" spans="1:5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row>
    <row r="173" spans="1:52"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row>
    <row r="174" spans="1:52"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row>
    <row r="175" spans="1:52"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row>
    <row r="176" spans="1:52"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row>
    <row r="177" spans="1:52"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row>
    <row r="178" spans="1:52"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row>
    <row r="180" spans="1:52"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row>
    <row r="181" spans="1:52"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row>
    <row r="182" spans="1:5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row>
    <row r="183" spans="1:52"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row>
    <row r="184" spans="1:52"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row>
    <row r="185" spans="1:52"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row>
    <row r="186" spans="1:52"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row>
    <row r="187" spans="1:52"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row>
    <row r="189" spans="1:52"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row>
    <row r="190" spans="1:52"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row>
    <row r="191" spans="1:52"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row>
    <row r="193" spans="1:52"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row>
    <row r="195" spans="1:52"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row>
    <row r="196" spans="1:52"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row>
    <row r="197" spans="1:52"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row>
    <row r="201" spans="1:52"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row>
    <row r="202" spans="1:5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row>
    <row r="203" spans="1:52"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row>
    <row r="205" spans="1:52"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row>
    <row r="206" spans="1:52"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row>
    <row r="208" spans="1:52"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row>
    <row r="209" spans="1:52"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row>
    <row r="210" spans="1:52"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row>
    <row r="212" spans="1:5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row>
    <row r="213" spans="1:52"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row>
    <row r="216" spans="1:52"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row>
    <row r="217" spans="1:52"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row>
    <row r="218" spans="1:52"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row>
    <row r="219" spans="1:52"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row>
    <row r="220" spans="1:52"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row>
    <row r="221" spans="1:52"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row>
    <row r="222" spans="1:5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row>
    <row r="225" spans="1:52"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row>
    <row r="226" spans="1:52"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row>
    <row r="227" spans="1:52"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row>
    <row r="228" spans="1:52"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row>
    <row r="229" spans="1:52"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row>
    <row r="230" spans="1:52"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row>
    <row r="231" spans="1:52"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row>
    <row r="236" spans="1:52"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row>
    <row r="237" spans="1:52"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row>
    <row r="238" spans="1:52"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row>
    <row r="239" spans="1:52"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row>
    <row r="241" spans="1:52"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row>
    <row r="243" spans="1:52"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row>
    <row r="244" spans="1:52"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row>
    <row r="245" spans="1:52"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row>
    <row r="248" spans="1:52"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row>
    <row r="249" spans="1:52"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row>
    <row r="250" spans="1:52"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row>
    <row r="252" spans="1: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row>
    <row r="253" spans="1:52"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row>
    <row r="254" spans="1:52"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row>
    <row r="255" spans="1:52"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row>
    <row r="256" spans="1:52"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row>
    <row r="257" spans="1:52"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row>
    <row r="258" spans="1:52"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row>
    <row r="259" spans="1:52"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row>
    <row r="262" spans="1:5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row>
    <row r="263" spans="1:52"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row>
    <row r="264" spans="1:52"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row>
    <row r="266" spans="1:52"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row>
    <row r="267" spans="1:52"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row>
    <row r="268" spans="1:52"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row>
    <row r="269" spans="1:52"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row>
    <row r="271" spans="1:52"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row>
    <row r="272" spans="1:5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row>
    <row r="273" spans="1:52"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row>
    <row r="274" spans="1:52"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row>
    <row r="275" spans="1:52"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row>
    <row r="276" spans="1:52"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row>
    <row r="277" spans="1:52"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row>
    <row r="279" spans="1:52"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row>
    <row r="280" spans="1:52"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row>
    <row r="281" spans="1:52"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row>
    <row r="282" spans="1:5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row>
    <row r="283" spans="1:52"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row>
    <row r="285" spans="1:52"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row>
    <row r="286" spans="1:52"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row>
    <row r="287" spans="1:52"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row>
    <row r="288" spans="1:52"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row>
    <row r="289" spans="1:52"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row>
    <row r="291" spans="1:52"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row>
    <row r="292" spans="1:5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row>
    <row r="293" spans="1:52"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row>
    <row r="294" spans="1:52"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row>
    <row r="295" spans="1:52"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row>
    <row r="296" spans="1:52"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row>
    <row r="297" spans="1:52"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row>
    <row r="298" spans="1:52"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row>
    <row r="301" spans="1:52"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row>
    <row r="302" spans="1:5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row>
    <row r="303" spans="1:52"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row>
    <row r="304" spans="1:52"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row>
    <row r="307" spans="1:52"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row>
    <row r="308" spans="1:52"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row>
    <row r="310" spans="1:52"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row>
    <row r="311" spans="1:52"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row>
    <row r="312" spans="1:5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row>
    <row r="313" spans="1:52"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row>
    <row r="314" spans="1:52"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row>
    <row r="315" spans="1:52"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row>
    <row r="316" spans="1:52"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row>
    <row r="317" spans="1:52"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row>
    <row r="318" spans="1:52"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row>
    <row r="319" spans="1:52"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row>
    <row r="320" spans="1:52"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row>
    <row r="321" spans="1:52"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row>
    <row r="322" spans="1:5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row>
    <row r="323" spans="1:52"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row>
    <row r="324" spans="1:52"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row>
    <row r="325" spans="1:52"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row>
    <row r="326" spans="1:52"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row>
    <row r="327" spans="1:52"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row>
    <row r="329" spans="1:52"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row>
    <row r="331" spans="1:52"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row>
    <row r="332" spans="1:5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row>
    <row r="334" spans="1:52"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row>
    <row r="335" spans="1:52"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row>
    <row r="336" spans="1:52"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row>
    <row r="337" spans="1:52"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row>
    <row r="338" spans="1:52"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row>
    <row r="339" spans="1:52"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row>
    <row r="340" spans="1:52"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row>
    <row r="341" spans="1:52"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row>
    <row r="342" spans="1:5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row>
    <row r="343" spans="1:52"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row>
    <row r="344" spans="1:52"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row>
    <row r="345" spans="1:52"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row>
    <row r="346" spans="1:52"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row>
    <row r="347" spans="1:52"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row>
    <row r="348" spans="1:52"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row>
    <row r="349" spans="1:52"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row>
    <row r="350" spans="1:52"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row>
    <row r="352" spans="1: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row>
    <row r="353" spans="1:52"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row>
    <row r="354" spans="1:52"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row>
    <row r="356" spans="1:52"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row>
    <row r="357" spans="1:52"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row>
    <row r="358" spans="1:52"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row>
    <row r="359" spans="1:52"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row>
    <row r="360" spans="1:52"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row>
    <row r="362" spans="1:5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row>
    <row r="363" spans="1:52"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row>
    <row r="364" spans="1:52"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row>
    <row r="366" spans="1:52"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row>
    <row r="368" spans="1:52"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row>
    <row r="369" spans="1:52"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row>
    <row r="370" spans="1:52"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row>
    <row r="371" spans="1:52"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row>
    <row r="372" spans="1:5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row>
    <row r="373" spans="1:52"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row>
    <row r="374" spans="1:52"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row>
    <row r="377" spans="1:52"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row>
    <row r="378" spans="1:52"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row>
    <row r="380" spans="1:52"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row>
    <row r="381" spans="1:52"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row>
    <row r="382" spans="1:5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row>
    <row r="383" spans="1:52"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row>
    <row r="384" spans="1:52"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row>
    <row r="385" spans="1:52"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row>
    <row r="386" spans="1:52"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row>
    <row r="387" spans="1:52"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row>
    <row r="388" spans="1:52"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row>
    <row r="389" spans="1:52"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row>
    <row r="390" spans="1:52"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row>
    <row r="391" spans="1:52"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row>
    <row r="392" spans="1:5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row>
    <row r="394" spans="1:52"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row>
    <row r="395" spans="1:52"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row>
    <row r="396" spans="1:52"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row>
    <row r="397" spans="1:52"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row>
    <row r="398" spans="1:52"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row>
    <row r="399" spans="1:52"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row>
    <row r="400" spans="1:52"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row>
    <row r="402" spans="1:5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row>
    <row r="403" spans="1:52"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row>
    <row r="404" spans="1:52"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row>
    <row r="405" spans="1:52"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row>
    <row r="406" spans="1:52"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row>
    <row r="407" spans="1:52"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row>
    <row r="409" spans="1:52"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row>
    <row r="412" spans="1:5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row>
    <row r="414" spans="1:52"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row>
    <row r="415" spans="1:52"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row>
    <row r="416" spans="1:52"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row>
    <row r="417" spans="1:52"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row>
    <row r="418" spans="1:52"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row>
    <row r="419" spans="1:52"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row>
    <row r="420" spans="1:52"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row>
    <row r="421" spans="1:52"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row>
    <row r="423" spans="1:52"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row>
    <row r="425" spans="1:52"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row>
    <row r="426" spans="1:52"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row>
    <row r="427" spans="1:52"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row>
    <row r="428" spans="1:52"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row>
    <row r="429" spans="1:52"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row>
    <row r="430" spans="1:52"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row>
    <row r="431" spans="1:52"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row>
    <row r="432" spans="1:5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row>
    <row r="433" spans="1:52"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row>
    <row r="434" spans="1:52"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row>
    <row r="435" spans="1:52"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row>
    <row r="436" spans="1:52"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row>
    <row r="437" spans="1:52"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row>
    <row r="438" spans="1:52"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row>
    <row r="439" spans="1:52"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row>
    <row r="440" spans="1:52"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row>
    <row r="441" spans="1:52"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row>
    <row r="442" spans="1:5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row>
    <row r="443" spans="1:52"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row>
    <row r="445" spans="1:52"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row>
    <row r="446" spans="1:52"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row>
    <row r="447" spans="1:52"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row>
    <row r="448" spans="1:52"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row>
    <row r="449" spans="1:52"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row>
    <row r="450" spans="1:52"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row>
    <row r="451" spans="1:52"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row>
    <row r="452" spans="1: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row>
    <row r="453" spans="1:52"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row>
    <row r="454" spans="1:52"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row>
    <row r="455" spans="1:52"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row>
    <row r="456" spans="1:52"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row>
    <row r="457" spans="1:52"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row>
    <row r="458" spans="1:52"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row>
    <row r="459" spans="1:52"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row>
    <row r="460" spans="1:52"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row>
    <row r="461" spans="1:52"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row>
    <row r="462" spans="1:5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row>
    <row r="463" spans="1:52"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row>
    <row r="464" spans="1:52"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row>
    <row r="465" spans="1:52"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row>
    <row r="466" spans="1:52"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row>
    <row r="467" spans="1:52"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row>
    <row r="468" spans="1:52"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row>
    <row r="469" spans="1:52"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row>
    <row r="471" spans="1:52"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row>
    <row r="472" spans="1:5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row>
    <row r="473" spans="1:52"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row>
    <row r="474" spans="1:52"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row>
    <row r="475" spans="1:52"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row>
    <row r="476" spans="1:52"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row>
    <row r="477" spans="1:52"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row>
    <row r="478" spans="1:52"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row>
    <row r="479" spans="1:52"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row>
    <row r="480" spans="1:52"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row>
    <row r="481" spans="1:52"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row>
    <row r="482" spans="1:5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row>
    <row r="483" spans="1:52"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row>
    <row r="486" spans="1:52"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row>
    <row r="487" spans="1:52"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row>
    <row r="488" spans="1:52"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row>
    <row r="490" spans="1:52"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row>
    <row r="492" spans="1:5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row>
    <row r="493" spans="1:52"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row>
    <row r="494" spans="1:52"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row>
    <row r="495" spans="1:52"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row>
    <row r="496" spans="1:52"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row>
    <row r="497" spans="1:52"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row>
    <row r="498" spans="1:52"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row>
    <row r="499" spans="1:52"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row>
    <row r="500" spans="1:52"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row>
    <row r="501" spans="1:52"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row>
    <row r="502" spans="1:5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row>
    <row r="503" spans="1:52"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row>
    <row r="504" spans="1:52"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row>
    <row r="505" spans="1:52"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row>
    <row r="507" spans="1:52"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row>
    <row r="508" spans="1:52"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row>
    <row r="509" spans="1:52"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row>
    <row r="510" spans="1:52"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row>
    <row r="512" spans="1:5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row>
    <row r="514" spans="1:52"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row>
    <row r="516" spans="1:52"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row>
    <row r="517" spans="1:52"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row>
    <row r="518" spans="1:52"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row>
    <row r="519" spans="1:52"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row>
    <row r="520" spans="1:52"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row>
    <row r="521" spans="1:52"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row>
    <row r="523" spans="1:52"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row>
    <row r="524" spans="1:52"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row>
    <row r="525" spans="1:52"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row>
    <row r="526" spans="1:52"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row>
    <row r="527" spans="1:52"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row>
    <row r="528" spans="1:52"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row>
    <row r="529" spans="1:52"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row>
    <row r="531" spans="1:52"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row>
    <row r="532" spans="1:5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row>
    <row r="533" spans="1:52"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row>
    <row r="534" spans="1:52"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row>
    <row r="535" spans="1:52"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row>
    <row r="536" spans="1:52"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row>
    <row r="537" spans="1:52"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row>
    <row r="538" spans="1:52"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row>
    <row r="540" spans="1:52"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row>
    <row r="541" spans="1:52"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row>
    <row r="542" spans="1:5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row>
    <row r="543" spans="1:52"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row>
    <row r="544" spans="1:52"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row>
    <row r="545" spans="1:52"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row>
    <row r="546" spans="1:52"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row>
    <row r="548" spans="1:52"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row>
    <row r="549" spans="1:52"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row>
    <row r="550" spans="1:52"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row>
    <row r="551" spans="1:52"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row>
    <row r="552" spans="1: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row>
    <row r="553" spans="1:52"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row>
    <row r="554" spans="1:52"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row>
    <row r="556" spans="1:52"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row>
    <row r="557" spans="1:52"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row>
    <row r="558" spans="1:52"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row>
    <row r="559" spans="1:52"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row>
    <row r="560" spans="1:52"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row>
    <row r="561" spans="1:52"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row>
    <row r="562" spans="1:5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row>
    <row r="563" spans="1:52"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row>
    <row r="564" spans="1:52"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row>
    <row r="566" spans="1:52"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row>
    <row r="567" spans="1:52"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row>
    <row r="568" spans="1:52"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row>
    <row r="569" spans="1:52"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row>
    <row r="570" spans="1:52"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row>
    <row r="572" spans="1:5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row>
    <row r="573" spans="1:52"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row>
    <row r="574" spans="1:52"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row>
    <row r="576" spans="1:52"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row>
    <row r="577" spans="1:52"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row>
    <row r="578" spans="1:52"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row>
    <row r="579" spans="1:52"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row>
    <row r="580" spans="1:52"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row>
    <row r="581" spans="1:52"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row>
    <row r="582" spans="1:5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row>
    <row r="583" spans="1:52"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row>
    <row r="585" spans="1:52"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row>
    <row r="588" spans="1:52"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row>
    <row r="589" spans="1:52"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row>
    <row r="590" spans="1:52"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row>
    <row r="591" spans="1:52"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row>
    <row r="592" spans="1:5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row>
    <row r="593" spans="1:52"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row>
    <row r="594" spans="1:52"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row>
    <row r="595" spans="1:52"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row>
    <row r="597" spans="1:52"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row>
    <row r="598" spans="1:52"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row>
    <row r="599" spans="1:52"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row>
    <row r="600" spans="1:52"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row>
    <row r="601" spans="1:52"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row>
    <row r="602" spans="1:5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row>
    <row r="603" spans="1:52"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row>
    <row r="604" spans="1:52"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row>
    <row r="605" spans="1:52"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row>
    <row r="607" spans="1:52"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row>
    <row r="608" spans="1:52"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row>
    <row r="609" spans="1:52"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row>
    <row r="611" spans="1:52"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row>
    <row r="612" spans="1:5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row>
    <row r="613" spans="1:52"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row>
    <row r="615" spans="1:52"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row>
    <row r="616" spans="1:52"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row>
    <row r="617" spans="1:52"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row>
    <row r="618" spans="1:52"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row>
    <row r="619" spans="1:52"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row>
    <row r="620" spans="1:52"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row>
    <row r="621" spans="1:52"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row>
    <row r="623" spans="1:52"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row>
    <row r="625" spans="1:52"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row>
    <row r="626" spans="1:52"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row>
    <row r="627" spans="1:52"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row>
    <row r="629" spans="1:52"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row>
    <row r="630" spans="1:52"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row>
    <row r="631" spans="1:52"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row>
    <row r="632" spans="1:5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row>
    <row r="635" spans="1:52"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row>
    <row r="640" spans="1:52"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row>
    <row r="641" spans="1:52"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row>
    <row r="642" spans="1:5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row>
    <row r="643" spans="1:52"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row>
    <row r="644" spans="1:52"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row>
    <row r="645" spans="1:52"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row>
    <row r="646" spans="1:52"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row>
    <row r="648" spans="1:52"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row>
    <row r="649" spans="1:52"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row>
    <row r="650" spans="1:52"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row>
    <row r="653" spans="1:52"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row>
    <row r="654" spans="1:52"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row>
    <row r="655" spans="1:52"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row>
    <row r="657" spans="1:52"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row>
    <row r="658" spans="1:52"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row>
    <row r="659" spans="1:52"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row>
    <row r="660" spans="1:52"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row>
    <row r="661" spans="1:52"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row>
    <row r="663" spans="1:52"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row>
    <row r="664" spans="1:52"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row>
    <row r="665" spans="1:52"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row>
    <row r="666" spans="1:52"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row>
    <row r="667" spans="1:52"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row>
    <row r="669" spans="1:52"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row>
    <row r="670" spans="1:52"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row>
    <row r="671" spans="1:52"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row>
    <row r="672" spans="1:5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row>
    <row r="673" spans="1:52"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row>
    <row r="674" spans="1:52"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row>
    <row r="675" spans="1:52"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row>
    <row r="676" spans="1:52"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row>
    <row r="677" spans="1:52"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row>
    <row r="678" spans="1:52"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row>
    <row r="679" spans="1:52"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row>
    <row r="680" spans="1:52"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row>
    <row r="681" spans="1:52"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row>
    <row r="682" spans="1:5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row>
    <row r="683" spans="1:52"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row>
    <row r="684" spans="1:52"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row>
    <row r="685" spans="1:52"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row>
    <row r="686" spans="1:52"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row>
    <row r="687" spans="1:52"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row>
    <row r="688" spans="1:52"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row>
    <row r="689" spans="1:52"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row>
    <row r="690" spans="1:52"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row>
    <row r="691" spans="1:52"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row>
    <row r="692" spans="1:5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row>
    <row r="694" spans="1:52"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row>
    <row r="695" spans="1:52"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row>
    <row r="696" spans="1:52"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row>
    <row r="697" spans="1:52"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row>
    <row r="698" spans="1:52"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row>
    <row r="699" spans="1:52"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row>
    <row r="700" spans="1:52"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row>
    <row r="701" spans="1:52"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row>
    <row r="702" spans="1:5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row>
    <row r="703" spans="1:52"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row>
    <row r="704" spans="1:52"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row>
    <row r="705" spans="1:52"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row>
    <row r="706" spans="1:52"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row>
    <row r="707" spans="1:52"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row>
    <row r="708" spans="1:52"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row>
    <row r="709" spans="1:52"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row>
    <row r="710" spans="1:52"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row>
    <row r="711" spans="1:52"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row>
    <row r="712" spans="1:5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row>
    <row r="713" spans="1:52"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row>
    <row r="714" spans="1:52"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row>
    <row r="715" spans="1:52"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row>
    <row r="716" spans="1:52"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row>
    <row r="717" spans="1:52"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row>
    <row r="718" spans="1:52"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row>
    <row r="719" spans="1:52"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row>
    <row r="720" spans="1:52"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row>
    <row r="721" spans="1:52"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row>
    <row r="722" spans="1:5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row>
    <row r="723" spans="1:52"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row>
    <row r="724" spans="1:52"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row>
    <row r="725" spans="1:52"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row>
    <row r="726" spans="1:52"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row>
    <row r="727" spans="1:52"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row>
    <row r="728" spans="1:52"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row>
    <row r="729" spans="1:52"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row>
    <row r="730" spans="1:52"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row>
    <row r="731" spans="1:52"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row>
    <row r="732" spans="1:5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row>
    <row r="734" spans="1:52"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row>
    <row r="735" spans="1:52"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row>
    <row r="736" spans="1:52"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row>
    <row r="737" spans="1:52"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row>
    <row r="738" spans="1:52"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row>
    <row r="739" spans="1:52"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row>
    <row r="740" spans="1:52"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row>
    <row r="741" spans="1:52"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row>
    <row r="742" spans="1:5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row>
    <row r="743" spans="1:52"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row>
    <row r="744" spans="1:52"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row>
    <row r="745" spans="1:52"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row>
    <row r="746" spans="1:52"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row>
    <row r="747" spans="1:52"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row>
    <row r="748" spans="1:52"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row>
    <row r="749" spans="1:52"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row>
    <row r="750" spans="1:52"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row>
    <row r="751" spans="1:52"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row>
    <row r="752" spans="1: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row>
    <row r="753" spans="1:52"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row>
    <row r="755" spans="1:52"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row>
    <row r="756" spans="1:52"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row>
    <row r="758" spans="1:52"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row>
    <row r="759" spans="1:52"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row>
    <row r="760" spans="1:52"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row>
    <row r="761" spans="1:52"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row>
    <row r="762" spans="1:5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row>
    <row r="763" spans="1:52"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row>
    <row r="766" spans="1:52"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row>
    <row r="767" spans="1:52"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row>
    <row r="769" spans="1:52"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row>
    <row r="770" spans="1:52"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row>
    <row r="773" spans="1:52"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row>
    <row r="774" spans="1:52"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row>
    <row r="775" spans="1:52"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row>
    <row r="776" spans="1:52"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row>
    <row r="777" spans="1:52"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row>
    <row r="778" spans="1:52"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row>
    <row r="781" spans="1:52"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row>
    <row r="782" spans="1:5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row>
    <row r="784" spans="1:52"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row>
    <row r="785" spans="1:52"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row>
    <row r="786" spans="1:52"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row>
    <row r="787" spans="1:52"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row>
    <row r="788" spans="1:52"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row>
    <row r="789" spans="1:52"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row>
    <row r="791" spans="1:52"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row>
    <row r="792" spans="1:5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row>
    <row r="793" spans="1:52"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row>
    <row r="794" spans="1:52"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row>
    <row r="795" spans="1:52"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row>
    <row r="798" spans="1:52"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row>
    <row r="799" spans="1:52"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row>
    <row r="801" spans="1:52"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row>
    <row r="803" spans="1:52"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row>
    <row r="804" spans="1:52"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row>
    <row r="805" spans="1:52"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row>
    <row r="806" spans="1:52"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row>
    <row r="807" spans="1:52"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row>
    <row r="810" spans="1:52"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row>
    <row r="811" spans="1:52"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row>
    <row r="812" spans="1:5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row>
    <row r="814" spans="1:52"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row>
    <row r="815" spans="1:52"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row>
    <row r="817" spans="1:52"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row>
    <row r="818" spans="1:52"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row>
    <row r="819" spans="1:52"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row>
    <row r="820" spans="1:52"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row>
    <row r="821" spans="1:52"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row>
    <row r="822" spans="1:5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row>
    <row r="823" spans="1:52"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row>
    <row r="824" spans="1:52"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row>
    <row r="825" spans="1:52"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row>
    <row r="826" spans="1:52"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row>
    <row r="827" spans="1:52"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row>
    <row r="830" spans="1:52"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row>
    <row r="831" spans="1:52"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row>
    <row r="832" spans="1:5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row>
    <row r="835" spans="1:52"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row>
    <row r="836" spans="1:52"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row>
    <row r="837" spans="1:52"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row>
    <row r="838" spans="1:52"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row>
    <row r="840" spans="1:52"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row>
    <row r="841" spans="1:52"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row>
    <row r="842" spans="1:5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row>
    <row r="844" spans="1:52"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row>
    <row r="845" spans="1:52"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row>
    <row r="846" spans="1:52"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row>
    <row r="847" spans="1:52"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row>
    <row r="848" spans="1:52"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row>
    <row r="849" spans="1:52"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row>
    <row r="850" spans="1:52"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row>
    <row r="851" spans="1:52"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row>
    <row r="852" spans="1: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row>
    <row r="853" spans="1:52"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row>
    <row r="854" spans="1:52"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row>
    <row r="855" spans="1:52"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row>
    <row r="856" spans="1:52"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row>
    <row r="857" spans="1:52"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row>
    <row r="858" spans="1:52"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row>
    <row r="859" spans="1:52"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row>
    <row r="860" spans="1:52"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row>
    <row r="862" spans="1:5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row>
    <row r="863" spans="1:52"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row>
    <row r="864" spans="1:52"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row>
    <row r="865" spans="1:52"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row>
    <row r="867" spans="1:52"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row>
    <row r="869" spans="1:52"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row>
    <row r="871" spans="1:52"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row>
    <row r="872" spans="1:5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row>
    <row r="873" spans="1:52"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row>
    <row r="874" spans="1:52"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row>
    <row r="877" spans="1:52"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row>
    <row r="878" spans="1:52"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row>
    <row r="879" spans="1:52"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row>
    <row r="880" spans="1:52"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row>
    <row r="881" spans="1:52"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row>
    <row r="882" spans="1:5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row>
    <row r="883" spans="1:52"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row>
    <row r="884" spans="1:52"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row>
    <row r="885" spans="1:52"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row>
    <row r="886" spans="1:52"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row>
    <row r="887" spans="1:52"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row>
    <row r="889" spans="1:52"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row>
    <row r="891" spans="1:52"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row>
    <row r="893" spans="1:52"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row>
    <row r="894" spans="1:52"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row>
    <row r="895" spans="1:52"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row>
    <row r="896" spans="1:52"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row>
    <row r="897" spans="1:52"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row>
    <row r="898" spans="1:52"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row>
    <row r="900" spans="1:52"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row>
    <row r="902" spans="1:5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row>
    <row r="903" spans="1:52"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row>
    <row r="904" spans="1:52"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row>
    <row r="905" spans="1:52"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row>
    <row r="906" spans="1:52"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row>
    <row r="907" spans="1:52"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row>
    <row r="909" spans="1:52"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row>
    <row r="910" spans="1:52"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row>
    <row r="911" spans="1:52"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row>
    <row r="913" spans="1:52"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row>
    <row r="914" spans="1:52"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row>
    <row r="915" spans="1:52"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row>
    <row r="916" spans="1:52"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row>
    <row r="917" spans="1:52"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row>
    <row r="918" spans="1:52"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row>
    <row r="919" spans="1:52"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row>
    <row r="920" spans="1:52"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row>
    <row r="921" spans="1:52"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row>
    <row r="922" spans="1:5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row>
    <row r="923" spans="1:52"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row>
    <row r="924" spans="1:52"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row>
    <row r="925" spans="1:52"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row>
    <row r="926" spans="1:52"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row>
    <row r="927" spans="1:52"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row>
    <row r="928" spans="1:52"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row>
    <row r="929" spans="1:52"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row>
    <row r="930" spans="1:52"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row>
    <row r="931" spans="1:52"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row>
    <row r="932" spans="1:5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row>
    <row r="933" spans="1:52"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row>
    <row r="934" spans="1:52"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row>
    <row r="936" spans="1:52"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row>
    <row r="937" spans="1:52"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row>
    <row r="939" spans="1:52"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row>
    <row r="940" spans="1:52"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row>
    <row r="941" spans="1:52"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row>
    <row r="942" spans="1:5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row>
    <row r="943" spans="1:52"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row>
    <row r="944" spans="1:52"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row>
    <row r="945" spans="1:52"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row>
    <row r="948" spans="1:52"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row>
    <row r="949" spans="1:52"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row>
    <row r="950" spans="1:52"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row>
    <row r="951" spans="1:52"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row>
    <row r="952" spans="1: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row>
    <row r="953" spans="1:52"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row>
    <row r="954" spans="1:52"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row>
    <row r="955" spans="1:52"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row>
    <row r="956" spans="1:52"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row>
    <row r="957" spans="1:52"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row>
    <row r="958" spans="1:52"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row>
    <row r="959" spans="1:52"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row>
    <row r="960" spans="1:52"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row>
    <row r="961" spans="1:52"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row>
    <row r="962" spans="1:5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row>
    <row r="963" spans="1:52"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row>
    <row r="964" spans="1:52"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row>
    <row r="966" spans="1:52"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row>
    <row r="968" spans="1:52"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row>
    <row r="969" spans="1:52"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row>
    <row r="970" spans="1:52"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row>
    <row r="971" spans="1:52"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row>
    <row r="972" spans="1:5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row>
    <row r="973" spans="1:52"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row>
    <row r="974" spans="1:52"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row>
    <row r="975" spans="1:52"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row>
    <row r="976" spans="1:52"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row>
    <row r="977" spans="1:52"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row>
    <row r="978" spans="1:52"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row>
    <row r="979" spans="1:52"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row>
    <row r="981" spans="1:52"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row>
    <row r="983" spans="1:52"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row>
    <row r="984" spans="1:52"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row>
    <row r="986" spans="1:52"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row>
    <row r="987" spans="1:52"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row>
    <row r="988" spans="1:52"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row>
    <row r="989" spans="1:52"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row>
    <row r="990" spans="1:52"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row>
    <row r="991" spans="1:52"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row>
    <row r="992" spans="1:5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row>
    <row r="993" spans="1:52"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row>
    <row r="994" spans="1:52"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row>
    <row r="995" spans="1:52"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row>
    <row r="996" spans="1:52"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row>
    <row r="997" spans="1:52"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row>
    <row r="998" spans="1:52"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row>
    <row r="999" spans="1:52"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row>
    <row r="1000" spans="1:52"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row>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4.44140625" defaultRowHeight="15" customHeight="1"/>
  <cols>
    <col min="1" max="1" width="9.109375" customWidth="1"/>
    <col min="2" max="2" width="3.33203125" customWidth="1"/>
    <col min="3" max="3" width="163.109375" customWidth="1"/>
    <col min="4" max="26" width="9.109375" customWidth="1"/>
  </cols>
  <sheetData>
    <row r="1" spans="1:26" ht="14.25" customHeight="1">
      <c r="A1" s="8"/>
      <c r="B1" s="8"/>
      <c r="C1" s="8"/>
      <c r="D1" s="8"/>
      <c r="E1" s="8"/>
      <c r="F1" s="8"/>
      <c r="G1" s="8"/>
      <c r="H1" s="8"/>
      <c r="I1" s="8"/>
      <c r="J1" s="8"/>
      <c r="K1" s="8"/>
      <c r="L1" s="8"/>
      <c r="M1" s="8"/>
      <c r="N1" s="8"/>
      <c r="O1" s="8"/>
      <c r="P1" s="8"/>
      <c r="Q1" s="8"/>
      <c r="R1" s="8"/>
      <c r="S1" s="8"/>
      <c r="T1" s="8"/>
      <c r="U1" s="8"/>
      <c r="V1" s="8"/>
      <c r="W1" s="8"/>
      <c r="X1" s="8"/>
      <c r="Y1" s="8"/>
      <c r="Z1" s="8"/>
    </row>
    <row r="2" spans="1:26" ht="14.25" customHeight="1">
      <c r="A2" s="8"/>
      <c r="B2" s="8"/>
      <c r="C2" s="8"/>
      <c r="D2" s="8"/>
      <c r="E2" s="8"/>
      <c r="F2" s="8"/>
      <c r="G2" s="8"/>
      <c r="H2" s="8"/>
      <c r="I2" s="8"/>
      <c r="J2" s="8"/>
      <c r="K2" s="8"/>
      <c r="L2" s="8"/>
      <c r="M2" s="8"/>
      <c r="N2" s="8"/>
      <c r="O2" s="8"/>
      <c r="P2" s="8"/>
      <c r="Q2" s="8"/>
      <c r="R2" s="8"/>
      <c r="S2" s="8"/>
      <c r="T2" s="8"/>
      <c r="U2" s="8"/>
      <c r="V2" s="8"/>
      <c r="W2" s="8"/>
      <c r="X2" s="8"/>
      <c r="Y2" s="8"/>
      <c r="Z2" s="8"/>
    </row>
    <row r="3" spans="1:26" ht="14.25" customHeight="1">
      <c r="A3" s="8"/>
      <c r="B3" s="8"/>
      <c r="C3" s="9" t="s">
        <v>14</v>
      </c>
      <c r="D3" s="8"/>
      <c r="E3" s="8"/>
      <c r="F3" s="8"/>
      <c r="G3" s="8"/>
      <c r="H3" s="8"/>
      <c r="I3" s="8"/>
      <c r="J3" s="8"/>
      <c r="K3" s="8"/>
      <c r="L3" s="8"/>
      <c r="M3" s="8"/>
      <c r="N3" s="8"/>
      <c r="O3" s="8"/>
      <c r="P3" s="8"/>
      <c r="Q3" s="8"/>
      <c r="R3" s="8"/>
      <c r="S3" s="8"/>
      <c r="T3" s="8"/>
      <c r="U3" s="8"/>
      <c r="V3" s="8"/>
      <c r="W3" s="8"/>
      <c r="X3" s="8"/>
      <c r="Y3" s="8"/>
      <c r="Z3" s="8"/>
    </row>
    <row r="4" spans="1:26" ht="14.25" customHeight="1">
      <c r="A4" s="8"/>
      <c r="B4" s="8"/>
      <c r="C4" s="8"/>
      <c r="D4" s="8"/>
      <c r="E4" s="8"/>
      <c r="F4" s="8"/>
      <c r="G4" s="8"/>
      <c r="H4" s="8"/>
      <c r="I4" s="8"/>
      <c r="J4" s="8"/>
      <c r="K4" s="8"/>
      <c r="L4" s="8"/>
      <c r="M4" s="8"/>
      <c r="N4" s="8"/>
      <c r="O4" s="8"/>
      <c r="P4" s="8"/>
      <c r="Q4" s="8"/>
      <c r="R4" s="8"/>
      <c r="S4" s="8"/>
      <c r="T4" s="8"/>
      <c r="U4" s="8"/>
      <c r="V4" s="8"/>
      <c r="W4" s="8"/>
      <c r="X4" s="8"/>
      <c r="Y4" s="8"/>
      <c r="Z4" s="8"/>
    </row>
    <row r="5" spans="1:26" ht="14.25" customHeight="1">
      <c r="A5" s="8"/>
      <c r="B5" s="10">
        <v>1</v>
      </c>
      <c r="C5" s="11" t="s">
        <v>15</v>
      </c>
      <c r="D5" s="8"/>
      <c r="E5" s="8"/>
      <c r="F5" s="8"/>
      <c r="G5" s="8"/>
      <c r="H5" s="8"/>
      <c r="I5" s="8"/>
      <c r="J5" s="8"/>
      <c r="K5" s="8"/>
      <c r="L5" s="8"/>
      <c r="M5" s="8"/>
      <c r="N5" s="8"/>
      <c r="O5" s="8"/>
      <c r="P5" s="8"/>
      <c r="Q5" s="8"/>
      <c r="R5" s="8"/>
      <c r="S5" s="8"/>
      <c r="T5" s="8"/>
      <c r="U5" s="8"/>
      <c r="V5" s="8"/>
      <c r="W5" s="8"/>
      <c r="X5" s="8"/>
      <c r="Y5" s="8"/>
      <c r="Z5" s="8"/>
    </row>
    <row r="6" spans="1:26" ht="14.25" customHeight="1">
      <c r="A6" s="8"/>
      <c r="B6" s="10">
        <v>2</v>
      </c>
      <c r="C6" s="11" t="s">
        <v>16</v>
      </c>
      <c r="D6" s="8"/>
      <c r="E6" s="8"/>
      <c r="F6" s="8"/>
      <c r="G6" s="8"/>
      <c r="H6" s="8"/>
      <c r="I6" s="8"/>
      <c r="J6" s="8"/>
      <c r="K6" s="8"/>
      <c r="L6" s="8"/>
      <c r="M6" s="8"/>
      <c r="N6" s="8"/>
      <c r="O6" s="8"/>
      <c r="P6" s="8"/>
      <c r="Q6" s="8"/>
      <c r="R6" s="8"/>
      <c r="S6" s="8"/>
      <c r="T6" s="8"/>
      <c r="U6" s="8"/>
      <c r="V6" s="8"/>
      <c r="W6" s="8"/>
      <c r="X6" s="8"/>
      <c r="Y6" s="8"/>
      <c r="Z6" s="8"/>
    </row>
    <row r="7" spans="1:26" ht="14.25" customHeight="1">
      <c r="A7" s="8"/>
      <c r="B7" s="10">
        <v>3</v>
      </c>
      <c r="C7" s="11" t="s">
        <v>17</v>
      </c>
      <c r="D7" s="8"/>
      <c r="E7" s="8"/>
      <c r="F7" s="8"/>
      <c r="G7" s="8"/>
      <c r="H7" s="8"/>
      <c r="I7" s="8"/>
      <c r="J7" s="8"/>
      <c r="K7" s="8"/>
      <c r="L7" s="8"/>
      <c r="M7" s="8"/>
      <c r="N7" s="8"/>
      <c r="O7" s="8"/>
      <c r="P7" s="8"/>
      <c r="Q7" s="8"/>
      <c r="R7" s="8"/>
      <c r="S7" s="8"/>
      <c r="T7" s="8"/>
      <c r="U7" s="8"/>
      <c r="V7" s="8"/>
      <c r="W7" s="8"/>
      <c r="X7" s="8"/>
      <c r="Y7" s="8"/>
      <c r="Z7" s="8"/>
    </row>
    <row r="8" spans="1:26" ht="14.25" customHeight="1">
      <c r="A8" s="8"/>
      <c r="B8" s="10">
        <v>4</v>
      </c>
      <c r="C8" s="11" t="s">
        <v>18</v>
      </c>
      <c r="D8" s="8"/>
      <c r="E8" s="8"/>
      <c r="F8" s="8"/>
      <c r="G8" s="8"/>
      <c r="H8" s="8"/>
      <c r="I8" s="8"/>
      <c r="J8" s="8"/>
      <c r="K8" s="8"/>
      <c r="L8" s="8"/>
      <c r="M8" s="8"/>
      <c r="N8" s="8"/>
      <c r="O8" s="8"/>
      <c r="P8" s="8"/>
      <c r="Q8" s="8"/>
      <c r="R8" s="8"/>
      <c r="S8" s="8"/>
      <c r="T8" s="8"/>
      <c r="U8" s="8"/>
      <c r="V8" s="8"/>
      <c r="W8" s="8"/>
      <c r="X8" s="8"/>
      <c r="Y8" s="8"/>
      <c r="Z8" s="8"/>
    </row>
    <row r="9" spans="1:26" ht="14.25" customHeight="1">
      <c r="A9" s="8"/>
      <c r="B9" s="10">
        <v>5</v>
      </c>
      <c r="C9" s="11" t="s">
        <v>19</v>
      </c>
      <c r="D9" s="8"/>
      <c r="E9" s="8"/>
      <c r="F9" s="8"/>
      <c r="G9" s="8"/>
      <c r="H9" s="8"/>
      <c r="I9" s="8"/>
      <c r="J9" s="8"/>
      <c r="K9" s="8"/>
      <c r="L9" s="8"/>
      <c r="M9" s="8"/>
      <c r="N9" s="8"/>
      <c r="O9" s="8"/>
      <c r="P9" s="8"/>
      <c r="Q9" s="8"/>
      <c r="R9" s="8"/>
      <c r="S9" s="8"/>
      <c r="T9" s="8"/>
      <c r="U9" s="8"/>
      <c r="V9" s="8"/>
      <c r="W9" s="8"/>
      <c r="X9" s="8"/>
      <c r="Y9" s="8"/>
      <c r="Z9" s="8"/>
    </row>
    <row r="10" spans="1:26" ht="14.25" customHeight="1">
      <c r="A10" s="8"/>
      <c r="B10" s="10">
        <v>6</v>
      </c>
      <c r="C10" s="11" t="s">
        <v>20</v>
      </c>
      <c r="D10" s="8"/>
      <c r="E10" s="8"/>
      <c r="F10" s="8"/>
      <c r="G10" s="8"/>
      <c r="H10" s="8"/>
      <c r="I10" s="8"/>
      <c r="J10" s="8"/>
      <c r="K10" s="8"/>
      <c r="L10" s="8"/>
      <c r="M10" s="8"/>
      <c r="N10" s="8"/>
      <c r="O10" s="8"/>
      <c r="P10" s="8"/>
      <c r="Q10" s="8"/>
      <c r="R10" s="8"/>
      <c r="S10" s="8"/>
      <c r="T10" s="8"/>
      <c r="U10" s="8"/>
      <c r="V10" s="8"/>
      <c r="W10" s="8"/>
      <c r="X10" s="8"/>
      <c r="Y10" s="8"/>
      <c r="Z10" s="8"/>
    </row>
    <row r="11" spans="1:26" ht="14.25" customHeight="1">
      <c r="A11" s="8"/>
      <c r="B11" s="10">
        <v>7</v>
      </c>
      <c r="C11" s="11" t="s">
        <v>21</v>
      </c>
      <c r="D11" s="8"/>
      <c r="E11" s="8"/>
      <c r="F11" s="8"/>
      <c r="G11" s="8"/>
      <c r="H11" s="8"/>
      <c r="I11" s="8"/>
      <c r="J11" s="8"/>
      <c r="K11" s="8"/>
      <c r="L11" s="8"/>
      <c r="M11" s="8"/>
      <c r="N11" s="8"/>
      <c r="O11" s="8"/>
      <c r="P11" s="8"/>
      <c r="Q11" s="8"/>
      <c r="R11" s="8"/>
      <c r="S11" s="8"/>
      <c r="T11" s="8"/>
      <c r="U11" s="8"/>
      <c r="V11" s="8"/>
      <c r="W11" s="8"/>
      <c r="X11" s="8"/>
      <c r="Y11" s="8"/>
      <c r="Z11" s="8"/>
    </row>
    <row r="12" spans="1:26" ht="14.25" customHeight="1">
      <c r="A12" s="8"/>
      <c r="B12" s="12">
        <v>8</v>
      </c>
      <c r="C12" s="13" t="s">
        <v>22</v>
      </c>
      <c r="D12" s="8"/>
      <c r="E12" s="8"/>
      <c r="F12" s="8"/>
      <c r="G12" s="8"/>
      <c r="H12" s="8"/>
      <c r="I12" s="8"/>
      <c r="J12" s="8"/>
      <c r="K12" s="8"/>
      <c r="L12" s="8"/>
      <c r="M12" s="8"/>
      <c r="N12" s="8"/>
      <c r="O12" s="8"/>
      <c r="P12" s="8"/>
      <c r="Q12" s="8"/>
      <c r="R12" s="8"/>
      <c r="S12" s="8"/>
      <c r="T12" s="8"/>
      <c r="U12" s="8"/>
      <c r="V12" s="8"/>
      <c r="W12" s="8"/>
      <c r="X12" s="8"/>
      <c r="Y12" s="8"/>
      <c r="Z12" s="8"/>
    </row>
    <row r="13" spans="1:26" ht="14.25" customHeight="1">
      <c r="A13" s="8"/>
      <c r="B13" s="10">
        <v>9</v>
      </c>
      <c r="C13" s="11" t="s">
        <v>23</v>
      </c>
      <c r="D13" s="8"/>
      <c r="E13" s="8"/>
      <c r="F13" s="8"/>
      <c r="G13" s="8"/>
      <c r="H13" s="8"/>
      <c r="I13" s="8"/>
      <c r="J13" s="8"/>
      <c r="K13" s="8"/>
      <c r="L13" s="8"/>
      <c r="M13" s="8"/>
      <c r="N13" s="8"/>
      <c r="O13" s="8"/>
      <c r="P13" s="8"/>
      <c r="Q13" s="8"/>
      <c r="R13" s="8"/>
      <c r="S13" s="8"/>
      <c r="T13" s="8"/>
      <c r="U13" s="8"/>
      <c r="V13" s="8"/>
      <c r="W13" s="8"/>
      <c r="X13" s="8"/>
      <c r="Y13" s="8"/>
      <c r="Z13" s="8"/>
    </row>
    <row r="14" spans="1:26" ht="14.25" customHeight="1">
      <c r="A14" s="8"/>
      <c r="B14" s="12">
        <v>10</v>
      </c>
      <c r="C14" s="13" t="s">
        <v>24</v>
      </c>
      <c r="D14" s="8"/>
      <c r="E14" s="8"/>
      <c r="F14" s="8"/>
      <c r="G14" s="8"/>
      <c r="H14" s="8"/>
      <c r="I14" s="8"/>
      <c r="J14" s="8"/>
      <c r="K14" s="8"/>
      <c r="L14" s="8"/>
      <c r="M14" s="8"/>
      <c r="N14" s="8"/>
      <c r="O14" s="8"/>
      <c r="P14" s="8"/>
      <c r="Q14" s="8"/>
      <c r="R14" s="8"/>
      <c r="S14" s="8"/>
      <c r="T14" s="8"/>
      <c r="U14" s="8"/>
      <c r="V14" s="8"/>
      <c r="W14" s="8"/>
      <c r="X14" s="8"/>
      <c r="Y14" s="8"/>
      <c r="Z14" s="8"/>
    </row>
    <row r="15" spans="1:26" ht="14.25" customHeight="1">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ht="14.25" customHeight="1">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ht="14.25" customHeight="1">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ht="14.25" customHeight="1">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ht="14.25" customHeight="1">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ht="14.25" customHeight="1">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ht="14.2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4.2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4.2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4.2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4.2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4.2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4.2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4.2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4.2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4.2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BK1001"/>
  <sheetViews>
    <sheetView workbookViewId="0">
      <selection activeCell="A43" sqref="A43"/>
    </sheetView>
  </sheetViews>
  <sheetFormatPr defaultColWidth="14.44140625" defaultRowHeight="15" customHeight="1"/>
  <cols>
    <col min="1" max="1" width="8.6640625" customWidth="1"/>
    <col min="2" max="2" width="18.5546875" customWidth="1"/>
    <col min="3" max="3" width="43" customWidth="1"/>
    <col min="4" max="5" width="11.109375" customWidth="1"/>
    <col min="6" max="12" width="8.6640625" customWidth="1"/>
    <col min="13" max="13" width="11.5546875" customWidth="1"/>
    <col min="14" max="63" width="8.6640625" customWidth="1"/>
  </cols>
  <sheetData>
    <row r="1" spans="1:63" ht="15" customHeight="1">
      <c r="A1" s="1"/>
      <c r="B1" s="1">
        <v>1</v>
      </c>
      <c r="C1" s="1">
        <v>2</v>
      </c>
      <c r="D1" s="1">
        <v>3</v>
      </c>
      <c r="E1" s="1">
        <v>4</v>
      </c>
      <c r="F1" s="1">
        <v>5</v>
      </c>
      <c r="G1" s="1">
        <v>6</v>
      </c>
      <c r="H1" s="1">
        <v>7</v>
      </c>
      <c r="I1" s="1">
        <v>8</v>
      </c>
      <c r="J1" s="1">
        <v>9</v>
      </c>
      <c r="K1" s="61">
        <v>10</v>
      </c>
      <c r="L1" s="61">
        <v>11</v>
      </c>
      <c r="M1" s="61">
        <v>12</v>
      </c>
      <c r="N1" s="61">
        <v>13</v>
      </c>
      <c r="O1" s="1">
        <v>14</v>
      </c>
      <c r="P1" s="1">
        <v>15</v>
      </c>
      <c r="Q1" s="1">
        <v>16</v>
      </c>
      <c r="R1" s="1">
        <v>17</v>
      </c>
      <c r="S1" s="1">
        <v>18</v>
      </c>
      <c r="T1" s="1">
        <v>19</v>
      </c>
      <c r="U1" s="1">
        <v>20</v>
      </c>
      <c r="V1" s="1">
        <v>21</v>
      </c>
      <c r="W1" s="1">
        <v>22</v>
      </c>
      <c r="X1" s="1">
        <v>23</v>
      </c>
      <c r="Y1" s="1">
        <v>24</v>
      </c>
      <c r="Z1" s="1">
        <v>25</v>
      </c>
      <c r="AA1" s="1">
        <v>26</v>
      </c>
      <c r="AB1" s="1">
        <v>27</v>
      </c>
      <c r="AC1" s="1">
        <v>28</v>
      </c>
      <c r="AD1" s="1">
        <v>29</v>
      </c>
      <c r="AE1" s="1">
        <v>30</v>
      </c>
      <c r="AF1" s="1">
        <v>31</v>
      </c>
      <c r="AG1" s="1">
        <v>32</v>
      </c>
      <c r="AH1" s="1">
        <v>33</v>
      </c>
      <c r="AI1" s="1">
        <v>34</v>
      </c>
      <c r="AJ1" s="1">
        <v>35</v>
      </c>
      <c r="AK1" s="1">
        <v>36</v>
      </c>
      <c r="AL1" s="1">
        <v>37</v>
      </c>
      <c r="AM1" s="1">
        <v>38</v>
      </c>
      <c r="AN1" s="1">
        <v>39</v>
      </c>
      <c r="AO1" s="1">
        <v>40</v>
      </c>
      <c r="AP1" s="1">
        <v>41</v>
      </c>
      <c r="AQ1" s="1">
        <v>42</v>
      </c>
      <c r="AR1" s="1">
        <v>43</v>
      </c>
      <c r="AS1" s="1">
        <v>44</v>
      </c>
      <c r="AT1" s="1">
        <v>45</v>
      </c>
      <c r="AU1" s="1">
        <v>46</v>
      </c>
      <c r="AV1" s="1">
        <v>47</v>
      </c>
      <c r="AW1" s="1">
        <v>48</v>
      </c>
      <c r="AX1" s="1">
        <v>49</v>
      </c>
      <c r="AY1" s="1">
        <v>50</v>
      </c>
      <c r="AZ1" s="1">
        <v>51</v>
      </c>
      <c r="BA1" s="1">
        <v>52</v>
      </c>
      <c r="BB1" s="1">
        <v>53</v>
      </c>
      <c r="BC1" s="1">
        <v>54</v>
      </c>
      <c r="BD1" s="1">
        <v>55</v>
      </c>
      <c r="BE1" s="1">
        <v>56</v>
      </c>
      <c r="BF1" s="1">
        <v>57</v>
      </c>
      <c r="BG1" s="1">
        <v>58</v>
      </c>
      <c r="BH1" s="1">
        <v>59</v>
      </c>
      <c r="BI1" s="1">
        <v>60</v>
      </c>
      <c r="BJ1" s="1">
        <v>61</v>
      </c>
      <c r="BK1" s="1">
        <v>62</v>
      </c>
    </row>
    <row r="2" spans="1:63" ht="43.2">
      <c r="A2" s="330" t="s">
        <v>555</v>
      </c>
      <c r="B2" s="331" t="s">
        <v>556</v>
      </c>
      <c r="C2" s="331" t="s">
        <v>557</v>
      </c>
      <c r="D2" s="331" t="s">
        <v>558</v>
      </c>
      <c r="E2" s="331" t="s">
        <v>559</v>
      </c>
      <c r="F2" s="331" t="s">
        <v>560</v>
      </c>
      <c r="G2" s="331" t="s">
        <v>561</v>
      </c>
      <c r="H2" s="331" t="s">
        <v>562</v>
      </c>
      <c r="I2" s="331" t="s">
        <v>563</v>
      </c>
      <c r="J2" s="331" t="s">
        <v>564</v>
      </c>
      <c r="K2" s="332">
        <v>2018</v>
      </c>
      <c r="L2" s="332">
        <v>2019</v>
      </c>
      <c r="M2" s="332">
        <v>2020</v>
      </c>
      <c r="N2" s="332">
        <v>2021</v>
      </c>
      <c r="O2" s="331">
        <v>2022</v>
      </c>
      <c r="P2" s="331">
        <v>2023</v>
      </c>
      <c r="Q2" s="331">
        <v>2024</v>
      </c>
      <c r="R2" s="331">
        <v>2025</v>
      </c>
      <c r="S2" s="331">
        <v>2026</v>
      </c>
      <c r="T2" s="331">
        <v>2027</v>
      </c>
      <c r="U2" s="331">
        <v>2028</v>
      </c>
      <c r="V2" s="331">
        <v>2029</v>
      </c>
      <c r="W2" s="331">
        <v>2030</v>
      </c>
      <c r="X2" s="331">
        <v>2031</v>
      </c>
      <c r="Y2" s="331">
        <v>2032</v>
      </c>
      <c r="Z2" s="331">
        <v>2033</v>
      </c>
      <c r="AA2" s="331">
        <v>2034</v>
      </c>
      <c r="AB2" s="331">
        <v>2035</v>
      </c>
      <c r="AC2" s="331">
        <v>2036</v>
      </c>
      <c r="AD2" s="331">
        <v>2037</v>
      </c>
      <c r="AE2" s="331">
        <v>2038</v>
      </c>
      <c r="AF2" s="331">
        <v>2039</v>
      </c>
      <c r="AG2" s="331">
        <v>2040</v>
      </c>
      <c r="AH2" s="331">
        <v>2041</v>
      </c>
      <c r="AI2" s="331">
        <v>2042</v>
      </c>
      <c r="AJ2" s="331">
        <v>2043</v>
      </c>
      <c r="AK2" s="331">
        <v>2044</v>
      </c>
      <c r="AL2" s="331">
        <v>2045</v>
      </c>
      <c r="AM2" s="331">
        <v>2046</v>
      </c>
      <c r="AN2" s="331">
        <v>2047</v>
      </c>
      <c r="AO2" s="331">
        <v>2048</v>
      </c>
      <c r="AP2" s="331">
        <v>2049</v>
      </c>
      <c r="AQ2" s="331">
        <v>2050</v>
      </c>
      <c r="AR2" s="331">
        <v>2051</v>
      </c>
      <c r="AS2" s="331">
        <v>2052</v>
      </c>
      <c r="AT2" s="331">
        <v>2053</v>
      </c>
      <c r="AU2" s="331">
        <v>2054</v>
      </c>
      <c r="AV2" s="331">
        <v>2055</v>
      </c>
      <c r="AW2" s="331">
        <v>2056</v>
      </c>
      <c r="AX2" s="331">
        <v>2057</v>
      </c>
      <c r="AY2" s="331">
        <v>2058</v>
      </c>
      <c r="AZ2" s="331">
        <v>2059</v>
      </c>
      <c r="BA2" s="331">
        <v>2060</v>
      </c>
      <c r="BB2" s="331">
        <v>2061</v>
      </c>
      <c r="BC2" s="331">
        <v>2062</v>
      </c>
      <c r="BD2" s="331">
        <v>2063</v>
      </c>
      <c r="BE2" s="331">
        <v>2064</v>
      </c>
      <c r="BF2" s="331">
        <v>2065</v>
      </c>
      <c r="BG2" s="331">
        <v>2066</v>
      </c>
      <c r="BH2" s="331">
        <v>2067</v>
      </c>
      <c r="BI2" s="331">
        <v>2068</v>
      </c>
      <c r="BJ2" s="331">
        <v>2069</v>
      </c>
      <c r="BK2" s="331">
        <v>2070</v>
      </c>
    </row>
    <row r="3" spans="1:63" ht="14.4">
      <c r="A3" s="333" t="s">
        <v>565</v>
      </c>
      <c r="B3" s="334" t="s">
        <v>471</v>
      </c>
      <c r="C3" s="334" t="s">
        <v>472</v>
      </c>
      <c r="D3" s="334" t="s">
        <v>566</v>
      </c>
      <c r="E3" s="334" t="s">
        <v>566</v>
      </c>
      <c r="F3" s="334" t="s">
        <v>566</v>
      </c>
      <c r="G3" s="334" t="s">
        <v>567</v>
      </c>
      <c r="H3" s="334">
        <v>0</v>
      </c>
      <c r="I3" s="334" t="s">
        <v>12</v>
      </c>
      <c r="J3" s="334" t="s">
        <v>12</v>
      </c>
      <c r="K3" s="315">
        <v>0</v>
      </c>
      <c r="L3" s="316">
        <v>0</v>
      </c>
      <c r="M3" s="316">
        <v>0</v>
      </c>
      <c r="N3" s="316">
        <v>0</v>
      </c>
      <c r="O3" s="316">
        <v>0</v>
      </c>
      <c r="P3" s="316">
        <v>0</v>
      </c>
      <c r="Q3" s="316">
        <v>0</v>
      </c>
      <c r="R3" s="316">
        <v>0</v>
      </c>
      <c r="S3" s="316">
        <v>0</v>
      </c>
      <c r="T3" s="316">
        <v>0</v>
      </c>
      <c r="U3" s="316">
        <v>0</v>
      </c>
      <c r="V3" s="316">
        <v>0</v>
      </c>
      <c r="W3" s="316">
        <v>0</v>
      </c>
      <c r="X3" s="316">
        <v>0</v>
      </c>
      <c r="Y3" s="316">
        <v>0</v>
      </c>
      <c r="Z3" s="316">
        <v>0</v>
      </c>
      <c r="AA3" s="316">
        <v>0</v>
      </c>
      <c r="AB3" s="316">
        <v>0</v>
      </c>
      <c r="AC3" s="316">
        <v>0</v>
      </c>
      <c r="AD3" s="316">
        <v>0</v>
      </c>
      <c r="AE3" s="316">
        <v>0</v>
      </c>
      <c r="AF3" s="316">
        <v>0</v>
      </c>
      <c r="AG3" s="316">
        <v>0</v>
      </c>
      <c r="AH3" s="316">
        <v>0</v>
      </c>
      <c r="AI3" s="316">
        <v>0</v>
      </c>
      <c r="AJ3" s="316">
        <v>0</v>
      </c>
      <c r="AK3" s="316">
        <v>0</v>
      </c>
      <c r="AL3" s="316">
        <v>0</v>
      </c>
      <c r="AM3" s="316">
        <v>0</v>
      </c>
      <c r="AN3" s="316">
        <v>0</v>
      </c>
      <c r="AO3" s="316">
        <v>0</v>
      </c>
      <c r="AP3" s="316">
        <v>0</v>
      </c>
      <c r="AQ3" s="316">
        <v>0</v>
      </c>
      <c r="AR3" s="316">
        <v>0</v>
      </c>
      <c r="AS3" s="316">
        <v>0</v>
      </c>
      <c r="AT3" s="316">
        <v>0</v>
      </c>
      <c r="AU3" s="316">
        <v>0</v>
      </c>
      <c r="AV3" s="316">
        <v>0</v>
      </c>
      <c r="AW3" s="316">
        <v>0</v>
      </c>
      <c r="AX3" s="316">
        <v>0</v>
      </c>
      <c r="AY3" s="316">
        <v>0</v>
      </c>
      <c r="AZ3" s="316">
        <v>0</v>
      </c>
      <c r="BA3" s="316">
        <v>0</v>
      </c>
      <c r="BB3" s="316">
        <v>0</v>
      </c>
      <c r="BC3" s="316">
        <v>0</v>
      </c>
      <c r="BD3" s="316">
        <v>0</v>
      </c>
      <c r="BE3" s="316">
        <v>0</v>
      </c>
      <c r="BF3" s="316">
        <v>0</v>
      </c>
      <c r="BG3" s="316">
        <v>0</v>
      </c>
      <c r="BH3" s="316">
        <v>0</v>
      </c>
      <c r="BI3" s="316">
        <v>0</v>
      </c>
      <c r="BJ3" s="316">
        <v>0</v>
      </c>
      <c r="BK3" s="316">
        <v>0</v>
      </c>
    </row>
    <row r="4" spans="1:63" ht="14.4">
      <c r="A4" s="335" t="s">
        <v>565</v>
      </c>
      <c r="B4" s="328" t="s">
        <v>467</v>
      </c>
      <c r="C4" s="328" t="s">
        <v>468</v>
      </c>
      <c r="D4" s="328" t="s">
        <v>566</v>
      </c>
      <c r="E4" s="328" t="s">
        <v>566</v>
      </c>
      <c r="F4" s="328" t="s">
        <v>566</v>
      </c>
      <c r="G4" s="328" t="s">
        <v>567</v>
      </c>
      <c r="H4" s="328">
        <v>0</v>
      </c>
      <c r="I4" s="328" t="s">
        <v>12</v>
      </c>
      <c r="J4" s="328" t="s">
        <v>12</v>
      </c>
      <c r="K4" s="336">
        <v>3.828552293</v>
      </c>
      <c r="L4" s="337">
        <v>3.8492816959999998</v>
      </c>
      <c r="M4" s="337">
        <v>1.7414440250000001</v>
      </c>
      <c r="N4" s="337">
        <v>2.3650680739999999</v>
      </c>
      <c r="O4" s="337">
        <v>2.41</v>
      </c>
      <c r="P4" s="337">
        <v>2.4700000000000002</v>
      </c>
      <c r="Q4" s="337">
        <v>2.52</v>
      </c>
      <c r="R4" s="337">
        <v>2.57</v>
      </c>
      <c r="S4" s="337">
        <v>2.61</v>
      </c>
      <c r="T4" s="337">
        <v>2.67</v>
      </c>
      <c r="U4" s="337">
        <v>2.73</v>
      </c>
      <c r="V4" s="337">
        <v>2.77</v>
      </c>
      <c r="W4" s="337">
        <v>2.82</v>
      </c>
      <c r="X4" s="337">
        <v>2.88</v>
      </c>
      <c r="Y4" s="337">
        <v>2.93</v>
      </c>
      <c r="Z4" s="337">
        <v>2.99</v>
      </c>
      <c r="AA4" s="337">
        <v>3.04</v>
      </c>
      <c r="AB4" s="337">
        <v>3.09</v>
      </c>
      <c r="AC4" s="337">
        <v>3.14</v>
      </c>
      <c r="AD4" s="337">
        <v>3.19</v>
      </c>
      <c r="AE4" s="337">
        <v>3.24</v>
      </c>
      <c r="AF4" s="337">
        <v>3.3</v>
      </c>
      <c r="AG4" s="337">
        <v>3.35</v>
      </c>
      <c r="AH4" s="337">
        <v>3.4</v>
      </c>
      <c r="AI4" s="337">
        <v>3.45</v>
      </c>
      <c r="AJ4" s="337">
        <v>3.5</v>
      </c>
      <c r="AK4" s="337">
        <v>3.55</v>
      </c>
      <c r="AL4" s="337">
        <v>3.59</v>
      </c>
      <c r="AM4" s="337">
        <v>3.65</v>
      </c>
      <c r="AN4" s="337">
        <v>3.69</v>
      </c>
      <c r="AO4" s="337">
        <v>3.74</v>
      </c>
      <c r="AP4" s="337">
        <v>3.78</v>
      </c>
      <c r="AQ4" s="337">
        <v>3.83</v>
      </c>
      <c r="AR4" s="337">
        <v>3.88</v>
      </c>
      <c r="AS4" s="337">
        <v>3.92</v>
      </c>
      <c r="AT4" s="337">
        <v>3.97</v>
      </c>
      <c r="AU4" s="337">
        <v>4.01</v>
      </c>
      <c r="AV4" s="337">
        <v>4.0599999999999996</v>
      </c>
      <c r="AW4" s="337">
        <v>4.0999999999999996</v>
      </c>
      <c r="AX4" s="337">
        <v>4.1500000000000004</v>
      </c>
      <c r="AY4" s="337">
        <v>4.1900000000000004</v>
      </c>
      <c r="AZ4" s="337">
        <v>4.2300000000000004</v>
      </c>
      <c r="BA4" s="337">
        <v>4.28</v>
      </c>
      <c r="BB4" s="337">
        <v>4.32</v>
      </c>
      <c r="BC4" s="337">
        <v>4.3600000000000003</v>
      </c>
      <c r="BD4" s="337">
        <v>4.4000000000000004</v>
      </c>
      <c r="BE4" s="337">
        <v>4.4400000000000004</v>
      </c>
      <c r="BF4" s="337">
        <v>4.4800000000000004</v>
      </c>
      <c r="BG4" s="337">
        <v>4.5199999999999996</v>
      </c>
      <c r="BH4" s="337">
        <v>4.5599999999999996</v>
      </c>
      <c r="BI4" s="337">
        <v>4.5999999999999996</v>
      </c>
      <c r="BJ4" s="337">
        <v>4.63</v>
      </c>
      <c r="BK4" s="337">
        <v>4.67</v>
      </c>
    </row>
    <row r="5" spans="1:63" ht="14.4">
      <c r="A5" s="338" t="s">
        <v>565</v>
      </c>
      <c r="B5" s="329" t="s">
        <v>469</v>
      </c>
      <c r="C5" s="329" t="s">
        <v>470</v>
      </c>
      <c r="D5" s="329" t="s">
        <v>566</v>
      </c>
      <c r="E5" s="329" t="s">
        <v>566</v>
      </c>
      <c r="F5" s="329" t="s">
        <v>566</v>
      </c>
      <c r="G5" s="329" t="s">
        <v>567</v>
      </c>
      <c r="H5" s="329">
        <v>0</v>
      </c>
      <c r="I5" s="329" t="s">
        <v>12</v>
      </c>
      <c r="J5" s="329" t="s">
        <v>12</v>
      </c>
      <c r="K5" s="336">
        <v>0.18987436099999999</v>
      </c>
      <c r="L5" s="337">
        <v>0.20206812699999999</v>
      </c>
      <c r="M5" s="337">
        <v>0.16839010600000001</v>
      </c>
      <c r="N5" s="337">
        <v>0.19742288299999999</v>
      </c>
      <c r="O5" s="337">
        <v>0.2</v>
      </c>
      <c r="P5" s="337">
        <v>0.21</v>
      </c>
      <c r="Q5" s="337">
        <v>0.21</v>
      </c>
      <c r="R5" s="337">
        <v>0.21</v>
      </c>
      <c r="S5" s="337">
        <v>0.22</v>
      </c>
      <c r="T5" s="337">
        <v>0.22</v>
      </c>
      <c r="U5" s="337">
        <v>0.23</v>
      </c>
      <c r="V5" s="337">
        <v>0.23</v>
      </c>
      <c r="W5" s="337">
        <v>0.24</v>
      </c>
      <c r="X5" s="337">
        <v>0.24</v>
      </c>
      <c r="Y5" s="337">
        <v>0.24</v>
      </c>
      <c r="Z5" s="337">
        <v>0.25</v>
      </c>
      <c r="AA5" s="337">
        <v>0.25</v>
      </c>
      <c r="AB5" s="337">
        <v>0.26</v>
      </c>
      <c r="AC5" s="337">
        <v>0.26</v>
      </c>
      <c r="AD5" s="337">
        <v>0.27</v>
      </c>
      <c r="AE5" s="337">
        <v>0.27</v>
      </c>
      <c r="AF5" s="337">
        <v>0.28000000000000003</v>
      </c>
      <c r="AG5" s="337">
        <v>0.28000000000000003</v>
      </c>
      <c r="AH5" s="337">
        <v>0.28000000000000003</v>
      </c>
      <c r="AI5" s="337">
        <v>0.28999999999999998</v>
      </c>
      <c r="AJ5" s="337">
        <v>0.28999999999999998</v>
      </c>
      <c r="AK5" s="337">
        <v>0.3</v>
      </c>
      <c r="AL5" s="337">
        <v>0.3</v>
      </c>
      <c r="AM5" s="337">
        <v>0.3</v>
      </c>
      <c r="AN5" s="337">
        <v>0.31</v>
      </c>
      <c r="AO5" s="337">
        <v>0.31</v>
      </c>
      <c r="AP5" s="337">
        <v>0.32</v>
      </c>
      <c r="AQ5" s="337">
        <v>0.32</v>
      </c>
      <c r="AR5" s="337">
        <v>0.32</v>
      </c>
      <c r="AS5" s="337">
        <v>0.33</v>
      </c>
      <c r="AT5" s="337">
        <v>0.33</v>
      </c>
      <c r="AU5" s="337">
        <v>0.34</v>
      </c>
      <c r="AV5" s="337">
        <v>0.34</v>
      </c>
      <c r="AW5" s="337">
        <v>0.34</v>
      </c>
      <c r="AX5" s="337">
        <v>0.35</v>
      </c>
      <c r="AY5" s="337">
        <v>0.35</v>
      </c>
      <c r="AZ5" s="337">
        <v>0.35</v>
      </c>
      <c r="BA5" s="337">
        <v>0.36</v>
      </c>
      <c r="BB5" s="337">
        <v>0.36</v>
      </c>
      <c r="BC5" s="337">
        <v>0.36</v>
      </c>
      <c r="BD5" s="337">
        <v>0.37</v>
      </c>
      <c r="BE5" s="337">
        <v>0.37</v>
      </c>
      <c r="BF5" s="337">
        <v>0.37</v>
      </c>
      <c r="BG5" s="337">
        <v>0.38</v>
      </c>
      <c r="BH5" s="337">
        <v>0.38</v>
      </c>
      <c r="BI5" s="337">
        <v>0.38</v>
      </c>
      <c r="BJ5" s="337">
        <v>0.39</v>
      </c>
      <c r="BK5" s="337">
        <v>0.39</v>
      </c>
    </row>
    <row r="6" spans="1:63" ht="14.4">
      <c r="A6" s="335" t="s">
        <v>565</v>
      </c>
      <c r="B6" s="328" t="s">
        <v>473</v>
      </c>
      <c r="C6" s="328" t="s">
        <v>474</v>
      </c>
      <c r="D6" s="328" t="s">
        <v>566</v>
      </c>
      <c r="E6" s="328" t="s">
        <v>566</v>
      </c>
      <c r="F6" s="328" t="s">
        <v>566</v>
      </c>
      <c r="G6" s="328" t="s">
        <v>567</v>
      </c>
      <c r="H6" s="328">
        <v>0</v>
      </c>
      <c r="I6" s="328" t="s">
        <v>12</v>
      </c>
      <c r="J6" s="328" t="s">
        <v>12</v>
      </c>
      <c r="K6" s="336">
        <v>1.0525426410000001</v>
      </c>
      <c r="L6" s="337">
        <v>1.1384701150000001</v>
      </c>
      <c r="M6" s="337">
        <v>0.93313629899999995</v>
      </c>
      <c r="N6" s="337">
        <v>1.09661806</v>
      </c>
      <c r="O6" s="337">
        <v>1.1299999999999999</v>
      </c>
      <c r="P6" s="337">
        <v>1.17</v>
      </c>
      <c r="Q6" s="337">
        <v>1.2</v>
      </c>
      <c r="R6" s="337">
        <v>1.23</v>
      </c>
      <c r="S6" s="337">
        <v>1.26</v>
      </c>
      <c r="T6" s="337">
        <v>1.29</v>
      </c>
      <c r="U6" s="337">
        <v>1.32</v>
      </c>
      <c r="V6" s="337">
        <v>1.33</v>
      </c>
      <c r="W6" s="337">
        <v>1.35</v>
      </c>
      <c r="X6" s="337">
        <v>1.38</v>
      </c>
      <c r="Y6" s="337">
        <v>1.4</v>
      </c>
      <c r="Z6" s="337">
        <v>1.42</v>
      </c>
      <c r="AA6" s="337">
        <v>1.44</v>
      </c>
      <c r="AB6" s="337">
        <v>1.46</v>
      </c>
      <c r="AC6" s="337">
        <v>1.48</v>
      </c>
      <c r="AD6" s="337">
        <v>1.5</v>
      </c>
      <c r="AE6" s="337">
        <v>1.52</v>
      </c>
      <c r="AF6" s="337">
        <v>1.55</v>
      </c>
      <c r="AG6" s="337">
        <v>1.58</v>
      </c>
      <c r="AH6" s="337">
        <v>1.61</v>
      </c>
      <c r="AI6" s="337">
        <v>1.64</v>
      </c>
      <c r="AJ6" s="337">
        <v>1.67</v>
      </c>
      <c r="AK6" s="337">
        <v>1.7</v>
      </c>
      <c r="AL6" s="337">
        <v>1.74</v>
      </c>
      <c r="AM6" s="337">
        <v>1.78</v>
      </c>
      <c r="AN6" s="337">
        <v>1.82</v>
      </c>
      <c r="AO6" s="337">
        <v>1.86</v>
      </c>
      <c r="AP6" s="337">
        <v>1.9</v>
      </c>
      <c r="AQ6" s="337">
        <v>1.94</v>
      </c>
      <c r="AR6" s="337">
        <v>1.98</v>
      </c>
      <c r="AS6" s="337">
        <v>2.0099999999999998</v>
      </c>
      <c r="AT6" s="337">
        <v>2.0499999999999998</v>
      </c>
      <c r="AU6" s="337">
        <v>2.09</v>
      </c>
      <c r="AV6" s="337">
        <v>2.14</v>
      </c>
      <c r="AW6" s="337">
        <v>2.1800000000000002</v>
      </c>
      <c r="AX6" s="337">
        <v>2.23</v>
      </c>
      <c r="AY6" s="337">
        <v>2.27</v>
      </c>
      <c r="AZ6" s="337">
        <v>2.3199999999999998</v>
      </c>
      <c r="BA6" s="337">
        <v>2.37</v>
      </c>
      <c r="BB6" s="337">
        <v>2.42</v>
      </c>
      <c r="BC6" s="337">
        <v>2.4700000000000002</v>
      </c>
      <c r="BD6" s="337">
        <v>2.52</v>
      </c>
      <c r="BE6" s="337">
        <v>2.57</v>
      </c>
      <c r="BF6" s="337">
        <v>2.62</v>
      </c>
      <c r="BG6" s="337">
        <v>2.67</v>
      </c>
      <c r="BH6" s="337">
        <v>2.73</v>
      </c>
      <c r="BI6" s="337">
        <v>2.78</v>
      </c>
      <c r="BJ6" s="337">
        <v>2.84</v>
      </c>
      <c r="BK6" s="337">
        <v>2.9</v>
      </c>
    </row>
    <row r="7" spans="1:63" ht="14.4">
      <c r="A7" s="338" t="s">
        <v>565</v>
      </c>
      <c r="B7" s="329" t="s">
        <v>477</v>
      </c>
      <c r="C7" s="329" t="s">
        <v>478</v>
      </c>
      <c r="D7" s="329" t="s">
        <v>566</v>
      </c>
      <c r="E7" s="329" t="s">
        <v>566</v>
      </c>
      <c r="F7" s="329" t="s">
        <v>566</v>
      </c>
      <c r="G7" s="329" t="s">
        <v>567</v>
      </c>
      <c r="H7" s="329">
        <v>0</v>
      </c>
      <c r="I7" s="329" t="s">
        <v>12</v>
      </c>
      <c r="J7" s="329" t="s">
        <v>12</v>
      </c>
      <c r="K7" s="338">
        <v>4.480764765</v>
      </c>
      <c r="L7" s="329">
        <v>4.2873983139999998</v>
      </c>
      <c r="M7" s="329">
        <v>3.3116198030000001</v>
      </c>
      <c r="N7" s="329">
        <v>3.9848753609999998</v>
      </c>
      <c r="O7" s="329">
        <v>3.9848753609999998</v>
      </c>
      <c r="P7" s="329">
        <v>3.9848753609999998</v>
      </c>
      <c r="Q7" s="329">
        <v>3.9848753609999998</v>
      </c>
      <c r="R7" s="329">
        <v>3.9848753609999998</v>
      </c>
      <c r="S7" s="329">
        <v>3.9848753609999998</v>
      </c>
      <c r="T7" s="329">
        <v>3.9848753609999998</v>
      </c>
      <c r="U7" s="329">
        <v>3.9848753609999998</v>
      </c>
      <c r="V7" s="329">
        <v>3.9848753609999998</v>
      </c>
      <c r="W7" s="329">
        <v>3.9848753609999998</v>
      </c>
      <c r="X7" s="329">
        <v>3.9848753609999998</v>
      </c>
      <c r="Y7" s="329">
        <v>3.9848753609999998</v>
      </c>
      <c r="Z7" s="329">
        <v>3.9848753609999998</v>
      </c>
      <c r="AA7" s="329">
        <v>3.9848753609999998</v>
      </c>
      <c r="AB7" s="329">
        <v>3.9848753609999998</v>
      </c>
      <c r="AC7" s="329">
        <v>3.9848753609999998</v>
      </c>
      <c r="AD7" s="329">
        <v>3.9848753609999998</v>
      </c>
      <c r="AE7" s="329">
        <v>3.9848753609999998</v>
      </c>
      <c r="AF7" s="329">
        <v>3.9848753609999998</v>
      </c>
      <c r="AG7" s="329">
        <v>3.9848753609999998</v>
      </c>
      <c r="AH7" s="329">
        <v>3.9848753609999998</v>
      </c>
      <c r="AI7" s="329">
        <v>3.9848753609999998</v>
      </c>
      <c r="AJ7" s="329">
        <v>3.9848753609999998</v>
      </c>
      <c r="AK7" s="329">
        <v>3.9848753609999998</v>
      </c>
      <c r="AL7" s="329">
        <v>3.9848753609999998</v>
      </c>
      <c r="AM7" s="329">
        <v>3.9848753609999998</v>
      </c>
      <c r="AN7" s="329">
        <v>3.9848753609999998</v>
      </c>
      <c r="AO7" s="329">
        <v>3.9848753609999998</v>
      </c>
      <c r="AP7" s="329">
        <v>3.9848753609999998</v>
      </c>
      <c r="AQ7" s="329">
        <v>3.9848753609999998</v>
      </c>
      <c r="AR7" s="329">
        <v>3.9848753609999998</v>
      </c>
      <c r="AS7" s="329">
        <v>3.9848753609999998</v>
      </c>
      <c r="AT7" s="329">
        <v>3.9848753609999998</v>
      </c>
      <c r="AU7" s="329">
        <v>3.9848753609999998</v>
      </c>
      <c r="AV7" s="329">
        <v>3.9848753609999998</v>
      </c>
      <c r="AW7" s="329">
        <v>3.9848753609999998</v>
      </c>
      <c r="AX7" s="329">
        <v>3.9848753609999998</v>
      </c>
      <c r="AY7" s="329">
        <v>3.9848753609999998</v>
      </c>
      <c r="AZ7" s="329">
        <v>3.9848753609999998</v>
      </c>
      <c r="BA7" s="329">
        <v>3.9848753609999998</v>
      </c>
      <c r="BB7" s="329">
        <v>3.9848753609999998</v>
      </c>
      <c r="BC7" s="329">
        <v>3.9848753609999998</v>
      </c>
      <c r="BD7" s="329">
        <v>3.9848753609999998</v>
      </c>
      <c r="BE7" s="329">
        <v>3.9848753609999998</v>
      </c>
      <c r="BF7" s="329">
        <v>3.9848753609999998</v>
      </c>
      <c r="BG7" s="329">
        <v>3.9848753609999998</v>
      </c>
      <c r="BH7" s="329">
        <v>3.9848753609999998</v>
      </c>
      <c r="BI7" s="329">
        <v>3.9848753609999998</v>
      </c>
      <c r="BJ7" s="329">
        <v>3.9848753609999998</v>
      </c>
      <c r="BK7" s="329">
        <v>3.9848753609999998</v>
      </c>
    </row>
    <row r="8" spans="1:63" ht="14.4">
      <c r="A8" s="338" t="s">
        <v>565</v>
      </c>
      <c r="B8" s="329" t="s">
        <v>475</v>
      </c>
      <c r="C8" s="329" t="s">
        <v>476</v>
      </c>
      <c r="D8" s="329" t="s">
        <v>566</v>
      </c>
      <c r="E8" s="329" t="s">
        <v>566</v>
      </c>
      <c r="F8" s="329" t="s">
        <v>566</v>
      </c>
      <c r="G8" s="329" t="s">
        <v>567</v>
      </c>
      <c r="H8" s="329">
        <v>0</v>
      </c>
      <c r="I8" s="329" t="s">
        <v>12</v>
      </c>
      <c r="J8" s="329" t="s">
        <v>12</v>
      </c>
      <c r="K8" s="336">
        <v>4.76307583</v>
      </c>
      <c r="L8" s="337">
        <v>5.2140192619999999</v>
      </c>
      <c r="M8" s="337">
        <v>4.8432446410000001</v>
      </c>
      <c r="N8" s="337">
        <v>5.4102095820000002</v>
      </c>
      <c r="O8" s="337">
        <v>5.6</v>
      </c>
      <c r="P8" s="337">
        <v>5.76</v>
      </c>
      <c r="Q8" s="337">
        <v>5.94</v>
      </c>
      <c r="R8" s="337">
        <v>6.08</v>
      </c>
      <c r="S8" s="337">
        <v>6.2</v>
      </c>
      <c r="T8" s="337">
        <v>6.36</v>
      </c>
      <c r="U8" s="337">
        <v>6.49</v>
      </c>
      <c r="V8" s="337">
        <v>6.58</v>
      </c>
      <c r="W8" s="337">
        <v>6.67</v>
      </c>
      <c r="X8" s="337">
        <v>6.81</v>
      </c>
      <c r="Y8" s="337">
        <v>6.9</v>
      </c>
      <c r="Z8" s="337">
        <v>7.02</v>
      </c>
      <c r="AA8" s="337">
        <v>7.1</v>
      </c>
      <c r="AB8" s="337">
        <v>7.19</v>
      </c>
      <c r="AC8" s="337">
        <v>7.3</v>
      </c>
      <c r="AD8" s="337">
        <v>7.4</v>
      </c>
      <c r="AE8" s="337">
        <v>7.51</v>
      </c>
      <c r="AF8" s="337">
        <v>7.65</v>
      </c>
      <c r="AG8" s="337">
        <v>7.78</v>
      </c>
      <c r="AH8" s="337">
        <v>7.93</v>
      </c>
      <c r="AI8" s="337">
        <v>8.08</v>
      </c>
      <c r="AJ8" s="337">
        <v>8.2200000000000006</v>
      </c>
      <c r="AK8" s="337">
        <v>8.4</v>
      </c>
      <c r="AL8" s="337">
        <v>8.57</v>
      </c>
      <c r="AM8" s="337">
        <v>8.7799999999999994</v>
      </c>
      <c r="AN8" s="337">
        <v>8.9700000000000006</v>
      </c>
      <c r="AO8" s="337">
        <v>9.16</v>
      </c>
      <c r="AP8" s="337">
        <v>9.3699999999999992</v>
      </c>
      <c r="AQ8" s="337">
        <v>9.57</v>
      </c>
      <c r="AR8" s="337">
        <v>9.75</v>
      </c>
      <c r="AS8" s="337">
        <v>9.94</v>
      </c>
      <c r="AT8" s="337">
        <v>10.130000000000001</v>
      </c>
      <c r="AU8" s="337">
        <v>10.33</v>
      </c>
      <c r="AV8" s="337">
        <v>10.54</v>
      </c>
      <c r="AW8" s="337">
        <v>10.76</v>
      </c>
      <c r="AX8" s="337">
        <v>10.98</v>
      </c>
      <c r="AY8" s="337">
        <v>11.2</v>
      </c>
      <c r="AZ8" s="337">
        <v>11.44</v>
      </c>
      <c r="BA8" s="337">
        <v>11.67</v>
      </c>
      <c r="BB8" s="337">
        <v>11.92</v>
      </c>
      <c r="BC8" s="337">
        <v>12.16</v>
      </c>
      <c r="BD8" s="337">
        <v>12.42</v>
      </c>
      <c r="BE8" s="337">
        <v>12.67</v>
      </c>
      <c r="BF8" s="337">
        <v>12.93</v>
      </c>
      <c r="BG8" s="337">
        <v>13.19</v>
      </c>
      <c r="BH8" s="337">
        <v>13.46</v>
      </c>
      <c r="BI8" s="337">
        <v>13.73</v>
      </c>
      <c r="BJ8" s="337">
        <v>14.01</v>
      </c>
      <c r="BK8" s="337">
        <v>14.3</v>
      </c>
    </row>
    <row r="9" spans="1:63" ht="14.4">
      <c r="A9" s="335" t="s">
        <v>565</v>
      </c>
      <c r="B9" s="328" t="s">
        <v>479</v>
      </c>
      <c r="C9" s="328" t="s">
        <v>480</v>
      </c>
      <c r="D9" s="328" t="s">
        <v>566</v>
      </c>
      <c r="E9" s="328" t="s">
        <v>566</v>
      </c>
      <c r="F9" s="328" t="s">
        <v>566</v>
      </c>
      <c r="G9" s="328" t="s">
        <v>567</v>
      </c>
      <c r="H9" s="328">
        <v>0</v>
      </c>
      <c r="I9" s="328" t="s">
        <v>12</v>
      </c>
      <c r="J9" s="328" t="s">
        <v>12</v>
      </c>
      <c r="K9" s="336">
        <v>24.96296225</v>
      </c>
      <c r="L9" s="337">
        <v>26.060401219999999</v>
      </c>
      <c r="M9" s="337">
        <v>23.917782280000001</v>
      </c>
      <c r="N9" s="337">
        <v>25.15051399</v>
      </c>
      <c r="O9" s="337">
        <v>25.3154</v>
      </c>
      <c r="P9" s="337">
        <v>26.482030000000002</v>
      </c>
      <c r="Q9" s="337">
        <v>26.69706</v>
      </c>
      <c r="R9" s="337">
        <v>27.839320000000001</v>
      </c>
      <c r="S9" s="337">
        <v>27.900559999999999</v>
      </c>
      <c r="T9" s="337">
        <v>29.206219999999998</v>
      </c>
      <c r="U9" s="337">
        <v>29.49297</v>
      </c>
      <c r="V9" s="337">
        <v>30.548719999999999</v>
      </c>
      <c r="W9" s="337">
        <v>30.7712</v>
      </c>
      <c r="X9" s="337">
        <v>32.131720000000001</v>
      </c>
      <c r="Y9" s="337">
        <v>32.464860000000002</v>
      </c>
      <c r="Z9" s="337">
        <v>33.744399999999999</v>
      </c>
      <c r="AA9" s="337">
        <v>34.125160000000001</v>
      </c>
      <c r="AB9" s="337">
        <v>35.218510000000002</v>
      </c>
      <c r="AC9" s="337">
        <v>35.734870000000001</v>
      </c>
      <c r="AD9" s="337">
        <v>36.775820000000003</v>
      </c>
      <c r="AE9" s="337">
        <v>37.281260000000003</v>
      </c>
      <c r="AF9" s="337">
        <v>38.395879999999998</v>
      </c>
      <c r="AG9" s="337">
        <v>38.930909999999997</v>
      </c>
      <c r="AH9" s="337">
        <v>39.940860000000001</v>
      </c>
      <c r="AI9" s="337">
        <v>40.508270000000003</v>
      </c>
      <c r="AJ9" s="337">
        <v>41.288600000000002</v>
      </c>
      <c r="AK9" s="337">
        <v>41.883659999999999</v>
      </c>
      <c r="AL9" s="337">
        <v>42.690219999999997</v>
      </c>
      <c r="AM9" s="337">
        <v>43.366329999999998</v>
      </c>
      <c r="AN9" s="337">
        <v>44.155999999999999</v>
      </c>
      <c r="AO9" s="337">
        <v>44.658180000000002</v>
      </c>
      <c r="AP9" s="337">
        <v>45.432879999999997</v>
      </c>
      <c r="AQ9" s="337">
        <v>45.975149999999999</v>
      </c>
      <c r="AR9" s="337">
        <v>46.74</v>
      </c>
      <c r="AS9" s="337">
        <v>47.42</v>
      </c>
      <c r="AT9" s="337">
        <v>48.07</v>
      </c>
      <c r="AU9" s="337">
        <v>48.76</v>
      </c>
      <c r="AV9" s="337">
        <v>49.44</v>
      </c>
      <c r="AW9" s="337">
        <v>50.14</v>
      </c>
      <c r="AX9" s="337">
        <v>50.79</v>
      </c>
      <c r="AY9" s="337">
        <v>51.45</v>
      </c>
      <c r="AZ9" s="337">
        <v>52.09</v>
      </c>
      <c r="BA9" s="337">
        <v>52.74</v>
      </c>
      <c r="BB9" s="337">
        <v>53.36</v>
      </c>
      <c r="BC9" s="337">
        <v>53.99</v>
      </c>
      <c r="BD9" s="337">
        <v>54.61</v>
      </c>
      <c r="BE9" s="337">
        <v>55.22</v>
      </c>
      <c r="BF9" s="337">
        <v>55.83</v>
      </c>
      <c r="BG9" s="337">
        <v>56.42</v>
      </c>
      <c r="BH9" s="337">
        <v>57</v>
      </c>
      <c r="BI9" s="337">
        <v>57.57</v>
      </c>
      <c r="BJ9" s="337">
        <v>58.13</v>
      </c>
      <c r="BK9" s="337">
        <v>58.68</v>
      </c>
    </row>
    <row r="10" spans="1:63" ht="14.4">
      <c r="A10" s="338" t="s">
        <v>565</v>
      </c>
      <c r="B10" s="329" t="s">
        <v>481</v>
      </c>
      <c r="C10" s="329" t="s">
        <v>482</v>
      </c>
      <c r="D10" s="329" t="s">
        <v>566</v>
      </c>
      <c r="E10" s="329" t="s">
        <v>566</v>
      </c>
      <c r="F10" s="329" t="s">
        <v>566</v>
      </c>
      <c r="G10" s="329" t="s">
        <v>567</v>
      </c>
      <c r="H10" s="329">
        <v>0</v>
      </c>
      <c r="I10" s="329" t="s">
        <v>12</v>
      </c>
      <c r="J10" s="329" t="s">
        <v>12</v>
      </c>
      <c r="K10" s="336">
        <v>0.27453468800000003</v>
      </c>
      <c r="L10" s="337">
        <v>0.28255511900000002</v>
      </c>
      <c r="M10" s="337">
        <v>0.269804828</v>
      </c>
      <c r="N10" s="337">
        <v>0.31491248199999999</v>
      </c>
      <c r="O10" s="337">
        <v>0.32</v>
      </c>
      <c r="P10" s="337">
        <v>0.33</v>
      </c>
      <c r="Q10" s="337">
        <v>0.33</v>
      </c>
      <c r="R10" s="337">
        <v>0.35</v>
      </c>
      <c r="S10" s="337">
        <v>0.35</v>
      </c>
      <c r="T10" s="337">
        <v>0.37</v>
      </c>
      <c r="U10" s="337">
        <v>0.37</v>
      </c>
      <c r="V10" s="337">
        <v>0.38</v>
      </c>
      <c r="W10" s="337">
        <v>0.39</v>
      </c>
      <c r="X10" s="337">
        <v>0.4</v>
      </c>
      <c r="Y10" s="337">
        <v>0.41</v>
      </c>
      <c r="Z10" s="337">
        <v>0.42</v>
      </c>
      <c r="AA10" s="337">
        <v>0.43</v>
      </c>
      <c r="AB10" s="337">
        <v>0.44</v>
      </c>
      <c r="AC10" s="337">
        <v>0.45</v>
      </c>
      <c r="AD10" s="337">
        <v>0.46</v>
      </c>
      <c r="AE10" s="337">
        <v>0.47</v>
      </c>
      <c r="AF10" s="337">
        <v>0.48</v>
      </c>
      <c r="AG10" s="337">
        <v>0.49</v>
      </c>
      <c r="AH10" s="337">
        <v>0.5</v>
      </c>
      <c r="AI10" s="337">
        <v>0.51</v>
      </c>
      <c r="AJ10" s="337">
        <v>0.52</v>
      </c>
      <c r="AK10" s="337">
        <v>0.52</v>
      </c>
      <c r="AL10" s="337">
        <v>0.53</v>
      </c>
      <c r="AM10" s="337">
        <v>0.54</v>
      </c>
      <c r="AN10" s="337">
        <v>0.55000000000000004</v>
      </c>
      <c r="AO10" s="337">
        <v>0.56000000000000005</v>
      </c>
      <c r="AP10" s="337">
        <v>0.56999999999999995</v>
      </c>
      <c r="AQ10" s="337">
        <v>0.57999999999999996</v>
      </c>
      <c r="AR10" s="337">
        <v>0.59</v>
      </c>
      <c r="AS10" s="337">
        <v>0.59</v>
      </c>
      <c r="AT10" s="337">
        <v>0.6</v>
      </c>
      <c r="AU10" s="337">
        <v>0.61</v>
      </c>
      <c r="AV10" s="337">
        <v>0.62</v>
      </c>
      <c r="AW10" s="337">
        <v>0.63</v>
      </c>
      <c r="AX10" s="337">
        <v>0.64</v>
      </c>
      <c r="AY10" s="337">
        <v>0.64</v>
      </c>
      <c r="AZ10" s="337">
        <v>0.65</v>
      </c>
      <c r="BA10" s="337">
        <v>0.66</v>
      </c>
      <c r="BB10" s="337">
        <v>0.67</v>
      </c>
      <c r="BC10" s="337">
        <v>0.68</v>
      </c>
      <c r="BD10" s="337">
        <v>0.68</v>
      </c>
      <c r="BE10" s="337">
        <v>0.69</v>
      </c>
      <c r="BF10" s="337">
        <v>0.7</v>
      </c>
      <c r="BG10" s="337">
        <v>0.71</v>
      </c>
      <c r="BH10" s="337">
        <v>0.71</v>
      </c>
      <c r="BI10" s="337">
        <v>0.72</v>
      </c>
      <c r="BJ10" s="337">
        <v>0.73</v>
      </c>
      <c r="BK10" s="337">
        <v>0.73</v>
      </c>
    </row>
    <row r="11" spans="1:63" ht="14.4">
      <c r="A11" s="338" t="s">
        <v>565</v>
      </c>
      <c r="B11" s="329" t="s">
        <v>483</v>
      </c>
      <c r="C11" s="329" t="s">
        <v>484</v>
      </c>
      <c r="D11" s="329" t="s">
        <v>566</v>
      </c>
      <c r="E11" s="329" t="s">
        <v>566</v>
      </c>
      <c r="F11" s="329" t="s">
        <v>566</v>
      </c>
      <c r="G11" s="329" t="s">
        <v>567</v>
      </c>
      <c r="H11" s="329">
        <v>0</v>
      </c>
      <c r="I11" s="329" t="s">
        <v>12</v>
      </c>
      <c r="J11" s="329" t="s">
        <v>12</v>
      </c>
      <c r="K11" s="336">
        <v>2.3911177970000002</v>
      </c>
      <c r="L11" s="337">
        <v>2.397757151</v>
      </c>
      <c r="M11" s="337">
        <v>2.240690061</v>
      </c>
      <c r="N11" s="337">
        <v>2.3810967559999998</v>
      </c>
      <c r="O11" s="337">
        <v>2.4</v>
      </c>
      <c r="P11" s="337">
        <v>2.5099999999999998</v>
      </c>
      <c r="Q11" s="337">
        <v>2.5299999999999998</v>
      </c>
      <c r="R11" s="337">
        <v>2.64</v>
      </c>
      <c r="S11" s="337">
        <v>2.64</v>
      </c>
      <c r="T11" s="337">
        <v>2.77</v>
      </c>
      <c r="U11" s="337">
        <v>2.79</v>
      </c>
      <c r="V11" s="337">
        <v>2.89</v>
      </c>
      <c r="W11" s="337">
        <v>2.91</v>
      </c>
      <c r="X11" s="337">
        <v>3.04</v>
      </c>
      <c r="Y11" s="337">
        <v>3.07</v>
      </c>
      <c r="Z11" s="337">
        <v>3.19</v>
      </c>
      <c r="AA11" s="337">
        <v>3.23</v>
      </c>
      <c r="AB11" s="337">
        <v>3.33</v>
      </c>
      <c r="AC11" s="337">
        <v>3.38</v>
      </c>
      <c r="AD11" s="337">
        <v>3.48</v>
      </c>
      <c r="AE11" s="337">
        <v>3.53</v>
      </c>
      <c r="AF11" s="337">
        <v>3.64</v>
      </c>
      <c r="AG11" s="337">
        <v>3.69</v>
      </c>
      <c r="AH11" s="337">
        <v>3.78</v>
      </c>
      <c r="AI11" s="337">
        <v>3.84</v>
      </c>
      <c r="AJ11" s="337">
        <v>3.91</v>
      </c>
      <c r="AK11" s="337">
        <v>3.97</v>
      </c>
      <c r="AL11" s="337">
        <v>4.04</v>
      </c>
      <c r="AM11" s="337">
        <v>4.1100000000000003</v>
      </c>
      <c r="AN11" s="337">
        <v>4.18</v>
      </c>
      <c r="AO11" s="337">
        <v>4.2300000000000004</v>
      </c>
      <c r="AP11" s="337">
        <v>4.3</v>
      </c>
      <c r="AQ11" s="337">
        <v>4.3499999999999996</v>
      </c>
      <c r="AR11" s="337">
        <v>4.43</v>
      </c>
      <c r="AS11" s="337">
        <v>4.49</v>
      </c>
      <c r="AT11" s="337">
        <v>4.55</v>
      </c>
      <c r="AU11" s="337">
        <v>4.62</v>
      </c>
      <c r="AV11" s="337">
        <v>4.68</v>
      </c>
      <c r="AW11" s="337">
        <v>4.75</v>
      </c>
      <c r="AX11" s="337">
        <v>4.8099999999999996</v>
      </c>
      <c r="AY11" s="337">
        <v>4.87</v>
      </c>
      <c r="AZ11" s="337">
        <v>4.93</v>
      </c>
      <c r="BA11" s="337">
        <v>4.99</v>
      </c>
      <c r="BB11" s="337">
        <v>5.05</v>
      </c>
      <c r="BC11" s="337">
        <v>5.1100000000000003</v>
      </c>
      <c r="BD11" s="337">
        <v>5.17</v>
      </c>
      <c r="BE11" s="337">
        <v>5.23</v>
      </c>
      <c r="BF11" s="337">
        <v>5.29</v>
      </c>
      <c r="BG11" s="337">
        <v>5.34</v>
      </c>
      <c r="BH11" s="337">
        <v>5.4</v>
      </c>
      <c r="BI11" s="337">
        <v>5.45</v>
      </c>
      <c r="BJ11" s="337">
        <v>5.5</v>
      </c>
      <c r="BK11" s="337">
        <v>5.56</v>
      </c>
    </row>
    <row r="12" spans="1:63" ht="14.4">
      <c r="A12" s="338" t="s">
        <v>565</v>
      </c>
      <c r="B12" s="329" t="s">
        <v>485</v>
      </c>
      <c r="C12" s="329" t="s">
        <v>486</v>
      </c>
      <c r="D12" s="329" t="s">
        <v>566</v>
      </c>
      <c r="E12" s="329" t="s">
        <v>566</v>
      </c>
      <c r="F12" s="329" t="s">
        <v>566</v>
      </c>
      <c r="G12" s="329" t="s">
        <v>567</v>
      </c>
      <c r="H12" s="329">
        <v>0</v>
      </c>
      <c r="I12" s="329" t="s">
        <v>12</v>
      </c>
      <c r="J12" s="329" t="s">
        <v>12</v>
      </c>
      <c r="K12" s="336">
        <v>5.736839035</v>
      </c>
      <c r="L12" s="337">
        <v>4.7138772869999999</v>
      </c>
      <c r="M12" s="337">
        <v>4.5998940529999999</v>
      </c>
      <c r="N12" s="337">
        <v>4.3899411639999997</v>
      </c>
      <c r="O12" s="337">
        <v>4.42</v>
      </c>
      <c r="P12" s="337">
        <v>4.62</v>
      </c>
      <c r="Q12" s="337">
        <v>4.66</v>
      </c>
      <c r="R12" s="337">
        <v>4.8600000000000003</v>
      </c>
      <c r="S12" s="337">
        <v>4.87</v>
      </c>
      <c r="T12" s="337">
        <v>5.0999999999999996</v>
      </c>
      <c r="U12" s="337">
        <v>5.15</v>
      </c>
      <c r="V12" s="337">
        <v>5.33</v>
      </c>
      <c r="W12" s="337">
        <v>5.37</v>
      </c>
      <c r="X12" s="337">
        <v>5.61</v>
      </c>
      <c r="Y12" s="337">
        <v>5.67</v>
      </c>
      <c r="Z12" s="337">
        <v>5.89</v>
      </c>
      <c r="AA12" s="337">
        <v>5.96</v>
      </c>
      <c r="AB12" s="337">
        <v>6.15</v>
      </c>
      <c r="AC12" s="337">
        <v>6.24</v>
      </c>
      <c r="AD12" s="337">
        <v>6.42</v>
      </c>
      <c r="AE12" s="337">
        <v>6.51</v>
      </c>
      <c r="AF12" s="337">
        <v>6.7</v>
      </c>
      <c r="AG12" s="337">
        <v>6.8</v>
      </c>
      <c r="AH12" s="337">
        <v>6.97</v>
      </c>
      <c r="AI12" s="337">
        <v>7.07</v>
      </c>
      <c r="AJ12" s="337">
        <v>7.21</v>
      </c>
      <c r="AK12" s="337">
        <v>7.31</v>
      </c>
      <c r="AL12" s="337">
        <v>7.45</v>
      </c>
      <c r="AM12" s="337">
        <v>7.57</v>
      </c>
      <c r="AN12" s="337">
        <v>7.71</v>
      </c>
      <c r="AO12" s="337">
        <v>7.79</v>
      </c>
      <c r="AP12" s="337">
        <v>7.93</v>
      </c>
      <c r="AQ12" s="337">
        <v>8.02</v>
      </c>
      <c r="AR12" s="337">
        <v>8.16</v>
      </c>
      <c r="AS12" s="337">
        <v>8.2799999999999994</v>
      </c>
      <c r="AT12" s="337">
        <v>8.39</v>
      </c>
      <c r="AU12" s="337">
        <v>8.51</v>
      </c>
      <c r="AV12" s="337">
        <v>8.6300000000000008</v>
      </c>
      <c r="AW12" s="337">
        <v>8.75</v>
      </c>
      <c r="AX12" s="337">
        <v>8.86</v>
      </c>
      <c r="AY12" s="337">
        <v>8.98</v>
      </c>
      <c r="AZ12" s="337">
        <v>9.09</v>
      </c>
      <c r="BA12" s="337">
        <v>9.2100000000000009</v>
      </c>
      <c r="BB12" s="337">
        <v>9.31</v>
      </c>
      <c r="BC12" s="337">
        <v>9.42</v>
      </c>
      <c r="BD12" s="337">
        <v>9.5299999999999994</v>
      </c>
      <c r="BE12" s="337">
        <v>9.64</v>
      </c>
      <c r="BF12" s="337">
        <v>9.74</v>
      </c>
      <c r="BG12" s="337">
        <v>9.85</v>
      </c>
      <c r="BH12" s="337">
        <v>9.9499999999999993</v>
      </c>
      <c r="BI12" s="337">
        <v>10.050000000000001</v>
      </c>
      <c r="BJ12" s="337">
        <v>10.15</v>
      </c>
      <c r="BK12" s="337">
        <v>10.24</v>
      </c>
    </row>
    <row r="13" spans="1:63" ht="14.4">
      <c r="A13" s="335" t="s">
        <v>565</v>
      </c>
      <c r="B13" s="328" t="s">
        <v>487</v>
      </c>
      <c r="C13" s="328" t="s">
        <v>488</v>
      </c>
      <c r="D13" s="328" t="s">
        <v>566</v>
      </c>
      <c r="E13" s="328" t="s">
        <v>566</v>
      </c>
      <c r="F13" s="328" t="s">
        <v>566</v>
      </c>
      <c r="G13" s="328" t="s">
        <v>567</v>
      </c>
      <c r="H13" s="328">
        <v>0</v>
      </c>
      <c r="I13" s="328" t="s">
        <v>12</v>
      </c>
      <c r="J13" s="328" t="s">
        <v>12</v>
      </c>
      <c r="K13" s="336">
        <v>9.9128536000000003E-2</v>
      </c>
      <c r="L13" s="337">
        <v>0.12304462300000001</v>
      </c>
      <c r="M13" s="337">
        <v>3.4599036E-2</v>
      </c>
      <c r="N13" s="337">
        <v>0.23700357599999999</v>
      </c>
      <c r="O13" s="337">
        <v>0.24</v>
      </c>
      <c r="P13" s="337">
        <v>0.25</v>
      </c>
      <c r="Q13" s="337">
        <v>0.25</v>
      </c>
      <c r="R13" s="337">
        <v>0.26</v>
      </c>
      <c r="S13" s="337">
        <v>0.26</v>
      </c>
      <c r="T13" s="337">
        <v>0.28000000000000003</v>
      </c>
      <c r="U13" s="337">
        <v>0.28000000000000003</v>
      </c>
      <c r="V13" s="337">
        <v>0.28999999999999998</v>
      </c>
      <c r="W13" s="337">
        <v>0.28999999999999998</v>
      </c>
      <c r="X13" s="337">
        <v>0.3</v>
      </c>
      <c r="Y13" s="337">
        <v>0.31</v>
      </c>
      <c r="Z13" s="337">
        <v>0.32</v>
      </c>
      <c r="AA13" s="337">
        <v>0.32</v>
      </c>
      <c r="AB13" s="337">
        <v>0.33</v>
      </c>
      <c r="AC13" s="337">
        <v>0.34</v>
      </c>
      <c r="AD13" s="337">
        <v>0.35</v>
      </c>
      <c r="AE13" s="337">
        <v>0.35</v>
      </c>
      <c r="AF13" s="337">
        <v>0.36</v>
      </c>
      <c r="AG13" s="337">
        <v>0.37</v>
      </c>
      <c r="AH13" s="337">
        <v>0.38</v>
      </c>
      <c r="AI13" s="337">
        <v>0.38</v>
      </c>
      <c r="AJ13" s="337">
        <v>0.39</v>
      </c>
      <c r="AK13" s="337">
        <v>0.39</v>
      </c>
      <c r="AL13" s="337">
        <v>0.4</v>
      </c>
      <c r="AM13" s="337">
        <v>0.41</v>
      </c>
      <c r="AN13" s="337">
        <v>0.42</v>
      </c>
      <c r="AO13" s="337">
        <v>0.42</v>
      </c>
      <c r="AP13" s="337">
        <v>0.43</v>
      </c>
      <c r="AQ13" s="337">
        <v>0.43</v>
      </c>
      <c r="AR13" s="337">
        <v>0.44</v>
      </c>
      <c r="AS13" s="337">
        <v>0.45</v>
      </c>
      <c r="AT13" s="337">
        <v>0.45</v>
      </c>
      <c r="AU13" s="337">
        <v>0.46</v>
      </c>
      <c r="AV13" s="337">
        <v>0.47</v>
      </c>
      <c r="AW13" s="337">
        <v>0.47</v>
      </c>
      <c r="AX13" s="337">
        <v>0.48</v>
      </c>
      <c r="AY13" s="337">
        <v>0.48</v>
      </c>
      <c r="AZ13" s="337">
        <v>0.49</v>
      </c>
      <c r="BA13" s="337">
        <v>0.5</v>
      </c>
      <c r="BB13" s="337">
        <v>0.5</v>
      </c>
      <c r="BC13" s="337">
        <v>0.51</v>
      </c>
      <c r="BD13" s="337">
        <v>0.51</v>
      </c>
      <c r="BE13" s="337">
        <v>0.52</v>
      </c>
      <c r="BF13" s="337">
        <v>0.53</v>
      </c>
      <c r="BG13" s="337">
        <v>0.53</v>
      </c>
      <c r="BH13" s="337">
        <v>0.54</v>
      </c>
      <c r="BI13" s="337">
        <v>0.54</v>
      </c>
      <c r="BJ13" s="337">
        <v>0.55000000000000004</v>
      </c>
      <c r="BK13" s="337">
        <v>0.55000000000000004</v>
      </c>
    </row>
    <row r="14" spans="1:63" ht="14.4">
      <c r="A14" s="335" t="s">
        <v>565</v>
      </c>
      <c r="B14" s="328" t="s">
        <v>489</v>
      </c>
      <c r="C14" s="328" t="s">
        <v>490</v>
      </c>
      <c r="D14" s="328" t="s">
        <v>566</v>
      </c>
      <c r="E14" s="328" t="s">
        <v>566</v>
      </c>
      <c r="F14" s="328" t="s">
        <v>566</v>
      </c>
      <c r="G14" s="328" t="s">
        <v>567</v>
      </c>
      <c r="H14" s="328">
        <v>0</v>
      </c>
      <c r="I14" s="328" t="s">
        <v>12</v>
      </c>
      <c r="J14" s="328" t="s">
        <v>12</v>
      </c>
      <c r="K14" s="336">
        <v>2.0131327520000002</v>
      </c>
      <c r="L14" s="337">
        <v>1.852291168</v>
      </c>
      <c r="M14" s="337">
        <v>1.9887452189999999</v>
      </c>
      <c r="N14" s="337">
        <v>2.2581693889999999</v>
      </c>
      <c r="O14" s="337">
        <v>2.4573100000000001</v>
      </c>
      <c r="P14" s="337">
        <v>2.3857200000000001</v>
      </c>
      <c r="Q14" s="337">
        <v>2.64093</v>
      </c>
      <c r="R14" s="337">
        <v>2.5344600000000002</v>
      </c>
      <c r="S14" s="337">
        <v>2.7983500000000001</v>
      </c>
      <c r="T14" s="337">
        <v>2.7003900000000001</v>
      </c>
      <c r="U14" s="337">
        <v>2.9855999999999998</v>
      </c>
      <c r="V14" s="337">
        <v>2.8628100000000001</v>
      </c>
      <c r="W14" s="337">
        <v>3.1268899999999999</v>
      </c>
      <c r="X14" s="337">
        <v>3.04433</v>
      </c>
      <c r="Y14" s="337">
        <v>3.2931499999999998</v>
      </c>
      <c r="Z14" s="337">
        <v>3.2278600000000002</v>
      </c>
      <c r="AA14" s="337">
        <v>3.4545300000000001</v>
      </c>
      <c r="AB14" s="337">
        <v>3.3985799999999999</v>
      </c>
      <c r="AC14" s="337">
        <v>3.6136599999999999</v>
      </c>
      <c r="AD14" s="337">
        <v>3.5787399999999998</v>
      </c>
      <c r="AE14" s="337">
        <v>3.77156</v>
      </c>
      <c r="AF14" s="337">
        <v>3.7673899999999998</v>
      </c>
      <c r="AG14" s="337">
        <v>3.94563</v>
      </c>
      <c r="AH14" s="337">
        <v>3.9515799999999999</v>
      </c>
      <c r="AI14" s="337">
        <v>4.1180599999999998</v>
      </c>
      <c r="AJ14" s="337">
        <v>4.1192200000000003</v>
      </c>
      <c r="AK14" s="337">
        <v>4.2755099999999997</v>
      </c>
      <c r="AL14" s="337">
        <v>4.2952300000000001</v>
      </c>
      <c r="AM14" s="337">
        <v>4.4491300000000003</v>
      </c>
      <c r="AN14" s="337">
        <v>4.4807100000000002</v>
      </c>
      <c r="AO14" s="337">
        <v>4.6078299999999999</v>
      </c>
      <c r="AP14" s="337">
        <v>4.64961</v>
      </c>
      <c r="AQ14" s="337">
        <v>4.7729900000000001</v>
      </c>
      <c r="AR14" s="337">
        <v>4.88</v>
      </c>
      <c r="AS14" s="337">
        <v>4.97</v>
      </c>
      <c r="AT14" s="337">
        <v>5.08</v>
      </c>
      <c r="AU14" s="337">
        <v>5.18</v>
      </c>
      <c r="AV14" s="337">
        <v>5.29</v>
      </c>
      <c r="AW14" s="337">
        <v>5.39</v>
      </c>
      <c r="AX14" s="337">
        <v>5.5</v>
      </c>
      <c r="AY14" s="337">
        <v>5.61</v>
      </c>
      <c r="AZ14" s="337">
        <v>5.72</v>
      </c>
      <c r="BA14" s="337">
        <v>5.84</v>
      </c>
      <c r="BB14" s="337">
        <v>5.96</v>
      </c>
      <c r="BC14" s="337">
        <v>6.08</v>
      </c>
      <c r="BD14" s="337">
        <v>6.2</v>
      </c>
      <c r="BE14" s="337">
        <v>6.33</v>
      </c>
      <c r="BF14" s="337">
        <v>6.46</v>
      </c>
      <c r="BG14" s="337">
        <v>6.59</v>
      </c>
      <c r="BH14" s="337">
        <v>6.72</v>
      </c>
      <c r="BI14" s="337">
        <v>6.86</v>
      </c>
      <c r="BJ14" s="337">
        <v>7</v>
      </c>
      <c r="BK14" s="337">
        <v>7.14</v>
      </c>
    </row>
    <row r="15" spans="1:63" ht="14.4">
      <c r="A15" s="335" t="s">
        <v>565</v>
      </c>
      <c r="B15" s="328" t="s">
        <v>491</v>
      </c>
      <c r="C15" s="328" t="s">
        <v>492</v>
      </c>
      <c r="D15" s="328" t="s">
        <v>566</v>
      </c>
      <c r="E15" s="328" t="s">
        <v>566</v>
      </c>
      <c r="F15" s="328" t="s">
        <v>566</v>
      </c>
      <c r="G15" s="328" t="s">
        <v>567</v>
      </c>
      <c r="H15" s="328">
        <v>0</v>
      </c>
      <c r="I15" s="328" t="s">
        <v>12</v>
      </c>
      <c r="J15" s="328" t="s">
        <v>12</v>
      </c>
      <c r="K15" s="336">
        <v>1.368450092</v>
      </c>
      <c r="L15" s="337">
        <v>1.05043928</v>
      </c>
      <c r="M15" s="337">
        <v>1.5998269759999999</v>
      </c>
      <c r="N15" s="337">
        <v>1.8325867499999999</v>
      </c>
      <c r="O15" s="337">
        <v>1.99</v>
      </c>
      <c r="P15" s="337">
        <v>1.94</v>
      </c>
      <c r="Q15" s="337">
        <v>2.14</v>
      </c>
      <c r="R15" s="337">
        <v>2.06</v>
      </c>
      <c r="S15" s="337">
        <v>2.27</v>
      </c>
      <c r="T15" s="337">
        <v>2.19</v>
      </c>
      <c r="U15" s="337">
        <v>2.42</v>
      </c>
      <c r="V15" s="337">
        <v>2.3199999999999998</v>
      </c>
      <c r="W15" s="337">
        <v>2.54</v>
      </c>
      <c r="X15" s="337">
        <v>2.4700000000000002</v>
      </c>
      <c r="Y15" s="337">
        <v>2.67</v>
      </c>
      <c r="Z15" s="337">
        <v>2.62</v>
      </c>
      <c r="AA15" s="337">
        <v>2.8</v>
      </c>
      <c r="AB15" s="337">
        <v>2.76</v>
      </c>
      <c r="AC15" s="337">
        <v>2.93</v>
      </c>
      <c r="AD15" s="337">
        <v>2.9</v>
      </c>
      <c r="AE15" s="337">
        <v>3.06</v>
      </c>
      <c r="AF15" s="337">
        <v>3.06</v>
      </c>
      <c r="AG15" s="337">
        <v>3.2</v>
      </c>
      <c r="AH15" s="337">
        <v>3.21</v>
      </c>
      <c r="AI15" s="337">
        <v>3.34</v>
      </c>
      <c r="AJ15" s="337">
        <v>3.34</v>
      </c>
      <c r="AK15" s="337">
        <v>3.47</v>
      </c>
      <c r="AL15" s="337">
        <v>3.49</v>
      </c>
      <c r="AM15" s="337">
        <v>3.61</v>
      </c>
      <c r="AN15" s="337">
        <v>3.64</v>
      </c>
      <c r="AO15" s="337">
        <v>3.74</v>
      </c>
      <c r="AP15" s="337">
        <v>3.77</v>
      </c>
      <c r="AQ15" s="337">
        <v>3.87</v>
      </c>
      <c r="AR15" s="337">
        <v>3.96</v>
      </c>
      <c r="AS15" s="337">
        <v>4.04</v>
      </c>
      <c r="AT15" s="337">
        <v>4.12</v>
      </c>
      <c r="AU15" s="337">
        <v>4.2</v>
      </c>
      <c r="AV15" s="337">
        <v>4.29</v>
      </c>
      <c r="AW15" s="337">
        <v>4.37</v>
      </c>
      <c r="AX15" s="337">
        <v>4.46</v>
      </c>
      <c r="AY15" s="337">
        <v>4.55</v>
      </c>
      <c r="AZ15" s="337">
        <v>4.6500000000000004</v>
      </c>
      <c r="BA15" s="337">
        <v>4.74</v>
      </c>
      <c r="BB15" s="337">
        <v>4.84</v>
      </c>
      <c r="BC15" s="337">
        <v>4.9400000000000004</v>
      </c>
      <c r="BD15" s="337">
        <v>5.04</v>
      </c>
      <c r="BE15" s="337">
        <v>5.14</v>
      </c>
      <c r="BF15" s="337">
        <v>5.24</v>
      </c>
      <c r="BG15" s="337">
        <v>5.35</v>
      </c>
      <c r="BH15" s="337">
        <v>5.46</v>
      </c>
      <c r="BI15" s="337">
        <v>5.57</v>
      </c>
      <c r="BJ15" s="337">
        <v>5.68</v>
      </c>
      <c r="BK15" s="337">
        <v>5.8</v>
      </c>
    </row>
    <row r="16" spans="1:63" ht="14.4">
      <c r="A16" s="338" t="s">
        <v>565</v>
      </c>
      <c r="B16" s="329" t="s">
        <v>493</v>
      </c>
      <c r="C16" s="329" t="s">
        <v>494</v>
      </c>
      <c r="D16" s="329" t="s">
        <v>566</v>
      </c>
      <c r="E16" s="329" t="s">
        <v>566</v>
      </c>
      <c r="F16" s="329" t="s">
        <v>566</v>
      </c>
      <c r="G16" s="329" t="s">
        <v>567</v>
      </c>
      <c r="H16" s="329">
        <v>0</v>
      </c>
      <c r="I16" s="329" t="s">
        <v>12</v>
      </c>
      <c r="J16" s="329" t="s">
        <v>12</v>
      </c>
      <c r="K16" s="336">
        <v>5.7711699510000001</v>
      </c>
      <c r="L16" s="337">
        <v>7.8918634460000003</v>
      </c>
      <c r="M16" s="337">
        <v>8.4675547279999996</v>
      </c>
      <c r="N16" s="337">
        <v>8.6230478349999995</v>
      </c>
      <c r="O16" s="337">
        <v>9.3800000000000008</v>
      </c>
      <c r="P16" s="337">
        <v>9.11</v>
      </c>
      <c r="Q16" s="337">
        <v>10.08</v>
      </c>
      <c r="R16" s="337">
        <v>9.68</v>
      </c>
      <c r="S16" s="337">
        <v>10.69</v>
      </c>
      <c r="T16" s="337">
        <v>10.31</v>
      </c>
      <c r="U16" s="337">
        <v>11.4</v>
      </c>
      <c r="V16" s="337">
        <v>10.93</v>
      </c>
      <c r="W16" s="337">
        <v>11.94</v>
      </c>
      <c r="X16" s="337">
        <v>11.63</v>
      </c>
      <c r="Y16" s="337">
        <v>12.58</v>
      </c>
      <c r="Z16" s="337">
        <v>12.33</v>
      </c>
      <c r="AA16" s="337">
        <v>13.19</v>
      </c>
      <c r="AB16" s="337">
        <v>12.98</v>
      </c>
      <c r="AC16" s="337">
        <v>13.8</v>
      </c>
      <c r="AD16" s="337">
        <v>13.67</v>
      </c>
      <c r="AE16" s="337">
        <v>14.4</v>
      </c>
      <c r="AF16" s="337">
        <v>14.39</v>
      </c>
      <c r="AG16" s="337">
        <v>15.07</v>
      </c>
      <c r="AH16" s="337">
        <v>15.09</v>
      </c>
      <c r="AI16" s="337">
        <v>15.73</v>
      </c>
      <c r="AJ16" s="337">
        <v>15.73</v>
      </c>
      <c r="AK16" s="337">
        <v>16.329999999999998</v>
      </c>
      <c r="AL16" s="337">
        <v>16.399999999999999</v>
      </c>
      <c r="AM16" s="337">
        <v>16.989999999999998</v>
      </c>
      <c r="AN16" s="337">
        <v>17.11</v>
      </c>
      <c r="AO16" s="337">
        <v>17.600000000000001</v>
      </c>
      <c r="AP16" s="337">
        <v>17.75</v>
      </c>
      <c r="AQ16" s="337">
        <v>18.23</v>
      </c>
      <c r="AR16" s="337">
        <v>18.63</v>
      </c>
      <c r="AS16" s="337">
        <v>18.989999999999998</v>
      </c>
      <c r="AT16" s="337">
        <v>19.39</v>
      </c>
      <c r="AU16" s="337">
        <v>19.77</v>
      </c>
      <c r="AV16" s="337">
        <v>20.18</v>
      </c>
      <c r="AW16" s="337">
        <v>20.58</v>
      </c>
      <c r="AX16" s="337">
        <v>21.01</v>
      </c>
      <c r="AY16" s="337">
        <v>21.42</v>
      </c>
      <c r="AZ16" s="337">
        <v>21.86</v>
      </c>
      <c r="BA16" s="337">
        <v>22.29</v>
      </c>
      <c r="BB16" s="337">
        <v>22.76</v>
      </c>
      <c r="BC16" s="337">
        <v>23.22</v>
      </c>
      <c r="BD16" s="337">
        <v>23.69</v>
      </c>
      <c r="BE16" s="337">
        <v>24.17</v>
      </c>
      <c r="BF16" s="337">
        <v>24.66</v>
      </c>
      <c r="BG16" s="337">
        <v>25.16</v>
      </c>
      <c r="BH16" s="337">
        <v>25.67</v>
      </c>
      <c r="BI16" s="337">
        <v>26.2</v>
      </c>
      <c r="BJ16" s="337">
        <v>26.73</v>
      </c>
      <c r="BK16" s="337">
        <v>27.27</v>
      </c>
    </row>
    <row r="17" spans="1:63" ht="14.4">
      <c r="A17" s="335" t="s">
        <v>565</v>
      </c>
      <c r="B17" s="328" t="s">
        <v>495</v>
      </c>
      <c r="C17" s="328" t="s">
        <v>496</v>
      </c>
      <c r="D17" s="328" t="s">
        <v>566</v>
      </c>
      <c r="E17" s="328" t="s">
        <v>566</v>
      </c>
      <c r="F17" s="328" t="s">
        <v>566</v>
      </c>
      <c r="G17" s="328" t="s">
        <v>567</v>
      </c>
      <c r="H17" s="328">
        <v>0</v>
      </c>
      <c r="I17" s="328" t="s">
        <v>12</v>
      </c>
      <c r="J17" s="328" t="s">
        <v>12</v>
      </c>
      <c r="K17" s="336">
        <v>4.480764765</v>
      </c>
      <c r="L17" s="337">
        <v>4.2873983139999998</v>
      </c>
      <c r="M17" s="337">
        <v>3.3116198030000001</v>
      </c>
      <c r="N17" s="337">
        <v>3.9848753609999998</v>
      </c>
      <c r="O17" s="337">
        <v>3.9848753609999998</v>
      </c>
      <c r="P17" s="337">
        <v>3.9848753609999998</v>
      </c>
      <c r="Q17" s="337">
        <v>3.9848753609999998</v>
      </c>
      <c r="R17" s="337">
        <v>3.9848753609999998</v>
      </c>
      <c r="S17" s="337">
        <v>3.9848753609999998</v>
      </c>
      <c r="T17" s="337">
        <v>3.9848753609999998</v>
      </c>
      <c r="U17" s="337">
        <v>3.9848753609999998</v>
      </c>
      <c r="V17" s="337">
        <v>3.9848753609999998</v>
      </c>
      <c r="W17" s="337">
        <v>3.9848753609999998</v>
      </c>
      <c r="X17" s="337">
        <v>3.9848753609999998</v>
      </c>
      <c r="Y17" s="337">
        <v>3.9848753609999998</v>
      </c>
      <c r="Z17" s="337">
        <v>3.9848753609999998</v>
      </c>
      <c r="AA17" s="337">
        <v>3.9848753609999998</v>
      </c>
      <c r="AB17" s="337">
        <v>3.9848753609999998</v>
      </c>
      <c r="AC17" s="337">
        <v>3.9848753609999998</v>
      </c>
      <c r="AD17" s="337">
        <v>3.9848753609999998</v>
      </c>
      <c r="AE17" s="337">
        <v>3.9848753609999998</v>
      </c>
      <c r="AF17" s="337">
        <v>3.9848753609999998</v>
      </c>
      <c r="AG17" s="337">
        <v>3.9848753609999998</v>
      </c>
      <c r="AH17" s="337">
        <v>3.9848753609999998</v>
      </c>
      <c r="AI17" s="337">
        <v>3.9848753609999998</v>
      </c>
      <c r="AJ17" s="337">
        <v>3.9848753609999998</v>
      </c>
      <c r="AK17" s="337">
        <v>3.9848753609999998</v>
      </c>
      <c r="AL17" s="337">
        <v>3.9848753609999998</v>
      </c>
      <c r="AM17" s="337">
        <v>3.9848753609999998</v>
      </c>
      <c r="AN17" s="337">
        <v>3.9848753609999998</v>
      </c>
      <c r="AO17" s="337">
        <v>3.9848753609999998</v>
      </c>
      <c r="AP17" s="337">
        <v>3.9848753609999998</v>
      </c>
      <c r="AQ17" s="337">
        <v>3.9848753609999998</v>
      </c>
      <c r="AR17" s="337">
        <v>3.9848753609999998</v>
      </c>
      <c r="AS17" s="337">
        <v>3.9848753609999998</v>
      </c>
      <c r="AT17" s="337">
        <v>3.9848753609999998</v>
      </c>
      <c r="AU17" s="337">
        <v>3.9848753609999998</v>
      </c>
      <c r="AV17" s="337">
        <v>3.9848753609999998</v>
      </c>
      <c r="AW17" s="337">
        <v>3.9848753609999998</v>
      </c>
      <c r="AX17" s="337">
        <v>3.9848753609999998</v>
      </c>
      <c r="AY17" s="337">
        <v>3.9848753609999998</v>
      </c>
      <c r="AZ17" s="337">
        <v>3.9848753609999998</v>
      </c>
      <c r="BA17" s="337">
        <v>3.9848753609999998</v>
      </c>
      <c r="BB17" s="337">
        <v>3.9848753609999998</v>
      </c>
      <c r="BC17" s="337">
        <v>3.9848753609999998</v>
      </c>
      <c r="BD17" s="337">
        <v>3.9848753609999998</v>
      </c>
      <c r="BE17" s="337">
        <v>3.9848753609999998</v>
      </c>
      <c r="BF17" s="337">
        <v>3.9848753609999998</v>
      </c>
      <c r="BG17" s="337">
        <v>3.9848753609999998</v>
      </c>
      <c r="BH17" s="337">
        <v>3.9848753609999998</v>
      </c>
      <c r="BI17" s="337">
        <v>3.9848753609999998</v>
      </c>
      <c r="BJ17" s="337">
        <v>3.9848753609999998</v>
      </c>
      <c r="BK17" s="337">
        <v>3.9848753609999998</v>
      </c>
    </row>
    <row r="18" spans="1:63" ht="14.4">
      <c r="A18" s="335" t="s">
        <v>565</v>
      </c>
      <c r="B18" s="328" t="s">
        <v>497</v>
      </c>
      <c r="C18" s="328" t="s">
        <v>498</v>
      </c>
      <c r="D18" s="328" t="s">
        <v>566</v>
      </c>
      <c r="E18" s="328" t="s">
        <v>566</v>
      </c>
      <c r="F18" s="328" t="s">
        <v>566</v>
      </c>
      <c r="G18" s="328" t="s">
        <v>567</v>
      </c>
      <c r="H18" s="328">
        <v>0</v>
      </c>
      <c r="I18" s="328" t="s">
        <v>12</v>
      </c>
      <c r="J18" s="328" t="s">
        <v>12</v>
      </c>
      <c r="K18" s="336">
        <v>2.548915091</v>
      </c>
      <c r="L18" s="337">
        <v>2.9144162329999999</v>
      </c>
      <c r="M18" s="337">
        <v>0.673872794</v>
      </c>
      <c r="N18" s="337">
        <v>3.1559712019999999</v>
      </c>
      <c r="O18" s="337">
        <v>3.43</v>
      </c>
      <c r="P18" s="337">
        <v>3.33</v>
      </c>
      <c r="Q18" s="337">
        <v>3.69</v>
      </c>
      <c r="R18" s="337">
        <v>3.54</v>
      </c>
      <c r="S18" s="337">
        <v>3.91</v>
      </c>
      <c r="T18" s="337">
        <v>3.77</v>
      </c>
      <c r="U18" s="337">
        <v>4.17</v>
      </c>
      <c r="V18" s="337">
        <v>4</v>
      </c>
      <c r="W18" s="337">
        <v>4.37</v>
      </c>
      <c r="X18" s="337">
        <v>4.25</v>
      </c>
      <c r="Y18" s="337">
        <v>4.5999999999999996</v>
      </c>
      <c r="Z18" s="337">
        <v>4.51</v>
      </c>
      <c r="AA18" s="337">
        <v>4.83</v>
      </c>
      <c r="AB18" s="337">
        <v>4.75</v>
      </c>
      <c r="AC18" s="337">
        <v>5.05</v>
      </c>
      <c r="AD18" s="337">
        <v>5</v>
      </c>
      <c r="AE18" s="337">
        <v>5.27</v>
      </c>
      <c r="AF18" s="337">
        <v>5.27</v>
      </c>
      <c r="AG18" s="337">
        <v>5.51</v>
      </c>
      <c r="AH18" s="337">
        <v>5.52</v>
      </c>
      <c r="AI18" s="337">
        <v>5.76</v>
      </c>
      <c r="AJ18" s="337">
        <v>5.76</v>
      </c>
      <c r="AK18" s="337">
        <v>5.98</v>
      </c>
      <c r="AL18" s="337">
        <v>6</v>
      </c>
      <c r="AM18" s="337">
        <v>6.22</v>
      </c>
      <c r="AN18" s="337">
        <v>6.26</v>
      </c>
      <c r="AO18" s="337">
        <v>6.44</v>
      </c>
      <c r="AP18" s="337">
        <v>6.5</v>
      </c>
      <c r="AQ18" s="337">
        <v>6.67</v>
      </c>
      <c r="AR18" s="337">
        <v>6.82</v>
      </c>
      <c r="AS18" s="337">
        <v>6.95</v>
      </c>
      <c r="AT18" s="337">
        <v>7.1</v>
      </c>
      <c r="AU18" s="337">
        <v>7.23</v>
      </c>
      <c r="AV18" s="337">
        <v>7.39</v>
      </c>
      <c r="AW18" s="337">
        <v>7.53</v>
      </c>
      <c r="AX18" s="337">
        <v>7.69</v>
      </c>
      <c r="AY18" s="337">
        <v>7.84</v>
      </c>
      <c r="AZ18" s="337">
        <v>8</v>
      </c>
      <c r="BA18" s="337">
        <v>8.16</v>
      </c>
      <c r="BB18" s="337">
        <v>8.33</v>
      </c>
      <c r="BC18" s="337">
        <v>8.5</v>
      </c>
      <c r="BD18" s="337">
        <v>8.67</v>
      </c>
      <c r="BE18" s="337">
        <v>8.85</v>
      </c>
      <c r="BF18" s="337">
        <v>9.0299999999999994</v>
      </c>
      <c r="BG18" s="337">
        <v>9.2100000000000009</v>
      </c>
      <c r="BH18" s="337">
        <v>9.4</v>
      </c>
      <c r="BI18" s="337">
        <v>9.59</v>
      </c>
      <c r="BJ18" s="337">
        <v>9.7799999999999994</v>
      </c>
      <c r="BK18" s="337">
        <v>9.98</v>
      </c>
    </row>
    <row r="19" spans="1:63" ht="14.4">
      <c r="A19" s="338" t="s">
        <v>565</v>
      </c>
      <c r="B19" s="329" t="s">
        <v>499</v>
      </c>
      <c r="C19" s="329" t="s">
        <v>500</v>
      </c>
      <c r="D19" s="329" t="s">
        <v>566</v>
      </c>
      <c r="E19" s="329" t="s">
        <v>566</v>
      </c>
      <c r="F19" s="329" t="s">
        <v>566</v>
      </c>
      <c r="G19" s="329" t="s">
        <v>567</v>
      </c>
      <c r="H19" s="329">
        <v>0</v>
      </c>
      <c r="I19" s="329" t="s">
        <v>12</v>
      </c>
      <c r="J19" s="329" t="s">
        <v>12</v>
      </c>
      <c r="K19" s="336">
        <v>34.952288680000002</v>
      </c>
      <c r="L19" s="337">
        <v>32.606013470000001</v>
      </c>
      <c r="M19" s="337">
        <v>25.107180830000001</v>
      </c>
      <c r="N19" s="337">
        <v>20.302984909999999</v>
      </c>
      <c r="O19" s="337">
        <v>22.09</v>
      </c>
      <c r="P19" s="337">
        <v>21.45</v>
      </c>
      <c r="Q19" s="337">
        <v>23.74</v>
      </c>
      <c r="R19" s="337">
        <v>22.79</v>
      </c>
      <c r="S19" s="337">
        <v>25.16</v>
      </c>
      <c r="T19" s="337">
        <v>24.28</v>
      </c>
      <c r="U19" s="337">
        <v>26.84</v>
      </c>
      <c r="V19" s="337">
        <v>25.74</v>
      </c>
      <c r="W19" s="337">
        <v>28.11</v>
      </c>
      <c r="X19" s="337">
        <v>27.37</v>
      </c>
      <c r="Y19" s="337">
        <v>29.61</v>
      </c>
      <c r="Z19" s="337">
        <v>29.02</v>
      </c>
      <c r="AA19" s="337">
        <v>31.06</v>
      </c>
      <c r="AB19" s="337">
        <v>30.56</v>
      </c>
      <c r="AC19" s="337">
        <v>32.49</v>
      </c>
      <c r="AD19" s="337">
        <v>32.18</v>
      </c>
      <c r="AE19" s="337">
        <v>33.909999999999997</v>
      </c>
      <c r="AF19" s="337">
        <v>33.869999999999997</v>
      </c>
      <c r="AG19" s="337">
        <v>35.47</v>
      </c>
      <c r="AH19" s="337">
        <v>35.53</v>
      </c>
      <c r="AI19" s="337">
        <v>37.03</v>
      </c>
      <c r="AJ19" s="337">
        <v>37.04</v>
      </c>
      <c r="AK19" s="337">
        <v>38.44</v>
      </c>
      <c r="AL19" s="337">
        <v>38.619999999999997</v>
      </c>
      <c r="AM19" s="337">
        <v>40</v>
      </c>
      <c r="AN19" s="337">
        <v>40.29</v>
      </c>
      <c r="AO19" s="337">
        <v>41.43</v>
      </c>
      <c r="AP19" s="337">
        <v>41.8</v>
      </c>
      <c r="AQ19" s="337">
        <v>42.91</v>
      </c>
      <c r="AR19" s="337">
        <v>43.85</v>
      </c>
      <c r="AS19" s="337">
        <v>44.71</v>
      </c>
      <c r="AT19" s="337">
        <v>45.66</v>
      </c>
      <c r="AU19" s="337">
        <v>46.54</v>
      </c>
      <c r="AV19" s="337">
        <v>47.52</v>
      </c>
      <c r="AW19" s="337">
        <v>48.45</v>
      </c>
      <c r="AX19" s="337">
        <v>49.46</v>
      </c>
      <c r="AY19" s="337">
        <v>50.42</v>
      </c>
      <c r="AZ19" s="337">
        <v>51.46</v>
      </c>
      <c r="BA19" s="337">
        <v>52.49</v>
      </c>
      <c r="BB19" s="337">
        <v>53.58</v>
      </c>
      <c r="BC19" s="337">
        <v>54.68</v>
      </c>
      <c r="BD19" s="337">
        <v>55.79</v>
      </c>
      <c r="BE19" s="337">
        <v>56.92</v>
      </c>
      <c r="BF19" s="337">
        <v>58.07</v>
      </c>
      <c r="BG19" s="337">
        <v>59.25</v>
      </c>
      <c r="BH19" s="337">
        <v>60.45</v>
      </c>
      <c r="BI19" s="337">
        <v>61.68</v>
      </c>
      <c r="BJ19" s="337">
        <v>62.93</v>
      </c>
      <c r="BK19" s="337">
        <v>64.209999999999994</v>
      </c>
    </row>
    <row r="20" spans="1:63" ht="14.4">
      <c r="A20" s="338" t="s">
        <v>565</v>
      </c>
      <c r="B20" s="339" t="s">
        <v>501</v>
      </c>
      <c r="C20" s="339" t="s">
        <v>502</v>
      </c>
      <c r="D20" s="329" t="s">
        <v>566</v>
      </c>
      <c r="E20" s="329" t="s">
        <v>566</v>
      </c>
      <c r="F20" s="329" t="s">
        <v>566</v>
      </c>
      <c r="G20" s="329" t="s">
        <v>567</v>
      </c>
      <c r="H20" s="329">
        <v>0</v>
      </c>
      <c r="I20" s="329" t="s">
        <v>12</v>
      </c>
      <c r="J20" s="329" t="s">
        <v>12</v>
      </c>
      <c r="K20" s="338">
        <v>16.3</v>
      </c>
      <c r="L20" s="329">
        <v>16.3</v>
      </c>
      <c r="M20" s="329">
        <v>16.3</v>
      </c>
      <c r="N20" s="329">
        <v>16.3</v>
      </c>
      <c r="O20" s="329">
        <v>16.3</v>
      </c>
      <c r="P20" s="329">
        <v>16.3</v>
      </c>
      <c r="Q20" s="329">
        <v>16.3</v>
      </c>
      <c r="R20" s="329">
        <v>16.3</v>
      </c>
      <c r="S20" s="329">
        <v>16.3</v>
      </c>
      <c r="T20" s="329">
        <v>16.3</v>
      </c>
      <c r="U20" s="329">
        <v>16.3</v>
      </c>
      <c r="V20" s="329">
        <v>16.3</v>
      </c>
      <c r="W20" s="329">
        <v>16.3</v>
      </c>
      <c r="X20" s="329">
        <v>16.3</v>
      </c>
      <c r="Y20" s="329">
        <v>16.3</v>
      </c>
      <c r="Z20" s="329">
        <v>16.3</v>
      </c>
      <c r="AA20" s="329">
        <v>16.3</v>
      </c>
      <c r="AB20" s="329">
        <v>16.3</v>
      </c>
      <c r="AC20" s="329">
        <v>16.3</v>
      </c>
      <c r="AD20" s="329">
        <v>16.3</v>
      </c>
      <c r="AE20" s="329">
        <v>16.3</v>
      </c>
      <c r="AF20" s="329">
        <v>16.3</v>
      </c>
      <c r="AG20" s="329">
        <v>16.3</v>
      </c>
      <c r="AH20" s="329">
        <v>16.3</v>
      </c>
      <c r="AI20" s="329">
        <v>16.3</v>
      </c>
      <c r="AJ20" s="329">
        <v>16.3</v>
      </c>
      <c r="AK20" s="329">
        <v>16.3</v>
      </c>
      <c r="AL20" s="329">
        <v>16.3</v>
      </c>
      <c r="AM20" s="329">
        <v>16.3</v>
      </c>
      <c r="AN20" s="329">
        <v>16.3</v>
      </c>
      <c r="AO20" s="329">
        <v>16.3</v>
      </c>
      <c r="AP20" s="329">
        <v>16.3</v>
      </c>
      <c r="AQ20" s="329">
        <v>16.3</v>
      </c>
      <c r="AR20" s="329">
        <v>16.3</v>
      </c>
      <c r="AS20" s="329">
        <v>16.3</v>
      </c>
      <c r="AT20" s="329">
        <v>16.3</v>
      </c>
      <c r="AU20" s="329">
        <v>16.3</v>
      </c>
      <c r="AV20" s="329">
        <v>16.3</v>
      </c>
      <c r="AW20" s="329">
        <v>16.3</v>
      </c>
      <c r="AX20" s="329">
        <v>16.3</v>
      </c>
      <c r="AY20" s="329">
        <v>16.3</v>
      </c>
      <c r="AZ20" s="329">
        <v>16.3</v>
      </c>
      <c r="BA20" s="329">
        <v>16.3</v>
      </c>
      <c r="BB20" s="329">
        <v>16.3</v>
      </c>
      <c r="BC20" s="329">
        <v>16.3</v>
      </c>
      <c r="BD20" s="329">
        <v>16.3</v>
      </c>
      <c r="BE20" s="329">
        <v>16.3</v>
      </c>
      <c r="BF20" s="329">
        <v>16.3</v>
      </c>
      <c r="BG20" s="329">
        <v>16.3</v>
      </c>
      <c r="BH20" s="329">
        <v>16.3</v>
      </c>
      <c r="BI20" s="329">
        <v>16.3</v>
      </c>
      <c r="BJ20" s="329">
        <v>16.3</v>
      </c>
      <c r="BK20" s="329">
        <v>16.3</v>
      </c>
    </row>
    <row r="21" spans="1:63" ht="14.4">
      <c r="A21" s="338" t="s">
        <v>565</v>
      </c>
      <c r="B21" s="320" t="s">
        <v>465</v>
      </c>
      <c r="C21" s="339" t="s">
        <v>553</v>
      </c>
      <c r="D21" s="329" t="s">
        <v>566</v>
      </c>
      <c r="E21" s="329" t="s">
        <v>566</v>
      </c>
      <c r="F21" s="329" t="s">
        <v>566</v>
      </c>
      <c r="G21" s="329" t="s">
        <v>567</v>
      </c>
      <c r="H21" s="329">
        <v>0</v>
      </c>
      <c r="I21" s="329" t="s">
        <v>12</v>
      </c>
      <c r="J21" s="329" t="s">
        <v>12</v>
      </c>
      <c r="K21" s="320">
        <v>6.0819000000000001</v>
      </c>
      <c r="L21" s="321">
        <v>6.6056999999999997</v>
      </c>
      <c r="M21" s="321">
        <v>6.1866599999999998</v>
      </c>
      <c r="N21" s="321">
        <v>5.9538599999999997</v>
      </c>
      <c r="O21" s="321">
        <v>6.2070299999999996</v>
      </c>
      <c r="P21" s="321">
        <v>6.2070299999999996</v>
      </c>
      <c r="Q21" s="321">
        <v>6.2070299999999996</v>
      </c>
      <c r="R21" s="321">
        <v>6.2070299999999996</v>
      </c>
      <c r="S21" s="321">
        <v>6.2070299999999996</v>
      </c>
      <c r="T21" s="321">
        <v>6.2070299999999996</v>
      </c>
      <c r="U21" s="321">
        <v>6.2070299999999996</v>
      </c>
      <c r="V21" s="321">
        <v>6.2070299999999996</v>
      </c>
      <c r="W21" s="321">
        <v>6.2070299999999996</v>
      </c>
      <c r="X21" s="321">
        <v>6.2070299999999996</v>
      </c>
      <c r="Y21" s="321">
        <v>6.2070299999999996</v>
      </c>
      <c r="Z21" s="321">
        <v>6.2070299999999996</v>
      </c>
      <c r="AA21" s="321">
        <v>6.2070299999999996</v>
      </c>
      <c r="AB21" s="321">
        <v>2.2416534879999999</v>
      </c>
      <c r="AC21" s="321">
        <v>2.2416534879999999</v>
      </c>
      <c r="AD21" s="321">
        <v>2.2416534879999999</v>
      </c>
      <c r="AE21" s="321">
        <v>2.2416534879999999</v>
      </c>
      <c r="AF21" s="321">
        <v>2.2416534879999999</v>
      </c>
      <c r="AG21" s="321">
        <v>2.2416534879999999</v>
      </c>
      <c r="AH21" s="321">
        <v>2.2416534879999999</v>
      </c>
      <c r="AI21" s="321">
        <v>2.2416534879999999</v>
      </c>
      <c r="AJ21" s="321">
        <v>2.2416534879999999</v>
      </c>
      <c r="AK21" s="321">
        <v>2.2416534879999999</v>
      </c>
      <c r="AL21" s="321">
        <v>2.2416534879999999</v>
      </c>
      <c r="AM21" s="321">
        <v>2.2416534879999999</v>
      </c>
      <c r="AN21" s="321">
        <v>2.2416534879999999</v>
      </c>
      <c r="AO21" s="321">
        <v>2.2416534879999999</v>
      </c>
      <c r="AP21" s="321">
        <v>2.2416534879999999</v>
      </c>
      <c r="AQ21" s="321">
        <v>2.2416534879999999</v>
      </c>
      <c r="AR21" s="321">
        <v>2.2416534879999999</v>
      </c>
      <c r="AS21" s="321">
        <v>2.2416534879999999</v>
      </c>
      <c r="AT21" s="321">
        <v>2.2416534879999999</v>
      </c>
      <c r="AU21" s="321">
        <v>2.2416534879999999</v>
      </c>
      <c r="AV21" s="321">
        <v>2.2416534879999999</v>
      </c>
      <c r="AW21" s="321">
        <v>2.2416534879999999</v>
      </c>
      <c r="AX21" s="321">
        <v>2.2416534879999999</v>
      </c>
      <c r="AY21" s="321">
        <v>2.2416534879999999</v>
      </c>
      <c r="AZ21" s="321">
        <v>2.2416534879999999</v>
      </c>
      <c r="BA21" s="321">
        <v>2.2416534879999999</v>
      </c>
      <c r="BB21" s="321">
        <v>2.2416534879999999</v>
      </c>
      <c r="BC21" s="321">
        <v>2.2416534879999999</v>
      </c>
      <c r="BD21" s="321">
        <v>2.2416534879999999</v>
      </c>
      <c r="BE21" s="321">
        <v>2.2416534879999999</v>
      </c>
      <c r="BF21" s="321">
        <v>2.2416534879999999</v>
      </c>
      <c r="BG21" s="321">
        <v>2.2416534879999999</v>
      </c>
      <c r="BH21" s="321">
        <v>2.2416534879999999</v>
      </c>
      <c r="BI21" s="321">
        <v>2.2416534879999999</v>
      </c>
      <c r="BJ21" s="321">
        <v>2.2416534879999999</v>
      </c>
      <c r="BK21" s="321">
        <v>2.2416534879999999</v>
      </c>
    </row>
    <row r="22" spans="1:63" ht="15.75" customHeight="1">
      <c r="A22" s="340" t="s">
        <v>565</v>
      </c>
      <c r="B22" s="341" t="s">
        <v>503</v>
      </c>
      <c r="C22" s="341" t="s">
        <v>504</v>
      </c>
      <c r="D22" s="341" t="s">
        <v>566</v>
      </c>
      <c r="E22" s="341" t="s">
        <v>566</v>
      </c>
      <c r="F22" s="341" t="s">
        <v>566</v>
      </c>
      <c r="G22" s="341" t="s">
        <v>567</v>
      </c>
      <c r="H22" s="341">
        <v>0</v>
      </c>
      <c r="I22" s="341" t="s">
        <v>12</v>
      </c>
      <c r="J22" s="341" t="s">
        <v>12</v>
      </c>
      <c r="K22" s="340">
        <v>0</v>
      </c>
      <c r="L22" s="341">
        <v>0</v>
      </c>
      <c r="M22" s="341">
        <v>0</v>
      </c>
      <c r="N22" s="341">
        <v>0</v>
      </c>
      <c r="O22" s="341">
        <v>0</v>
      </c>
      <c r="P22" s="341">
        <v>0</v>
      </c>
      <c r="Q22" s="341">
        <v>0</v>
      </c>
      <c r="R22" s="341">
        <v>0</v>
      </c>
      <c r="S22" s="341">
        <v>0</v>
      </c>
      <c r="T22" s="341">
        <v>0</v>
      </c>
      <c r="U22" s="341">
        <v>0</v>
      </c>
      <c r="V22" s="341">
        <v>0</v>
      </c>
      <c r="W22" s="341">
        <v>0</v>
      </c>
      <c r="X22" s="341">
        <v>0</v>
      </c>
      <c r="Y22" s="341">
        <v>0</v>
      </c>
      <c r="Z22" s="341">
        <v>0</v>
      </c>
      <c r="AA22" s="341">
        <v>0</v>
      </c>
      <c r="AB22" s="341">
        <v>0</v>
      </c>
      <c r="AC22" s="341">
        <v>0</v>
      </c>
      <c r="AD22" s="341">
        <v>0</v>
      </c>
      <c r="AE22" s="341">
        <v>0</v>
      </c>
      <c r="AF22" s="341">
        <v>0</v>
      </c>
      <c r="AG22" s="341">
        <v>0</v>
      </c>
      <c r="AH22" s="341">
        <v>0</v>
      </c>
      <c r="AI22" s="341">
        <v>0</v>
      </c>
      <c r="AJ22" s="341">
        <v>0</v>
      </c>
      <c r="AK22" s="341">
        <v>0</v>
      </c>
      <c r="AL22" s="341">
        <v>0</v>
      </c>
      <c r="AM22" s="341">
        <v>0</v>
      </c>
      <c r="AN22" s="341">
        <v>0</v>
      </c>
      <c r="AO22" s="341">
        <v>0</v>
      </c>
      <c r="AP22" s="341">
        <v>0</v>
      </c>
      <c r="AQ22" s="341">
        <v>0</v>
      </c>
      <c r="AR22" s="341">
        <v>0</v>
      </c>
      <c r="AS22" s="341">
        <v>0</v>
      </c>
      <c r="AT22" s="341">
        <v>0</v>
      </c>
      <c r="AU22" s="341">
        <v>0</v>
      </c>
      <c r="AV22" s="341">
        <v>0</v>
      </c>
      <c r="AW22" s="341">
        <v>0</v>
      </c>
      <c r="AX22" s="341">
        <v>0</v>
      </c>
      <c r="AY22" s="341">
        <v>0</v>
      </c>
      <c r="AZ22" s="341">
        <v>0</v>
      </c>
      <c r="BA22" s="341">
        <v>0</v>
      </c>
      <c r="BB22" s="341">
        <v>0</v>
      </c>
      <c r="BC22" s="341">
        <v>0</v>
      </c>
      <c r="BD22" s="341">
        <v>0</v>
      </c>
      <c r="BE22" s="341">
        <v>0</v>
      </c>
      <c r="BF22" s="341">
        <v>0</v>
      </c>
      <c r="BG22" s="341">
        <v>0</v>
      </c>
      <c r="BH22" s="341">
        <v>0</v>
      </c>
      <c r="BI22" s="341">
        <v>0</v>
      </c>
      <c r="BJ22" s="341">
        <v>0</v>
      </c>
      <c r="BK22" s="341">
        <v>0</v>
      </c>
    </row>
    <row r="23" spans="1:63" ht="15.75" customHeight="1">
      <c r="A23" s="342" t="s">
        <v>565</v>
      </c>
      <c r="B23" s="343" t="s">
        <v>505</v>
      </c>
      <c r="C23" s="343" t="s">
        <v>506</v>
      </c>
      <c r="D23" s="343" t="s">
        <v>566</v>
      </c>
      <c r="E23" s="343" t="s">
        <v>566</v>
      </c>
      <c r="F23" s="343" t="s">
        <v>566</v>
      </c>
      <c r="G23" s="343" t="s">
        <v>567</v>
      </c>
      <c r="H23" s="343">
        <v>0</v>
      </c>
      <c r="I23" s="343" t="s">
        <v>12</v>
      </c>
      <c r="J23" s="343" t="s">
        <v>12</v>
      </c>
      <c r="K23" s="344">
        <v>753.92003050000005</v>
      </c>
      <c r="L23" s="345">
        <v>796.96985310000002</v>
      </c>
      <c r="M23" s="345">
        <v>735.29581029999997</v>
      </c>
      <c r="N23" s="345">
        <v>682.98298369999998</v>
      </c>
      <c r="O23" s="345">
        <v>685.57</v>
      </c>
      <c r="P23" s="345">
        <v>638.6</v>
      </c>
      <c r="Q23" s="345">
        <v>586.91</v>
      </c>
      <c r="R23" s="345">
        <v>541.05999999999995</v>
      </c>
      <c r="S23" s="345">
        <v>317.37</v>
      </c>
      <c r="T23" s="345">
        <v>323.52</v>
      </c>
      <c r="U23" s="345">
        <v>341.26</v>
      </c>
      <c r="V23" s="345">
        <v>359.94</v>
      </c>
      <c r="W23" s="345">
        <v>379.08</v>
      </c>
      <c r="X23" s="345">
        <v>381.88</v>
      </c>
      <c r="Y23" s="345">
        <v>357.9</v>
      </c>
      <c r="Z23" s="345">
        <v>335</v>
      </c>
      <c r="AA23" s="345">
        <v>311.81</v>
      </c>
      <c r="AB23" s="345">
        <v>286.07</v>
      </c>
      <c r="AC23" s="345">
        <v>259.54000000000002</v>
      </c>
      <c r="AD23" s="345">
        <v>236.7</v>
      </c>
      <c r="AE23" s="345">
        <v>0</v>
      </c>
      <c r="AF23" s="345">
        <v>0</v>
      </c>
      <c r="AG23" s="345">
        <v>0</v>
      </c>
      <c r="AH23" s="345">
        <v>0</v>
      </c>
      <c r="AI23" s="345">
        <v>0</v>
      </c>
      <c r="AJ23" s="345">
        <v>0</v>
      </c>
      <c r="AK23" s="345">
        <v>0</v>
      </c>
      <c r="AL23" s="345">
        <v>0</v>
      </c>
      <c r="AM23" s="345">
        <v>0</v>
      </c>
      <c r="AN23" s="345">
        <v>0</v>
      </c>
      <c r="AO23" s="345">
        <v>0</v>
      </c>
      <c r="AP23" s="345">
        <v>0</v>
      </c>
      <c r="AQ23" s="345">
        <v>0</v>
      </c>
      <c r="AR23" s="345">
        <v>0</v>
      </c>
      <c r="AS23" s="345">
        <v>0</v>
      </c>
      <c r="AT23" s="345">
        <v>0</v>
      </c>
      <c r="AU23" s="345">
        <v>0</v>
      </c>
      <c r="AV23" s="345">
        <v>0</v>
      </c>
      <c r="AW23" s="345">
        <v>0</v>
      </c>
      <c r="AX23" s="345">
        <v>0</v>
      </c>
      <c r="AY23" s="345">
        <v>0</v>
      </c>
      <c r="AZ23" s="345">
        <v>0</v>
      </c>
      <c r="BA23" s="345">
        <v>0</v>
      </c>
      <c r="BB23" s="345">
        <v>0</v>
      </c>
      <c r="BC23" s="345">
        <v>0</v>
      </c>
      <c r="BD23" s="345">
        <v>0</v>
      </c>
      <c r="BE23" s="345">
        <v>0</v>
      </c>
      <c r="BF23" s="345">
        <v>0</v>
      </c>
      <c r="BG23" s="345">
        <v>0</v>
      </c>
      <c r="BH23" s="345">
        <v>0</v>
      </c>
      <c r="BI23" s="345">
        <v>0</v>
      </c>
      <c r="BJ23" s="345">
        <v>0</v>
      </c>
      <c r="BK23" s="345">
        <v>0</v>
      </c>
    </row>
    <row r="24" spans="1:63" ht="15.75" customHeight="1">
      <c r="A24" s="340" t="s">
        <v>565</v>
      </c>
      <c r="B24" s="341" t="s">
        <v>507</v>
      </c>
      <c r="C24" s="341" t="s">
        <v>508</v>
      </c>
      <c r="D24" s="341" t="s">
        <v>566</v>
      </c>
      <c r="E24" s="341" t="s">
        <v>566</v>
      </c>
      <c r="F24" s="341" t="s">
        <v>566</v>
      </c>
      <c r="G24" s="341" t="s">
        <v>567</v>
      </c>
      <c r="H24" s="341">
        <v>0</v>
      </c>
      <c r="I24" s="341" t="s">
        <v>12</v>
      </c>
      <c r="J24" s="341" t="s">
        <v>12</v>
      </c>
      <c r="K24" s="340">
        <v>0.91979864700000002</v>
      </c>
      <c r="L24" s="341">
        <v>6.5717789289999997</v>
      </c>
      <c r="M24" s="341">
        <v>4.8232404769999997</v>
      </c>
      <c r="N24" s="341">
        <v>1.885684366</v>
      </c>
      <c r="O24" s="341">
        <v>0.91979999999999995</v>
      </c>
      <c r="P24" s="341">
        <v>0.91979999999999995</v>
      </c>
      <c r="Q24" s="341">
        <v>0.91979999999999995</v>
      </c>
      <c r="R24" s="341">
        <v>0.91979999999999995</v>
      </c>
      <c r="S24" s="341">
        <v>0.91979999999999995</v>
      </c>
      <c r="T24" s="341">
        <v>0.91979999999999995</v>
      </c>
      <c r="U24" s="341">
        <v>0.91979999999999995</v>
      </c>
      <c r="V24" s="341">
        <v>0.91979999999999995</v>
      </c>
      <c r="W24" s="341">
        <v>0.91979999999999995</v>
      </c>
      <c r="X24" s="341">
        <v>0.91979999999999995</v>
      </c>
      <c r="Y24" s="341">
        <v>0.91979999999999995</v>
      </c>
      <c r="Z24" s="341">
        <v>0.91979999999999995</v>
      </c>
      <c r="AA24" s="341">
        <v>0.91979999999999995</v>
      </c>
      <c r="AB24" s="341">
        <v>0.91979999999999995</v>
      </c>
      <c r="AC24" s="341">
        <v>0.91979999999999995</v>
      </c>
      <c r="AD24" s="341">
        <v>0.91979999999999995</v>
      </c>
      <c r="AE24" s="341">
        <v>0.91979999999999995</v>
      </c>
      <c r="AF24" s="341">
        <v>0.91979999999999995</v>
      </c>
      <c r="AG24" s="341">
        <v>0.91979999999999995</v>
      </c>
      <c r="AH24" s="341">
        <v>0.91979999999999995</v>
      </c>
      <c r="AI24" s="341">
        <v>0.91979999999999995</v>
      </c>
      <c r="AJ24" s="341">
        <v>0.91979999999999995</v>
      </c>
      <c r="AK24" s="341">
        <v>0.91979999999999995</v>
      </c>
      <c r="AL24" s="341">
        <v>0.91979999999999995</v>
      </c>
      <c r="AM24" s="341">
        <v>0.91979999999999995</v>
      </c>
      <c r="AN24" s="341">
        <v>0.91979999999999995</v>
      </c>
      <c r="AO24" s="341">
        <v>0.91979999999999995</v>
      </c>
      <c r="AP24" s="341">
        <v>0.91979999999999995</v>
      </c>
      <c r="AQ24" s="341">
        <v>0.91979999999999995</v>
      </c>
      <c r="AR24" s="341">
        <v>0.91979999999999995</v>
      </c>
      <c r="AS24" s="341">
        <v>0.91979999999999995</v>
      </c>
      <c r="AT24" s="341">
        <v>0.91979999999999995</v>
      </c>
      <c r="AU24" s="341">
        <v>0.91979999999999995</v>
      </c>
      <c r="AV24" s="341">
        <v>0.91979999999999995</v>
      </c>
      <c r="AW24" s="341">
        <v>0.91979999999999995</v>
      </c>
      <c r="AX24" s="341">
        <v>0.91979999999999995</v>
      </c>
      <c r="AY24" s="341">
        <v>0.91979999999999995</v>
      </c>
      <c r="AZ24" s="341">
        <v>0.91979999999999995</v>
      </c>
      <c r="BA24" s="341">
        <v>0.91979999999999995</v>
      </c>
      <c r="BB24" s="341">
        <v>0.91979999999999995</v>
      </c>
      <c r="BC24" s="341">
        <v>0.91979999999999995</v>
      </c>
      <c r="BD24" s="341">
        <v>0.91979999999999995</v>
      </c>
      <c r="BE24" s="341">
        <v>0.91979999999999995</v>
      </c>
      <c r="BF24" s="341">
        <v>0.91979999999999995</v>
      </c>
      <c r="BG24" s="341">
        <v>0.91979999999999995</v>
      </c>
      <c r="BH24" s="341">
        <v>0.91979999999999995</v>
      </c>
      <c r="BI24" s="341">
        <v>0.91979999999999995</v>
      </c>
      <c r="BJ24" s="341">
        <v>0.91979999999999995</v>
      </c>
      <c r="BK24" s="341">
        <v>0.91979999999999995</v>
      </c>
    </row>
    <row r="25" spans="1:63" ht="15.75" customHeight="1">
      <c r="A25" s="342" t="s">
        <v>565</v>
      </c>
      <c r="B25" s="343" t="s">
        <v>509</v>
      </c>
      <c r="C25" s="343" t="s">
        <v>510</v>
      </c>
      <c r="D25" s="343" t="s">
        <v>566</v>
      </c>
      <c r="E25" s="343" t="s">
        <v>566</v>
      </c>
      <c r="F25" s="343" t="s">
        <v>566</v>
      </c>
      <c r="G25" s="343" t="s">
        <v>567</v>
      </c>
      <c r="H25" s="343">
        <v>0</v>
      </c>
      <c r="I25" s="343" t="s">
        <v>12</v>
      </c>
      <c r="J25" s="343" t="s">
        <v>12</v>
      </c>
      <c r="K25" s="344">
        <v>92.112073050000006</v>
      </c>
      <c r="L25" s="345">
        <v>85.703651559999997</v>
      </c>
      <c r="M25" s="345">
        <v>85.165860319999993</v>
      </c>
      <c r="N25" s="345">
        <v>88.949461310000004</v>
      </c>
      <c r="O25" s="345">
        <v>91.65</v>
      </c>
      <c r="P25" s="345">
        <v>89.88</v>
      </c>
      <c r="Q25" s="345">
        <v>91.46</v>
      </c>
      <c r="R25" s="345">
        <v>90.16</v>
      </c>
      <c r="S25" s="345">
        <v>91.68</v>
      </c>
      <c r="T25" s="345">
        <v>90.04</v>
      </c>
      <c r="U25" s="345">
        <v>91.36</v>
      </c>
      <c r="V25" s="345">
        <v>90.61</v>
      </c>
      <c r="W25" s="345">
        <v>91.51</v>
      </c>
      <c r="X25" s="345">
        <v>90.24</v>
      </c>
      <c r="Y25" s="345">
        <v>91.39</v>
      </c>
      <c r="Z25" s="345">
        <v>90.45</v>
      </c>
      <c r="AA25" s="345">
        <v>91.37</v>
      </c>
      <c r="AB25" s="345">
        <v>90.76</v>
      </c>
      <c r="AC25" s="345">
        <v>91.23</v>
      </c>
      <c r="AD25" s="345">
        <v>90.86</v>
      </c>
      <c r="AE25" s="345">
        <v>91.27</v>
      </c>
      <c r="AF25" s="345">
        <v>90.79</v>
      </c>
      <c r="AG25" s="345">
        <v>91.27</v>
      </c>
      <c r="AH25" s="345">
        <v>90.93</v>
      </c>
      <c r="AI25" s="345">
        <v>91.26</v>
      </c>
      <c r="AJ25" s="345">
        <v>91.21</v>
      </c>
      <c r="AK25" s="345">
        <v>91.25</v>
      </c>
      <c r="AL25" s="345">
        <v>91.18</v>
      </c>
      <c r="AM25" s="345">
        <v>91.18</v>
      </c>
      <c r="AN25" s="345">
        <v>91.21</v>
      </c>
      <c r="AO25" s="345">
        <v>91.39</v>
      </c>
      <c r="AP25" s="345">
        <v>91.23</v>
      </c>
      <c r="AQ25" s="345">
        <v>91.37</v>
      </c>
      <c r="AR25" s="345">
        <v>91.22</v>
      </c>
      <c r="AS25" s="345">
        <v>91.22</v>
      </c>
      <c r="AT25" s="345">
        <v>91.25</v>
      </c>
      <c r="AU25" s="345">
        <v>91.25</v>
      </c>
      <c r="AV25" s="345">
        <v>91.25</v>
      </c>
      <c r="AW25" s="345">
        <v>91.25</v>
      </c>
      <c r="AX25" s="345">
        <v>91.26</v>
      </c>
      <c r="AY25" s="345">
        <v>91.27</v>
      </c>
      <c r="AZ25" s="345">
        <v>91.27</v>
      </c>
      <c r="BA25" s="345">
        <v>91.26</v>
      </c>
      <c r="BB25" s="345">
        <v>91.26</v>
      </c>
      <c r="BC25" s="345">
        <v>91.25</v>
      </c>
      <c r="BD25" s="345">
        <v>91.25</v>
      </c>
      <c r="BE25" s="345">
        <v>91.25</v>
      </c>
      <c r="BF25" s="345">
        <v>91.25</v>
      </c>
      <c r="BG25" s="345">
        <v>91.26</v>
      </c>
      <c r="BH25" s="345">
        <v>91.26</v>
      </c>
      <c r="BI25" s="345">
        <v>91.26</v>
      </c>
      <c r="BJ25" s="345">
        <v>91.26</v>
      </c>
      <c r="BK25" s="345">
        <v>91.26</v>
      </c>
    </row>
    <row r="26" spans="1:63" ht="15.75" customHeight="1">
      <c r="A26" s="342" t="s">
        <v>565</v>
      </c>
      <c r="B26" s="343" t="s">
        <v>511</v>
      </c>
      <c r="C26" s="343" t="s">
        <v>512</v>
      </c>
      <c r="D26" s="343" t="s">
        <v>566</v>
      </c>
      <c r="E26" s="343" t="s">
        <v>566</v>
      </c>
      <c r="F26" s="343" t="s">
        <v>566</v>
      </c>
      <c r="G26" s="343" t="s">
        <v>567</v>
      </c>
      <c r="H26" s="343">
        <v>0</v>
      </c>
      <c r="I26" s="343" t="s">
        <v>12</v>
      </c>
      <c r="J26" s="343" t="s">
        <v>12</v>
      </c>
      <c r="K26" s="344">
        <v>0</v>
      </c>
      <c r="L26" s="345">
        <v>0</v>
      </c>
      <c r="M26" s="345">
        <v>0</v>
      </c>
      <c r="N26" s="345">
        <v>0</v>
      </c>
      <c r="O26" s="345">
        <v>0</v>
      </c>
      <c r="P26" s="345">
        <v>0</v>
      </c>
      <c r="Q26" s="345">
        <v>0</v>
      </c>
      <c r="R26" s="345">
        <v>0</v>
      </c>
      <c r="S26" s="345">
        <v>0</v>
      </c>
      <c r="T26" s="345">
        <v>0</v>
      </c>
      <c r="U26" s="345">
        <v>0</v>
      </c>
      <c r="V26" s="345">
        <v>0</v>
      </c>
      <c r="W26" s="345">
        <v>0</v>
      </c>
      <c r="X26" s="345">
        <v>0</v>
      </c>
      <c r="Y26" s="345">
        <v>0</v>
      </c>
      <c r="Z26" s="345">
        <v>0</v>
      </c>
      <c r="AA26" s="345">
        <v>0</v>
      </c>
      <c r="AB26" s="345">
        <v>0</v>
      </c>
      <c r="AC26" s="345">
        <v>0</v>
      </c>
      <c r="AD26" s="345">
        <v>0</v>
      </c>
      <c r="AE26" s="345">
        <v>0</v>
      </c>
      <c r="AF26" s="345">
        <v>0</v>
      </c>
      <c r="AG26" s="345">
        <v>0</v>
      </c>
      <c r="AH26" s="345">
        <v>0</v>
      </c>
      <c r="AI26" s="345">
        <v>0</v>
      </c>
      <c r="AJ26" s="345">
        <v>0</v>
      </c>
      <c r="AK26" s="345">
        <v>0</v>
      </c>
      <c r="AL26" s="345">
        <v>0</v>
      </c>
      <c r="AM26" s="345">
        <v>0</v>
      </c>
      <c r="AN26" s="345">
        <v>0</v>
      </c>
      <c r="AO26" s="345">
        <v>0</v>
      </c>
      <c r="AP26" s="345">
        <v>0</v>
      </c>
      <c r="AQ26" s="345">
        <v>0</v>
      </c>
      <c r="AR26" s="345">
        <v>0</v>
      </c>
      <c r="AS26" s="345">
        <v>0</v>
      </c>
      <c r="AT26" s="345">
        <v>0</v>
      </c>
      <c r="AU26" s="345">
        <v>0</v>
      </c>
      <c r="AV26" s="345">
        <v>0</v>
      </c>
      <c r="AW26" s="345">
        <v>0</v>
      </c>
      <c r="AX26" s="345">
        <v>0</v>
      </c>
      <c r="AY26" s="345">
        <v>0</v>
      </c>
      <c r="AZ26" s="345">
        <v>0</v>
      </c>
      <c r="BA26" s="345">
        <v>0</v>
      </c>
      <c r="BB26" s="345">
        <v>0</v>
      </c>
      <c r="BC26" s="345">
        <v>0</v>
      </c>
      <c r="BD26" s="345">
        <v>0</v>
      </c>
      <c r="BE26" s="345">
        <v>0</v>
      </c>
      <c r="BF26" s="345">
        <v>0</v>
      </c>
      <c r="BG26" s="345">
        <v>0</v>
      </c>
      <c r="BH26" s="345">
        <v>0</v>
      </c>
      <c r="BI26" s="345">
        <v>0</v>
      </c>
      <c r="BJ26" s="345">
        <v>0</v>
      </c>
      <c r="BK26" s="345">
        <v>0</v>
      </c>
    </row>
    <row r="27" spans="1:63" ht="15.75" customHeight="1">
      <c r="A27" s="342" t="s">
        <v>565</v>
      </c>
      <c r="B27" s="343" t="s">
        <v>513</v>
      </c>
      <c r="C27" s="343" t="s">
        <v>514</v>
      </c>
      <c r="D27" s="343" t="s">
        <v>566</v>
      </c>
      <c r="E27" s="343" t="s">
        <v>566</v>
      </c>
      <c r="F27" s="343" t="s">
        <v>566</v>
      </c>
      <c r="G27" s="343" t="s">
        <v>567</v>
      </c>
      <c r="H27" s="343">
        <v>0</v>
      </c>
      <c r="I27" s="343" t="s">
        <v>12</v>
      </c>
      <c r="J27" s="343" t="s">
        <v>12</v>
      </c>
      <c r="K27" s="344">
        <v>0</v>
      </c>
      <c r="L27" s="345">
        <v>0.12451092</v>
      </c>
      <c r="M27" s="345">
        <v>0</v>
      </c>
      <c r="N27" s="345">
        <v>3.9361462349999998</v>
      </c>
      <c r="O27" s="345">
        <v>0</v>
      </c>
      <c r="P27" s="345">
        <v>0</v>
      </c>
      <c r="Q27" s="345">
        <v>0</v>
      </c>
      <c r="R27" s="345">
        <v>0</v>
      </c>
      <c r="S27" s="345">
        <v>0</v>
      </c>
      <c r="T27" s="345">
        <v>0</v>
      </c>
      <c r="U27" s="345">
        <v>0</v>
      </c>
      <c r="V27" s="345">
        <v>0</v>
      </c>
      <c r="W27" s="345">
        <v>0</v>
      </c>
      <c r="X27" s="345">
        <v>0</v>
      </c>
      <c r="Y27" s="345">
        <v>0</v>
      </c>
      <c r="Z27" s="345">
        <v>0</v>
      </c>
      <c r="AA27" s="345">
        <v>0</v>
      </c>
      <c r="AB27" s="345">
        <v>0</v>
      </c>
      <c r="AC27" s="345">
        <v>0</v>
      </c>
      <c r="AD27" s="345">
        <v>0</v>
      </c>
      <c r="AE27" s="345">
        <v>0</v>
      </c>
      <c r="AF27" s="345">
        <v>0</v>
      </c>
      <c r="AG27" s="345">
        <v>0</v>
      </c>
      <c r="AH27" s="345">
        <v>0</v>
      </c>
      <c r="AI27" s="345">
        <v>0</v>
      </c>
      <c r="AJ27" s="345">
        <v>0</v>
      </c>
      <c r="AK27" s="345">
        <v>0</v>
      </c>
      <c r="AL27" s="345">
        <v>0</v>
      </c>
      <c r="AM27" s="345">
        <v>0</v>
      </c>
      <c r="AN27" s="345">
        <v>0</v>
      </c>
      <c r="AO27" s="345">
        <v>0</v>
      </c>
      <c r="AP27" s="345">
        <v>0</v>
      </c>
      <c r="AQ27" s="345">
        <v>0</v>
      </c>
      <c r="AR27" s="345">
        <v>0</v>
      </c>
      <c r="AS27" s="345">
        <v>0</v>
      </c>
      <c r="AT27" s="345">
        <v>0</v>
      </c>
      <c r="AU27" s="345">
        <v>0</v>
      </c>
      <c r="AV27" s="345">
        <v>0</v>
      </c>
      <c r="AW27" s="345">
        <v>0</v>
      </c>
      <c r="AX27" s="345">
        <v>0</v>
      </c>
      <c r="AY27" s="345">
        <v>0</v>
      </c>
      <c r="AZ27" s="345">
        <v>0</v>
      </c>
      <c r="BA27" s="345">
        <v>0</v>
      </c>
      <c r="BB27" s="345">
        <v>0</v>
      </c>
      <c r="BC27" s="345">
        <v>0</v>
      </c>
      <c r="BD27" s="345">
        <v>0</v>
      </c>
      <c r="BE27" s="345">
        <v>0</v>
      </c>
      <c r="BF27" s="345">
        <v>0</v>
      </c>
      <c r="BG27" s="345">
        <v>0</v>
      </c>
      <c r="BH27" s="345">
        <v>0</v>
      </c>
      <c r="BI27" s="345">
        <v>0</v>
      </c>
      <c r="BJ27" s="345">
        <v>0</v>
      </c>
      <c r="BK27" s="345">
        <v>0</v>
      </c>
    </row>
    <row r="28" spans="1:63" ht="15.75" customHeight="1">
      <c r="A28" s="340" t="s">
        <v>565</v>
      </c>
      <c r="B28" s="341" t="s">
        <v>515</v>
      </c>
      <c r="C28" s="341" t="s">
        <v>516</v>
      </c>
      <c r="D28" s="341" t="s">
        <v>566</v>
      </c>
      <c r="E28" s="341" t="s">
        <v>566</v>
      </c>
      <c r="F28" s="341" t="s">
        <v>566</v>
      </c>
      <c r="G28" s="341" t="s">
        <v>567</v>
      </c>
      <c r="H28" s="341">
        <v>0</v>
      </c>
      <c r="I28" s="341" t="s">
        <v>12</v>
      </c>
      <c r="J28" s="341" t="s">
        <v>12</v>
      </c>
      <c r="K28" s="344">
        <v>0</v>
      </c>
      <c r="L28" s="345">
        <v>0.173318416</v>
      </c>
      <c r="M28" s="345">
        <v>0</v>
      </c>
      <c r="N28" s="345">
        <v>0</v>
      </c>
      <c r="O28" s="345">
        <v>0</v>
      </c>
      <c r="P28" s="345">
        <v>0</v>
      </c>
      <c r="Q28" s="345">
        <v>0</v>
      </c>
      <c r="R28" s="345">
        <v>0</v>
      </c>
      <c r="S28" s="345">
        <v>0</v>
      </c>
      <c r="T28" s="345">
        <v>0</v>
      </c>
      <c r="U28" s="345">
        <v>0</v>
      </c>
      <c r="V28" s="345">
        <v>0</v>
      </c>
      <c r="W28" s="345">
        <v>0</v>
      </c>
      <c r="X28" s="345">
        <v>0</v>
      </c>
      <c r="Y28" s="345">
        <v>0</v>
      </c>
      <c r="Z28" s="345">
        <v>0</v>
      </c>
      <c r="AA28" s="345">
        <v>0</v>
      </c>
      <c r="AB28" s="345">
        <v>0</v>
      </c>
      <c r="AC28" s="345">
        <v>0</v>
      </c>
      <c r="AD28" s="345">
        <v>0</v>
      </c>
      <c r="AE28" s="345">
        <v>0</v>
      </c>
      <c r="AF28" s="345">
        <v>0</v>
      </c>
      <c r="AG28" s="345">
        <v>0</v>
      </c>
      <c r="AH28" s="345">
        <v>0</v>
      </c>
      <c r="AI28" s="345">
        <v>0</v>
      </c>
      <c r="AJ28" s="345">
        <v>0</v>
      </c>
      <c r="AK28" s="345">
        <v>0</v>
      </c>
      <c r="AL28" s="345">
        <v>0</v>
      </c>
      <c r="AM28" s="345">
        <v>0</v>
      </c>
      <c r="AN28" s="345">
        <v>0</v>
      </c>
      <c r="AO28" s="345">
        <v>0</v>
      </c>
      <c r="AP28" s="345">
        <v>0</v>
      </c>
      <c r="AQ28" s="345">
        <v>0</v>
      </c>
      <c r="AR28" s="345">
        <v>0</v>
      </c>
      <c r="AS28" s="345">
        <v>0</v>
      </c>
      <c r="AT28" s="345">
        <v>0</v>
      </c>
      <c r="AU28" s="345">
        <v>0</v>
      </c>
      <c r="AV28" s="345">
        <v>0</v>
      </c>
      <c r="AW28" s="345">
        <v>0</v>
      </c>
      <c r="AX28" s="345">
        <v>0</v>
      </c>
      <c r="AY28" s="345">
        <v>0</v>
      </c>
      <c r="AZ28" s="345">
        <v>0</v>
      </c>
      <c r="BA28" s="345">
        <v>0</v>
      </c>
      <c r="BB28" s="345">
        <v>0</v>
      </c>
      <c r="BC28" s="345">
        <v>0</v>
      </c>
      <c r="BD28" s="345">
        <v>0</v>
      </c>
      <c r="BE28" s="345">
        <v>0</v>
      </c>
      <c r="BF28" s="345">
        <v>0</v>
      </c>
      <c r="BG28" s="345">
        <v>0</v>
      </c>
      <c r="BH28" s="345">
        <v>0</v>
      </c>
      <c r="BI28" s="345">
        <v>0</v>
      </c>
      <c r="BJ28" s="345">
        <v>0</v>
      </c>
      <c r="BK28" s="345">
        <v>0</v>
      </c>
    </row>
    <row r="29" spans="1:63" ht="15.75" customHeight="1">
      <c r="A29" s="340" t="s">
        <v>565</v>
      </c>
      <c r="B29" s="341" t="s">
        <v>517</v>
      </c>
      <c r="C29" s="341" t="s">
        <v>518</v>
      </c>
      <c r="D29" s="341" t="s">
        <v>566</v>
      </c>
      <c r="E29" s="341" t="s">
        <v>566</v>
      </c>
      <c r="F29" s="341" t="s">
        <v>566</v>
      </c>
      <c r="G29" s="341" t="s">
        <v>567</v>
      </c>
      <c r="H29" s="341">
        <v>0</v>
      </c>
      <c r="I29" s="341" t="s">
        <v>12</v>
      </c>
      <c r="J29" s="341" t="s">
        <v>12</v>
      </c>
      <c r="K29" s="344">
        <v>30.911147620000001</v>
      </c>
      <c r="L29" s="345">
        <v>31.780154280000001</v>
      </c>
      <c r="M29" s="345">
        <v>29.868855669999999</v>
      </c>
      <c r="N29" s="345">
        <v>32.506624250000002</v>
      </c>
      <c r="O29" s="345">
        <v>28.78</v>
      </c>
      <c r="P29" s="345">
        <v>24.34</v>
      </c>
      <c r="Q29" s="345">
        <v>19.48</v>
      </c>
      <c r="R29" s="345">
        <v>14.67</v>
      </c>
      <c r="S29" s="345">
        <v>10.49</v>
      </c>
      <c r="T29" s="345">
        <v>7.15</v>
      </c>
      <c r="U29" s="345">
        <v>3.83</v>
      </c>
      <c r="V29" s="345">
        <v>0.16</v>
      </c>
      <c r="W29" s="345">
        <v>0</v>
      </c>
      <c r="X29" s="345">
        <v>0</v>
      </c>
      <c r="Y29" s="345">
        <v>0</v>
      </c>
      <c r="Z29" s="345">
        <v>0</v>
      </c>
      <c r="AA29" s="345">
        <v>0</v>
      </c>
      <c r="AB29" s="345">
        <v>0</v>
      </c>
      <c r="AC29" s="345">
        <v>0</v>
      </c>
      <c r="AD29" s="345">
        <v>0</v>
      </c>
      <c r="AE29" s="345">
        <v>0</v>
      </c>
      <c r="AF29" s="345">
        <v>0</v>
      </c>
      <c r="AG29" s="345">
        <v>0</v>
      </c>
      <c r="AH29" s="345">
        <v>0</v>
      </c>
      <c r="AI29" s="345">
        <v>0</v>
      </c>
      <c r="AJ29" s="345">
        <v>0</v>
      </c>
      <c r="AK29" s="345">
        <v>0</v>
      </c>
      <c r="AL29" s="345">
        <v>0</v>
      </c>
      <c r="AM29" s="345">
        <v>0</v>
      </c>
      <c r="AN29" s="345">
        <v>0</v>
      </c>
      <c r="AO29" s="345">
        <v>0</v>
      </c>
      <c r="AP29" s="345">
        <v>0</v>
      </c>
      <c r="AQ29" s="345">
        <v>0</v>
      </c>
      <c r="AR29" s="345">
        <v>0</v>
      </c>
      <c r="AS29" s="345">
        <v>0</v>
      </c>
      <c r="AT29" s="345">
        <v>0</v>
      </c>
      <c r="AU29" s="345">
        <v>0</v>
      </c>
      <c r="AV29" s="345">
        <v>0</v>
      </c>
      <c r="AW29" s="345">
        <v>0</v>
      </c>
      <c r="AX29" s="345">
        <v>0</v>
      </c>
      <c r="AY29" s="345">
        <v>0</v>
      </c>
      <c r="AZ29" s="345">
        <v>0</v>
      </c>
      <c r="BA29" s="345">
        <v>0</v>
      </c>
      <c r="BB29" s="345">
        <v>0</v>
      </c>
      <c r="BC29" s="345">
        <v>0</v>
      </c>
      <c r="BD29" s="345">
        <v>0</v>
      </c>
      <c r="BE29" s="345">
        <v>0</v>
      </c>
      <c r="BF29" s="345">
        <v>0</v>
      </c>
      <c r="BG29" s="345">
        <v>0</v>
      </c>
      <c r="BH29" s="345">
        <v>0</v>
      </c>
      <c r="BI29" s="345">
        <v>0</v>
      </c>
      <c r="BJ29" s="345">
        <v>0</v>
      </c>
      <c r="BK29" s="345">
        <v>0</v>
      </c>
    </row>
    <row r="30" spans="1:63" ht="15.75" customHeight="1">
      <c r="A30" s="335" t="s">
        <v>565</v>
      </c>
      <c r="B30" s="328" t="s">
        <v>519</v>
      </c>
      <c r="C30" s="328" t="s">
        <v>520</v>
      </c>
      <c r="D30" s="328" t="s">
        <v>566</v>
      </c>
      <c r="E30" s="328" t="s">
        <v>566</v>
      </c>
      <c r="F30" s="328" t="s">
        <v>566</v>
      </c>
      <c r="G30" s="328" t="s">
        <v>567</v>
      </c>
      <c r="H30" s="328">
        <v>0</v>
      </c>
      <c r="I30" s="328" t="s">
        <v>12</v>
      </c>
      <c r="J30" s="328" t="s">
        <v>12</v>
      </c>
      <c r="K30" s="336">
        <v>0</v>
      </c>
      <c r="L30" s="337">
        <v>0</v>
      </c>
      <c r="M30" s="337">
        <v>0</v>
      </c>
      <c r="N30" s="337">
        <v>0</v>
      </c>
      <c r="O30" s="337">
        <v>0</v>
      </c>
      <c r="P30" s="337">
        <v>0</v>
      </c>
      <c r="Q30" s="337">
        <v>0</v>
      </c>
      <c r="R30" s="337">
        <v>0</v>
      </c>
      <c r="S30" s="337">
        <v>0</v>
      </c>
      <c r="T30" s="337">
        <v>0</v>
      </c>
      <c r="U30" s="337">
        <v>0</v>
      </c>
      <c r="V30" s="337">
        <v>0</v>
      </c>
      <c r="W30" s="337">
        <v>0</v>
      </c>
      <c r="X30" s="337">
        <v>0</v>
      </c>
      <c r="Y30" s="337">
        <v>0</v>
      </c>
      <c r="Z30" s="337">
        <v>0</v>
      </c>
      <c r="AA30" s="337">
        <v>0</v>
      </c>
      <c r="AB30" s="337">
        <v>0</v>
      </c>
      <c r="AC30" s="337">
        <v>0</v>
      </c>
      <c r="AD30" s="337">
        <v>0</v>
      </c>
      <c r="AE30" s="337">
        <v>0</v>
      </c>
      <c r="AF30" s="337">
        <v>0</v>
      </c>
      <c r="AG30" s="337">
        <v>0</v>
      </c>
      <c r="AH30" s="337">
        <v>0</v>
      </c>
      <c r="AI30" s="337">
        <v>0</v>
      </c>
      <c r="AJ30" s="337">
        <v>0</v>
      </c>
      <c r="AK30" s="337">
        <v>0</v>
      </c>
      <c r="AL30" s="337">
        <v>0</v>
      </c>
      <c r="AM30" s="337">
        <v>0</v>
      </c>
      <c r="AN30" s="337">
        <v>0</v>
      </c>
      <c r="AO30" s="337">
        <v>0</v>
      </c>
      <c r="AP30" s="337">
        <v>0</v>
      </c>
      <c r="AQ30" s="337">
        <v>0</v>
      </c>
      <c r="AR30" s="337">
        <v>0</v>
      </c>
      <c r="AS30" s="337">
        <v>0</v>
      </c>
      <c r="AT30" s="337">
        <v>0</v>
      </c>
      <c r="AU30" s="337">
        <v>0</v>
      </c>
      <c r="AV30" s="337">
        <v>0</v>
      </c>
      <c r="AW30" s="337">
        <v>0</v>
      </c>
      <c r="AX30" s="337">
        <v>0</v>
      </c>
      <c r="AY30" s="337">
        <v>0</v>
      </c>
      <c r="AZ30" s="337">
        <v>0</v>
      </c>
      <c r="BA30" s="337">
        <v>0</v>
      </c>
      <c r="BB30" s="337">
        <v>0</v>
      </c>
      <c r="BC30" s="337">
        <v>0</v>
      </c>
      <c r="BD30" s="337">
        <v>0</v>
      </c>
      <c r="BE30" s="337">
        <v>0</v>
      </c>
      <c r="BF30" s="337">
        <v>0</v>
      </c>
      <c r="BG30" s="337">
        <v>0</v>
      </c>
      <c r="BH30" s="337">
        <v>0</v>
      </c>
      <c r="BI30" s="337">
        <v>0</v>
      </c>
      <c r="BJ30" s="337">
        <v>0</v>
      </c>
      <c r="BK30" s="337">
        <v>0</v>
      </c>
    </row>
    <row r="31" spans="1:63" ht="15.75" customHeight="1">
      <c r="A31" s="338" t="s">
        <v>565</v>
      </c>
      <c r="B31" s="329" t="s">
        <v>521</v>
      </c>
      <c r="C31" s="329" t="s">
        <v>522</v>
      </c>
      <c r="D31" s="329" t="s">
        <v>566</v>
      </c>
      <c r="E31" s="329" t="s">
        <v>566</v>
      </c>
      <c r="F31" s="329" t="s">
        <v>566</v>
      </c>
      <c r="G31" s="329" t="s">
        <v>567</v>
      </c>
      <c r="H31" s="329">
        <v>0</v>
      </c>
      <c r="I31" s="329" t="s">
        <v>12</v>
      </c>
      <c r="J31" s="329" t="s">
        <v>12</v>
      </c>
      <c r="K31" s="336">
        <v>35.971610609999999</v>
      </c>
      <c r="L31" s="337">
        <v>37.380280939999999</v>
      </c>
      <c r="M31" s="337">
        <v>36.49129731</v>
      </c>
      <c r="N31" s="337">
        <v>40.945505949999998</v>
      </c>
      <c r="O31" s="337">
        <v>42.492939999999997</v>
      </c>
      <c r="P31" s="337">
        <v>43.412210000000002</v>
      </c>
      <c r="Q31" s="337">
        <v>45.137619999999998</v>
      </c>
      <c r="R31" s="337">
        <v>45.901359999999997</v>
      </c>
      <c r="S31" s="337">
        <v>47.357300000000002</v>
      </c>
      <c r="T31" s="337">
        <v>48.397860000000001</v>
      </c>
      <c r="U31" s="337">
        <v>50.15531</v>
      </c>
      <c r="V31" s="337">
        <v>50.746839999999999</v>
      </c>
      <c r="W31" s="337">
        <v>52.324120000000001</v>
      </c>
      <c r="X31" s="337">
        <v>53.510590000000001</v>
      </c>
      <c r="Y31" s="337">
        <v>55.175409999999999</v>
      </c>
      <c r="Z31" s="337">
        <v>56.337440000000001</v>
      </c>
      <c r="AA31" s="337">
        <v>57.979320000000001</v>
      </c>
      <c r="AB31" s="337">
        <v>58.95532</v>
      </c>
      <c r="AC31" s="337">
        <v>60.729239999999997</v>
      </c>
      <c r="AD31" s="337">
        <v>61.746220000000001</v>
      </c>
      <c r="AE31" s="337">
        <v>63.420589999999997</v>
      </c>
      <c r="AF31" s="337">
        <v>64.688789999999997</v>
      </c>
      <c r="AG31" s="337">
        <v>66.34666</v>
      </c>
      <c r="AH31" s="337">
        <v>67.560360000000003</v>
      </c>
      <c r="AI31" s="337">
        <v>69.217910000000003</v>
      </c>
      <c r="AJ31" s="337">
        <v>70.157169999999994</v>
      </c>
      <c r="AK31" s="337">
        <v>71.813730000000007</v>
      </c>
      <c r="AL31" s="337">
        <v>72.902749999999997</v>
      </c>
      <c r="AM31" s="337">
        <v>74.658940000000001</v>
      </c>
      <c r="AN31" s="337">
        <v>75.810609999999997</v>
      </c>
      <c r="AO31" s="337">
        <v>77.232050000000001</v>
      </c>
      <c r="AP31" s="337">
        <v>78.436809999999994</v>
      </c>
      <c r="AQ31" s="337">
        <v>79.892700000000005</v>
      </c>
      <c r="AR31" s="337">
        <v>81.44</v>
      </c>
      <c r="AS31" s="337">
        <v>82.97</v>
      </c>
      <c r="AT31" s="337">
        <v>84.54</v>
      </c>
      <c r="AU31" s="337">
        <v>86.09</v>
      </c>
      <c r="AV31" s="337">
        <v>87.71</v>
      </c>
      <c r="AW31" s="337">
        <v>89.31</v>
      </c>
      <c r="AX31" s="337">
        <v>90.97</v>
      </c>
      <c r="AY31" s="337">
        <v>92.62</v>
      </c>
      <c r="AZ31" s="337">
        <v>94.32</v>
      </c>
      <c r="BA31" s="337">
        <v>96.06</v>
      </c>
      <c r="BB31" s="337">
        <v>97.85</v>
      </c>
      <c r="BC31" s="337">
        <v>99.67</v>
      </c>
      <c r="BD31" s="337">
        <v>101.51</v>
      </c>
      <c r="BE31" s="337">
        <v>103.39</v>
      </c>
      <c r="BF31" s="337">
        <v>105.3</v>
      </c>
      <c r="BG31" s="337">
        <v>107.25</v>
      </c>
      <c r="BH31" s="337">
        <v>109.23</v>
      </c>
      <c r="BI31" s="337">
        <v>111.25</v>
      </c>
      <c r="BJ31" s="337">
        <v>113.31</v>
      </c>
      <c r="BK31" s="337">
        <v>115.41</v>
      </c>
    </row>
    <row r="32" spans="1:63" ht="15.75" customHeight="1">
      <c r="A32" s="335" t="s">
        <v>565</v>
      </c>
      <c r="B32" s="328" t="s">
        <v>523</v>
      </c>
      <c r="C32" s="328" t="s">
        <v>524</v>
      </c>
      <c r="D32" s="328" t="s">
        <v>566</v>
      </c>
      <c r="E32" s="328" t="s">
        <v>566</v>
      </c>
      <c r="F32" s="328" t="s">
        <v>566</v>
      </c>
      <c r="G32" s="328" t="s">
        <v>567</v>
      </c>
      <c r="H32" s="328">
        <v>0</v>
      </c>
      <c r="I32" s="328" t="s">
        <v>12</v>
      </c>
      <c r="J32" s="328" t="s">
        <v>12</v>
      </c>
      <c r="K32" s="336">
        <v>2.037976842</v>
      </c>
      <c r="L32" s="337">
        <v>2.0787363760000002</v>
      </c>
      <c r="M32" s="337">
        <v>2.1203111030000001</v>
      </c>
      <c r="N32" s="337">
        <v>2.16271733</v>
      </c>
      <c r="O32" s="337">
        <v>2.2400000000000002</v>
      </c>
      <c r="P32" s="337">
        <v>2.29</v>
      </c>
      <c r="Q32" s="337">
        <v>2.38</v>
      </c>
      <c r="R32" s="337">
        <v>2.42</v>
      </c>
      <c r="S32" s="337">
        <v>2.5</v>
      </c>
      <c r="T32" s="337">
        <v>2.56</v>
      </c>
      <c r="U32" s="337">
        <v>2.65</v>
      </c>
      <c r="V32" s="337">
        <v>2.68</v>
      </c>
      <c r="W32" s="337">
        <v>2.76</v>
      </c>
      <c r="X32" s="337">
        <v>2.83</v>
      </c>
      <c r="Y32" s="337">
        <v>2.91</v>
      </c>
      <c r="Z32" s="337">
        <v>2.98</v>
      </c>
      <c r="AA32" s="337">
        <v>3.06</v>
      </c>
      <c r="AB32" s="337">
        <v>3.11</v>
      </c>
      <c r="AC32" s="337">
        <v>3.21</v>
      </c>
      <c r="AD32" s="337">
        <v>3.26</v>
      </c>
      <c r="AE32" s="337">
        <v>3.35</v>
      </c>
      <c r="AF32" s="337">
        <v>3.42</v>
      </c>
      <c r="AG32" s="337">
        <v>3.5</v>
      </c>
      <c r="AH32" s="337">
        <v>3.57</v>
      </c>
      <c r="AI32" s="337">
        <v>3.66</v>
      </c>
      <c r="AJ32" s="337">
        <v>3.71</v>
      </c>
      <c r="AK32" s="337">
        <v>3.79</v>
      </c>
      <c r="AL32" s="337">
        <v>3.85</v>
      </c>
      <c r="AM32" s="337">
        <v>3.94</v>
      </c>
      <c r="AN32" s="337">
        <v>4</v>
      </c>
      <c r="AO32" s="337">
        <v>4.08</v>
      </c>
      <c r="AP32" s="337">
        <v>4.1399999999999997</v>
      </c>
      <c r="AQ32" s="337">
        <v>4.22</v>
      </c>
      <c r="AR32" s="337">
        <v>4.3</v>
      </c>
      <c r="AS32" s="337">
        <v>4.38</v>
      </c>
      <c r="AT32" s="337">
        <v>4.47</v>
      </c>
      <c r="AU32" s="337">
        <v>4.55</v>
      </c>
      <c r="AV32" s="337">
        <v>4.63</v>
      </c>
      <c r="AW32" s="337">
        <v>4.72</v>
      </c>
      <c r="AX32" s="337">
        <v>4.8099999999999996</v>
      </c>
      <c r="AY32" s="337">
        <v>4.8899999999999997</v>
      </c>
      <c r="AZ32" s="337">
        <v>4.9800000000000004</v>
      </c>
      <c r="BA32" s="337">
        <v>5.07</v>
      </c>
      <c r="BB32" s="337">
        <v>5.17</v>
      </c>
      <c r="BC32" s="337">
        <v>5.26</v>
      </c>
      <c r="BD32" s="337">
        <v>5.36</v>
      </c>
      <c r="BE32" s="337">
        <v>5.46</v>
      </c>
      <c r="BF32" s="337">
        <v>5.56</v>
      </c>
      <c r="BG32" s="337">
        <v>5.66</v>
      </c>
      <c r="BH32" s="337">
        <v>5.77</v>
      </c>
      <c r="BI32" s="337">
        <v>5.88</v>
      </c>
      <c r="BJ32" s="337">
        <v>5.99</v>
      </c>
      <c r="BK32" s="337">
        <v>6.1</v>
      </c>
    </row>
    <row r="33" spans="1:63" ht="15.75" customHeight="1">
      <c r="A33" s="338" t="s">
        <v>565</v>
      </c>
      <c r="B33" s="329" t="s">
        <v>525</v>
      </c>
      <c r="C33" s="329" t="s">
        <v>526</v>
      </c>
      <c r="D33" s="329" t="s">
        <v>566</v>
      </c>
      <c r="E33" s="329" t="s">
        <v>566</v>
      </c>
      <c r="F33" s="329" t="s">
        <v>566</v>
      </c>
      <c r="G33" s="329" t="s">
        <v>567</v>
      </c>
      <c r="H33" s="329">
        <v>0</v>
      </c>
      <c r="I33" s="329" t="s">
        <v>12</v>
      </c>
      <c r="J33" s="329" t="s">
        <v>12</v>
      </c>
      <c r="K33" s="336">
        <v>9.4607379219999999</v>
      </c>
      <c r="L33" s="337">
        <v>9.7371299590000007</v>
      </c>
      <c r="M33" s="337">
        <v>9.2977422799999996</v>
      </c>
      <c r="N33" s="337">
        <v>10.85219682</v>
      </c>
      <c r="O33" s="337">
        <v>11.26</v>
      </c>
      <c r="P33" s="337">
        <v>11.51</v>
      </c>
      <c r="Q33" s="337">
        <v>11.96</v>
      </c>
      <c r="R33" s="337">
        <v>12.17</v>
      </c>
      <c r="S33" s="337">
        <v>12.55</v>
      </c>
      <c r="T33" s="337">
        <v>12.83</v>
      </c>
      <c r="U33" s="337">
        <v>13.29</v>
      </c>
      <c r="V33" s="337">
        <v>13.45</v>
      </c>
      <c r="W33" s="337">
        <v>13.87</v>
      </c>
      <c r="X33" s="337">
        <v>14.18</v>
      </c>
      <c r="Y33" s="337">
        <v>14.62</v>
      </c>
      <c r="Z33" s="337">
        <v>14.93</v>
      </c>
      <c r="AA33" s="337">
        <v>15.37</v>
      </c>
      <c r="AB33" s="337">
        <v>15.63</v>
      </c>
      <c r="AC33" s="337">
        <v>16.100000000000001</v>
      </c>
      <c r="AD33" s="337">
        <v>16.37</v>
      </c>
      <c r="AE33" s="337">
        <v>16.809999999999999</v>
      </c>
      <c r="AF33" s="337">
        <v>17.149999999999999</v>
      </c>
      <c r="AG33" s="337">
        <v>17.579999999999998</v>
      </c>
      <c r="AH33" s="337">
        <v>17.91</v>
      </c>
      <c r="AI33" s="337">
        <v>18.350000000000001</v>
      </c>
      <c r="AJ33" s="337">
        <v>18.59</v>
      </c>
      <c r="AK33" s="337">
        <v>19.03</v>
      </c>
      <c r="AL33" s="337">
        <v>19.32</v>
      </c>
      <c r="AM33" s="337">
        <v>19.79</v>
      </c>
      <c r="AN33" s="337">
        <v>20.09</v>
      </c>
      <c r="AO33" s="337">
        <v>20.47</v>
      </c>
      <c r="AP33" s="337">
        <v>20.79</v>
      </c>
      <c r="AQ33" s="337">
        <v>21.17</v>
      </c>
      <c r="AR33" s="337">
        <v>21.59</v>
      </c>
      <c r="AS33" s="337">
        <v>21.99</v>
      </c>
      <c r="AT33" s="337">
        <v>22.41</v>
      </c>
      <c r="AU33" s="337">
        <v>22.82</v>
      </c>
      <c r="AV33" s="337">
        <v>23.25</v>
      </c>
      <c r="AW33" s="337">
        <v>23.67</v>
      </c>
      <c r="AX33" s="337">
        <v>24.11</v>
      </c>
      <c r="AY33" s="337">
        <v>24.55</v>
      </c>
      <c r="AZ33" s="337">
        <v>25</v>
      </c>
      <c r="BA33" s="337">
        <v>25.46</v>
      </c>
      <c r="BB33" s="337">
        <v>25.93</v>
      </c>
      <c r="BC33" s="337">
        <v>26.42</v>
      </c>
      <c r="BD33" s="337">
        <v>26.9</v>
      </c>
      <c r="BE33" s="337">
        <v>27.4</v>
      </c>
      <c r="BF33" s="337">
        <v>27.91</v>
      </c>
      <c r="BG33" s="337">
        <v>28.43</v>
      </c>
      <c r="BH33" s="337">
        <v>28.95</v>
      </c>
      <c r="BI33" s="337">
        <v>29.49</v>
      </c>
      <c r="BJ33" s="337">
        <v>30.03</v>
      </c>
      <c r="BK33" s="337">
        <v>30.59</v>
      </c>
    </row>
    <row r="34" spans="1:63" ht="15.75" customHeight="1">
      <c r="A34" s="335" t="s">
        <v>565</v>
      </c>
      <c r="B34" s="328" t="s">
        <v>527</v>
      </c>
      <c r="C34" s="328" t="s">
        <v>528</v>
      </c>
      <c r="D34" s="328" t="s">
        <v>566</v>
      </c>
      <c r="E34" s="328" t="s">
        <v>566</v>
      </c>
      <c r="F34" s="328" t="s">
        <v>566</v>
      </c>
      <c r="G34" s="328" t="s">
        <v>567</v>
      </c>
      <c r="H34" s="328">
        <v>0</v>
      </c>
      <c r="I34" s="328" t="s">
        <v>12</v>
      </c>
      <c r="J34" s="328" t="s">
        <v>12</v>
      </c>
      <c r="K34" s="336">
        <v>0</v>
      </c>
      <c r="L34" s="337">
        <v>0</v>
      </c>
      <c r="M34" s="337">
        <v>0</v>
      </c>
      <c r="N34" s="337">
        <v>0</v>
      </c>
      <c r="O34" s="337">
        <v>0</v>
      </c>
      <c r="P34" s="337">
        <v>0</v>
      </c>
      <c r="Q34" s="337">
        <v>0</v>
      </c>
      <c r="R34" s="337">
        <v>0</v>
      </c>
      <c r="S34" s="337">
        <v>0</v>
      </c>
      <c r="T34" s="337">
        <v>0</v>
      </c>
      <c r="U34" s="337">
        <v>0</v>
      </c>
      <c r="V34" s="337">
        <v>0</v>
      </c>
      <c r="W34" s="337">
        <v>0</v>
      </c>
      <c r="X34" s="337">
        <v>0</v>
      </c>
      <c r="Y34" s="337">
        <v>0</v>
      </c>
      <c r="Z34" s="337">
        <v>0</v>
      </c>
      <c r="AA34" s="337">
        <v>0</v>
      </c>
      <c r="AB34" s="337">
        <v>0</v>
      </c>
      <c r="AC34" s="337">
        <v>0</v>
      </c>
      <c r="AD34" s="337">
        <v>0</v>
      </c>
      <c r="AE34" s="337">
        <v>0</v>
      </c>
      <c r="AF34" s="337">
        <v>0</v>
      </c>
      <c r="AG34" s="337">
        <v>0</v>
      </c>
      <c r="AH34" s="337">
        <v>0</v>
      </c>
      <c r="AI34" s="337">
        <v>0</v>
      </c>
      <c r="AJ34" s="337">
        <v>0</v>
      </c>
      <c r="AK34" s="337">
        <v>0</v>
      </c>
      <c r="AL34" s="337">
        <v>0</v>
      </c>
      <c r="AM34" s="337">
        <v>0</v>
      </c>
      <c r="AN34" s="337">
        <v>0</v>
      </c>
      <c r="AO34" s="337">
        <v>0</v>
      </c>
      <c r="AP34" s="337">
        <v>0</v>
      </c>
      <c r="AQ34" s="337">
        <v>0</v>
      </c>
      <c r="AR34" s="337">
        <v>0</v>
      </c>
      <c r="AS34" s="337">
        <v>0</v>
      </c>
      <c r="AT34" s="337">
        <v>0</v>
      </c>
      <c r="AU34" s="337">
        <v>0</v>
      </c>
      <c r="AV34" s="337">
        <v>0</v>
      </c>
      <c r="AW34" s="337">
        <v>0</v>
      </c>
      <c r="AX34" s="337">
        <v>0</v>
      </c>
      <c r="AY34" s="337">
        <v>0</v>
      </c>
      <c r="AZ34" s="337">
        <v>0</v>
      </c>
      <c r="BA34" s="337">
        <v>0</v>
      </c>
      <c r="BB34" s="337">
        <v>0</v>
      </c>
      <c r="BC34" s="337">
        <v>0</v>
      </c>
      <c r="BD34" s="337">
        <v>0</v>
      </c>
      <c r="BE34" s="337">
        <v>0</v>
      </c>
      <c r="BF34" s="337">
        <v>0</v>
      </c>
      <c r="BG34" s="337">
        <v>0</v>
      </c>
      <c r="BH34" s="337">
        <v>0</v>
      </c>
      <c r="BI34" s="337">
        <v>0</v>
      </c>
      <c r="BJ34" s="337">
        <v>0</v>
      </c>
      <c r="BK34" s="337">
        <v>0</v>
      </c>
    </row>
    <row r="35" spans="1:63" ht="15.75" customHeight="1">
      <c r="A35" s="338" t="s">
        <v>565</v>
      </c>
      <c r="B35" s="329" t="s">
        <v>529</v>
      </c>
      <c r="C35" s="329" t="s">
        <v>530</v>
      </c>
      <c r="D35" s="329" t="s">
        <v>566</v>
      </c>
      <c r="E35" s="329" t="s">
        <v>566</v>
      </c>
      <c r="F35" s="329" t="s">
        <v>566</v>
      </c>
      <c r="G35" s="329" t="s">
        <v>567</v>
      </c>
      <c r="H35" s="329">
        <v>0</v>
      </c>
      <c r="I35" s="329" t="s">
        <v>12</v>
      </c>
      <c r="J35" s="329" t="s">
        <v>12</v>
      </c>
      <c r="K35" s="338">
        <v>0</v>
      </c>
      <c r="L35" s="329">
        <v>0</v>
      </c>
      <c r="M35" s="329">
        <v>0</v>
      </c>
      <c r="N35" s="329">
        <v>0</v>
      </c>
      <c r="O35" s="329">
        <v>0</v>
      </c>
      <c r="P35" s="329">
        <v>0</v>
      </c>
      <c r="Q35" s="329">
        <v>0</v>
      </c>
      <c r="R35" s="329">
        <v>0</v>
      </c>
      <c r="S35" s="329">
        <v>0</v>
      </c>
      <c r="T35" s="329">
        <v>0</v>
      </c>
      <c r="U35" s="329">
        <v>0</v>
      </c>
      <c r="V35" s="329">
        <v>0</v>
      </c>
      <c r="W35" s="329">
        <v>0</v>
      </c>
      <c r="X35" s="329">
        <v>0</v>
      </c>
      <c r="Y35" s="329">
        <v>0</v>
      </c>
      <c r="Z35" s="329">
        <v>0</v>
      </c>
      <c r="AA35" s="329">
        <v>0</v>
      </c>
      <c r="AB35" s="329">
        <v>0</v>
      </c>
      <c r="AC35" s="329">
        <v>0</v>
      </c>
      <c r="AD35" s="329">
        <v>0</v>
      </c>
      <c r="AE35" s="329">
        <v>0</v>
      </c>
      <c r="AF35" s="329">
        <v>0</v>
      </c>
      <c r="AG35" s="329">
        <v>0</v>
      </c>
      <c r="AH35" s="329">
        <v>0</v>
      </c>
      <c r="AI35" s="329">
        <v>0</v>
      </c>
      <c r="AJ35" s="329">
        <v>0</v>
      </c>
      <c r="AK35" s="329">
        <v>0</v>
      </c>
      <c r="AL35" s="329">
        <v>0</v>
      </c>
      <c r="AM35" s="329">
        <v>0</v>
      </c>
      <c r="AN35" s="329">
        <v>0</v>
      </c>
      <c r="AO35" s="329">
        <v>0</v>
      </c>
      <c r="AP35" s="329">
        <v>0</v>
      </c>
      <c r="AQ35" s="329">
        <v>0</v>
      </c>
      <c r="AR35" s="329">
        <v>0</v>
      </c>
      <c r="AS35" s="329">
        <v>0</v>
      </c>
      <c r="AT35" s="329">
        <v>0</v>
      </c>
      <c r="AU35" s="329">
        <v>0</v>
      </c>
      <c r="AV35" s="329">
        <v>0</v>
      </c>
      <c r="AW35" s="329">
        <v>0</v>
      </c>
      <c r="AX35" s="329">
        <v>0</v>
      </c>
      <c r="AY35" s="329">
        <v>0</v>
      </c>
      <c r="AZ35" s="329">
        <v>0</v>
      </c>
      <c r="BA35" s="329">
        <v>0</v>
      </c>
      <c r="BB35" s="329">
        <v>0</v>
      </c>
      <c r="BC35" s="329">
        <v>0</v>
      </c>
      <c r="BD35" s="329">
        <v>0</v>
      </c>
      <c r="BE35" s="329">
        <v>0</v>
      </c>
      <c r="BF35" s="329">
        <v>0</v>
      </c>
      <c r="BG35" s="329">
        <v>0</v>
      </c>
      <c r="BH35" s="329">
        <v>0</v>
      </c>
      <c r="BI35" s="329">
        <v>0</v>
      </c>
      <c r="BJ35" s="329">
        <v>0</v>
      </c>
      <c r="BK35" s="329">
        <v>0</v>
      </c>
    </row>
    <row r="36" spans="1:63" ht="15.75" customHeight="1">
      <c r="A36" s="338" t="s">
        <v>565</v>
      </c>
      <c r="B36" s="329" t="s">
        <v>531</v>
      </c>
      <c r="C36" s="329" t="s">
        <v>532</v>
      </c>
      <c r="D36" s="329" t="s">
        <v>566</v>
      </c>
      <c r="E36" s="329" t="s">
        <v>566</v>
      </c>
      <c r="F36" s="329" t="s">
        <v>566</v>
      </c>
      <c r="G36" s="329" t="s">
        <v>567</v>
      </c>
      <c r="H36" s="329">
        <v>0</v>
      </c>
      <c r="I36" s="329" t="s">
        <v>12</v>
      </c>
      <c r="J36" s="329" t="s">
        <v>12</v>
      </c>
      <c r="K36" s="336">
        <v>3.9680445139999998</v>
      </c>
      <c r="L36" s="337">
        <v>4.1453383629999996</v>
      </c>
      <c r="M36" s="337">
        <v>3.690260635</v>
      </c>
      <c r="N36" s="337">
        <v>4.125979772</v>
      </c>
      <c r="O36" s="337">
        <v>4.28</v>
      </c>
      <c r="P36" s="337">
        <v>4.37</v>
      </c>
      <c r="Q36" s="337">
        <v>4.55</v>
      </c>
      <c r="R36" s="337">
        <v>4.63</v>
      </c>
      <c r="S36" s="337">
        <v>4.7699999999999996</v>
      </c>
      <c r="T36" s="337">
        <v>4.88</v>
      </c>
      <c r="U36" s="337">
        <v>5.05</v>
      </c>
      <c r="V36" s="337">
        <v>5.1100000000000003</v>
      </c>
      <c r="W36" s="337">
        <v>5.27</v>
      </c>
      <c r="X36" s="337">
        <v>5.39</v>
      </c>
      <c r="Y36" s="337">
        <v>5.56</v>
      </c>
      <c r="Z36" s="337">
        <v>5.68</v>
      </c>
      <c r="AA36" s="337">
        <v>5.84</v>
      </c>
      <c r="AB36" s="337">
        <v>5.94</v>
      </c>
      <c r="AC36" s="337">
        <v>6.12</v>
      </c>
      <c r="AD36" s="337">
        <v>6.22</v>
      </c>
      <c r="AE36" s="337">
        <v>6.39</v>
      </c>
      <c r="AF36" s="337">
        <v>6.52</v>
      </c>
      <c r="AG36" s="337">
        <v>6.69</v>
      </c>
      <c r="AH36" s="337">
        <v>6.81</v>
      </c>
      <c r="AI36" s="337">
        <v>6.97</v>
      </c>
      <c r="AJ36" s="337">
        <v>7.07</v>
      </c>
      <c r="AK36" s="337">
        <v>7.24</v>
      </c>
      <c r="AL36" s="337">
        <v>7.35</v>
      </c>
      <c r="AM36" s="337">
        <v>7.52</v>
      </c>
      <c r="AN36" s="337">
        <v>7.64</v>
      </c>
      <c r="AO36" s="337">
        <v>7.78</v>
      </c>
      <c r="AP36" s="337">
        <v>7.9</v>
      </c>
      <c r="AQ36" s="337">
        <v>8.0500000000000007</v>
      </c>
      <c r="AR36" s="337">
        <v>8.2100000000000009</v>
      </c>
      <c r="AS36" s="337">
        <v>8.36</v>
      </c>
      <c r="AT36" s="337">
        <v>8.52</v>
      </c>
      <c r="AU36" s="337">
        <v>8.67</v>
      </c>
      <c r="AV36" s="337">
        <v>8.84</v>
      </c>
      <c r="AW36" s="337">
        <v>9</v>
      </c>
      <c r="AX36" s="337">
        <v>9.17</v>
      </c>
      <c r="AY36" s="337">
        <v>9.33</v>
      </c>
      <c r="AZ36" s="337">
        <v>9.5</v>
      </c>
      <c r="BA36" s="337">
        <v>9.68</v>
      </c>
      <c r="BB36" s="337">
        <v>9.86</v>
      </c>
      <c r="BC36" s="337">
        <v>10.039999999999999</v>
      </c>
      <c r="BD36" s="337">
        <v>10.23</v>
      </c>
      <c r="BE36" s="337">
        <v>10.42</v>
      </c>
      <c r="BF36" s="337">
        <v>10.61</v>
      </c>
      <c r="BG36" s="337">
        <v>10.81</v>
      </c>
      <c r="BH36" s="337">
        <v>11.01</v>
      </c>
      <c r="BI36" s="337">
        <v>11.21</v>
      </c>
      <c r="BJ36" s="337">
        <v>11.42</v>
      </c>
      <c r="BK36" s="337">
        <v>11.63</v>
      </c>
    </row>
    <row r="37" spans="1:63" ht="15.75" customHeight="1">
      <c r="A37" s="335" t="s">
        <v>565</v>
      </c>
      <c r="B37" s="328" t="s">
        <v>533</v>
      </c>
      <c r="C37" s="328" t="s">
        <v>534</v>
      </c>
      <c r="D37" s="328" t="s">
        <v>566</v>
      </c>
      <c r="E37" s="328" t="s">
        <v>566</v>
      </c>
      <c r="F37" s="328" t="s">
        <v>566</v>
      </c>
      <c r="G37" s="328" t="s">
        <v>567</v>
      </c>
      <c r="H37" s="328">
        <v>0</v>
      </c>
      <c r="I37" s="328" t="s">
        <v>12</v>
      </c>
      <c r="J37" s="328" t="s">
        <v>12</v>
      </c>
      <c r="K37" s="336">
        <v>1.9633782829999999</v>
      </c>
      <c r="L37" s="337">
        <v>1.5793630780000001</v>
      </c>
      <c r="M37" s="337">
        <v>0.94433599499999998</v>
      </c>
      <c r="N37" s="337">
        <v>1.6548595399999999</v>
      </c>
      <c r="O37" s="337">
        <v>1.72</v>
      </c>
      <c r="P37" s="337">
        <v>1.75</v>
      </c>
      <c r="Q37" s="337">
        <v>1.82</v>
      </c>
      <c r="R37" s="337">
        <v>1.86</v>
      </c>
      <c r="S37" s="337">
        <v>1.91</v>
      </c>
      <c r="T37" s="337">
        <v>1.96</v>
      </c>
      <c r="U37" s="337">
        <v>2.0299999999999998</v>
      </c>
      <c r="V37" s="337">
        <v>2.0499999999999998</v>
      </c>
      <c r="W37" s="337">
        <v>2.11</v>
      </c>
      <c r="X37" s="337">
        <v>2.16</v>
      </c>
      <c r="Y37" s="337">
        <v>2.23</v>
      </c>
      <c r="Z37" s="337">
        <v>2.2799999999999998</v>
      </c>
      <c r="AA37" s="337">
        <v>2.34</v>
      </c>
      <c r="AB37" s="337">
        <v>2.38</v>
      </c>
      <c r="AC37" s="337">
        <v>2.4500000000000002</v>
      </c>
      <c r="AD37" s="337">
        <v>2.5</v>
      </c>
      <c r="AE37" s="337">
        <v>2.56</v>
      </c>
      <c r="AF37" s="337">
        <v>2.61</v>
      </c>
      <c r="AG37" s="337">
        <v>2.68</v>
      </c>
      <c r="AH37" s="337">
        <v>2.73</v>
      </c>
      <c r="AI37" s="337">
        <v>2.8</v>
      </c>
      <c r="AJ37" s="337">
        <v>2.84</v>
      </c>
      <c r="AK37" s="337">
        <v>2.9</v>
      </c>
      <c r="AL37" s="337">
        <v>2.95</v>
      </c>
      <c r="AM37" s="337">
        <v>3.02</v>
      </c>
      <c r="AN37" s="337">
        <v>3.06</v>
      </c>
      <c r="AO37" s="337">
        <v>3.12</v>
      </c>
      <c r="AP37" s="337">
        <v>3.17</v>
      </c>
      <c r="AQ37" s="337">
        <v>3.23</v>
      </c>
      <c r="AR37" s="337">
        <v>3.29</v>
      </c>
      <c r="AS37" s="337">
        <v>3.35</v>
      </c>
      <c r="AT37" s="337">
        <v>3.42</v>
      </c>
      <c r="AU37" s="337">
        <v>3.48</v>
      </c>
      <c r="AV37" s="337">
        <v>3.54</v>
      </c>
      <c r="AW37" s="337">
        <v>3.61</v>
      </c>
      <c r="AX37" s="337">
        <v>3.68</v>
      </c>
      <c r="AY37" s="337">
        <v>3.74</v>
      </c>
      <c r="AZ37" s="337">
        <v>3.81</v>
      </c>
      <c r="BA37" s="337">
        <v>3.88</v>
      </c>
      <c r="BB37" s="337">
        <v>3.95</v>
      </c>
      <c r="BC37" s="337">
        <v>4.03</v>
      </c>
      <c r="BD37" s="337">
        <v>4.0999999999999996</v>
      </c>
      <c r="BE37" s="337">
        <v>4.18</v>
      </c>
      <c r="BF37" s="337">
        <v>4.26</v>
      </c>
      <c r="BG37" s="337">
        <v>4.33</v>
      </c>
      <c r="BH37" s="337">
        <v>4.41</v>
      </c>
      <c r="BI37" s="337">
        <v>4.5</v>
      </c>
      <c r="BJ37" s="337">
        <v>4.58</v>
      </c>
      <c r="BK37" s="337">
        <v>4.66</v>
      </c>
    </row>
    <row r="38" spans="1:63" ht="15.75" customHeight="1">
      <c r="A38" s="335" t="s">
        <v>565</v>
      </c>
      <c r="B38" s="328" t="s">
        <v>535</v>
      </c>
      <c r="C38" s="328" t="s">
        <v>568</v>
      </c>
      <c r="D38" s="328" t="s">
        <v>566</v>
      </c>
      <c r="E38" s="328" t="s">
        <v>566</v>
      </c>
      <c r="F38" s="328" t="s">
        <v>566</v>
      </c>
      <c r="G38" s="328" t="s">
        <v>567</v>
      </c>
      <c r="H38" s="328">
        <v>0</v>
      </c>
      <c r="I38" s="328" t="s">
        <v>12</v>
      </c>
      <c r="J38" s="328" t="s">
        <v>12</v>
      </c>
      <c r="K38" s="336">
        <v>25.58482343</v>
      </c>
      <c r="L38" s="337">
        <v>22.023940570000001</v>
      </c>
      <c r="M38" s="337">
        <v>21.49139379</v>
      </c>
      <c r="N38" s="337">
        <v>20.510462489999998</v>
      </c>
      <c r="O38" s="337">
        <v>21.29</v>
      </c>
      <c r="P38" s="337">
        <v>21.75</v>
      </c>
      <c r="Q38" s="337">
        <v>22.61</v>
      </c>
      <c r="R38" s="337">
        <v>22.99</v>
      </c>
      <c r="S38" s="337">
        <v>23.72</v>
      </c>
      <c r="T38" s="337">
        <v>24.24</v>
      </c>
      <c r="U38" s="337">
        <v>25.12</v>
      </c>
      <c r="V38" s="337">
        <v>25.42</v>
      </c>
      <c r="W38" s="337">
        <v>26.21</v>
      </c>
      <c r="X38" s="337">
        <v>26.8</v>
      </c>
      <c r="Y38" s="337">
        <v>27.64</v>
      </c>
      <c r="Z38" s="337">
        <v>28.22</v>
      </c>
      <c r="AA38" s="337">
        <v>29.04</v>
      </c>
      <c r="AB38" s="337">
        <v>29.53</v>
      </c>
      <c r="AC38" s="337">
        <v>30.42</v>
      </c>
      <c r="AD38" s="337">
        <v>30.93</v>
      </c>
      <c r="AE38" s="337">
        <v>31.77</v>
      </c>
      <c r="AF38" s="337">
        <v>32.4</v>
      </c>
      <c r="AG38" s="337">
        <v>33.229999999999997</v>
      </c>
      <c r="AH38" s="337">
        <v>33.840000000000003</v>
      </c>
      <c r="AI38" s="337">
        <v>34.67</v>
      </c>
      <c r="AJ38" s="337">
        <v>35.14</v>
      </c>
      <c r="AK38" s="337">
        <v>35.97</v>
      </c>
      <c r="AL38" s="337">
        <v>36.520000000000003</v>
      </c>
      <c r="AM38" s="337">
        <v>37.4</v>
      </c>
      <c r="AN38" s="337">
        <v>37.979999999999997</v>
      </c>
      <c r="AO38" s="337">
        <v>38.69</v>
      </c>
      <c r="AP38" s="337">
        <v>39.29</v>
      </c>
      <c r="AQ38" s="337">
        <v>40.020000000000003</v>
      </c>
      <c r="AR38" s="337">
        <v>40.799999999999997</v>
      </c>
      <c r="AS38" s="337">
        <v>41.56</v>
      </c>
      <c r="AT38" s="337">
        <v>42.35</v>
      </c>
      <c r="AU38" s="337">
        <v>43.12</v>
      </c>
      <c r="AV38" s="337">
        <v>43.93</v>
      </c>
      <c r="AW38" s="337">
        <v>44.74</v>
      </c>
      <c r="AX38" s="337">
        <v>45.57</v>
      </c>
      <c r="AY38" s="337">
        <v>46.4</v>
      </c>
      <c r="AZ38" s="337">
        <v>47.25</v>
      </c>
      <c r="BA38" s="337">
        <v>48.12</v>
      </c>
      <c r="BB38" s="337">
        <v>49.01</v>
      </c>
      <c r="BC38" s="337">
        <v>49.93</v>
      </c>
      <c r="BD38" s="337">
        <v>50.85</v>
      </c>
      <c r="BE38" s="337">
        <v>51.79</v>
      </c>
      <c r="BF38" s="337">
        <v>52.75</v>
      </c>
      <c r="BG38" s="337">
        <v>53.72</v>
      </c>
      <c r="BH38" s="337">
        <v>54.72</v>
      </c>
      <c r="BI38" s="337">
        <v>55.73</v>
      </c>
      <c r="BJ38" s="337">
        <v>56.76</v>
      </c>
      <c r="BK38" s="337">
        <v>57.81</v>
      </c>
    </row>
    <row r="39" spans="1:63" ht="15.75" customHeight="1">
      <c r="A39" s="335" t="s">
        <v>565</v>
      </c>
      <c r="B39" s="328" t="s">
        <v>537</v>
      </c>
      <c r="C39" s="328" t="s">
        <v>569</v>
      </c>
      <c r="D39" s="328" t="s">
        <v>566</v>
      </c>
      <c r="E39" s="328" t="s">
        <v>566</v>
      </c>
      <c r="F39" s="328" t="s">
        <v>566</v>
      </c>
      <c r="G39" s="328" t="s">
        <v>567</v>
      </c>
      <c r="H39" s="328">
        <v>0</v>
      </c>
      <c r="I39" s="328" t="s">
        <v>12</v>
      </c>
      <c r="J39" s="328" t="s">
        <v>12</v>
      </c>
      <c r="K39" s="336">
        <v>0.61379801499999997</v>
      </c>
      <c r="L39" s="337">
        <v>0.85415239099999996</v>
      </c>
      <c r="M39" s="337">
        <v>0.74826209600000004</v>
      </c>
      <c r="N39" s="337">
        <v>1.0382512100000001</v>
      </c>
      <c r="O39" s="337">
        <v>1.08</v>
      </c>
      <c r="P39" s="337">
        <v>1.1000000000000001</v>
      </c>
      <c r="Q39" s="337">
        <v>1.1399999999999999</v>
      </c>
      <c r="R39" s="337">
        <v>1.1599999999999999</v>
      </c>
      <c r="S39" s="337">
        <v>1.2</v>
      </c>
      <c r="T39" s="337">
        <v>1.23</v>
      </c>
      <c r="U39" s="337">
        <v>1.27</v>
      </c>
      <c r="V39" s="337">
        <v>1.29</v>
      </c>
      <c r="W39" s="337">
        <v>1.33</v>
      </c>
      <c r="X39" s="337">
        <v>1.36</v>
      </c>
      <c r="Y39" s="337">
        <v>1.4</v>
      </c>
      <c r="Z39" s="337">
        <v>1.43</v>
      </c>
      <c r="AA39" s="337">
        <v>1.47</v>
      </c>
      <c r="AB39" s="337">
        <v>1.49</v>
      </c>
      <c r="AC39" s="337">
        <v>1.54</v>
      </c>
      <c r="AD39" s="337">
        <v>1.57</v>
      </c>
      <c r="AE39" s="337">
        <v>1.61</v>
      </c>
      <c r="AF39" s="337">
        <v>1.64</v>
      </c>
      <c r="AG39" s="337">
        <v>1.68</v>
      </c>
      <c r="AH39" s="337">
        <v>1.71</v>
      </c>
      <c r="AI39" s="337">
        <v>1.76</v>
      </c>
      <c r="AJ39" s="337">
        <v>1.78</v>
      </c>
      <c r="AK39" s="337">
        <v>1.82</v>
      </c>
      <c r="AL39" s="337">
        <v>1.85</v>
      </c>
      <c r="AM39" s="337">
        <v>1.89</v>
      </c>
      <c r="AN39" s="337">
        <v>1.92</v>
      </c>
      <c r="AO39" s="337">
        <v>1.96</v>
      </c>
      <c r="AP39" s="337">
        <v>1.99</v>
      </c>
      <c r="AQ39" s="337">
        <v>2.0299999999999998</v>
      </c>
      <c r="AR39" s="337">
        <v>2.0699999999999998</v>
      </c>
      <c r="AS39" s="337">
        <v>2.1</v>
      </c>
      <c r="AT39" s="337">
        <v>2.14</v>
      </c>
      <c r="AU39" s="337">
        <v>2.1800000000000002</v>
      </c>
      <c r="AV39" s="337">
        <v>2.2200000000000002</v>
      </c>
      <c r="AW39" s="337">
        <v>2.2599999999999998</v>
      </c>
      <c r="AX39" s="337">
        <v>2.31</v>
      </c>
      <c r="AY39" s="337">
        <v>2.35</v>
      </c>
      <c r="AZ39" s="337">
        <v>2.39</v>
      </c>
      <c r="BA39" s="337">
        <v>2.44</v>
      </c>
      <c r="BB39" s="337">
        <v>2.48</v>
      </c>
      <c r="BC39" s="337">
        <v>2.5299999999999998</v>
      </c>
      <c r="BD39" s="337">
        <v>2.57</v>
      </c>
      <c r="BE39" s="337">
        <v>2.62</v>
      </c>
      <c r="BF39" s="337">
        <v>2.67</v>
      </c>
      <c r="BG39" s="337">
        <v>2.72</v>
      </c>
      <c r="BH39" s="337">
        <v>2.77</v>
      </c>
      <c r="BI39" s="337">
        <v>2.82</v>
      </c>
      <c r="BJ39" s="337">
        <v>2.87</v>
      </c>
      <c r="BK39" s="337">
        <v>2.93</v>
      </c>
    </row>
    <row r="40" spans="1:63" ht="15.75" customHeight="1">
      <c r="A40" s="338" t="s">
        <v>565</v>
      </c>
      <c r="B40" s="329" t="s">
        <v>539</v>
      </c>
      <c r="C40" s="329" t="s">
        <v>540</v>
      </c>
      <c r="D40" s="329" t="s">
        <v>566</v>
      </c>
      <c r="E40" s="329" t="s">
        <v>566</v>
      </c>
      <c r="F40" s="329" t="s">
        <v>566</v>
      </c>
      <c r="G40" s="329" t="s">
        <v>567</v>
      </c>
      <c r="H40" s="329">
        <v>0</v>
      </c>
      <c r="I40" s="329" t="s">
        <v>12</v>
      </c>
      <c r="J40" s="329" t="s">
        <v>12</v>
      </c>
      <c r="K40" s="336">
        <v>8.2146779050000003</v>
      </c>
      <c r="L40" s="337">
        <v>8.9578359929999998</v>
      </c>
      <c r="M40" s="337">
        <v>9.0914695680000008</v>
      </c>
      <c r="N40" s="337">
        <v>7.6698878329999998</v>
      </c>
      <c r="O40" s="337">
        <v>7.67</v>
      </c>
      <c r="P40" s="337">
        <v>7.67</v>
      </c>
      <c r="Q40" s="337">
        <v>7.67</v>
      </c>
      <c r="R40" s="337">
        <v>7.67</v>
      </c>
      <c r="S40" s="337">
        <v>7.67</v>
      </c>
      <c r="T40" s="337">
        <v>7.67</v>
      </c>
      <c r="U40" s="337">
        <v>7.67</v>
      </c>
      <c r="V40" s="337">
        <v>7.67</v>
      </c>
      <c r="W40" s="337">
        <v>7.67</v>
      </c>
      <c r="X40" s="337">
        <v>7.67</v>
      </c>
      <c r="Y40" s="337">
        <v>7.67</v>
      </c>
      <c r="Z40" s="337">
        <v>7.67</v>
      </c>
      <c r="AA40" s="337">
        <v>7.67</v>
      </c>
      <c r="AB40" s="337">
        <v>7.67</v>
      </c>
      <c r="AC40" s="337">
        <v>7.67</v>
      </c>
      <c r="AD40" s="337">
        <v>7.67</v>
      </c>
      <c r="AE40" s="337">
        <v>7.67</v>
      </c>
      <c r="AF40" s="337">
        <v>7.67</v>
      </c>
      <c r="AG40" s="337">
        <v>7.67</v>
      </c>
      <c r="AH40" s="337">
        <v>7.67</v>
      </c>
      <c r="AI40" s="337">
        <v>7.67</v>
      </c>
      <c r="AJ40" s="337">
        <v>7.67</v>
      </c>
      <c r="AK40" s="337">
        <v>7.67</v>
      </c>
      <c r="AL40" s="337">
        <v>7.67</v>
      </c>
      <c r="AM40" s="337">
        <v>7.67</v>
      </c>
      <c r="AN40" s="337">
        <v>7.67</v>
      </c>
      <c r="AO40" s="337">
        <v>7.67</v>
      </c>
      <c r="AP40" s="337">
        <v>7.67</v>
      </c>
      <c r="AQ40" s="337">
        <v>7.67</v>
      </c>
      <c r="AR40" s="337">
        <v>7.67</v>
      </c>
      <c r="AS40" s="337">
        <v>7.67</v>
      </c>
      <c r="AT40" s="337">
        <v>7.67</v>
      </c>
      <c r="AU40" s="337">
        <v>7.67</v>
      </c>
      <c r="AV40" s="337">
        <v>7.67</v>
      </c>
      <c r="AW40" s="337">
        <v>7.67</v>
      </c>
      <c r="AX40" s="337">
        <v>7.67</v>
      </c>
      <c r="AY40" s="337">
        <v>7.67</v>
      </c>
      <c r="AZ40" s="337">
        <v>7.67</v>
      </c>
      <c r="BA40" s="337">
        <v>7.67</v>
      </c>
      <c r="BB40" s="337">
        <v>7.67</v>
      </c>
      <c r="BC40" s="337">
        <v>7.67</v>
      </c>
      <c r="BD40" s="337">
        <v>7.67</v>
      </c>
      <c r="BE40" s="337">
        <v>7.67</v>
      </c>
      <c r="BF40" s="337">
        <v>7.67</v>
      </c>
      <c r="BG40" s="337">
        <v>7.67</v>
      </c>
      <c r="BH40" s="337">
        <v>7.67</v>
      </c>
      <c r="BI40" s="337">
        <v>7.67</v>
      </c>
      <c r="BJ40" s="337">
        <v>7.67</v>
      </c>
      <c r="BK40" s="337">
        <v>7.67</v>
      </c>
    </row>
    <row r="41" spans="1:63" ht="15.75" customHeight="1">
      <c r="A41" s="338" t="s">
        <v>565</v>
      </c>
      <c r="B41" s="329" t="s">
        <v>541</v>
      </c>
      <c r="C41" s="329" t="s">
        <v>542</v>
      </c>
      <c r="D41" s="329" t="s">
        <v>566</v>
      </c>
      <c r="E41" s="329" t="s">
        <v>566</v>
      </c>
      <c r="F41" s="329" t="s">
        <v>566</v>
      </c>
      <c r="G41" s="329" t="s">
        <v>567</v>
      </c>
      <c r="H41" s="329">
        <v>0</v>
      </c>
      <c r="I41" s="329" t="s">
        <v>12</v>
      </c>
      <c r="J41" s="329" t="s">
        <v>12</v>
      </c>
      <c r="K41" s="338">
        <v>1.616278579</v>
      </c>
      <c r="L41" s="329">
        <v>1.5668813159999999</v>
      </c>
      <c r="M41" s="329">
        <v>1.4792549399999999</v>
      </c>
      <c r="N41" s="329">
        <v>1.508411693</v>
      </c>
      <c r="O41" s="329">
        <v>1.508411693</v>
      </c>
      <c r="P41" s="329">
        <v>1.508411693</v>
      </c>
      <c r="Q41" s="329">
        <v>1.508411693</v>
      </c>
      <c r="R41" s="329">
        <v>1.508411693</v>
      </c>
      <c r="S41" s="329">
        <v>1.508411693</v>
      </c>
      <c r="T41" s="329">
        <v>1.508411693</v>
      </c>
      <c r="U41" s="329">
        <v>1.508411693</v>
      </c>
      <c r="V41" s="329">
        <v>1.508411693</v>
      </c>
      <c r="W41" s="329">
        <v>1.508411693</v>
      </c>
      <c r="X41" s="329">
        <v>1.508411693</v>
      </c>
      <c r="Y41" s="329">
        <v>1.508411693</v>
      </c>
      <c r="Z41" s="329">
        <v>1.508411693</v>
      </c>
      <c r="AA41" s="329">
        <v>1.508411693</v>
      </c>
      <c r="AB41" s="329">
        <v>1.508411693</v>
      </c>
      <c r="AC41" s="329">
        <v>1.508411693</v>
      </c>
      <c r="AD41" s="329">
        <v>1.508411693</v>
      </c>
      <c r="AE41" s="329">
        <v>1.508411693</v>
      </c>
      <c r="AF41" s="329">
        <v>1.508411693</v>
      </c>
      <c r="AG41" s="329">
        <v>1.508411693</v>
      </c>
      <c r="AH41" s="329">
        <v>1.508411693</v>
      </c>
      <c r="AI41" s="329">
        <v>1.508411693</v>
      </c>
      <c r="AJ41" s="329">
        <v>1.508411693</v>
      </c>
      <c r="AK41" s="329">
        <v>1.508411693</v>
      </c>
      <c r="AL41" s="329">
        <v>1.508411693</v>
      </c>
      <c r="AM41" s="329">
        <v>1.508411693</v>
      </c>
      <c r="AN41" s="329">
        <v>1.508411693</v>
      </c>
      <c r="AO41" s="329">
        <v>1.508411693</v>
      </c>
      <c r="AP41" s="329">
        <v>1.508411693</v>
      </c>
      <c r="AQ41" s="329">
        <v>1.508411693</v>
      </c>
      <c r="AR41" s="329">
        <v>1.508411693</v>
      </c>
      <c r="AS41" s="329">
        <v>1.508411693</v>
      </c>
      <c r="AT41" s="329">
        <v>1.508411693</v>
      </c>
      <c r="AU41" s="329">
        <v>1.508411693</v>
      </c>
      <c r="AV41" s="329">
        <v>1.508411693</v>
      </c>
      <c r="AW41" s="329">
        <v>1.508411693</v>
      </c>
      <c r="AX41" s="329">
        <v>1.508411693</v>
      </c>
      <c r="AY41" s="329">
        <v>1.508411693</v>
      </c>
      <c r="AZ41" s="329">
        <v>1.508411693</v>
      </c>
      <c r="BA41" s="329">
        <v>1.508411693</v>
      </c>
      <c r="BB41" s="329">
        <v>1.508411693</v>
      </c>
      <c r="BC41" s="329">
        <v>1.508411693</v>
      </c>
      <c r="BD41" s="329">
        <v>1.508411693</v>
      </c>
      <c r="BE41" s="329">
        <v>1.508411693</v>
      </c>
      <c r="BF41" s="329">
        <v>1.508411693</v>
      </c>
      <c r="BG41" s="329">
        <v>1.508411693</v>
      </c>
      <c r="BH41" s="329">
        <v>1.508411693</v>
      </c>
      <c r="BI41" s="329">
        <v>1.508411693</v>
      </c>
      <c r="BJ41" s="329">
        <v>1.508411693</v>
      </c>
      <c r="BK41" s="329">
        <v>1.508411693</v>
      </c>
    </row>
    <row r="42" spans="1:63" ht="16.5" customHeight="1">
      <c r="A42" s="338" t="s">
        <v>565</v>
      </c>
      <c r="B42" s="329" t="s">
        <v>543</v>
      </c>
      <c r="C42" s="329" t="s">
        <v>544</v>
      </c>
      <c r="D42" s="329" t="s">
        <v>566</v>
      </c>
      <c r="E42" s="329" t="s">
        <v>566</v>
      </c>
      <c r="F42" s="329" t="s">
        <v>566</v>
      </c>
      <c r="G42" s="329" t="s">
        <v>567</v>
      </c>
      <c r="H42" s="329">
        <v>0</v>
      </c>
      <c r="I42" s="329" t="s">
        <v>12</v>
      </c>
      <c r="J42" s="329" t="s">
        <v>12</v>
      </c>
      <c r="K42" s="336">
        <v>26.62421775</v>
      </c>
      <c r="L42" s="337">
        <v>27.54513743</v>
      </c>
      <c r="M42" s="337">
        <v>29.009550699999998</v>
      </c>
      <c r="N42" s="337">
        <v>28.635027879999999</v>
      </c>
      <c r="O42" s="337">
        <v>29.01998</v>
      </c>
      <c r="P42" s="337">
        <v>29.40164</v>
      </c>
      <c r="Q42" s="337">
        <v>29.779800000000002</v>
      </c>
      <c r="R42" s="337">
        <v>30.15437</v>
      </c>
      <c r="S42" s="337">
        <v>30.524940000000001</v>
      </c>
      <c r="T42" s="337">
        <v>30.891380000000002</v>
      </c>
      <c r="U42" s="337">
        <v>31.253409999999999</v>
      </c>
      <c r="V42" s="337">
        <v>31.610980000000001</v>
      </c>
      <c r="W42" s="337">
        <v>31.963699999999999</v>
      </c>
      <c r="X42" s="337">
        <v>32.311369999999997</v>
      </c>
      <c r="Y42" s="337">
        <v>32.653750000000002</v>
      </c>
      <c r="Z42" s="337">
        <v>32.990560000000002</v>
      </c>
      <c r="AA42" s="337">
        <v>33.321649999999998</v>
      </c>
      <c r="AB42" s="337">
        <v>33.646799999999999</v>
      </c>
      <c r="AC42" s="337">
        <v>33.965850000000003</v>
      </c>
      <c r="AD42" s="337">
        <v>34.27854</v>
      </c>
      <c r="AE42" s="337">
        <v>34.58475</v>
      </c>
      <c r="AF42" s="337">
        <v>34.884279999999997</v>
      </c>
      <c r="AG42" s="337">
        <v>35.177</v>
      </c>
      <c r="AH42" s="337">
        <v>35.462859999999999</v>
      </c>
      <c r="AI42" s="337">
        <v>35.741770000000002</v>
      </c>
      <c r="AJ42" s="337">
        <v>36.013550000000002</v>
      </c>
      <c r="AK42" s="337">
        <v>36.278179999999999</v>
      </c>
      <c r="AL42" s="337">
        <v>36.535469999999997</v>
      </c>
      <c r="AM42" s="337">
        <v>36.785380000000004</v>
      </c>
      <c r="AN42" s="337">
        <v>37.02796</v>
      </c>
      <c r="AO42" s="337">
        <v>37.262990000000002</v>
      </c>
      <c r="AP42" s="337">
        <v>37.490540000000003</v>
      </c>
      <c r="AQ42" s="337">
        <v>37.71069</v>
      </c>
      <c r="AR42" s="337">
        <v>37.92</v>
      </c>
      <c r="AS42" s="337">
        <v>38.130000000000003</v>
      </c>
      <c r="AT42" s="337">
        <v>38.33</v>
      </c>
      <c r="AU42" s="337">
        <v>38.51</v>
      </c>
      <c r="AV42" s="337">
        <v>38.700000000000003</v>
      </c>
      <c r="AW42" s="337">
        <v>38.869999999999997</v>
      </c>
      <c r="AX42" s="337">
        <v>39.03</v>
      </c>
      <c r="AY42" s="337">
        <v>39.19</v>
      </c>
      <c r="AZ42" s="337">
        <v>39.340000000000003</v>
      </c>
      <c r="BA42" s="337">
        <v>39.47</v>
      </c>
      <c r="BB42" s="337">
        <v>39.6</v>
      </c>
      <c r="BC42" s="337">
        <v>39.729999999999997</v>
      </c>
      <c r="BD42" s="337">
        <v>39.840000000000003</v>
      </c>
      <c r="BE42" s="337">
        <v>39.94</v>
      </c>
      <c r="BF42" s="337">
        <v>40.04</v>
      </c>
      <c r="BG42" s="337">
        <v>40.119999999999997</v>
      </c>
      <c r="BH42" s="337">
        <v>40.200000000000003</v>
      </c>
      <c r="BI42" s="337">
        <v>40.26</v>
      </c>
      <c r="BJ42" s="337">
        <v>40.32</v>
      </c>
      <c r="BK42" s="337">
        <v>40.369999999999997</v>
      </c>
    </row>
    <row r="43" spans="1:63" ht="16.5" customHeight="1">
      <c r="A43" s="335" t="s">
        <v>565</v>
      </c>
      <c r="B43" s="328" t="s">
        <v>545</v>
      </c>
      <c r="C43" s="328" t="s">
        <v>546</v>
      </c>
      <c r="D43" s="328" t="s">
        <v>566</v>
      </c>
      <c r="E43" s="328" t="s">
        <v>566</v>
      </c>
      <c r="F43" s="328" t="s">
        <v>566</v>
      </c>
      <c r="G43" s="328" t="s">
        <v>567</v>
      </c>
      <c r="H43" s="328">
        <v>0</v>
      </c>
      <c r="I43" s="328" t="s">
        <v>12</v>
      </c>
      <c r="J43" s="328" t="s">
        <v>12</v>
      </c>
      <c r="K43" s="336">
        <v>8.0827000000000009</v>
      </c>
      <c r="L43" s="337">
        <v>7.7285000000000004</v>
      </c>
      <c r="M43" s="337">
        <v>7.3395000000000001</v>
      </c>
      <c r="N43" s="337">
        <v>7.1161000000000003</v>
      </c>
      <c r="O43" s="337">
        <v>6.8926999999999996</v>
      </c>
      <c r="P43" s="337">
        <v>6.6692999999999998</v>
      </c>
      <c r="Q43" s="337">
        <v>6.4459999999999997</v>
      </c>
      <c r="R43" s="337">
        <v>6.2225999999999999</v>
      </c>
      <c r="S43" s="337">
        <v>6.0629</v>
      </c>
      <c r="T43" s="337">
        <v>5.9032</v>
      </c>
      <c r="U43" s="337">
        <v>5.7435</v>
      </c>
      <c r="V43" s="337">
        <v>5.5838000000000001</v>
      </c>
      <c r="W43" s="337">
        <v>5.4241000000000001</v>
      </c>
      <c r="X43" s="337">
        <v>5.3106999999999998</v>
      </c>
      <c r="Y43" s="337">
        <v>5.1974</v>
      </c>
      <c r="Z43" s="337">
        <v>5.0839999999999996</v>
      </c>
      <c r="AA43" s="337">
        <v>4.9706999999999999</v>
      </c>
      <c r="AB43" s="337">
        <v>4.8573000000000004</v>
      </c>
      <c r="AC43" s="337">
        <v>4.7789999999999999</v>
      </c>
      <c r="AD43" s="337">
        <v>4.7007000000000003</v>
      </c>
      <c r="AE43" s="337">
        <v>4.6223000000000001</v>
      </c>
      <c r="AF43" s="337">
        <v>4.5439999999999996</v>
      </c>
      <c r="AG43" s="337">
        <v>4.4656000000000002</v>
      </c>
      <c r="AH43" s="337">
        <v>4.4149000000000003</v>
      </c>
      <c r="AI43" s="337">
        <v>4.3642000000000003</v>
      </c>
      <c r="AJ43" s="337">
        <v>4.3133999999999997</v>
      </c>
      <c r="AK43" s="337">
        <v>4.2626999999999997</v>
      </c>
      <c r="AL43" s="337">
        <v>4.2119999999999997</v>
      </c>
      <c r="AM43" s="337">
        <v>4.1841999999999997</v>
      </c>
      <c r="AN43" s="337">
        <v>4.1563999999999997</v>
      </c>
      <c r="AO43" s="337">
        <v>4.1287000000000003</v>
      </c>
      <c r="AP43" s="337">
        <v>4.1009000000000002</v>
      </c>
      <c r="AQ43" s="337">
        <v>4.0731000000000002</v>
      </c>
      <c r="AR43" s="337">
        <v>4.0462999999999996</v>
      </c>
      <c r="AS43" s="337">
        <v>4.0194000000000001</v>
      </c>
      <c r="AT43" s="337">
        <v>3.9925999999999999</v>
      </c>
      <c r="AU43" s="337">
        <v>3.9657</v>
      </c>
      <c r="AV43" s="337">
        <v>3.9388999999999998</v>
      </c>
      <c r="AW43" s="337">
        <v>3.9129</v>
      </c>
      <c r="AX43" s="337">
        <v>3.887</v>
      </c>
      <c r="AY43" s="337">
        <v>3.8610000000000002</v>
      </c>
      <c r="AZ43" s="337">
        <v>3.835</v>
      </c>
      <c r="BA43" s="337">
        <v>3.8090999999999999</v>
      </c>
      <c r="BB43" s="337">
        <v>3.7839</v>
      </c>
      <c r="BC43" s="337">
        <v>3.7587999999999999</v>
      </c>
      <c r="BD43" s="337">
        <v>3.7336999999999998</v>
      </c>
      <c r="BE43" s="337">
        <v>3.7086000000000001</v>
      </c>
      <c r="BF43" s="337">
        <v>3.6835</v>
      </c>
      <c r="BG43" s="337">
        <v>3.6591999999999998</v>
      </c>
      <c r="BH43" s="337">
        <v>3.6349</v>
      </c>
      <c r="BI43" s="337">
        <v>3.6107</v>
      </c>
      <c r="BJ43" s="337">
        <v>3.5863999999999998</v>
      </c>
      <c r="BK43" s="337">
        <v>3.5621</v>
      </c>
    </row>
    <row r="44" spans="1:63" ht="16.5" customHeight="1">
      <c r="A44" s="338" t="s">
        <v>565</v>
      </c>
      <c r="B44" s="329" t="s">
        <v>547</v>
      </c>
      <c r="C44" s="329" t="s">
        <v>548</v>
      </c>
      <c r="D44" s="329" t="s">
        <v>566</v>
      </c>
      <c r="E44" s="329" t="s">
        <v>566</v>
      </c>
      <c r="F44" s="329" t="s">
        <v>566</v>
      </c>
      <c r="G44" s="329" t="s">
        <v>567</v>
      </c>
      <c r="H44" s="329">
        <v>0</v>
      </c>
      <c r="I44" s="329" t="s">
        <v>12</v>
      </c>
      <c r="J44" s="329" t="s">
        <v>12</v>
      </c>
      <c r="K44" s="336">
        <v>37.188177500000002</v>
      </c>
      <c r="L44" s="337">
        <v>38.367604450000002</v>
      </c>
      <c r="M44" s="337">
        <v>39.136214529999997</v>
      </c>
      <c r="N44" s="337">
        <v>39.917656399999998</v>
      </c>
      <c r="O44" s="337">
        <v>40.450000000000003</v>
      </c>
      <c r="P44" s="337">
        <v>40.99</v>
      </c>
      <c r="Q44" s="337">
        <v>41.51</v>
      </c>
      <c r="R44" s="337">
        <v>42.04</v>
      </c>
      <c r="S44" s="337">
        <v>42.55</v>
      </c>
      <c r="T44" s="337">
        <v>43.06</v>
      </c>
      <c r="U44" s="337">
        <v>43.57</v>
      </c>
      <c r="V44" s="337">
        <v>44.07</v>
      </c>
      <c r="W44" s="337">
        <v>44.56</v>
      </c>
      <c r="X44" s="337">
        <v>45.04</v>
      </c>
      <c r="Y44" s="337">
        <v>45.52</v>
      </c>
      <c r="Z44" s="337">
        <v>45.99</v>
      </c>
      <c r="AA44" s="337">
        <v>46.45</v>
      </c>
      <c r="AB44" s="337">
        <v>46.9</v>
      </c>
      <c r="AC44" s="337">
        <v>47.35</v>
      </c>
      <c r="AD44" s="337">
        <v>47.78</v>
      </c>
      <c r="AE44" s="337">
        <v>48.21</v>
      </c>
      <c r="AF44" s="337">
        <v>48.63</v>
      </c>
      <c r="AG44" s="337">
        <v>49.04</v>
      </c>
      <c r="AH44" s="337">
        <v>49.44</v>
      </c>
      <c r="AI44" s="337">
        <v>49.82</v>
      </c>
      <c r="AJ44" s="337">
        <v>50.2</v>
      </c>
      <c r="AK44" s="337">
        <v>50.57</v>
      </c>
      <c r="AL44" s="337">
        <v>50.93</v>
      </c>
      <c r="AM44" s="337">
        <v>51.28</v>
      </c>
      <c r="AN44" s="337">
        <v>51.62</v>
      </c>
      <c r="AO44" s="337">
        <v>51.95</v>
      </c>
      <c r="AP44" s="337">
        <v>52.26</v>
      </c>
      <c r="AQ44" s="337">
        <v>52.57</v>
      </c>
      <c r="AR44" s="337">
        <v>52.87</v>
      </c>
      <c r="AS44" s="337">
        <v>53.15</v>
      </c>
      <c r="AT44" s="337">
        <v>53.43</v>
      </c>
      <c r="AU44" s="337">
        <v>53.69</v>
      </c>
      <c r="AV44" s="337">
        <v>53.94</v>
      </c>
      <c r="AW44" s="337">
        <v>54.18</v>
      </c>
      <c r="AX44" s="337">
        <v>54.41</v>
      </c>
      <c r="AY44" s="337">
        <v>54.63</v>
      </c>
      <c r="AZ44" s="337">
        <v>54.83</v>
      </c>
      <c r="BA44" s="337">
        <v>55.03</v>
      </c>
      <c r="BB44" s="337">
        <v>55.21</v>
      </c>
      <c r="BC44" s="337">
        <v>55.38</v>
      </c>
      <c r="BD44" s="337">
        <v>55.53</v>
      </c>
      <c r="BE44" s="337">
        <v>55.68</v>
      </c>
      <c r="BF44" s="337">
        <v>55.81</v>
      </c>
      <c r="BG44" s="337">
        <v>55.93</v>
      </c>
      <c r="BH44" s="337">
        <v>56.03</v>
      </c>
      <c r="BI44" s="337">
        <v>56.13</v>
      </c>
      <c r="BJ44" s="337">
        <v>56.21</v>
      </c>
      <c r="BK44" s="337">
        <v>56.27</v>
      </c>
    </row>
    <row r="45" spans="1:63" ht="16.5" customHeight="1">
      <c r="A45" s="335" t="s">
        <v>565</v>
      </c>
      <c r="B45" s="328" t="s">
        <v>549</v>
      </c>
      <c r="C45" s="328" t="s">
        <v>550</v>
      </c>
      <c r="D45" s="328" t="s">
        <v>566</v>
      </c>
      <c r="E45" s="328" t="s">
        <v>566</v>
      </c>
      <c r="F45" s="328" t="s">
        <v>566</v>
      </c>
      <c r="G45" s="328" t="s">
        <v>567</v>
      </c>
      <c r="H45" s="328">
        <v>0</v>
      </c>
      <c r="I45" s="328" t="s">
        <v>12</v>
      </c>
      <c r="J45" s="328" t="s">
        <v>12</v>
      </c>
      <c r="K45" s="336">
        <v>2.1965064999999999E-2</v>
      </c>
      <c r="L45" s="337">
        <v>2.0567029000000001E-2</v>
      </c>
      <c r="M45" s="337">
        <v>1.9008263000000001E-2</v>
      </c>
      <c r="N45" s="337">
        <v>2.3492364000000002E-2</v>
      </c>
      <c r="O45" s="337">
        <v>0.02</v>
      </c>
      <c r="P45" s="337">
        <v>0.02</v>
      </c>
      <c r="Q45" s="337">
        <v>0.02</v>
      </c>
      <c r="R45" s="337">
        <v>0.02</v>
      </c>
      <c r="S45" s="337">
        <v>0.03</v>
      </c>
      <c r="T45" s="337">
        <v>0.03</v>
      </c>
      <c r="U45" s="337">
        <v>0.03</v>
      </c>
      <c r="V45" s="337">
        <v>0.03</v>
      </c>
      <c r="W45" s="337">
        <v>0.03</v>
      </c>
      <c r="X45" s="337">
        <v>0.03</v>
      </c>
      <c r="Y45" s="337">
        <v>0.03</v>
      </c>
      <c r="Z45" s="337">
        <v>0.03</v>
      </c>
      <c r="AA45" s="337">
        <v>0.03</v>
      </c>
      <c r="AB45" s="337">
        <v>0.03</v>
      </c>
      <c r="AC45" s="337">
        <v>0.03</v>
      </c>
      <c r="AD45" s="337">
        <v>0.03</v>
      </c>
      <c r="AE45" s="337">
        <v>0.03</v>
      </c>
      <c r="AF45" s="337">
        <v>0.03</v>
      </c>
      <c r="AG45" s="337">
        <v>0.03</v>
      </c>
      <c r="AH45" s="337">
        <v>0.03</v>
      </c>
      <c r="AI45" s="337">
        <v>0.03</v>
      </c>
      <c r="AJ45" s="337">
        <v>0.03</v>
      </c>
      <c r="AK45" s="337">
        <v>0.03</v>
      </c>
      <c r="AL45" s="337">
        <v>0.03</v>
      </c>
      <c r="AM45" s="337">
        <v>0.03</v>
      </c>
      <c r="AN45" s="337">
        <v>0.03</v>
      </c>
      <c r="AO45" s="337">
        <v>0.03</v>
      </c>
      <c r="AP45" s="337">
        <v>0.03</v>
      </c>
      <c r="AQ45" s="337">
        <v>0.03</v>
      </c>
      <c r="AR45" s="337">
        <v>0.03</v>
      </c>
      <c r="AS45" s="337">
        <v>0.03</v>
      </c>
      <c r="AT45" s="337">
        <v>0.03</v>
      </c>
      <c r="AU45" s="337">
        <v>0.03</v>
      </c>
      <c r="AV45" s="337">
        <v>0.03</v>
      </c>
      <c r="AW45" s="337">
        <v>0.03</v>
      </c>
      <c r="AX45" s="337">
        <v>0.03</v>
      </c>
      <c r="AY45" s="337">
        <v>0.03</v>
      </c>
      <c r="AZ45" s="337">
        <v>0.03</v>
      </c>
      <c r="BA45" s="337">
        <v>0.03</v>
      </c>
      <c r="BB45" s="337">
        <v>0.03</v>
      </c>
      <c r="BC45" s="337">
        <v>0.03</v>
      </c>
      <c r="BD45" s="337">
        <v>0.03</v>
      </c>
      <c r="BE45" s="337">
        <v>0.03</v>
      </c>
      <c r="BF45" s="337">
        <v>0.03</v>
      </c>
      <c r="BG45" s="337">
        <v>0.03</v>
      </c>
      <c r="BH45" s="337">
        <v>0.03</v>
      </c>
      <c r="BI45" s="337">
        <v>0.03</v>
      </c>
      <c r="BJ45" s="337">
        <v>0.03</v>
      </c>
      <c r="BK45" s="337">
        <v>0.03</v>
      </c>
    </row>
    <row r="46" spans="1:63" ht="16.5" customHeight="1">
      <c r="A46" s="335" t="s">
        <v>565</v>
      </c>
      <c r="B46" s="328" t="s">
        <v>570</v>
      </c>
      <c r="C46" s="328" t="s">
        <v>571</v>
      </c>
      <c r="D46" s="328" t="s">
        <v>566</v>
      </c>
      <c r="E46" s="328" t="s">
        <v>566</v>
      </c>
      <c r="F46" s="328" t="s">
        <v>566</v>
      </c>
      <c r="G46" s="328" t="s">
        <v>567</v>
      </c>
      <c r="H46" s="328">
        <v>0</v>
      </c>
      <c r="I46" s="328" t="s">
        <v>12</v>
      </c>
      <c r="J46" s="328" t="s">
        <v>12</v>
      </c>
      <c r="K46" s="336">
        <v>0.37022597099999999</v>
      </c>
      <c r="L46" s="337">
        <v>0.36906465999999999</v>
      </c>
      <c r="M46" s="337">
        <v>0.18720334599999999</v>
      </c>
      <c r="N46" s="337">
        <v>0.18720334599999999</v>
      </c>
      <c r="O46" s="337">
        <v>0.36</v>
      </c>
      <c r="P46" s="337">
        <v>0.38</v>
      </c>
      <c r="Q46" s="337">
        <v>0.39</v>
      </c>
      <c r="R46" s="337">
        <v>0.4</v>
      </c>
      <c r="S46" s="337">
        <v>0.41</v>
      </c>
      <c r="T46" s="337">
        <v>0.42</v>
      </c>
      <c r="U46" s="337">
        <v>0.43</v>
      </c>
      <c r="V46" s="337">
        <v>0.44</v>
      </c>
      <c r="W46" s="337">
        <v>0.45</v>
      </c>
      <c r="X46" s="337">
        <v>0.47</v>
      </c>
      <c r="Y46" s="337">
        <v>0.48</v>
      </c>
      <c r="Z46" s="337">
        <v>0.49</v>
      </c>
      <c r="AA46" s="337">
        <v>0.5</v>
      </c>
      <c r="AB46" s="337">
        <v>0.51</v>
      </c>
      <c r="AC46" s="337">
        <v>0.53</v>
      </c>
      <c r="AD46" s="337">
        <v>0.54</v>
      </c>
      <c r="AE46" s="337">
        <v>0.55000000000000004</v>
      </c>
      <c r="AF46" s="337">
        <v>0.56999999999999995</v>
      </c>
      <c r="AG46" s="337">
        <v>0.57999999999999996</v>
      </c>
      <c r="AH46" s="337">
        <v>0.59</v>
      </c>
      <c r="AI46" s="337">
        <v>0.61</v>
      </c>
      <c r="AJ46" s="337">
        <v>0.62</v>
      </c>
      <c r="AK46" s="337">
        <v>0.63</v>
      </c>
      <c r="AL46" s="337">
        <v>0.64</v>
      </c>
      <c r="AM46" s="337">
        <v>0.66</v>
      </c>
      <c r="AN46" s="337">
        <v>0.67</v>
      </c>
      <c r="AO46" s="337">
        <v>0.68</v>
      </c>
      <c r="AP46" s="337">
        <v>0.69</v>
      </c>
      <c r="AQ46" s="337">
        <v>0.7</v>
      </c>
      <c r="AR46" s="337">
        <v>0.72</v>
      </c>
      <c r="AS46" s="337">
        <v>0.73</v>
      </c>
      <c r="AT46" s="337">
        <v>0.74</v>
      </c>
      <c r="AU46" s="337">
        <v>0.76</v>
      </c>
      <c r="AV46" s="337">
        <v>0.77</v>
      </c>
      <c r="AW46" s="337">
        <v>0.79</v>
      </c>
      <c r="AX46" s="337">
        <v>0.8</v>
      </c>
      <c r="AY46" s="337">
        <v>0.81</v>
      </c>
      <c r="AZ46" s="337">
        <v>0.83</v>
      </c>
      <c r="BA46" s="337">
        <v>0.84</v>
      </c>
      <c r="BB46" s="337">
        <v>0.85</v>
      </c>
      <c r="BC46" s="337">
        <v>0.87</v>
      </c>
      <c r="BD46" s="337">
        <v>0.88</v>
      </c>
      <c r="BE46" s="337">
        <v>0.9</v>
      </c>
      <c r="BF46" s="337">
        <v>0.91</v>
      </c>
      <c r="BG46" s="337">
        <v>0.92</v>
      </c>
      <c r="BH46" s="337">
        <v>0.94</v>
      </c>
      <c r="BI46" s="337">
        <v>0.95</v>
      </c>
      <c r="BJ46" s="337">
        <v>0.96</v>
      </c>
      <c r="BK46" s="337">
        <v>0.98</v>
      </c>
    </row>
    <row r="47" spans="1:63" ht="15.75" customHeight="1">
      <c r="A47" s="338" t="s">
        <v>565</v>
      </c>
      <c r="B47" s="346" t="s">
        <v>572</v>
      </c>
      <c r="C47" s="346" t="s">
        <v>536</v>
      </c>
      <c r="D47" s="329" t="s">
        <v>566</v>
      </c>
      <c r="E47" s="329" t="s">
        <v>566</v>
      </c>
      <c r="F47" s="329" t="s">
        <v>566</v>
      </c>
      <c r="G47" s="329" t="s">
        <v>567</v>
      </c>
      <c r="H47" s="329">
        <v>0</v>
      </c>
      <c r="I47" s="329" t="s">
        <v>12</v>
      </c>
      <c r="J47" s="329" t="s">
        <v>12</v>
      </c>
      <c r="K47" s="336">
        <v>11.479559999999999</v>
      </c>
      <c r="L47" s="337">
        <v>11.54633538</v>
      </c>
      <c r="M47" s="337">
        <v>9.8560471100000004</v>
      </c>
      <c r="N47" s="337">
        <v>11.92666476</v>
      </c>
      <c r="O47" s="337">
        <v>12.25</v>
      </c>
      <c r="P47" s="337">
        <v>12.63</v>
      </c>
      <c r="Q47" s="337">
        <v>13.01</v>
      </c>
      <c r="R47" s="337">
        <v>13.36</v>
      </c>
      <c r="S47" s="337">
        <v>13.67</v>
      </c>
      <c r="T47" s="337">
        <v>14.1</v>
      </c>
      <c r="U47" s="337">
        <v>14.5</v>
      </c>
      <c r="V47" s="337">
        <v>14.82</v>
      </c>
      <c r="W47" s="337">
        <v>15.17</v>
      </c>
      <c r="X47" s="337">
        <v>15.65</v>
      </c>
      <c r="Y47" s="337">
        <v>16.04</v>
      </c>
      <c r="Z47" s="337">
        <v>16.5</v>
      </c>
      <c r="AA47" s="337">
        <v>16.899999999999999</v>
      </c>
      <c r="AB47" s="337">
        <v>17.29</v>
      </c>
      <c r="AC47" s="337">
        <v>17.739999999999998</v>
      </c>
      <c r="AD47" s="337">
        <v>18.14</v>
      </c>
      <c r="AE47" s="337">
        <v>18.559999999999999</v>
      </c>
      <c r="AF47" s="337">
        <v>19.03</v>
      </c>
      <c r="AG47" s="337">
        <v>19.46</v>
      </c>
      <c r="AH47" s="337">
        <v>19.91</v>
      </c>
      <c r="AI47" s="337">
        <v>20.350000000000001</v>
      </c>
      <c r="AJ47" s="337">
        <v>20.71</v>
      </c>
      <c r="AK47" s="337">
        <v>21.16</v>
      </c>
      <c r="AL47" s="337">
        <v>21.55</v>
      </c>
      <c r="AM47" s="337">
        <v>22.05</v>
      </c>
      <c r="AN47" s="337">
        <v>22.45</v>
      </c>
      <c r="AO47" s="337">
        <v>22.86</v>
      </c>
      <c r="AP47" s="337">
        <v>23.27</v>
      </c>
      <c r="AQ47" s="337">
        <v>23.69</v>
      </c>
      <c r="AR47" s="337">
        <v>24.17</v>
      </c>
      <c r="AS47" s="337">
        <v>24.61</v>
      </c>
      <c r="AT47" s="337">
        <v>25.04</v>
      </c>
      <c r="AU47" s="337">
        <v>25.49</v>
      </c>
      <c r="AV47" s="337">
        <v>25.94</v>
      </c>
      <c r="AW47" s="337">
        <v>26.41</v>
      </c>
      <c r="AX47" s="337">
        <v>26.86</v>
      </c>
      <c r="AY47" s="337">
        <v>27.31</v>
      </c>
      <c r="AZ47" s="337">
        <v>27.77</v>
      </c>
      <c r="BA47" s="337">
        <v>28.24</v>
      </c>
      <c r="BB47" s="337">
        <v>28.7</v>
      </c>
      <c r="BC47" s="337">
        <v>29.16</v>
      </c>
      <c r="BD47" s="337">
        <v>29.63</v>
      </c>
      <c r="BE47" s="337">
        <v>30.09</v>
      </c>
      <c r="BF47" s="337">
        <v>30.56</v>
      </c>
      <c r="BG47" s="337">
        <v>31.03</v>
      </c>
      <c r="BH47" s="337">
        <v>31.49</v>
      </c>
      <c r="BI47" s="337">
        <v>31.96</v>
      </c>
      <c r="BJ47" s="337">
        <v>32.43</v>
      </c>
      <c r="BK47" s="337">
        <v>32.9</v>
      </c>
    </row>
    <row r="48" spans="1:63" ht="15.75" customHeight="1">
      <c r="A48" s="338" t="s">
        <v>565</v>
      </c>
      <c r="B48" s="347" t="s">
        <v>573</v>
      </c>
      <c r="C48" s="347" t="s">
        <v>538</v>
      </c>
      <c r="D48" s="329" t="s">
        <v>566</v>
      </c>
      <c r="E48" s="329" t="s">
        <v>566</v>
      </c>
      <c r="F48" s="329" t="s">
        <v>566</v>
      </c>
      <c r="G48" s="329" t="s">
        <v>567</v>
      </c>
      <c r="H48" s="329">
        <v>0</v>
      </c>
      <c r="I48" s="329" t="s">
        <v>12</v>
      </c>
      <c r="J48" s="329" t="s">
        <v>12</v>
      </c>
      <c r="K48" s="336">
        <v>3.0774744E-2</v>
      </c>
      <c r="L48" s="337">
        <v>3.4839329999999998E-3</v>
      </c>
      <c r="M48" s="337">
        <v>9.8711440000000001E-3</v>
      </c>
      <c r="N48" s="337">
        <v>1.9742288E-2</v>
      </c>
      <c r="O48" s="337">
        <v>0.02</v>
      </c>
      <c r="P48" s="337">
        <v>0.02</v>
      </c>
      <c r="Q48" s="337">
        <v>0.02</v>
      </c>
      <c r="R48" s="337">
        <v>0.02</v>
      </c>
      <c r="S48" s="337">
        <v>0.02</v>
      </c>
      <c r="T48" s="337">
        <v>0.02</v>
      </c>
      <c r="U48" s="337">
        <v>0.02</v>
      </c>
      <c r="V48" s="337">
        <v>0.02</v>
      </c>
      <c r="W48" s="337">
        <v>0.03</v>
      </c>
      <c r="X48" s="337">
        <v>0.03</v>
      </c>
      <c r="Y48" s="337">
        <v>0.03</v>
      </c>
      <c r="Z48" s="337">
        <v>0.03</v>
      </c>
      <c r="AA48" s="337">
        <v>0.03</v>
      </c>
      <c r="AB48" s="337">
        <v>0.03</v>
      </c>
      <c r="AC48" s="337">
        <v>0.03</v>
      </c>
      <c r="AD48" s="337">
        <v>0.03</v>
      </c>
      <c r="AE48" s="337">
        <v>0.03</v>
      </c>
      <c r="AF48" s="337">
        <v>0.03</v>
      </c>
      <c r="AG48" s="337">
        <v>0.03</v>
      </c>
      <c r="AH48" s="337">
        <v>0.03</v>
      </c>
      <c r="AI48" s="337">
        <v>0.03</v>
      </c>
      <c r="AJ48" s="337">
        <v>0.03</v>
      </c>
      <c r="AK48" s="337">
        <v>0.04</v>
      </c>
      <c r="AL48" s="337">
        <v>0.04</v>
      </c>
      <c r="AM48" s="337">
        <v>0.04</v>
      </c>
      <c r="AN48" s="337">
        <v>0.04</v>
      </c>
      <c r="AO48" s="337">
        <v>0.04</v>
      </c>
      <c r="AP48" s="337">
        <v>0.04</v>
      </c>
      <c r="AQ48" s="337">
        <v>0.04</v>
      </c>
      <c r="AR48" s="337">
        <v>0.04</v>
      </c>
      <c r="AS48" s="337">
        <v>0.04</v>
      </c>
      <c r="AT48" s="337">
        <v>0.04</v>
      </c>
      <c r="AU48" s="337">
        <v>0.04</v>
      </c>
      <c r="AV48" s="337">
        <v>0.04</v>
      </c>
      <c r="AW48" s="337">
        <v>0.04</v>
      </c>
      <c r="AX48" s="337">
        <v>0.04</v>
      </c>
      <c r="AY48" s="337">
        <v>0.05</v>
      </c>
      <c r="AZ48" s="337">
        <v>0.05</v>
      </c>
      <c r="BA48" s="337">
        <v>0.05</v>
      </c>
      <c r="BB48" s="337">
        <v>0.05</v>
      </c>
      <c r="BC48" s="337">
        <v>0.05</v>
      </c>
      <c r="BD48" s="337">
        <v>0.05</v>
      </c>
      <c r="BE48" s="337">
        <v>0.05</v>
      </c>
      <c r="BF48" s="337">
        <v>0.05</v>
      </c>
      <c r="BG48" s="337">
        <v>0.05</v>
      </c>
      <c r="BH48" s="337">
        <v>0.05</v>
      </c>
      <c r="BI48" s="337">
        <v>0.05</v>
      </c>
      <c r="BJ48" s="337">
        <v>0.05</v>
      </c>
      <c r="BK48" s="337">
        <v>0.05</v>
      </c>
    </row>
    <row r="49" spans="11:14" ht="15.75" customHeight="1">
      <c r="K49" s="61"/>
      <c r="L49" s="61"/>
      <c r="M49" s="61"/>
      <c r="N49" s="61"/>
    </row>
    <row r="50" spans="11:14" ht="15.75" customHeight="1">
      <c r="K50" s="61"/>
      <c r="L50" s="61"/>
      <c r="M50" s="61"/>
      <c r="N50" s="61"/>
    </row>
    <row r="51" spans="11:14" ht="15.75" customHeight="1">
      <c r="K51" s="61"/>
      <c r="L51" s="61"/>
      <c r="M51" s="61"/>
      <c r="N51" s="61"/>
    </row>
    <row r="52" spans="11:14" ht="15.75" customHeight="1">
      <c r="K52" s="61"/>
      <c r="L52" s="61"/>
      <c r="M52" s="61"/>
      <c r="N52" s="61"/>
    </row>
    <row r="53" spans="11:14" ht="15.75" customHeight="1">
      <c r="K53" s="61"/>
      <c r="L53" s="61"/>
      <c r="M53" s="61"/>
      <c r="N53" s="61"/>
    </row>
    <row r="54" spans="11:14" ht="15.75" customHeight="1">
      <c r="K54" s="61"/>
      <c r="L54" s="61"/>
      <c r="M54" s="61"/>
      <c r="N54" s="61"/>
    </row>
    <row r="55" spans="11:14" ht="15.75" customHeight="1">
      <c r="K55" s="61"/>
      <c r="L55" s="61"/>
      <c r="M55" s="61"/>
      <c r="N55" s="61"/>
    </row>
    <row r="56" spans="11:14" ht="15.75" customHeight="1">
      <c r="K56" s="61"/>
      <c r="L56" s="61"/>
      <c r="M56" s="61"/>
      <c r="N56" s="61"/>
    </row>
    <row r="57" spans="11:14" ht="15.75" customHeight="1">
      <c r="K57" s="61"/>
      <c r="L57" s="61"/>
      <c r="M57" s="61"/>
      <c r="N57" s="61"/>
    </row>
    <row r="58" spans="11:14" ht="15.75" customHeight="1">
      <c r="K58" s="61"/>
      <c r="L58" s="61"/>
      <c r="M58" s="61"/>
      <c r="N58" s="61"/>
    </row>
    <row r="59" spans="11:14" ht="15.75" customHeight="1">
      <c r="K59" s="61"/>
      <c r="L59" s="61"/>
      <c r="M59" s="61"/>
      <c r="N59" s="61"/>
    </row>
    <row r="60" spans="11:14" ht="15.75" customHeight="1">
      <c r="K60" s="61"/>
      <c r="L60" s="61"/>
      <c r="M60" s="61"/>
      <c r="N60" s="61"/>
    </row>
    <row r="61" spans="11:14" ht="15.75" customHeight="1">
      <c r="K61" s="61"/>
      <c r="L61" s="61"/>
      <c r="M61" s="61"/>
      <c r="N61" s="61"/>
    </row>
    <row r="62" spans="11:14" ht="15.75" customHeight="1">
      <c r="K62" s="61"/>
      <c r="L62" s="61"/>
      <c r="M62" s="61"/>
      <c r="N62" s="61"/>
    </row>
    <row r="63" spans="11:14" ht="15.75" customHeight="1">
      <c r="K63" s="61"/>
      <c r="L63" s="61"/>
      <c r="M63" s="61"/>
      <c r="N63" s="61"/>
    </row>
    <row r="64" spans="11:14" ht="15.75" customHeight="1">
      <c r="K64" s="61"/>
      <c r="L64" s="61"/>
      <c r="M64" s="61"/>
      <c r="N64" s="61"/>
    </row>
    <row r="65" spans="11:14" ht="15.75" customHeight="1">
      <c r="K65" s="61"/>
      <c r="L65" s="61"/>
      <c r="M65" s="61"/>
      <c r="N65" s="61"/>
    </row>
    <row r="66" spans="11:14" ht="15.75" customHeight="1">
      <c r="K66" s="61"/>
      <c r="L66" s="61"/>
      <c r="M66" s="61"/>
      <c r="N66" s="61"/>
    </row>
    <row r="67" spans="11:14" ht="15.75" customHeight="1">
      <c r="K67" s="61"/>
      <c r="L67" s="61"/>
      <c r="M67" s="61"/>
      <c r="N67" s="61"/>
    </row>
    <row r="68" spans="11:14" ht="15.75" customHeight="1">
      <c r="K68" s="61"/>
      <c r="L68" s="61"/>
      <c r="M68" s="61"/>
      <c r="N68" s="61"/>
    </row>
    <row r="69" spans="11:14" ht="15.75" customHeight="1">
      <c r="K69" s="61"/>
      <c r="L69" s="61"/>
      <c r="M69" s="61"/>
      <c r="N69" s="61"/>
    </row>
    <row r="70" spans="11:14" ht="15.75" customHeight="1">
      <c r="K70" s="61"/>
      <c r="L70" s="61"/>
      <c r="M70" s="61"/>
      <c r="N70" s="61"/>
    </row>
    <row r="71" spans="11:14" ht="15.75" customHeight="1">
      <c r="K71" s="61"/>
      <c r="L71" s="61"/>
      <c r="M71" s="61"/>
      <c r="N71" s="61"/>
    </row>
    <row r="72" spans="11:14" ht="15.75" customHeight="1">
      <c r="K72" s="61"/>
      <c r="L72" s="61"/>
      <c r="M72" s="61"/>
      <c r="N72" s="61"/>
    </row>
    <row r="73" spans="11:14" ht="15.75" customHeight="1">
      <c r="K73" s="61"/>
      <c r="L73" s="61"/>
      <c r="M73" s="61"/>
      <c r="N73" s="61"/>
    </row>
    <row r="74" spans="11:14" ht="15.75" customHeight="1">
      <c r="K74" s="61"/>
      <c r="L74" s="61"/>
      <c r="M74" s="61"/>
      <c r="N74" s="61"/>
    </row>
    <row r="75" spans="11:14" ht="15.75" customHeight="1">
      <c r="K75" s="61"/>
      <c r="L75" s="61"/>
      <c r="M75" s="61"/>
      <c r="N75" s="61"/>
    </row>
    <row r="76" spans="11:14" ht="15.75" customHeight="1">
      <c r="K76" s="61"/>
      <c r="L76" s="61"/>
      <c r="M76" s="61"/>
      <c r="N76" s="61"/>
    </row>
    <row r="77" spans="11:14" ht="15.75" customHeight="1">
      <c r="K77" s="61"/>
      <c r="L77" s="61"/>
      <c r="M77" s="61"/>
      <c r="N77" s="61"/>
    </row>
    <row r="78" spans="11:14" ht="15.75" customHeight="1">
      <c r="K78" s="61"/>
      <c r="L78" s="61"/>
      <c r="M78" s="61"/>
      <c r="N78" s="61"/>
    </row>
    <row r="79" spans="11:14" ht="15.75" customHeight="1">
      <c r="K79" s="61"/>
      <c r="L79" s="61"/>
      <c r="M79" s="61"/>
      <c r="N79" s="61"/>
    </row>
    <row r="80" spans="11:14" ht="15.75" customHeight="1">
      <c r="K80" s="61"/>
      <c r="L80" s="61"/>
      <c r="M80" s="61"/>
      <c r="N80" s="61"/>
    </row>
    <row r="81" spans="11:14" ht="15.75" customHeight="1">
      <c r="K81" s="61"/>
      <c r="L81" s="61"/>
      <c r="M81" s="61"/>
      <c r="N81" s="61"/>
    </row>
    <row r="82" spans="11:14" ht="15.75" customHeight="1">
      <c r="K82" s="61"/>
      <c r="L82" s="61"/>
      <c r="M82" s="61"/>
      <c r="N82" s="61"/>
    </row>
    <row r="83" spans="11:14" ht="15.75" customHeight="1">
      <c r="K83" s="61"/>
      <c r="L83" s="61"/>
      <c r="M83" s="61"/>
      <c r="N83" s="61"/>
    </row>
    <row r="84" spans="11:14" ht="15.75" customHeight="1">
      <c r="K84" s="61"/>
      <c r="L84" s="61"/>
      <c r="M84" s="61"/>
      <c r="N84" s="61"/>
    </row>
    <row r="85" spans="11:14" ht="15.75" customHeight="1">
      <c r="K85" s="61"/>
      <c r="L85" s="61"/>
      <c r="M85" s="61"/>
      <c r="N85" s="61"/>
    </row>
    <row r="86" spans="11:14" ht="15.75" customHeight="1">
      <c r="K86" s="61"/>
      <c r="L86" s="61"/>
      <c r="M86" s="61"/>
      <c r="N86" s="61"/>
    </row>
    <row r="87" spans="11:14" ht="15.75" customHeight="1">
      <c r="K87" s="61"/>
      <c r="L87" s="61"/>
      <c r="M87" s="61"/>
      <c r="N87" s="61"/>
    </row>
    <row r="88" spans="11:14" ht="15.75" customHeight="1">
      <c r="K88" s="61"/>
      <c r="L88" s="61"/>
      <c r="M88" s="61"/>
      <c r="N88" s="61"/>
    </row>
    <row r="89" spans="11:14" ht="15.75" customHeight="1">
      <c r="K89" s="61"/>
      <c r="L89" s="61"/>
      <c r="M89" s="61"/>
      <c r="N89" s="61"/>
    </row>
    <row r="90" spans="11:14" ht="15.75" customHeight="1">
      <c r="K90" s="61"/>
      <c r="L90" s="61"/>
      <c r="M90" s="61"/>
      <c r="N90" s="61"/>
    </row>
    <row r="91" spans="11:14" ht="15.75" customHeight="1">
      <c r="K91" s="61"/>
      <c r="L91" s="61"/>
      <c r="M91" s="61"/>
      <c r="N91" s="61"/>
    </row>
    <row r="92" spans="11:14" ht="15.75" customHeight="1">
      <c r="K92" s="61"/>
      <c r="L92" s="61"/>
      <c r="M92" s="61"/>
      <c r="N92" s="61"/>
    </row>
    <row r="93" spans="11:14" ht="15.75" customHeight="1">
      <c r="K93" s="61"/>
      <c r="L93" s="61"/>
      <c r="M93" s="61"/>
      <c r="N93" s="61"/>
    </row>
    <row r="94" spans="11:14" ht="15.75" customHeight="1">
      <c r="K94" s="61"/>
      <c r="L94" s="61"/>
      <c r="M94" s="61"/>
      <c r="N94" s="61"/>
    </row>
    <row r="95" spans="11:14" ht="15.75" customHeight="1">
      <c r="K95" s="61"/>
      <c r="L95" s="61"/>
      <c r="M95" s="61"/>
      <c r="N95" s="61"/>
    </row>
    <row r="96" spans="11:14" ht="15.75" customHeight="1">
      <c r="K96" s="61"/>
      <c r="L96" s="61"/>
      <c r="M96" s="61"/>
      <c r="N96" s="61"/>
    </row>
    <row r="97" spans="11:14" ht="15.75" customHeight="1">
      <c r="K97" s="61"/>
      <c r="L97" s="61"/>
      <c r="M97" s="61"/>
      <c r="N97" s="61"/>
    </row>
    <row r="98" spans="11:14" ht="15.75" customHeight="1">
      <c r="K98" s="61"/>
      <c r="L98" s="61"/>
      <c r="M98" s="61"/>
      <c r="N98" s="61"/>
    </row>
    <row r="99" spans="11:14" ht="15.75" customHeight="1">
      <c r="K99" s="61"/>
      <c r="L99" s="61"/>
      <c r="M99" s="61"/>
      <c r="N99" s="61"/>
    </row>
    <row r="100" spans="11:14" ht="15.75" customHeight="1">
      <c r="K100" s="61"/>
      <c r="L100" s="61"/>
      <c r="M100" s="61"/>
      <c r="N100" s="61"/>
    </row>
    <row r="101" spans="11:14" ht="15.75" customHeight="1">
      <c r="K101" s="61"/>
      <c r="L101" s="61"/>
      <c r="M101" s="61"/>
      <c r="N101" s="61"/>
    </row>
    <row r="102" spans="11:14" ht="15.75" customHeight="1">
      <c r="K102" s="61"/>
      <c r="L102" s="61"/>
      <c r="M102" s="61"/>
      <c r="N102" s="61"/>
    </row>
    <row r="103" spans="11:14" ht="15.75" customHeight="1">
      <c r="K103" s="61"/>
      <c r="L103" s="61"/>
      <c r="M103" s="61"/>
      <c r="N103" s="61"/>
    </row>
    <row r="104" spans="11:14" ht="15.75" customHeight="1">
      <c r="K104" s="61"/>
      <c r="L104" s="61"/>
      <c r="M104" s="61"/>
      <c r="N104" s="61"/>
    </row>
    <row r="105" spans="11:14" ht="15.75" customHeight="1">
      <c r="K105" s="61"/>
      <c r="L105" s="61"/>
      <c r="M105" s="61"/>
      <c r="N105" s="61"/>
    </row>
    <row r="106" spans="11:14" ht="15.75" customHeight="1">
      <c r="K106" s="61"/>
      <c r="L106" s="61"/>
      <c r="M106" s="61"/>
      <c r="N106" s="61"/>
    </row>
    <row r="107" spans="11:14" ht="15.75" customHeight="1">
      <c r="K107" s="61"/>
      <c r="L107" s="61"/>
      <c r="M107" s="61"/>
      <c r="N107" s="61"/>
    </row>
    <row r="108" spans="11:14" ht="15.75" customHeight="1">
      <c r="K108" s="61"/>
      <c r="L108" s="61"/>
      <c r="M108" s="61"/>
      <c r="N108" s="61"/>
    </row>
    <row r="109" spans="11:14" ht="15.75" customHeight="1">
      <c r="K109" s="61"/>
      <c r="L109" s="61"/>
      <c r="M109" s="61"/>
      <c r="N109" s="61"/>
    </row>
    <row r="110" spans="11:14" ht="15.75" customHeight="1">
      <c r="K110" s="61"/>
      <c r="L110" s="61"/>
      <c r="M110" s="61"/>
      <c r="N110" s="61"/>
    </row>
    <row r="111" spans="11:14" ht="15.75" customHeight="1">
      <c r="K111" s="61"/>
      <c r="L111" s="61"/>
      <c r="M111" s="61"/>
      <c r="N111" s="61"/>
    </row>
    <row r="112" spans="11:14" ht="15.75" customHeight="1">
      <c r="K112" s="61"/>
      <c r="L112" s="61"/>
      <c r="M112" s="61"/>
      <c r="N112" s="61"/>
    </row>
    <row r="113" spans="11:14" ht="15.75" customHeight="1">
      <c r="K113" s="61"/>
      <c r="L113" s="61"/>
      <c r="M113" s="61"/>
      <c r="N113" s="61"/>
    </row>
    <row r="114" spans="11:14" ht="15.75" customHeight="1">
      <c r="K114" s="61"/>
      <c r="L114" s="61"/>
      <c r="M114" s="61"/>
      <c r="N114" s="61"/>
    </row>
    <row r="115" spans="11:14" ht="15.75" customHeight="1">
      <c r="K115" s="61"/>
      <c r="L115" s="61"/>
      <c r="M115" s="61"/>
      <c r="N115" s="61"/>
    </row>
    <row r="116" spans="11:14" ht="15.75" customHeight="1">
      <c r="K116" s="61"/>
      <c r="L116" s="61"/>
      <c r="M116" s="61"/>
      <c r="N116" s="61"/>
    </row>
    <row r="117" spans="11:14" ht="15.75" customHeight="1">
      <c r="K117" s="61"/>
      <c r="L117" s="61"/>
      <c r="M117" s="61"/>
      <c r="N117" s="61"/>
    </row>
    <row r="118" spans="11:14" ht="15.75" customHeight="1">
      <c r="K118" s="61"/>
      <c r="L118" s="61"/>
      <c r="M118" s="61"/>
      <c r="N118" s="61"/>
    </row>
    <row r="119" spans="11:14" ht="15.75" customHeight="1">
      <c r="K119" s="61"/>
      <c r="L119" s="61"/>
      <c r="M119" s="61"/>
      <c r="N119" s="61"/>
    </row>
    <row r="120" spans="11:14" ht="15.75" customHeight="1">
      <c r="K120" s="61"/>
      <c r="L120" s="61"/>
      <c r="M120" s="61"/>
      <c r="N120" s="61"/>
    </row>
    <row r="121" spans="11:14" ht="15.75" customHeight="1">
      <c r="K121" s="61"/>
      <c r="L121" s="61"/>
      <c r="M121" s="61"/>
      <c r="N121" s="61"/>
    </row>
    <row r="122" spans="11:14" ht="15.75" customHeight="1">
      <c r="K122" s="61"/>
      <c r="L122" s="61"/>
      <c r="M122" s="61"/>
      <c r="N122" s="61"/>
    </row>
    <row r="123" spans="11:14" ht="15.75" customHeight="1">
      <c r="K123" s="61"/>
      <c r="L123" s="61"/>
      <c r="M123" s="61"/>
      <c r="N123" s="61"/>
    </row>
    <row r="124" spans="11:14" ht="15.75" customHeight="1">
      <c r="K124" s="61"/>
      <c r="L124" s="61"/>
      <c r="M124" s="61"/>
      <c r="N124" s="61"/>
    </row>
    <row r="125" spans="11:14" ht="15.75" customHeight="1">
      <c r="K125" s="61"/>
      <c r="L125" s="61"/>
      <c r="M125" s="61"/>
      <c r="N125" s="61"/>
    </row>
    <row r="126" spans="11:14" ht="15.75" customHeight="1">
      <c r="K126" s="61"/>
      <c r="L126" s="61"/>
      <c r="M126" s="61"/>
      <c r="N126" s="61"/>
    </row>
    <row r="127" spans="11:14" ht="15.75" customHeight="1">
      <c r="K127" s="61"/>
      <c r="L127" s="61"/>
      <c r="M127" s="61"/>
      <c r="N127" s="61"/>
    </row>
    <row r="128" spans="11:14" ht="15.75" customHeight="1">
      <c r="K128" s="61"/>
      <c r="L128" s="61"/>
      <c r="M128" s="61"/>
      <c r="N128" s="61"/>
    </row>
    <row r="129" spans="11:14" ht="15.75" customHeight="1">
      <c r="K129" s="61"/>
      <c r="L129" s="61"/>
      <c r="M129" s="61"/>
      <c r="N129" s="61"/>
    </row>
    <row r="130" spans="11:14" ht="15.75" customHeight="1">
      <c r="K130" s="61"/>
      <c r="L130" s="61"/>
      <c r="M130" s="61"/>
      <c r="N130" s="61"/>
    </row>
    <row r="131" spans="11:14" ht="15.75" customHeight="1">
      <c r="K131" s="61"/>
      <c r="L131" s="61"/>
      <c r="M131" s="61"/>
      <c r="N131" s="61"/>
    </row>
    <row r="132" spans="11:14" ht="15.75" customHeight="1">
      <c r="K132" s="61"/>
      <c r="L132" s="61"/>
      <c r="M132" s="61"/>
      <c r="N132" s="61"/>
    </row>
    <row r="133" spans="11:14" ht="15.75" customHeight="1">
      <c r="K133" s="61"/>
      <c r="L133" s="61"/>
      <c r="M133" s="61"/>
      <c r="N133" s="61"/>
    </row>
    <row r="134" spans="11:14" ht="15.75" customHeight="1">
      <c r="K134" s="61"/>
      <c r="L134" s="61"/>
      <c r="M134" s="61"/>
      <c r="N134" s="61"/>
    </row>
    <row r="135" spans="11:14" ht="15.75" customHeight="1">
      <c r="K135" s="61"/>
      <c r="L135" s="61"/>
      <c r="M135" s="61"/>
      <c r="N135" s="61"/>
    </row>
    <row r="136" spans="11:14" ht="15.75" customHeight="1">
      <c r="K136" s="61"/>
      <c r="L136" s="61"/>
      <c r="M136" s="61"/>
      <c r="N136" s="61"/>
    </row>
    <row r="137" spans="11:14" ht="15.75" customHeight="1">
      <c r="K137" s="61"/>
      <c r="L137" s="61"/>
      <c r="M137" s="61"/>
      <c r="N137" s="61"/>
    </row>
    <row r="138" spans="11:14" ht="15.75" customHeight="1">
      <c r="K138" s="61"/>
      <c r="L138" s="61"/>
      <c r="M138" s="61"/>
      <c r="N138" s="61"/>
    </row>
    <row r="139" spans="11:14" ht="15.75" customHeight="1">
      <c r="K139" s="61"/>
      <c r="L139" s="61"/>
      <c r="M139" s="61"/>
      <c r="N139" s="61"/>
    </row>
    <row r="140" spans="11:14" ht="15.75" customHeight="1">
      <c r="K140" s="61"/>
      <c r="L140" s="61"/>
      <c r="M140" s="61"/>
      <c r="N140" s="61"/>
    </row>
    <row r="141" spans="11:14" ht="15.75" customHeight="1">
      <c r="K141" s="61"/>
      <c r="L141" s="61"/>
      <c r="M141" s="61"/>
      <c r="N141" s="61"/>
    </row>
    <row r="142" spans="11:14" ht="15.75" customHeight="1">
      <c r="K142" s="61"/>
      <c r="L142" s="61"/>
      <c r="M142" s="61"/>
      <c r="N142" s="61"/>
    </row>
    <row r="143" spans="11:14" ht="15.75" customHeight="1">
      <c r="K143" s="61"/>
      <c r="L143" s="61"/>
      <c r="M143" s="61"/>
      <c r="N143" s="61"/>
    </row>
    <row r="144" spans="11:14" ht="15.75" customHeight="1">
      <c r="K144" s="61"/>
      <c r="L144" s="61"/>
      <c r="M144" s="61"/>
      <c r="N144" s="61"/>
    </row>
    <row r="145" spans="11:14" ht="15.75" customHeight="1">
      <c r="K145" s="61"/>
      <c r="L145" s="61"/>
      <c r="M145" s="61"/>
      <c r="N145" s="61"/>
    </row>
    <row r="146" spans="11:14" ht="15.75" customHeight="1">
      <c r="K146" s="61"/>
      <c r="L146" s="61"/>
      <c r="M146" s="61"/>
      <c r="N146" s="61"/>
    </row>
    <row r="147" spans="11:14" ht="15.75" customHeight="1">
      <c r="K147" s="61"/>
      <c r="L147" s="61"/>
      <c r="M147" s="61"/>
      <c r="N147" s="61"/>
    </row>
    <row r="148" spans="11:14" ht="15.75" customHeight="1">
      <c r="K148" s="61"/>
      <c r="L148" s="61"/>
      <c r="M148" s="61"/>
      <c r="N148" s="61"/>
    </row>
    <row r="149" spans="11:14" ht="15.75" customHeight="1">
      <c r="K149" s="61"/>
      <c r="L149" s="61"/>
      <c r="M149" s="61"/>
      <c r="N149" s="61"/>
    </row>
    <row r="150" spans="11:14" ht="15.75" customHeight="1">
      <c r="K150" s="61"/>
      <c r="L150" s="61"/>
      <c r="M150" s="61"/>
      <c r="N150" s="61"/>
    </row>
    <row r="151" spans="11:14" ht="15.75" customHeight="1">
      <c r="K151" s="61"/>
      <c r="L151" s="61"/>
      <c r="M151" s="61"/>
      <c r="N151" s="61"/>
    </row>
    <row r="152" spans="11:14" ht="15.75" customHeight="1">
      <c r="K152" s="61"/>
      <c r="L152" s="61"/>
      <c r="M152" s="61"/>
      <c r="N152" s="61"/>
    </row>
    <row r="153" spans="11:14" ht="15.75" customHeight="1">
      <c r="K153" s="61"/>
      <c r="L153" s="61"/>
      <c r="M153" s="61"/>
      <c r="N153" s="61"/>
    </row>
    <row r="154" spans="11:14" ht="15.75" customHeight="1">
      <c r="K154" s="61"/>
      <c r="L154" s="61"/>
      <c r="M154" s="61"/>
      <c r="N154" s="61"/>
    </row>
    <row r="155" spans="11:14" ht="15.75" customHeight="1">
      <c r="K155" s="61"/>
      <c r="L155" s="61"/>
      <c r="M155" s="61"/>
      <c r="N155" s="61"/>
    </row>
    <row r="156" spans="11:14" ht="15.75" customHeight="1">
      <c r="K156" s="61"/>
      <c r="L156" s="61"/>
      <c r="M156" s="61"/>
      <c r="N156" s="61"/>
    </row>
    <row r="157" spans="11:14" ht="15.75" customHeight="1">
      <c r="K157" s="61"/>
      <c r="L157" s="61"/>
      <c r="M157" s="61"/>
      <c r="N157" s="61"/>
    </row>
    <row r="158" spans="11:14" ht="15.75" customHeight="1">
      <c r="K158" s="61"/>
      <c r="L158" s="61"/>
      <c r="M158" s="61"/>
      <c r="N158" s="61"/>
    </row>
    <row r="159" spans="11:14" ht="15.75" customHeight="1">
      <c r="K159" s="61"/>
      <c r="L159" s="61"/>
      <c r="M159" s="61"/>
      <c r="N159" s="61"/>
    </row>
    <row r="160" spans="11:14" ht="15.75" customHeight="1">
      <c r="K160" s="61"/>
      <c r="L160" s="61"/>
      <c r="M160" s="61"/>
      <c r="N160" s="61"/>
    </row>
    <row r="161" spans="11:14" ht="15.75" customHeight="1">
      <c r="K161" s="61"/>
      <c r="L161" s="61"/>
      <c r="M161" s="61"/>
      <c r="N161" s="61"/>
    </row>
    <row r="162" spans="11:14" ht="15.75" customHeight="1">
      <c r="K162" s="61"/>
      <c r="L162" s="61"/>
      <c r="M162" s="61"/>
      <c r="N162" s="61"/>
    </row>
    <row r="163" spans="11:14" ht="15.75" customHeight="1">
      <c r="K163" s="61"/>
      <c r="L163" s="61"/>
      <c r="M163" s="61"/>
      <c r="N163" s="61"/>
    </row>
    <row r="164" spans="11:14" ht="15.75" customHeight="1">
      <c r="K164" s="61"/>
      <c r="L164" s="61"/>
      <c r="M164" s="61"/>
      <c r="N164" s="61"/>
    </row>
    <row r="165" spans="11:14" ht="15.75" customHeight="1">
      <c r="K165" s="61"/>
      <c r="L165" s="61"/>
      <c r="M165" s="61"/>
      <c r="N165" s="61"/>
    </row>
    <row r="166" spans="11:14" ht="15.75" customHeight="1">
      <c r="K166" s="61"/>
      <c r="L166" s="61"/>
      <c r="M166" s="61"/>
      <c r="N166" s="61"/>
    </row>
    <row r="167" spans="11:14" ht="15.75" customHeight="1">
      <c r="K167" s="61"/>
      <c r="L167" s="61"/>
      <c r="M167" s="61"/>
      <c r="N167" s="61"/>
    </row>
    <row r="168" spans="11:14" ht="15.75" customHeight="1">
      <c r="K168" s="61"/>
      <c r="L168" s="61"/>
      <c r="M168" s="61"/>
      <c r="N168" s="61"/>
    </row>
    <row r="169" spans="11:14" ht="15.75" customHeight="1">
      <c r="K169" s="61"/>
      <c r="L169" s="61"/>
      <c r="M169" s="61"/>
      <c r="N169" s="61"/>
    </row>
    <row r="170" spans="11:14" ht="15.75" customHeight="1">
      <c r="K170" s="61"/>
      <c r="L170" s="61"/>
      <c r="M170" s="61"/>
      <c r="N170" s="61"/>
    </row>
    <row r="171" spans="11:14" ht="15.75" customHeight="1">
      <c r="K171" s="61"/>
      <c r="L171" s="61"/>
      <c r="M171" s="61"/>
      <c r="N171" s="61"/>
    </row>
    <row r="172" spans="11:14" ht="15.75" customHeight="1">
      <c r="K172" s="61"/>
      <c r="L172" s="61"/>
      <c r="M172" s="61"/>
      <c r="N172" s="61"/>
    </row>
    <row r="173" spans="11:14" ht="15.75" customHeight="1">
      <c r="K173" s="61"/>
      <c r="L173" s="61"/>
      <c r="M173" s="61"/>
      <c r="N173" s="61"/>
    </row>
    <row r="174" spans="11:14" ht="15.75" customHeight="1">
      <c r="K174" s="61"/>
      <c r="L174" s="61"/>
      <c r="M174" s="61"/>
      <c r="N174" s="61"/>
    </row>
    <row r="175" spans="11:14" ht="15.75" customHeight="1">
      <c r="K175" s="61"/>
      <c r="L175" s="61"/>
      <c r="M175" s="61"/>
      <c r="N175" s="61"/>
    </row>
    <row r="176" spans="11:14" ht="15.75" customHeight="1">
      <c r="K176" s="61"/>
      <c r="L176" s="61"/>
      <c r="M176" s="61"/>
      <c r="N176" s="61"/>
    </row>
    <row r="177" spans="11:14" ht="15.75" customHeight="1">
      <c r="K177" s="61"/>
      <c r="L177" s="61"/>
      <c r="M177" s="61"/>
      <c r="N177" s="61"/>
    </row>
    <row r="178" spans="11:14" ht="15.75" customHeight="1">
      <c r="K178" s="61"/>
      <c r="L178" s="61"/>
      <c r="M178" s="61"/>
      <c r="N178" s="61"/>
    </row>
    <row r="179" spans="11:14" ht="15.75" customHeight="1">
      <c r="K179" s="61"/>
      <c r="L179" s="61"/>
      <c r="M179" s="61"/>
      <c r="N179" s="61"/>
    </row>
    <row r="180" spans="11:14" ht="15.75" customHeight="1">
      <c r="K180" s="61"/>
      <c r="L180" s="61"/>
      <c r="M180" s="61"/>
      <c r="N180" s="61"/>
    </row>
    <row r="181" spans="11:14" ht="15.75" customHeight="1">
      <c r="K181" s="61"/>
      <c r="L181" s="61"/>
      <c r="M181" s="61"/>
      <c r="N181" s="61"/>
    </row>
    <row r="182" spans="11:14" ht="15.75" customHeight="1">
      <c r="K182" s="61"/>
      <c r="L182" s="61"/>
      <c r="M182" s="61"/>
      <c r="N182" s="61"/>
    </row>
    <row r="183" spans="11:14" ht="15.75" customHeight="1">
      <c r="K183" s="61"/>
      <c r="L183" s="61"/>
      <c r="M183" s="61"/>
      <c r="N183" s="61"/>
    </row>
    <row r="184" spans="11:14" ht="15.75" customHeight="1">
      <c r="K184" s="61"/>
      <c r="L184" s="61"/>
      <c r="M184" s="61"/>
      <c r="N184" s="61"/>
    </row>
    <row r="185" spans="11:14" ht="15.75" customHeight="1">
      <c r="K185" s="61"/>
      <c r="L185" s="61"/>
      <c r="M185" s="61"/>
      <c r="N185" s="61"/>
    </row>
    <row r="186" spans="11:14" ht="15.75" customHeight="1">
      <c r="K186" s="61"/>
      <c r="L186" s="61"/>
      <c r="M186" s="61"/>
      <c r="N186" s="61"/>
    </row>
    <row r="187" spans="11:14" ht="15.75" customHeight="1">
      <c r="K187" s="61"/>
      <c r="L187" s="61"/>
      <c r="M187" s="61"/>
      <c r="N187" s="61"/>
    </row>
    <row r="188" spans="11:14" ht="15.75" customHeight="1">
      <c r="K188" s="61"/>
      <c r="L188" s="61"/>
      <c r="M188" s="61"/>
      <c r="N188" s="61"/>
    </row>
    <row r="189" spans="11:14" ht="15.75" customHeight="1">
      <c r="K189" s="61"/>
      <c r="L189" s="61"/>
      <c r="M189" s="61"/>
      <c r="N189" s="61"/>
    </row>
    <row r="190" spans="11:14" ht="15.75" customHeight="1">
      <c r="K190" s="61"/>
      <c r="L190" s="61"/>
      <c r="M190" s="61"/>
      <c r="N190" s="61"/>
    </row>
    <row r="191" spans="11:14" ht="15.75" customHeight="1">
      <c r="K191" s="61"/>
      <c r="L191" s="61"/>
      <c r="M191" s="61"/>
      <c r="N191" s="61"/>
    </row>
    <row r="192" spans="11:14" ht="15.75" customHeight="1">
      <c r="K192" s="61"/>
      <c r="L192" s="61"/>
      <c r="M192" s="61"/>
      <c r="N192" s="61"/>
    </row>
    <row r="193" spans="11:14" ht="15.75" customHeight="1">
      <c r="K193" s="61"/>
      <c r="L193" s="61"/>
      <c r="M193" s="61"/>
      <c r="N193" s="61"/>
    </row>
    <row r="194" spans="11:14" ht="15.75" customHeight="1">
      <c r="K194" s="61"/>
      <c r="L194" s="61"/>
      <c r="M194" s="61"/>
      <c r="N194" s="61"/>
    </row>
    <row r="195" spans="11:14" ht="15.75" customHeight="1">
      <c r="K195" s="61"/>
      <c r="L195" s="61"/>
      <c r="M195" s="61"/>
      <c r="N195" s="61"/>
    </row>
    <row r="196" spans="11:14" ht="15.75" customHeight="1">
      <c r="K196" s="61"/>
      <c r="L196" s="61"/>
      <c r="M196" s="61"/>
      <c r="N196" s="61"/>
    </row>
    <row r="197" spans="11:14" ht="15.75" customHeight="1">
      <c r="K197" s="61"/>
      <c r="L197" s="61"/>
      <c r="M197" s="61"/>
      <c r="N197" s="61"/>
    </row>
    <row r="198" spans="11:14" ht="15.75" customHeight="1">
      <c r="K198" s="61"/>
      <c r="L198" s="61"/>
      <c r="M198" s="61"/>
      <c r="N198" s="61"/>
    </row>
    <row r="199" spans="11:14" ht="15.75" customHeight="1">
      <c r="K199" s="61"/>
      <c r="L199" s="61"/>
      <c r="M199" s="61"/>
      <c r="N199" s="61"/>
    </row>
    <row r="200" spans="11:14" ht="15.75" customHeight="1">
      <c r="K200" s="61"/>
      <c r="L200" s="61"/>
      <c r="M200" s="61"/>
      <c r="N200" s="61"/>
    </row>
    <row r="201" spans="11:14" ht="15.75" customHeight="1">
      <c r="K201" s="61"/>
      <c r="L201" s="61"/>
      <c r="M201" s="61"/>
      <c r="N201" s="61"/>
    </row>
    <row r="202" spans="11:14" ht="15.75" customHeight="1">
      <c r="K202" s="61"/>
      <c r="L202" s="61"/>
      <c r="M202" s="61"/>
      <c r="N202" s="61"/>
    </row>
    <row r="203" spans="11:14" ht="15.75" customHeight="1">
      <c r="K203" s="61"/>
      <c r="L203" s="61"/>
      <c r="M203" s="61"/>
      <c r="N203" s="61"/>
    </row>
    <row r="204" spans="11:14" ht="15.75" customHeight="1">
      <c r="K204" s="61"/>
      <c r="L204" s="61"/>
      <c r="M204" s="61"/>
      <c r="N204" s="61"/>
    </row>
    <row r="205" spans="11:14" ht="15.75" customHeight="1">
      <c r="K205" s="61"/>
      <c r="L205" s="61"/>
      <c r="M205" s="61"/>
      <c r="N205" s="61"/>
    </row>
    <row r="206" spans="11:14" ht="15.75" customHeight="1">
      <c r="K206" s="61"/>
      <c r="L206" s="61"/>
      <c r="M206" s="61"/>
      <c r="N206" s="61"/>
    </row>
    <row r="207" spans="11:14" ht="15.75" customHeight="1">
      <c r="K207" s="61"/>
      <c r="L207" s="61"/>
      <c r="M207" s="61"/>
      <c r="N207" s="61"/>
    </row>
    <row r="208" spans="11:14" ht="15.75" customHeight="1">
      <c r="K208" s="61"/>
      <c r="L208" s="61"/>
      <c r="M208" s="61"/>
      <c r="N208" s="61"/>
    </row>
    <row r="209" spans="11:14" ht="15.75" customHeight="1">
      <c r="K209" s="61"/>
      <c r="L209" s="61"/>
      <c r="M209" s="61"/>
      <c r="N209" s="61"/>
    </row>
    <row r="210" spans="11:14" ht="15.75" customHeight="1">
      <c r="K210" s="61"/>
      <c r="L210" s="61"/>
      <c r="M210" s="61"/>
      <c r="N210" s="61"/>
    </row>
    <row r="211" spans="11:14" ht="15.75" customHeight="1">
      <c r="K211" s="61"/>
      <c r="L211" s="61"/>
      <c r="M211" s="61"/>
      <c r="N211" s="61"/>
    </row>
    <row r="212" spans="11:14" ht="15.75" customHeight="1">
      <c r="K212" s="61"/>
      <c r="L212" s="61"/>
      <c r="M212" s="61"/>
      <c r="N212" s="61"/>
    </row>
    <row r="213" spans="11:14" ht="15.75" customHeight="1">
      <c r="K213" s="61"/>
      <c r="L213" s="61"/>
      <c r="M213" s="61"/>
      <c r="N213" s="61"/>
    </row>
    <row r="214" spans="11:14" ht="15.75" customHeight="1">
      <c r="K214" s="61"/>
      <c r="L214" s="61"/>
      <c r="M214" s="61"/>
      <c r="N214" s="61"/>
    </row>
    <row r="215" spans="11:14" ht="15.75" customHeight="1">
      <c r="K215" s="61"/>
      <c r="L215" s="61"/>
      <c r="M215" s="61"/>
      <c r="N215" s="61"/>
    </row>
    <row r="216" spans="11:14" ht="15.75" customHeight="1">
      <c r="K216" s="61"/>
      <c r="L216" s="61"/>
      <c r="M216" s="61"/>
      <c r="N216" s="61"/>
    </row>
    <row r="217" spans="11:14" ht="15.75" customHeight="1">
      <c r="K217" s="61"/>
      <c r="L217" s="61"/>
      <c r="M217" s="61"/>
      <c r="N217" s="61"/>
    </row>
    <row r="218" spans="11:14" ht="15.75" customHeight="1">
      <c r="K218" s="61"/>
      <c r="L218" s="61"/>
      <c r="M218" s="61"/>
      <c r="N218" s="61"/>
    </row>
    <row r="219" spans="11:14" ht="15.75" customHeight="1">
      <c r="K219" s="61"/>
      <c r="L219" s="61"/>
      <c r="M219" s="61"/>
      <c r="N219" s="61"/>
    </row>
    <row r="220" spans="11:14" ht="15.75" customHeight="1">
      <c r="K220" s="61"/>
      <c r="L220" s="61"/>
      <c r="M220" s="61"/>
      <c r="N220" s="61"/>
    </row>
    <row r="221" spans="11:14" ht="15.75" customHeight="1">
      <c r="K221" s="61"/>
      <c r="L221" s="61"/>
      <c r="M221" s="61"/>
      <c r="N221" s="61"/>
    </row>
    <row r="222" spans="11:14" ht="15.75" customHeight="1">
      <c r="K222" s="61"/>
      <c r="L222" s="61"/>
      <c r="M222" s="61"/>
      <c r="N222" s="61"/>
    </row>
    <row r="223" spans="11:14" ht="15.75" customHeight="1">
      <c r="K223" s="61"/>
      <c r="L223" s="61"/>
      <c r="M223" s="61"/>
      <c r="N223" s="61"/>
    </row>
    <row r="224" spans="11:14" ht="15.75" customHeight="1">
      <c r="K224" s="61"/>
      <c r="L224" s="61"/>
      <c r="M224" s="61"/>
      <c r="N224" s="61"/>
    </row>
    <row r="225" spans="11:14" ht="15.75" customHeight="1">
      <c r="K225" s="61"/>
      <c r="L225" s="61"/>
      <c r="M225" s="61"/>
      <c r="N225" s="61"/>
    </row>
    <row r="226" spans="11:14" ht="15.75" customHeight="1">
      <c r="K226" s="61"/>
      <c r="L226" s="61"/>
      <c r="M226" s="61"/>
      <c r="N226" s="61"/>
    </row>
    <row r="227" spans="11:14" ht="15.75" customHeight="1">
      <c r="K227" s="61"/>
      <c r="L227" s="61"/>
      <c r="M227" s="61"/>
      <c r="N227" s="61"/>
    </row>
    <row r="228" spans="11:14" ht="15.75" customHeight="1">
      <c r="K228" s="61"/>
      <c r="L228" s="61"/>
      <c r="M228" s="61"/>
      <c r="N228" s="61"/>
    </row>
    <row r="229" spans="11:14" ht="15.75" customHeight="1">
      <c r="K229" s="61"/>
      <c r="L229" s="61"/>
      <c r="M229" s="61"/>
      <c r="N229" s="61"/>
    </row>
    <row r="230" spans="11:14" ht="15.75" customHeight="1">
      <c r="K230" s="61"/>
      <c r="L230" s="61"/>
      <c r="M230" s="61"/>
      <c r="N230" s="61"/>
    </row>
    <row r="231" spans="11:14" ht="15.75" customHeight="1">
      <c r="K231" s="61"/>
      <c r="L231" s="61"/>
      <c r="M231" s="61"/>
      <c r="N231" s="61"/>
    </row>
    <row r="232" spans="11:14" ht="15.75" customHeight="1">
      <c r="K232" s="61"/>
      <c r="L232" s="61"/>
      <c r="M232" s="61"/>
      <c r="N232" s="61"/>
    </row>
    <row r="233" spans="11:14" ht="15.75" customHeight="1">
      <c r="K233" s="61"/>
      <c r="L233" s="61"/>
      <c r="M233" s="61"/>
      <c r="N233" s="61"/>
    </row>
    <row r="234" spans="11:14" ht="15.75" customHeight="1">
      <c r="K234" s="61"/>
      <c r="L234" s="61"/>
      <c r="M234" s="61"/>
      <c r="N234" s="61"/>
    </row>
    <row r="235" spans="11:14" ht="15.75" customHeight="1">
      <c r="K235" s="61"/>
      <c r="L235" s="61"/>
      <c r="M235" s="61"/>
      <c r="N235" s="61"/>
    </row>
    <row r="236" spans="11:14" ht="15.75" customHeight="1">
      <c r="K236" s="61"/>
      <c r="L236" s="61"/>
      <c r="M236" s="61"/>
      <c r="N236" s="61"/>
    </row>
    <row r="237" spans="11:14" ht="15.75" customHeight="1">
      <c r="K237" s="61"/>
      <c r="L237" s="61"/>
      <c r="M237" s="61"/>
      <c r="N237" s="61"/>
    </row>
    <row r="238" spans="11:14" ht="15.75" customHeight="1">
      <c r="K238" s="61"/>
      <c r="L238" s="61"/>
      <c r="M238" s="61"/>
      <c r="N238" s="61"/>
    </row>
    <row r="239" spans="11:14" ht="15.75" customHeight="1">
      <c r="K239" s="61"/>
      <c r="L239" s="61"/>
      <c r="M239" s="61"/>
      <c r="N239" s="61"/>
    </row>
    <row r="240" spans="11:14" ht="15.75" customHeight="1">
      <c r="K240" s="61"/>
      <c r="L240" s="61"/>
      <c r="M240" s="61"/>
      <c r="N240" s="61"/>
    </row>
    <row r="241" spans="11:14" ht="15.75" customHeight="1">
      <c r="K241" s="61"/>
      <c r="L241" s="61"/>
      <c r="M241" s="61"/>
      <c r="N241" s="61"/>
    </row>
    <row r="242" spans="11:14" ht="15.75" customHeight="1">
      <c r="K242" s="61"/>
      <c r="L242" s="61"/>
      <c r="M242" s="61"/>
      <c r="N242" s="61"/>
    </row>
    <row r="243" spans="11:14" ht="15.75" customHeight="1">
      <c r="K243" s="61"/>
      <c r="L243" s="61"/>
      <c r="M243" s="61"/>
      <c r="N243" s="61"/>
    </row>
    <row r="244" spans="11:14" ht="15.75" customHeight="1">
      <c r="K244" s="61"/>
      <c r="L244" s="61"/>
      <c r="M244" s="61"/>
      <c r="N244" s="61"/>
    </row>
    <row r="245" spans="11:14" ht="15.75" customHeight="1">
      <c r="K245" s="61"/>
      <c r="L245" s="61"/>
      <c r="M245" s="61"/>
      <c r="N245" s="61"/>
    </row>
    <row r="246" spans="11:14" ht="15.75" customHeight="1">
      <c r="K246" s="61"/>
      <c r="L246" s="61"/>
      <c r="M246" s="61"/>
      <c r="N246" s="61"/>
    </row>
    <row r="247" spans="11:14" ht="15.75" customHeight="1">
      <c r="K247" s="61"/>
      <c r="L247" s="61"/>
      <c r="M247" s="61"/>
      <c r="N247" s="61"/>
    </row>
    <row r="248" spans="11:14" ht="15.75" customHeight="1">
      <c r="K248" s="61"/>
      <c r="L248" s="61"/>
      <c r="M248" s="61"/>
      <c r="N248" s="61"/>
    </row>
    <row r="249" spans="11:14" ht="15.75" customHeight="1">
      <c r="K249" s="61"/>
      <c r="L249" s="61"/>
      <c r="M249" s="61"/>
      <c r="N249" s="61"/>
    </row>
    <row r="250" spans="11:14" ht="15.75" customHeight="1">
      <c r="K250" s="61"/>
      <c r="L250" s="61"/>
      <c r="M250" s="61"/>
      <c r="N250" s="61"/>
    </row>
    <row r="251" spans="11:14" ht="15.75" customHeight="1">
      <c r="K251" s="61"/>
      <c r="L251" s="61"/>
      <c r="M251" s="61"/>
      <c r="N251" s="61"/>
    </row>
    <row r="252" spans="11:14" ht="15.75" customHeight="1">
      <c r="K252" s="61"/>
      <c r="L252" s="61"/>
      <c r="M252" s="61"/>
      <c r="N252" s="61"/>
    </row>
    <row r="253" spans="11:14" ht="15.75" customHeight="1">
      <c r="K253" s="61"/>
      <c r="L253" s="61"/>
      <c r="M253" s="61"/>
      <c r="N253" s="61"/>
    </row>
    <row r="254" spans="11:14" ht="15.75" customHeight="1">
      <c r="K254" s="61"/>
      <c r="L254" s="61"/>
      <c r="M254" s="61"/>
      <c r="N254" s="61"/>
    </row>
    <row r="255" spans="11:14" ht="15.75" customHeight="1">
      <c r="K255" s="61"/>
      <c r="L255" s="61"/>
      <c r="M255" s="61"/>
      <c r="N255" s="61"/>
    </row>
    <row r="256" spans="11:14" ht="15.75" customHeight="1">
      <c r="K256" s="61"/>
      <c r="L256" s="61"/>
      <c r="M256" s="61"/>
      <c r="N256" s="61"/>
    </row>
    <row r="257" spans="11:14" ht="15.75" customHeight="1">
      <c r="K257" s="61"/>
      <c r="L257" s="61"/>
      <c r="M257" s="61"/>
      <c r="N257" s="61"/>
    </row>
    <row r="258" spans="11:14" ht="15.75" customHeight="1">
      <c r="K258" s="61"/>
      <c r="L258" s="61"/>
      <c r="M258" s="61"/>
      <c r="N258" s="61"/>
    </row>
    <row r="259" spans="11:14" ht="15.75" customHeight="1">
      <c r="K259" s="61"/>
      <c r="L259" s="61"/>
      <c r="M259" s="61"/>
      <c r="N259" s="61"/>
    </row>
    <row r="260" spans="11:14" ht="15.75" customHeight="1">
      <c r="K260" s="61"/>
      <c r="L260" s="61"/>
      <c r="M260" s="61"/>
      <c r="N260" s="61"/>
    </row>
    <row r="261" spans="11:14" ht="15.75" customHeight="1">
      <c r="K261" s="61"/>
      <c r="L261" s="61"/>
      <c r="M261" s="61"/>
      <c r="N261" s="61"/>
    </row>
    <row r="262" spans="11:14" ht="15.75" customHeight="1">
      <c r="K262" s="61"/>
      <c r="L262" s="61"/>
      <c r="M262" s="61"/>
      <c r="N262" s="61"/>
    </row>
    <row r="263" spans="11:14" ht="15.75" customHeight="1">
      <c r="K263" s="61"/>
      <c r="L263" s="61"/>
      <c r="M263" s="61"/>
      <c r="N263" s="61"/>
    </row>
    <row r="264" spans="11:14" ht="15.75" customHeight="1">
      <c r="K264" s="61"/>
      <c r="L264" s="61"/>
      <c r="M264" s="61"/>
      <c r="N264" s="61"/>
    </row>
    <row r="265" spans="11:14" ht="15.75" customHeight="1">
      <c r="K265" s="61"/>
      <c r="L265" s="61"/>
      <c r="M265" s="61"/>
      <c r="N265" s="61"/>
    </row>
    <row r="266" spans="11:14" ht="15.75" customHeight="1">
      <c r="K266" s="61"/>
      <c r="L266" s="61"/>
      <c r="M266" s="61"/>
      <c r="N266" s="61"/>
    </row>
    <row r="267" spans="11:14" ht="15.75" customHeight="1">
      <c r="K267" s="61"/>
      <c r="L267" s="61"/>
      <c r="M267" s="61"/>
      <c r="N267" s="61"/>
    </row>
    <row r="268" spans="11:14" ht="15.75" customHeight="1">
      <c r="K268" s="61"/>
      <c r="L268" s="61"/>
      <c r="M268" s="61"/>
      <c r="N268" s="61"/>
    </row>
    <row r="269" spans="11:14" ht="15.75" customHeight="1">
      <c r="K269" s="61"/>
      <c r="L269" s="61"/>
      <c r="M269" s="61"/>
      <c r="N269" s="61"/>
    </row>
    <row r="270" spans="11:14" ht="15.75" customHeight="1">
      <c r="K270" s="61"/>
      <c r="L270" s="61"/>
      <c r="M270" s="61"/>
      <c r="N270" s="61"/>
    </row>
    <row r="271" spans="11:14" ht="15.75" customHeight="1">
      <c r="K271" s="61"/>
      <c r="L271" s="61"/>
      <c r="M271" s="61"/>
      <c r="N271" s="61"/>
    </row>
    <row r="272" spans="11:14" ht="15.75" customHeight="1">
      <c r="K272" s="61"/>
      <c r="L272" s="61"/>
      <c r="M272" s="61"/>
      <c r="N272" s="61"/>
    </row>
    <row r="273" spans="11:14" ht="15.75" customHeight="1">
      <c r="K273" s="61"/>
      <c r="L273" s="61"/>
      <c r="M273" s="61"/>
      <c r="N273" s="61"/>
    </row>
    <row r="274" spans="11:14" ht="15.75" customHeight="1">
      <c r="K274" s="61"/>
      <c r="L274" s="61"/>
      <c r="M274" s="61"/>
      <c r="N274" s="61"/>
    </row>
    <row r="275" spans="11:14" ht="15.75" customHeight="1">
      <c r="K275" s="61"/>
      <c r="L275" s="61"/>
      <c r="M275" s="61"/>
      <c r="N275" s="61"/>
    </row>
    <row r="276" spans="11:14" ht="15.75" customHeight="1">
      <c r="K276" s="61"/>
      <c r="L276" s="61"/>
      <c r="M276" s="61"/>
      <c r="N276" s="61"/>
    </row>
    <row r="277" spans="11:14" ht="15.75" customHeight="1">
      <c r="K277" s="61"/>
      <c r="L277" s="61"/>
      <c r="M277" s="61"/>
      <c r="N277" s="61"/>
    </row>
    <row r="278" spans="11:14" ht="15.75" customHeight="1">
      <c r="K278" s="61"/>
      <c r="L278" s="61"/>
      <c r="M278" s="61"/>
      <c r="N278" s="61"/>
    </row>
    <row r="279" spans="11:14" ht="15.75" customHeight="1">
      <c r="K279" s="61"/>
      <c r="L279" s="61"/>
      <c r="M279" s="61"/>
      <c r="N279" s="61"/>
    </row>
    <row r="280" spans="11:14" ht="15.75" customHeight="1">
      <c r="K280" s="61"/>
      <c r="L280" s="61"/>
      <c r="M280" s="61"/>
      <c r="N280" s="61"/>
    </row>
    <row r="281" spans="11:14" ht="15.75" customHeight="1">
      <c r="K281" s="61"/>
      <c r="L281" s="61"/>
      <c r="M281" s="61"/>
      <c r="N281" s="61"/>
    </row>
    <row r="282" spans="11:14" ht="15.75" customHeight="1">
      <c r="K282" s="61"/>
      <c r="L282" s="61"/>
      <c r="M282" s="61"/>
      <c r="N282" s="61"/>
    </row>
    <row r="283" spans="11:14" ht="15.75" customHeight="1">
      <c r="K283" s="61"/>
      <c r="L283" s="61"/>
      <c r="M283" s="61"/>
      <c r="N283" s="61"/>
    </row>
    <row r="284" spans="11:14" ht="15.75" customHeight="1">
      <c r="K284" s="61"/>
      <c r="L284" s="61"/>
      <c r="M284" s="61"/>
      <c r="N284" s="61"/>
    </row>
    <row r="285" spans="11:14" ht="15.75" customHeight="1">
      <c r="K285" s="61"/>
      <c r="L285" s="61"/>
      <c r="M285" s="61"/>
      <c r="N285" s="61"/>
    </row>
    <row r="286" spans="11:14" ht="15.75" customHeight="1">
      <c r="K286" s="61"/>
      <c r="L286" s="61"/>
      <c r="M286" s="61"/>
      <c r="N286" s="61"/>
    </row>
    <row r="287" spans="11:14" ht="15.75" customHeight="1">
      <c r="K287" s="61"/>
      <c r="L287" s="61"/>
      <c r="M287" s="61"/>
      <c r="N287" s="61"/>
    </row>
    <row r="288" spans="11:14" ht="15.75" customHeight="1">
      <c r="K288" s="61"/>
      <c r="L288" s="61"/>
      <c r="M288" s="61"/>
      <c r="N288" s="61"/>
    </row>
    <row r="289" spans="11:14" ht="15.75" customHeight="1">
      <c r="K289" s="61"/>
      <c r="L289" s="61"/>
      <c r="M289" s="61"/>
      <c r="N289" s="61"/>
    </row>
    <row r="290" spans="11:14" ht="15.75" customHeight="1">
      <c r="K290" s="61"/>
      <c r="L290" s="61"/>
      <c r="M290" s="61"/>
      <c r="N290" s="61"/>
    </row>
    <row r="291" spans="11:14" ht="15.75" customHeight="1">
      <c r="K291" s="61"/>
      <c r="L291" s="61"/>
      <c r="M291" s="61"/>
      <c r="N291" s="61"/>
    </row>
    <row r="292" spans="11:14" ht="15.75" customHeight="1">
      <c r="K292" s="61"/>
      <c r="L292" s="61"/>
      <c r="M292" s="61"/>
      <c r="N292" s="61"/>
    </row>
    <row r="293" spans="11:14" ht="15.75" customHeight="1">
      <c r="K293" s="61"/>
      <c r="L293" s="61"/>
      <c r="M293" s="61"/>
      <c r="N293" s="61"/>
    </row>
    <row r="294" spans="11:14" ht="15.75" customHeight="1">
      <c r="K294" s="61"/>
      <c r="L294" s="61"/>
      <c r="M294" s="61"/>
      <c r="N294" s="61"/>
    </row>
    <row r="295" spans="11:14" ht="15.75" customHeight="1">
      <c r="K295" s="61"/>
      <c r="L295" s="61"/>
      <c r="M295" s="61"/>
      <c r="N295" s="61"/>
    </row>
    <row r="296" spans="11:14" ht="15.75" customHeight="1">
      <c r="K296" s="61"/>
      <c r="L296" s="61"/>
      <c r="M296" s="61"/>
      <c r="N296" s="61"/>
    </row>
    <row r="297" spans="11:14" ht="15.75" customHeight="1">
      <c r="K297" s="61"/>
      <c r="L297" s="61"/>
      <c r="M297" s="61"/>
      <c r="N297" s="61"/>
    </row>
    <row r="298" spans="11:14" ht="15.75" customHeight="1">
      <c r="K298" s="61"/>
      <c r="L298" s="61"/>
      <c r="M298" s="61"/>
      <c r="N298" s="61"/>
    </row>
    <row r="299" spans="11:14" ht="15.75" customHeight="1">
      <c r="K299" s="61"/>
      <c r="L299" s="61"/>
      <c r="M299" s="61"/>
      <c r="N299" s="61"/>
    </row>
    <row r="300" spans="11:14" ht="15.75" customHeight="1">
      <c r="K300" s="61"/>
      <c r="L300" s="61"/>
      <c r="M300" s="61"/>
      <c r="N300" s="61"/>
    </row>
    <row r="301" spans="11:14" ht="15.75" customHeight="1">
      <c r="K301" s="61"/>
      <c r="L301" s="61"/>
      <c r="M301" s="61"/>
      <c r="N301" s="61"/>
    </row>
    <row r="302" spans="11:14" ht="15.75" customHeight="1">
      <c r="K302" s="61"/>
      <c r="L302" s="61"/>
      <c r="M302" s="61"/>
      <c r="N302" s="61"/>
    </row>
    <row r="303" spans="11:14" ht="15.75" customHeight="1">
      <c r="K303" s="61"/>
      <c r="L303" s="61"/>
      <c r="M303" s="61"/>
      <c r="N303" s="61"/>
    </row>
    <row r="304" spans="11:14" ht="15.75" customHeight="1">
      <c r="K304" s="61"/>
      <c r="L304" s="61"/>
      <c r="M304" s="61"/>
      <c r="N304" s="61"/>
    </row>
    <row r="305" spans="11:14" ht="15.75" customHeight="1">
      <c r="K305" s="61"/>
      <c r="L305" s="61"/>
      <c r="M305" s="61"/>
      <c r="N305" s="61"/>
    </row>
    <row r="306" spans="11:14" ht="15.75" customHeight="1">
      <c r="K306" s="61"/>
      <c r="L306" s="61"/>
      <c r="M306" s="61"/>
      <c r="N306" s="61"/>
    </row>
    <row r="307" spans="11:14" ht="15.75" customHeight="1">
      <c r="K307" s="61"/>
      <c r="L307" s="61"/>
      <c r="M307" s="61"/>
      <c r="N307" s="61"/>
    </row>
    <row r="308" spans="11:14" ht="15.75" customHeight="1">
      <c r="K308" s="61"/>
      <c r="L308" s="61"/>
      <c r="M308" s="61"/>
      <c r="N308" s="61"/>
    </row>
    <row r="309" spans="11:14" ht="15.75" customHeight="1">
      <c r="K309" s="61"/>
      <c r="L309" s="61"/>
      <c r="M309" s="61"/>
      <c r="N309" s="61"/>
    </row>
    <row r="310" spans="11:14" ht="15.75" customHeight="1">
      <c r="K310" s="61"/>
      <c r="L310" s="61"/>
      <c r="M310" s="61"/>
      <c r="N310" s="61"/>
    </row>
    <row r="311" spans="11:14" ht="15.75" customHeight="1">
      <c r="K311" s="61"/>
      <c r="L311" s="61"/>
      <c r="M311" s="61"/>
      <c r="N311" s="61"/>
    </row>
    <row r="312" spans="11:14" ht="15.75" customHeight="1">
      <c r="K312" s="61"/>
      <c r="L312" s="61"/>
      <c r="M312" s="61"/>
      <c r="N312" s="61"/>
    </row>
    <row r="313" spans="11:14" ht="15.75" customHeight="1">
      <c r="K313" s="61"/>
      <c r="L313" s="61"/>
      <c r="M313" s="61"/>
      <c r="N313" s="61"/>
    </row>
    <row r="314" spans="11:14" ht="15.75" customHeight="1">
      <c r="K314" s="61"/>
      <c r="L314" s="61"/>
      <c r="M314" s="61"/>
      <c r="N314" s="61"/>
    </row>
    <row r="315" spans="11:14" ht="15.75" customHeight="1">
      <c r="K315" s="61"/>
      <c r="L315" s="61"/>
      <c r="M315" s="61"/>
      <c r="N315" s="61"/>
    </row>
    <row r="316" spans="11:14" ht="15.75" customHeight="1">
      <c r="K316" s="61"/>
      <c r="L316" s="61"/>
      <c r="M316" s="61"/>
      <c r="N316" s="61"/>
    </row>
    <row r="317" spans="11:14" ht="15.75" customHeight="1">
      <c r="K317" s="61"/>
      <c r="L317" s="61"/>
      <c r="M317" s="61"/>
      <c r="N317" s="61"/>
    </row>
    <row r="318" spans="11:14" ht="15.75" customHeight="1">
      <c r="K318" s="61"/>
      <c r="L318" s="61"/>
      <c r="M318" s="61"/>
      <c r="N318" s="61"/>
    </row>
    <row r="319" spans="11:14" ht="15.75" customHeight="1">
      <c r="K319" s="61"/>
      <c r="L319" s="61"/>
      <c r="M319" s="61"/>
      <c r="N319" s="61"/>
    </row>
    <row r="320" spans="11:14" ht="15.75" customHeight="1">
      <c r="K320" s="61"/>
      <c r="L320" s="61"/>
      <c r="M320" s="61"/>
      <c r="N320" s="61"/>
    </row>
    <row r="321" spans="11:14" ht="15.75" customHeight="1">
      <c r="K321" s="61"/>
      <c r="L321" s="61"/>
      <c r="M321" s="61"/>
      <c r="N321" s="61"/>
    </row>
    <row r="322" spans="11:14" ht="15.75" customHeight="1">
      <c r="K322" s="61"/>
      <c r="L322" s="61"/>
      <c r="M322" s="61"/>
      <c r="N322" s="61"/>
    </row>
    <row r="323" spans="11:14" ht="15.75" customHeight="1">
      <c r="K323" s="61"/>
      <c r="L323" s="61"/>
      <c r="M323" s="61"/>
      <c r="N323" s="61"/>
    </row>
    <row r="324" spans="11:14" ht="15.75" customHeight="1">
      <c r="K324" s="61"/>
      <c r="L324" s="61"/>
      <c r="M324" s="61"/>
      <c r="N324" s="61"/>
    </row>
    <row r="325" spans="11:14" ht="15.75" customHeight="1">
      <c r="K325" s="61"/>
      <c r="L325" s="61"/>
      <c r="M325" s="61"/>
      <c r="N325" s="61"/>
    </row>
    <row r="326" spans="11:14" ht="15.75" customHeight="1">
      <c r="K326" s="61"/>
      <c r="L326" s="61"/>
      <c r="M326" s="61"/>
      <c r="N326" s="61"/>
    </row>
    <row r="327" spans="11:14" ht="15.75" customHeight="1">
      <c r="K327" s="61"/>
      <c r="L327" s="61"/>
      <c r="M327" s="61"/>
      <c r="N327" s="61"/>
    </row>
    <row r="328" spans="11:14" ht="15.75" customHeight="1">
      <c r="K328" s="61"/>
      <c r="L328" s="61"/>
      <c r="M328" s="61"/>
      <c r="N328" s="61"/>
    </row>
    <row r="329" spans="11:14" ht="15.75" customHeight="1">
      <c r="K329" s="61"/>
      <c r="L329" s="61"/>
      <c r="M329" s="61"/>
      <c r="N329" s="61"/>
    </row>
    <row r="330" spans="11:14" ht="15.75" customHeight="1">
      <c r="K330" s="61"/>
      <c r="L330" s="61"/>
      <c r="M330" s="61"/>
      <c r="N330" s="61"/>
    </row>
    <row r="331" spans="11:14" ht="15.75" customHeight="1">
      <c r="K331" s="61"/>
      <c r="L331" s="61"/>
      <c r="M331" s="61"/>
      <c r="N331" s="61"/>
    </row>
    <row r="332" spans="11:14" ht="15.75" customHeight="1">
      <c r="K332" s="61"/>
      <c r="L332" s="61"/>
      <c r="M332" s="61"/>
      <c r="N332" s="61"/>
    </row>
    <row r="333" spans="11:14" ht="15.75" customHeight="1">
      <c r="K333" s="61"/>
      <c r="L333" s="61"/>
      <c r="M333" s="61"/>
      <c r="N333" s="61"/>
    </row>
    <row r="334" spans="11:14" ht="15.75" customHeight="1">
      <c r="K334" s="61"/>
      <c r="L334" s="61"/>
      <c r="M334" s="61"/>
      <c r="N334" s="61"/>
    </row>
    <row r="335" spans="11:14" ht="15.75" customHeight="1">
      <c r="K335" s="61"/>
      <c r="L335" s="61"/>
      <c r="M335" s="61"/>
      <c r="N335" s="61"/>
    </row>
    <row r="336" spans="11:14" ht="15.75" customHeight="1">
      <c r="K336" s="61"/>
      <c r="L336" s="61"/>
      <c r="M336" s="61"/>
      <c r="N336" s="61"/>
    </row>
    <row r="337" spans="11:14" ht="15.75" customHeight="1">
      <c r="K337" s="61"/>
      <c r="L337" s="61"/>
      <c r="M337" s="61"/>
      <c r="N337" s="61"/>
    </row>
    <row r="338" spans="11:14" ht="15.75" customHeight="1">
      <c r="K338" s="61"/>
      <c r="L338" s="61"/>
      <c r="M338" s="61"/>
      <c r="N338" s="61"/>
    </row>
    <row r="339" spans="11:14" ht="15.75" customHeight="1">
      <c r="K339" s="61"/>
      <c r="L339" s="61"/>
      <c r="M339" s="61"/>
      <c r="N339" s="61"/>
    </row>
    <row r="340" spans="11:14" ht="15.75" customHeight="1">
      <c r="K340" s="61"/>
      <c r="L340" s="61"/>
      <c r="M340" s="61"/>
      <c r="N340" s="61"/>
    </row>
    <row r="341" spans="11:14" ht="15.75" customHeight="1">
      <c r="K341" s="61"/>
      <c r="L341" s="61"/>
      <c r="M341" s="61"/>
      <c r="N341" s="61"/>
    </row>
    <row r="342" spans="11:14" ht="15.75" customHeight="1">
      <c r="K342" s="61"/>
      <c r="L342" s="61"/>
      <c r="M342" s="61"/>
      <c r="N342" s="61"/>
    </row>
    <row r="343" spans="11:14" ht="15.75" customHeight="1">
      <c r="K343" s="61"/>
      <c r="L343" s="61"/>
      <c r="M343" s="61"/>
      <c r="N343" s="61"/>
    </row>
    <row r="344" spans="11:14" ht="15.75" customHeight="1">
      <c r="K344" s="61"/>
      <c r="L344" s="61"/>
      <c r="M344" s="61"/>
      <c r="N344" s="61"/>
    </row>
    <row r="345" spans="11:14" ht="15.75" customHeight="1">
      <c r="K345" s="61"/>
      <c r="L345" s="61"/>
      <c r="M345" s="61"/>
      <c r="N345" s="61"/>
    </row>
    <row r="346" spans="11:14" ht="15.75" customHeight="1">
      <c r="K346" s="61"/>
      <c r="L346" s="61"/>
      <c r="M346" s="61"/>
      <c r="N346" s="61"/>
    </row>
    <row r="347" spans="11:14" ht="15.75" customHeight="1">
      <c r="K347" s="61"/>
      <c r="L347" s="61"/>
      <c r="M347" s="61"/>
      <c r="N347" s="61"/>
    </row>
    <row r="348" spans="11:14" ht="15.75" customHeight="1">
      <c r="K348" s="61"/>
      <c r="L348" s="61"/>
      <c r="M348" s="61"/>
      <c r="N348" s="61"/>
    </row>
    <row r="349" spans="11:14" ht="15.75" customHeight="1">
      <c r="K349" s="61"/>
      <c r="L349" s="61"/>
      <c r="M349" s="61"/>
      <c r="N349" s="61"/>
    </row>
    <row r="350" spans="11:14" ht="15.75" customHeight="1">
      <c r="K350" s="61"/>
      <c r="L350" s="61"/>
      <c r="M350" s="61"/>
      <c r="N350" s="61"/>
    </row>
    <row r="351" spans="11:14" ht="15.75" customHeight="1">
      <c r="K351" s="61"/>
      <c r="L351" s="61"/>
      <c r="M351" s="61"/>
      <c r="N351" s="61"/>
    </row>
    <row r="352" spans="11:14" ht="15.75" customHeight="1">
      <c r="K352" s="61"/>
      <c r="L352" s="61"/>
      <c r="M352" s="61"/>
      <c r="N352" s="61"/>
    </row>
    <row r="353" spans="11:14" ht="15.75" customHeight="1">
      <c r="K353" s="61"/>
      <c r="L353" s="61"/>
      <c r="M353" s="61"/>
      <c r="N353" s="61"/>
    </row>
    <row r="354" spans="11:14" ht="15.75" customHeight="1">
      <c r="K354" s="61"/>
      <c r="L354" s="61"/>
      <c r="M354" s="61"/>
      <c r="N354" s="61"/>
    </row>
    <row r="355" spans="11:14" ht="15.75" customHeight="1">
      <c r="K355" s="61"/>
      <c r="L355" s="61"/>
      <c r="M355" s="61"/>
      <c r="N355" s="61"/>
    </row>
    <row r="356" spans="11:14" ht="15.75" customHeight="1">
      <c r="K356" s="61"/>
      <c r="L356" s="61"/>
      <c r="M356" s="61"/>
      <c r="N356" s="61"/>
    </row>
    <row r="357" spans="11:14" ht="15.75" customHeight="1">
      <c r="K357" s="61"/>
      <c r="L357" s="61"/>
      <c r="M357" s="61"/>
      <c r="N357" s="61"/>
    </row>
    <row r="358" spans="11:14" ht="15.75" customHeight="1">
      <c r="K358" s="61"/>
      <c r="L358" s="61"/>
      <c r="M358" s="61"/>
      <c r="N358" s="61"/>
    </row>
    <row r="359" spans="11:14" ht="15.75" customHeight="1">
      <c r="K359" s="61"/>
      <c r="L359" s="61"/>
      <c r="M359" s="61"/>
      <c r="N359" s="61"/>
    </row>
    <row r="360" spans="11:14" ht="15.75" customHeight="1">
      <c r="K360" s="61"/>
      <c r="L360" s="61"/>
      <c r="M360" s="61"/>
      <c r="N360" s="61"/>
    </row>
    <row r="361" spans="11:14" ht="15.75" customHeight="1">
      <c r="K361" s="61"/>
      <c r="L361" s="61"/>
      <c r="M361" s="61"/>
      <c r="N361" s="61"/>
    </row>
    <row r="362" spans="11:14" ht="15.75" customHeight="1">
      <c r="K362" s="61"/>
      <c r="L362" s="61"/>
      <c r="M362" s="61"/>
      <c r="N362" s="61"/>
    </row>
    <row r="363" spans="11:14" ht="15.75" customHeight="1">
      <c r="K363" s="61"/>
      <c r="L363" s="61"/>
      <c r="M363" s="61"/>
      <c r="N363" s="61"/>
    </row>
    <row r="364" spans="11:14" ht="15.75" customHeight="1">
      <c r="K364" s="61"/>
      <c r="L364" s="61"/>
      <c r="M364" s="61"/>
      <c r="N364" s="61"/>
    </row>
    <row r="365" spans="11:14" ht="15.75" customHeight="1">
      <c r="K365" s="61"/>
      <c r="L365" s="61"/>
      <c r="M365" s="61"/>
      <c r="N365" s="61"/>
    </row>
    <row r="366" spans="11:14" ht="15.75" customHeight="1">
      <c r="K366" s="61"/>
      <c r="L366" s="61"/>
      <c r="M366" s="61"/>
      <c r="N366" s="61"/>
    </row>
    <row r="367" spans="11:14" ht="15.75" customHeight="1">
      <c r="K367" s="61"/>
      <c r="L367" s="61"/>
      <c r="M367" s="61"/>
      <c r="N367" s="61"/>
    </row>
    <row r="368" spans="11:14" ht="15.75" customHeight="1">
      <c r="K368" s="61"/>
      <c r="L368" s="61"/>
      <c r="M368" s="61"/>
      <c r="N368" s="61"/>
    </row>
    <row r="369" spans="11:14" ht="15.75" customHeight="1">
      <c r="K369" s="61"/>
      <c r="L369" s="61"/>
      <c r="M369" s="61"/>
      <c r="N369" s="61"/>
    </row>
    <row r="370" spans="11:14" ht="15.75" customHeight="1">
      <c r="K370" s="61"/>
      <c r="L370" s="61"/>
      <c r="M370" s="61"/>
      <c r="N370" s="61"/>
    </row>
    <row r="371" spans="11:14" ht="15.75" customHeight="1">
      <c r="K371" s="61"/>
      <c r="L371" s="61"/>
      <c r="M371" s="61"/>
      <c r="N371" s="61"/>
    </row>
    <row r="372" spans="11:14" ht="15.75" customHeight="1">
      <c r="K372" s="61"/>
      <c r="L372" s="61"/>
      <c r="M372" s="61"/>
      <c r="N372" s="61"/>
    </row>
    <row r="373" spans="11:14" ht="15.75" customHeight="1">
      <c r="K373" s="61"/>
      <c r="L373" s="61"/>
      <c r="M373" s="61"/>
      <c r="N373" s="61"/>
    </row>
    <row r="374" spans="11:14" ht="15.75" customHeight="1">
      <c r="K374" s="61"/>
      <c r="L374" s="61"/>
      <c r="M374" s="61"/>
      <c r="N374" s="61"/>
    </row>
    <row r="375" spans="11:14" ht="15.75" customHeight="1">
      <c r="K375" s="61"/>
      <c r="L375" s="61"/>
      <c r="M375" s="61"/>
      <c r="N375" s="61"/>
    </row>
    <row r="376" spans="11:14" ht="15.75" customHeight="1">
      <c r="K376" s="61"/>
      <c r="L376" s="61"/>
      <c r="M376" s="61"/>
      <c r="N376" s="61"/>
    </row>
    <row r="377" spans="11:14" ht="15.75" customHeight="1">
      <c r="K377" s="61"/>
      <c r="L377" s="61"/>
      <c r="M377" s="61"/>
      <c r="N377" s="61"/>
    </row>
    <row r="378" spans="11:14" ht="15.75" customHeight="1">
      <c r="K378" s="61"/>
      <c r="L378" s="61"/>
      <c r="M378" s="61"/>
      <c r="N378" s="61"/>
    </row>
    <row r="379" spans="11:14" ht="15.75" customHeight="1">
      <c r="K379" s="61"/>
      <c r="L379" s="61"/>
      <c r="M379" s="61"/>
      <c r="N379" s="61"/>
    </row>
    <row r="380" spans="11:14" ht="15.75" customHeight="1">
      <c r="K380" s="61"/>
      <c r="L380" s="61"/>
      <c r="M380" s="61"/>
      <c r="N380" s="61"/>
    </row>
    <row r="381" spans="11:14" ht="15.75" customHeight="1">
      <c r="K381" s="61"/>
      <c r="L381" s="61"/>
      <c r="M381" s="61"/>
      <c r="N381" s="61"/>
    </row>
    <row r="382" spans="11:14" ht="15.75" customHeight="1">
      <c r="K382" s="61"/>
      <c r="L382" s="61"/>
      <c r="M382" s="61"/>
      <c r="N382" s="61"/>
    </row>
    <row r="383" spans="11:14" ht="15.75" customHeight="1">
      <c r="K383" s="61"/>
      <c r="L383" s="61"/>
      <c r="M383" s="61"/>
      <c r="N383" s="61"/>
    </row>
    <row r="384" spans="11:14" ht="15.75" customHeight="1">
      <c r="K384" s="61"/>
      <c r="L384" s="61"/>
      <c r="M384" s="61"/>
      <c r="N384" s="61"/>
    </row>
    <row r="385" spans="11:14" ht="15.75" customHeight="1">
      <c r="K385" s="61"/>
      <c r="L385" s="61"/>
      <c r="M385" s="61"/>
      <c r="N385" s="61"/>
    </row>
    <row r="386" spans="11:14" ht="15.75" customHeight="1">
      <c r="K386" s="61"/>
      <c r="L386" s="61"/>
      <c r="M386" s="61"/>
      <c r="N386" s="61"/>
    </row>
    <row r="387" spans="11:14" ht="15.75" customHeight="1">
      <c r="K387" s="61"/>
      <c r="L387" s="61"/>
      <c r="M387" s="61"/>
      <c r="N387" s="61"/>
    </row>
    <row r="388" spans="11:14" ht="15.75" customHeight="1">
      <c r="K388" s="61"/>
      <c r="L388" s="61"/>
      <c r="M388" s="61"/>
      <c r="N388" s="61"/>
    </row>
    <row r="389" spans="11:14" ht="15.75" customHeight="1">
      <c r="K389" s="61"/>
      <c r="L389" s="61"/>
      <c r="M389" s="61"/>
      <c r="N389" s="61"/>
    </row>
    <row r="390" spans="11:14" ht="15.75" customHeight="1">
      <c r="K390" s="61"/>
      <c r="L390" s="61"/>
      <c r="M390" s="61"/>
      <c r="N390" s="61"/>
    </row>
    <row r="391" spans="11:14" ht="15.75" customHeight="1">
      <c r="K391" s="61"/>
      <c r="L391" s="61"/>
      <c r="M391" s="61"/>
      <c r="N391" s="61"/>
    </row>
    <row r="392" spans="11:14" ht="15.75" customHeight="1">
      <c r="K392" s="61"/>
      <c r="L392" s="61"/>
      <c r="M392" s="61"/>
      <c r="N392" s="61"/>
    </row>
    <row r="393" spans="11:14" ht="15.75" customHeight="1">
      <c r="K393" s="61"/>
      <c r="L393" s="61"/>
      <c r="M393" s="61"/>
      <c r="N393" s="61"/>
    </row>
    <row r="394" spans="11:14" ht="15.75" customHeight="1">
      <c r="K394" s="61"/>
      <c r="L394" s="61"/>
      <c r="M394" s="61"/>
      <c r="N394" s="61"/>
    </row>
    <row r="395" spans="11:14" ht="15.75" customHeight="1">
      <c r="K395" s="61"/>
      <c r="L395" s="61"/>
      <c r="M395" s="61"/>
      <c r="N395" s="61"/>
    </row>
    <row r="396" spans="11:14" ht="15.75" customHeight="1">
      <c r="K396" s="61"/>
      <c r="L396" s="61"/>
      <c r="M396" s="61"/>
      <c r="N396" s="61"/>
    </row>
    <row r="397" spans="11:14" ht="15.75" customHeight="1">
      <c r="K397" s="61"/>
      <c r="L397" s="61"/>
      <c r="M397" s="61"/>
      <c r="N397" s="61"/>
    </row>
    <row r="398" spans="11:14" ht="15.75" customHeight="1">
      <c r="K398" s="61"/>
      <c r="L398" s="61"/>
      <c r="M398" s="61"/>
      <c r="N398" s="61"/>
    </row>
    <row r="399" spans="11:14" ht="15.75" customHeight="1">
      <c r="K399" s="61"/>
      <c r="L399" s="61"/>
      <c r="M399" s="61"/>
      <c r="N399" s="61"/>
    </row>
    <row r="400" spans="11:14" ht="15.75" customHeight="1">
      <c r="K400" s="61"/>
      <c r="L400" s="61"/>
      <c r="M400" s="61"/>
      <c r="N400" s="61"/>
    </row>
    <row r="401" spans="11:14" ht="15.75" customHeight="1">
      <c r="K401" s="61"/>
      <c r="L401" s="61"/>
      <c r="M401" s="61"/>
      <c r="N401" s="61"/>
    </row>
    <row r="402" spans="11:14" ht="15.75" customHeight="1">
      <c r="K402" s="61"/>
      <c r="L402" s="61"/>
      <c r="M402" s="61"/>
      <c r="N402" s="61"/>
    </row>
    <row r="403" spans="11:14" ht="15.75" customHeight="1">
      <c r="K403" s="61"/>
      <c r="L403" s="61"/>
      <c r="M403" s="61"/>
      <c r="N403" s="61"/>
    </row>
    <row r="404" spans="11:14" ht="15.75" customHeight="1">
      <c r="K404" s="61"/>
      <c r="L404" s="61"/>
      <c r="M404" s="61"/>
      <c r="N404" s="61"/>
    </row>
    <row r="405" spans="11:14" ht="15.75" customHeight="1">
      <c r="K405" s="61"/>
      <c r="L405" s="61"/>
      <c r="M405" s="61"/>
      <c r="N405" s="61"/>
    </row>
    <row r="406" spans="11:14" ht="15.75" customHeight="1">
      <c r="K406" s="61"/>
      <c r="L406" s="61"/>
      <c r="M406" s="61"/>
      <c r="N406" s="61"/>
    </row>
    <row r="407" spans="11:14" ht="15.75" customHeight="1">
      <c r="K407" s="61"/>
      <c r="L407" s="61"/>
      <c r="M407" s="61"/>
      <c r="N407" s="61"/>
    </row>
    <row r="408" spans="11:14" ht="15.75" customHeight="1">
      <c r="K408" s="61"/>
      <c r="L408" s="61"/>
      <c r="M408" s="61"/>
      <c r="N408" s="61"/>
    </row>
    <row r="409" spans="11:14" ht="15.75" customHeight="1">
      <c r="K409" s="61"/>
      <c r="L409" s="61"/>
      <c r="M409" s="61"/>
      <c r="N409" s="61"/>
    </row>
    <row r="410" spans="11:14" ht="15.75" customHeight="1">
      <c r="K410" s="61"/>
      <c r="L410" s="61"/>
      <c r="M410" s="61"/>
      <c r="N410" s="61"/>
    </row>
    <row r="411" spans="11:14" ht="15.75" customHeight="1">
      <c r="K411" s="61"/>
      <c r="L411" s="61"/>
      <c r="M411" s="61"/>
      <c r="N411" s="61"/>
    </row>
    <row r="412" spans="11:14" ht="15.75" customHeight="1">
      <c r="K412" s="61"/>
      <c r="L412" s="61"/>
      <c r="M412" s="61"/>
      <c r="N412" s="61"/>
    </row>
    <row r="413" spans="11:14" ht="15.75" customHeight="1">
      <c r="K413" s="61"/>
      <c r="L413" s="61"/>
      <c r="M413" s="61"/>
      <c r="N413" s="61"/>
    </row>
    <row r="414" spans="11:14" ht="15.75" customHeight="1">
      <c r="K414" s="61"/>
      <c r="L414" s="61"/>
      <c r="M414" s="61"/>
      <c r="N414" s="61"/>
    </row>
    <row r="415" spans="11:14" ht="15.75" customHeight="1">
      <c r="K415" s="61"/>
      <c r="L415" s="61"/>
      <c r="M415" s="61"/>
      <c r="N415" s="61"/>
    </row>
    <row r="416" spans="11:14" ht="15.75" customHeight="1">
      <c r="K416" s="61"/>
      <c r="L416" s="61"/>
      <c r="M416" s="61"/>
      <c r="N416" s="61"/>
    </row>
    <row r="417" spans="11:14" ht="15.75" customHeight="1">
      <c r="K417" s="61"/>
      <c r="L417" s="61"/>
      <c r="M417" s="61"/>
      <c r="N417" s="61"/>
    </row>
    <row r="418" spans="11:14" ht="15.75" customHeight="1">
      <c r="K418" s="61"/>
      <c r="L418" s="61"/>
      <c r="M418" s="61"/>
      <c r="N418" s="61"/>
    </row>
    <row r="419" spans="11:14" ht="15.75" customHeight="1">
      <c r="K419" s="61"/>
      <c r="L419" s="61"/>
      <c r="M419" s="61"/>
      <c r="N419" s="61"/>
    </row>
    <row r="420" spans="11:14" ht="15.75" customHeight="1">
      <c r="K420" s="61"/>
      <c r="L420" s="61"/>
      <c r="M420" s="61"/>
      <c r="N420" s="61"/>
    </row>
    <row r="421" spans="11:14" ht="15.75" customHeight="1">
      <c r="K421" s="61"/>
      <c r="L421" s="61"/>
      <c r="M421" s="61"/>
      <c r="N421" s="61"/>
    </row>
    <row r="422" spans="11:14" ht="15.75" customHeight="1">
      <c r="K422" s="61"/>
      <c r="L422" s="61"/>
      <c r="M422" s="61"/>
      <c r="N422" s="61"/>
    </row>
    <row r="423" spans="11:14" ht="15.75" customHeight="1">
      <c r="K423" s="61"/>
      <c r="L423" s="61"/>
      <c r="M423" s="61"/>
      <c r="N423" s="61"/>
    </row>
    <row r="424" spans="11:14" ht="15.75" customHeight="1">
      <c r="K424" s="61"/>
      <c r="L424" s="61"/>
      <c r="M424" s="61"/>
      <c r="N424" s="61"/>
    </row>
    <row r="425" spans="11:14" ht="15.75" customHeight="1">
      <c r="K425" s="61"/>
      <c r="L425" s="61"/>
      <c r="M425" s="61"/>
      <c r="N425" s="61"/>
    </row>
    <row r="426" spans="11:14" ht="15.75" customHeight="1">
      <c r="K426" s="61"/>
      <c r="L426" s="61"/>
      <c r="M426" s="61"/>
      <c r="N426" s="61"/>
    </row>
    <row r="427" spans="11:14" ht="15.75" customHeight="1">
      <c r="K427" s="61"/>
      <c r="L427" s="61"/>
      <c r="M427" s="61"/>
      <c r="N427" s="61"/>
    </row>
    <row r="428" spans="11:14" ht="15.75" customHeight="1">
      <c r="K428" s="61"/>
      <c r="L428" s="61"/>
      <c r="M428" s="61"/>
      <c r="N428" s="61"/>
    </row>
    <row r="429" spans="11:14" ht="15.75" customHeight="1">
      <c r="K429" s="61"/>
      <c r="L429" s="61"/>
      <c r="M429" s="61"/>
      <c r="N429" s="61"/>
    </row>
    <row r="430" spans="11:14" ht="15.75" customHeight="1">
      <c r="K430" s="61"/>
      <c r="L430" s="61"/>
      <c r="M430" s="61"/>
      <c r="N430" s="61"/>
    </row>
    <row r="431" spans="11:14" ht="15.75" customHeight="1">
      <c r="K431" s="61"/>
      <c r="L431" s="61"/>
      <c r="M431" s="61"/>
      <c r="N431" s="61"/>
    </row>
    <row r="432" spans="11:14" ht="15.75" customHeight="1">
      <c r="K432" s="61"/>
      <c r="L432" s="61"/>
      <c r="M432" s="61"/>
      <c r="N432" s="61"/>
    </row>
    <row r="433" spans="11:14" ht="15.75" customHeight="1">
      <c r="K433" s="61"/>
      <c r="L433" s="61"/>
      <c r="M433" s="61"/>
      <c r="N433" s="61"/>
    </row>
    <row r="434" spans="11:14" ht="15.75" customHeight="1">
      <c r="K434" s="61"/>
      <c r="L434" s="61"/>
      <c r="M434" s="61"/>
      <c r="N434" s="61"/>
    </row>
    <row r="435" spans="11:14" ht="15.75" customHeight="1">
      <c r="K435" s="61"/>
      <c r="L435" s="61"/>
      <c r="M435" s="61"/>
      <c r="N435" s="61"/>
    </row>
    <row r="436" spans="11:14" ht="15.75" customHeight="1">
      <c r="K436" s="61"/>
      <c r="L436" s="61"/>
      <c r="M436" s="61"/>
      <c r="N436" s="61"/>
    </row>
    <row r="437" spans="11:14" ht="15.75" customHeight="1">
      <c r="K437" s="61"/>
      <c r="L437" s="61"/>
      <c r="M437" s="61"/>
      <c r="N437" s="61"/>
    </row>
    <row r="438" spans="11:14" ht="15.75" customHeight="1">
      <c r="K438" s="61"/>
      <c r="L438" s="61"/>
      <c r="M438" s="61"/>
      <c r="N438" s="61"/>
    </row>
    <row r="439" spans="11:14" ht="15.75" customHeight="1">
      <c r="K439" s="61"/>
      <c r="L439" s="61"/>
      <c r="M439" s="61"/>
      <c r="N439" s="61"/>
    </row>
    <row r="440" spans="11:14" ht="15.75" customHeight="1">
      <c r="K440" s="61"/>
      <c r="L440" s="61"/>
      <c r="M440" s="61"/>
      <c r="N440" s="61"/>
    </row>
    <row r="441" spans="11:14" ht="15.75" customHeight="1">
      <c r="K441" s="61"/>
      <c r="L441" s="61"/>
      <c r="M441" s="61"/>
      <c r="N441" s="61"/>
    </row>
    <row r="442" spans="11:14" ht="15.75" customHeight="1">
      <c r="K442" s="61"/>
      <c r="L442" s="61"/>
      <c r="M442" s="61"/>
      <c r="N442" s="61"/>
    </row>
    <row r="443" spans="11:14" ht="15.75" customHeight="1">
      <c r="K443" s="61"/>
      <c r="L443" s="61"/>
      <c r="M443" s="61"/>
      <c r="N443" s="61"/>
    </row>
    <row r="444" spans="11:14" ht="15.75" customHeight="1">
      <c r="K444" s="61"/>
      <c r="L444" s="61"/>
      <c r="M444" s="61"/>
      <c r="N444" s="61"/>
    </row>
    <row r="445" spans="11:14" ht="15.75" customHeight="1">
      <c r="K445" s="61"/>
      <c r="L445" s="61"/>
      <c r="M445" s="61"/>
      <c r="N445" s="61"/>
    </row>
    <row r="446" spans="11:14" ht="15.75" customHeight="1">
      <c r="K446" s="61"/>
      <c r="L446" s="61"/>
      <c r="M446" s="61"/>
      <c r="N446" s="61"/>
    </row>
    <row r="447" spans="11:14" ht="15.75" customHeight="1">
      <c r="K447" s="61"/>
      <c r="L447" s="61"/>
      <c r="M447" s="61"/>
      <c r="N447" s="61"/>
    </row>
    <row r="448" spans="11:14" ht="15.75" customHeight="1">
      <c r="K448" s="61"/>
      <c r="L448" s="61"/>
      <c r="M448" s="61"/>
      <c r="N448" s="61"/>
    </row>
    <row r="449" spans="11:14" ht="15.75" customHeight="1">
      <c r="K449" s="61"/>
      <c r="L449" s="61"/>
      <c r="M449" s="61"/>
      <c r="N449" s="61"/>
    </row>
    <row r="450" spans="11:14" ht="15.75" customHeight="1">
      <c r="K450" s="61"/>
      <c r="L450" s="61"/>
      <c r="M450" s="61"/>
      <c r="N450" s="61"/>
    </row>
    <row r="451" spans="11:14" ht="15.75" customHeight="1">
      <c r="K451" s="61"/>
      <c r="L451" s="61"/>
      <c r="M451" s="61"/>
      <c r="N451" s="61"/>
    </row>
    <row r="452" spans="11:14" ht="15.75" customHeight="1">
      <c r="K452" s="61"/>
      <c r="L452" s="61"/>
      <c r="M452" s="61"/>
      <c r="N452" s="61"/>
    </row>
    <row r="453" spans="11:14" ht="15.75" customHeight="1">
      <c r="K453" s="61"/>
      <c r="L453" s="61"/>
      <c r="M453" s="61"/>
      <c r="N453" s="61"/>
    </row>
    <row r="454" spans="11:14" ht="15.75" customHeight="1">
      <c r="K454" s="61"/>
      <c r="L454" s="61"/>
      <c r="M454" s="61"/>
      <c r="N454" s="61"/>
    </row>
    <row r="455" spans="11:14" ht="15.75" customHeight="1">
      <c r="K455" s="61"/>
      <c r="L455" s="61"/>
      <c r="M455" s="61"/>
      <c r="N455" s="61"/>
    </row>
    <row r="456" spans="11:14" ht="15.75" customHeight="1">
      <c r="K456" s="61"/>
      <c r="L456" s="61"/>
      <c r="M456" s="61"/>
      <c r="N456" s="61"/>
    </row>
    <row r="457" spans="11:14" ht="15.75" customHeight="1">
      <c r="K457" s="61"/>
      <c r="L457" s="61"/>
      <c r="M457" s="61"/>
      <c r="N457" s="61"/>
    </row>
    <row r="458" spans="11:14" ht="15.75" customHeight="1">
      <c r="K458" s="61"/>
      <c r="L458" s="61"/>
      <c r="M458" s="61"/>
      <c r="N458" s="61"/>
    </row>
    <row r="459" spans="11:14" ht="15.75" customHeight="1">
      <c r="K459" s="61"/>
      <c r="L459" s="61"/>
      <c r="M459" s="61"/>
      <c r="N459" s="61"/>
    </row>
    <row r="460" spans="11:14" ht="15.75" customHeight="1">
      <c r="K460" s="61"/>
      <c r="L460" s="61"/>
      <c r="M460" s="61"/>
      <c r="N460" s="61"/>
    </row>
    <row r="461" spans="11:14" ht="15.75" customHeight="1">
      <c r="K461" s="61"/>
      <c r="L461" s="61"/>
      <c r="M461" s="61"/>
      <c r="N461" s="61"/>
    </row>
    <row r="462" spans="11:14" ht="15.75" customHeight="1">
      <c r="K462" s="61"/>
      <c r="L462" s="61"/>
      <c r="M462" s="61"/>
      <c r="N462" s="61"/>
    </row>
    <row r="463" spans="11:14" ht="15.75" customHeight="1">
      <c r="K463" s="61"/>
      <c r="L463" s="61"/>
      <c r="M463" s="61"/>
      <c r="N463" s="61"/>
    </row>
    <row r="464" spans="11:14" ht="15.75" customHeight="1">
      <c r="K464" s="61"/>
      <c r="L464" s="61"/>
      <c r="M464" s="61"/>
      <c r="N464" s="61"/>
    </row>
    <row r="465" spans="11:14" ht="15.75" customHeight="1">
      <c r="K465" s="61"/>
      <c r="L465" s="61"/>
      <c r="M465" s="61"/>
      <c r="N465" s="61"/>
    </row>
    <row r="466" spans="11:14" ht="15.75" customHeight="1">
      <c r="K466" s="61"/>
      <c r="L466" s="61"/>
      <c r="M466" s="61"/>
      <c r="N466" s="61"/>
    </row>
    <row r="467" spans="11:14" ht="15.75" customHeight="1">
      <c r="K467" s="61"/>
      <c r="L467" s="61"/>
      <c r="M467" s="61"/>
      <c r="N467" s="61"/>
    </row>
    <row r="468" spans="11:14" ht="15.75" customHeight="1">
      <c r="K468" s="61"/>
      <c r="L468" s="61"/>
      <c r="M468" s="61"/>
      <c r="N468" s="61"/>
    </row>
    <row r="469" spans="11:14" ht="15.75" customHeight="1">
      <c r="K469" s="61"/>
      <c r="L469" s="61"/>
      <c r="M469" s="61"/>
      <c r="N469" s="61"/>
    </row>
    <row r="470" spans="11:14" ht="15.75" customHeight="1">
      <c r="K470" s="61"/>
      <c r="L470" s="61"/>
      <c r="M470" s="61"/>
      <c r="N470" s="61"/>
    </row>
    <row r="471" spans="11:14" ht="15.75" customHeight="1">
      <c r="K471" s="61"/>
      <c r="L471" s="61"/>
      <c r="M471" s="61"/>
      <c r="N471" s="61"/>
    </row>
    <row r="472" spans="11:14" ht="15.75" customHeight="1">
      <c r="K472" s="61"/>
      <c r="L472" s="61"/>
      <c r="M472" s="61"/>
      <c r="N472" s="61"/>
    </row>
    <row r="473" spans="11:14" ht="15.75" customHeight="1">
      <c r="K473" s="61"/>
      <c r="L473" s="61"/>
      <c r="M473" s="61"/>
      <c r="N473" s="61"/>
    </row>
    <row r="474" spans="11:14" ht="15.75" customHeight="1">
      <c r="K474" s="61"/>
      <c r="L474" s="61"/>
      <c r="M474" s="61"/>
      <c r="N474" s="61"/>
    </row>
    <row r="475" spans="11:14" ht="15.75" customHeight="1">
      <c r="K475" s="61"/>
      <c r="L475" s="61"/>
      <c r="M475" s="61"/>
      <c r="N475" s="61"/>
    </row>
    <row r="476" spans="11:14" ht="15.75" customHeight="1">
      <c r="K476" s="61"/>
      <c r="L476" s="61"/>
      <c r="M476" s="61"/>
      <c r="N476" s="61"/>
    </row>
    <row r="477" spans="11:14" ht="15.75" customHeight="1">
      <c r="K477" s="61"/>
      <c r="L477" s="61"/>
      <c r="M477" s="61"/>
      <c r="N477" s="61"/>
    </row>
    <row r="478" spans="11:14" ht="15.75" customHeight="1">
      <c r="K478" s="61"/>
      <c r="L478" s="61"/>
      <c r="M478" s="61"/>
      <c r="N478" s="61"/>
    </row>
    <row r="479" spans="11:14" ht="15.75" customHeight="1">
      <c r="K479" s="61"/>
      <c r="L479" s="61"/>
      <c r="M479" s="61"/>
      <c r="N479" s="61"/>
    </row>
    <row r="480" spans="11:14" ht="15.75" customHeight="1">
      <c r="K480" s="61"/>
      <c r="L480" s="61"/>
      <c r="M480" s="61"/>
      <c r="N480" s="61"/>
    </row>
    <row r="481" spans="11:14" ht="15.75" customHeight="1">
      <c r="K481" s="61"/>
      <c r="L481" s="61"/>
      <c r="M481" s="61"/>
      <c r="N481" s="61"/>
    </row>
    <row r="482" spans="11:14" ht="15.75" customHeight="1">
      <c r="K482" s="61"/>
      <c r="L482" s="61"/>
      <c r="M482" s="61"/>
      <c r="N482" s="61"/>
    </row>
    <row r="483" spans="11:14" ht="15.75" customHeight="1">
      <c r="K483" s="61"/>
      <c r="L483" s="61"/>
      <c r="M483" s="61"/>
      <c r="N483" s="61"/>
    </row>
    <row r="484" spans="11:14" ht="15.75" customHeight="1">
      <c r="K484" s="61"/>
      <c r="L484" s="61"/>
      <c r="M484" s="61"/>
      <c r="N484" s="61"/>
    </row>
    <row r="485" spans="11:14" ht="15.75" customHeight="1">
      <c r="K485" s="61"/>
      <c r="L485" s="61"/>
      <c r="M485" s="61"/>
      <c r="N485" s="61"/>
    </row>
    <row r="486" spans="11:14" ht="15.75" customHeight="1">
      <c r="K486" s="61"/>
      <c r="L486" s="61"/>
      <c r="M486" s="61"/>
      <c r="N486" s="61"/>
    </row>
    <row r="487" spans="11:14" ht="15.75" customHeight="1">
      <c r="K487" s="61"/>
      <c r="L487" s="61"/>
      <c r="M487" s="61"/>
      <c r="N487" s="61"/>
    </row>
    <row r="488" spans="11:14" ht="15.75" customHeight="1">
      <c r="K488" s="61"/>
      <c r="L488" s="61"/>
      <c r="M488" s="61"/>
      <c r="N488" s="61"/>
    </row>
    <row r="489" spans="11:14" ht="15.75" customHeight="1">
      <c r="K489" s="61"/>
      <c r="L489" s="61"/>
      <c r="M489" s="61"/>
      <c r="N489" s="61"/>
    </row>
    <row r="490" spans="11:14" ht="15.75" customHeight="1">
      <c r="K490" s="61"/>
      <c r="L490" s="61"/>
      <c r="M490" s="61"/>
      <c r="N490" s="61"/>
    </row>
    <row r="491" spans="11:14" ht="15.75" customHeight="1">
      <c r="K491" s="61"/>
      <c r="L491" s="61"/>
      <c r="M491" s="61"/>
      <c r="N491" s="61"/>
    </row>
    <row r="492" spans="11:14" ht="15.75" customHeight="1">
      <c r="K492" s="61"/>
      <c r="L492" s="61"/>
      <c r="M492" s="61"/>
      <c r="N492" s="61"/>
    </row>
    <row r="493" spans="11:14" ht="15.75" customHeight="1">
      <c r="K493" s="61"/>
      <c r="L493" s="61"/>
      <c r="M493" s="61"/>
      <c r="N493" s="61"/>
    </row>
    <row r="494" spans="11:14" ht="15.75" customHeight="1">
      <c r="K494" s="61"/>
      <c r="L494" s="61"/>
      <c r="M494" s="61"/>
      <c r="N494" s="61"/>
    </row>
    <row r="495" spans="11:14" ht="15.75" customHeight="1">
      <c r="K495" s="61"/>
      <c r="L495" s="61"/>
      <c r="M495" s="61"/>
      <c r="N495" s="61"/>
    </row>
    <row r="496" spans="11:14" ht="15.75" customHeight="1">
      <c r="K496" s="61"/>
      <c r="L496" s="61"/>
      <c r="M496" s="61"/>
      <c r="N496" s="61"/>
    </row>
    <row r="497" spans="11:14" ht="15.75" customHeight="1">
      <c r="K497" s="61"/>
      <c r="L497" s="61"/>
      <c r="M497" s="61"/>
      <c r="N497" s="61"/>
    </row>
    <row r="498" spans="11:14" ht="15.75" customHeight="1">
      <c r="K498" s="61"/>
      <c r="L498" s="61"/>
      <c r="M498" s="61"/>
      <c r="N498" s="61"/>
    </row>
    <row r="499" spans="11:14" ht="15.75" customHeight="1">
      <c r="K499" s="61"/>
      <c r="L499" s="61"/>
      <c r="M499" s="61"/>
      <c r="N499" s="61"/>
    </row>
    <row r="500" spans="11:14" ht="15.75" customHeight="1">
      <c r="K500" s="61"/>
      <c r="L500" s="61"/>
      <c r="M500" s="61"/>
      <c r="N500" s="61"/>
    </row>
    <row r="501" spans="11:14" ht="15.75" customHeight="1">
      <c r="K501" s="61"/>
      <c r="L501" s="61"/>
      <c r="M501" s="61"/>
      <c r="N501" s="61"/>
    </row>
    <row r="502" spans="11:14" ht="15.75" customHeight="1">
      <c r="K502" s="61"/>
      <c r="L502" s="61"/>
      <c r="M502" s="61"/>
      <c r="N502" s="61"/>
    </row>
    <row r="503" spans="11:14" ht="15.75" customHeight="1">
      <c r="K503" s="61"/>
      <c r="L503" s="61"/>
      <c r="M503" s="61"/>
      <c r="N503" s="61"/>
    </row>
    <row r="504" spans="11:14" ht="15.75" customHeight="1">
      <c r="K504" s="61"/>
      <c r="L504" s="61"/>
      <c r="M504" s="61"/>
      <c r="N504" s="61"/>
    </row>
    <row r="505" spans="11:14" ht="15.75" customHeight="1">
      <c r="K505" s="61"/>
      <c r="L505" s="61"/>
      <c r="M505" s="61"/>
      <c r="N505" s="61"/>
    </row>
    <row r="506" spans="11:14" ht="15.75" customHeight="1">
      <c r="K506" s="61"/>
      <c r="L506" s="61"/>
      <c r="M506" s="61"/>
      <c r="N506" s="61"/>
    </row>
    <row r="507" spans="11:14" ht="15.75" customHeight="1">
      <c r="K507" s="61"/>
      <c r="L507" s="61"/>
      <c r="M507" s="61"/>
      <c r="N507" s="61"/>
    </row>
    <row r="508" spans="11:14" ht="15.75" customHeight="1">
      <c r="K508" s="61"/>
      <c r="L508" s="61"/>
      <c r="M508" s="61"/>
      <c r="N508" s="61"/>
    </row>
    <row r="509" spans="11:14" ht="15.75" customHeight="1">
      <c r="K509" s="61"/>
      <c r="L509" s="61"/>
      <c r="M509" s="61"/>
      <c r="N509" s="61"/>
    </row>
    <row r="510" spans="11:14" ht="15.75" customHeight="1">
      <c r="K510" s="61"/>
      <c r="L510" s="61"/>
      <c r="M510" s="61"/>
      <c r="N510" s="61"/>
    </row>
    <row r="511" spans="11:14" ht="15.75" customHeight="1">
      <c r="K511" s="61"/>
      <c r="L511" s="61"/>
      <c r="M511" s="61"/>
      <c r="N511" s="61"/>
    </row>
    <row r="512" spans="11:14" ht="15.75" customHeight="1">
      <c r="K512" s="61"/>
      <c r="L512" s="61"/>
      <c r="M512" s="61"/>
      <c r="N512" s="61"/>
    </row>
    <row r="513" spans="11:14" ht="15.75" customHeight="1">
      <c r="K513" s="61"/>
      <c r="L513" s="61"/>
      <c r="M513" s="61"/>
      <c r="N513" s="61"/>
    </row>
    <row r="514" spans="11:14" ht="15.75" customHeight="1">
      <c r="K514" s="61"/>
      <c r="L514" s="61"/>
      <c r="M514" s="61"/>
      <c r="N514" s="61"/>
    </row>
    <row r="515" spans="11:14" ht="15.75" customHeight="1">
      <c r="K515" s="61"/>
      <c r="L515" s="61"/>
      <c r="M515" s="61"/>
      <c r="N515" s="61"/>
    </row>
    <row r="516" spans="11:14" ht="15.75" customHeight="1">
      <c r="K516" s="61"/>
      <c r="L516" s="61"/>
      <c r="M516" s="61"/>
      <c r="N516" s="61"/>
    </row>
    <row r="517" spans="11:14" ht="15.75" customHeight="1">
      <c r="K517" s="61"/>
      <c r="L517" s="61"/>
      <c r="M517" s="61"/>
      <c r="N517" s="61"/>
    </row>
    <row r="518" spans="11:14" ht="15.75" customHeight="1">
      <c r="K518" s="61"/>
      <c r="L518" s="61"/>
      <c r="M518" s="61"/>
      <c r="N518" s="61"/>
    </row>
    <row r="519" spans="11:14" ht="15.75" customHeight="1">
      <c r="K519" s="61"/>
      <c r="L519" s="61"/>
      <c r="M519" s="61"/>
      <c r="N519" s="61"/>
    </row>
    <row r="520" spans="11:14" ht="15.75" customHeight="1">
      <c r="K520" s="61"/>
      <c r="L520" s="61"/>
      <c r="M520" s="61"/>
      <c r="N520" s="61"/>
    </row>
    <row r="521" spans="11:14" ht="15.75" customHeight="1">
      <c r="K521" s="61"/>
      <c r="L521" s="61"/>
      <c r="M521" s="61"/>
      <c r="N521" s="61"/>
    </row>
    <row r="522" spans="11:14" ht="15.75" customHeight="1">
      <c r="K522" s="61"/>
      <c r="L522" s="61"/>
      <c r="M522" s="61"/>
      <c r="N522" s="61"/>
    </row>
    <row r="523" spans="11:14" ht="15.75" customHeight="1">
      <c r="K523" s="61"/>
      <c r="L523" s="61"/>
      <c r="M523" s="61"/>
      <c r="N523" s="61"/>
    </row>
    <row r="524" spans="11:14" ht="15.75" customHeight="1">
      <c r="K524" s="61"/>
      <c r="L524" s="61"/>
      <c r="M524" s="61"/>
      <c r="N524" s="61"/>
    </row>
    <row r="525" spans="11:14" ht="15.75" customHeight="1">
      <c r="K525" s="61"/>
      <c r="L525" s="61"/>
      <c r="M525" s="61"/>
      <c r="N525" s="61"/>
    </row>
    <row r="526" spans="11:14" ht="15.75" customHeight="1">
      <c r="K526" s="61"/>
      <c r="L526" s="61"/>
      <c r="M526" s="61"/>
      <c r="N526" s="61"/>
    </row>
    <row r="527" spans="11:14" ht="15.75" customHeight="1">
      <c r="K527" s="61"/>
      <c r="L527" s="61"/>
      <c r="M527" s="61"/>
      <c r="N527" s="61"/>
    </row>
    <row r="528" spans="11:14" ht="15.75" customHeight="1">
      <c r="K528" s="61"/>
      <c r="L528" s="61"/>
      <c r="M528" s="61"/>
      <c r="N528" s="61"/>
    </row>
    <row r="529" spans="11:14" ht="15.75" customHeight="1">
      <c r="K529" s="61"/>
      <c r="L529" s="61"/>
      <c r="M529" s="61"/>
      <c r="N529" s="61"/>
    </row>
    <row r="530" spans="11:14" ht="15.75" customHeight="1">
      <c r="K530" s="61"/>
      <c r="L530" s="61"/>
      <c r="M530" s="61"/>
      <c r="N530" s="61"/>
    </row>
    <row r="531" spans="11:14" ht="15.75" customHeight="1">
      <c r="K531" s="61"/>
      <c r="L531" s="61"/>
      <c r="M531" s="61"/>
      <c r="N531" s="61"/>
    </row>
    <row r="532" spans="11:14" ht="15.75" customHeight="1">
      <c r="K532" s="61"/>
      <c r="L532" s="61"/>
      <c r="M532" s="61"/>
      <c r="N532" s="61"/>
    </row>
    <row r="533" spans="11:14" ht="15.75" customHeight="1">
      <c r="K533" s="61"/>
      <c r="L533" s="61"/>
      <c r="M533" s="61"/>
      <c r="N533" s="61"/>
    </row>
    <row r="534" spans="11:14" ht="15.75" customHeight="1">
      <c r="K534" s="61"/>
      <c r="L534" s="61"/>
      <c r="M534" s="61"/>
      <c r="N534" s="61"/>
    </row>
    <row r="535" spans="11:14" ht="15.75" customHeight="1">
      <c r="K535" s="61"/>
      <c r="L535" s="61"/>
      <c r="M535" s="61"/>
      <c r="N535" s="61"/>
    </row>
    <row r="536" spans="11:14" ht="15.75" customHeight="1">
      <c r="K536" s="61"/>
      <c r="L536" s="61"/>
      <c r="M536" s="61"/>
      <c r="N536" s="61"/>
    </row>
    <row r="537" spans="11:14" ht="15.75" customHeight="1">
      <c r="K537" s="61"/>
      <c r="L537" s="61"/>
      <c r="M537" s="61"/>
      <c r="N537" s="61"/>
    </row>
    <row r="538" spans="11:14" ht="15.75" customHeight="1">
      <c r="K538" s="61"/>
      <c r="L538" s="61"/>
      <c r="M538" s="61"/>
      <c r="N538" s="61"/>
    </row>
    <row r="539" spans="11:14" ht="15.75" customHeight="1">
      <c r="K539" s="61"/>
      <c r="L539" s="61"/>
      <c r="M539" s="61"/>
      <c r="N539" s="61"/>
    </row>
    <row r="540" spans="11:14" ht="15.75" customHeight="1">
      <c r="K540" s="61"/>
      <c r="L540" s="61"/>
      <c r="M540" s="61"/>
      <c r="N540" s="61"/>
    </row>
    <row r="541" spans="11:14" ht="15.75" customHeight="1">
      <c r="K541" s="61"/>
      <c r="L541" s="61"/>
      <c r="M541" s="61"/>
      <c r="N541" s="61"/>
    </row>
    <row r="542" spans="11:14" ht="15.75" customHeight="1">
      <c r="K542" s="61"/>
      <c r="L542" s="61"/>
      <c r="M542" s="61"/>
      <c r="N542" s="61"/>
    </row>
    <row r="543" spans="11:14" ht="15.75" customHeight="1">
      <c r="K543" s="61"/>
      <c r="L543" s="61"/>
      <c r="M543" s="61"/>
      <c r="N543" s="61"/>
    </row>
    <row r="544" spans="11:14" ht="15.75" customHeight="1">
      <c r="K544" s="61"/>
      <c r="L544" s="61"/>
      <c r="M544" s="61"/>
      <c r="N544" s="61"/>
    </row>
    <row r="545" spans="11:14" ht="15.75" customHeight="1">
      <c r="K545" s="61"/>
      <c r="L545" s="61"/>
      <c r="M545" s="61"/>
      <c r="N545" s="61"/>
    </row>
    <row r="546" spans="11:14" ht="15.75" customHeight="1">
      <c r="K546" s="61"/>
      <c r="L546" s="61"/>
      <c r="M546" s="61"/>
      <c r="N546" s="61"/>
    </row>
    <row r="547" spans="11:14" ht="15.75" customHeight="1">
      <c r="K547" s="61"/>
      <c r="L547" s="61"/>
      <c r="M547" s="61"/>
      <c r="N547" s="61"/>
    </row>
    <row r="548" spans="11:14" ht="15.75" customHeight="1">
      <c r="K548" s="61"/>
      <c r="L548" s="61"/>
      <c r="M548" s="61"/>
      <c r="N548" s="61"/>
    </row>
    <row r="549" spans="11:14" ht="15.75" customHeight="1">
      <c r="K549" s="61"/>
      <c r="L549" s="61"/>
      <c r="M549" s="61"/>
      <c r="N549" s="61"/>
    </row>
    <row r="550" spans="11:14" ht="15.75" customHeight="1">
      <c r="K550" s="61"/>
      <c r="L550" s="61"/>
      <c r="M550" s="61"/>
      <c r="N550" s="61"/>
    </row>
    <row r="551" spans="11:14" ht="15.75" customHeight="1">
      <c r="K551" s="61"/>
      <c r="L551" s="61"/>
      <c r="M551" s="61"/>
      <c r="N551" s="61"/>
    </row>
    <row r="552" spans="11:14" ht="15.75" customHeight="1">
      <c r="K552" s="61"/>
      <c r="L552" s="61"/>
      <c r="M552" s="61"/>
      <c r="N552" s="61"/>
    </row>
    <row r="553" spans="11:14" ht="15.75" customHeight="1">
      <c r="K553" s="61"/>
      <c r="L553" s="61"/>
      <c r="M553" s="61"/>
      <c r="N553" s="61"/>
    </row>
    <row r="554" spans="11:14" ht="15.75" customHeight="1">
      <c r="K554" s="61"/>
      <c r="L554" s="61"/>
      <c r="M554" s="61"/>
      <c r="N554" s="61"/>
    </row>
    <row r="555" spans="11:14" ht="15.75" customHeight="1">
      <c r="K555" s="61"/>
      <c r="L555" s="61"/>
      <c r="M555" s="61"/>
      <c r="N555" s="61"/>
    </row>
    <row r="556" spans="11:14" ht="15.75" customHeight="1">
      <c r="K556" s="61"/>
      <c r="L556" s="61"/>
      <c r="M556" s="61"/>
      <c r="N556" s="61"/>
    </row>
    <row r="557" spans="11:14" ht="15.75" customHeight="1">
      <c r="K557" s="61"/>
      <c r="L557" s="61"/>
      <c r="M557" s="61"/>
      <c r="N557" s="61"/>
    </row>
    <row r="558" spans="11:14" ht="15.75" customHeight="1">
      <c r="K558" s="61"/>
      <c r="L558" s="61"/>
      <c r="M558" s="61"/>
      <c r="N558" s="61"/>
    </row>
    <row r="559" spans="11:14" ht="15.75" customHeight="1">
      <c r="K559" s="61"/>
      <c r="L559" s="61"/>
      <c r="M559" s="61"/>
      <c r="N559" s="61"/>
    </row>
    <row r="560" spans="11:14" ht="15.75" customHeight="1">
      <c r="K560" s="61"/>
      <c r="L560" s="61"/>
      <c r="M560" s="61"/>
      <c r="N560" s="61"/>
    </row>
    <row r="561" spans="11:14" ht="15.75" customHeight="1">
      <c r="K561" s="61"/>
      <c r="L561" s="61"/>
      <c r="M561" s="61"/>
      <c r="N561" s="61"/>
    </row>
    <row r="562" spans="11:14" ht="15.75" customHeight="1">
      <c r="K562" s="61"/>
      <c r="L562" s="61"/>
      <c r="M562" s="61"/>
      <c r="N562" s="61"/>
    </row>
    <row r="563" spans="11:14" ht="15.75" customHeight="1">
      <c r="K563" s="61"/>
      <c r="L563" s="61"/>
      <c r="M563" s="61"/>
      <c r="N563" s="61"/>
    </row>
    <row r="564" spans="11:14" ht="15.75" customHeight="1">
      <c r="K564" s="61"/>
      <c r="L564" s="61"/>
      <c r="M564" s="61"/>
      <c r="N564" s="61"/>
    </row>
    <row r="565" spans="11:14" ht="15.75" customHeight="1">
      <c r="K565" s="61"/>
      <c r="L565" s="61"/>
      <c r="M565" s="61"/>
      <c r="N565" s="61"/>
    </row>
    <row r="566" spans="11:14" ht="15.75" customHeight="1">
      <c r="K566" s="61"/>
      <c r="L566" s="61"/>
      <c r="M566" s="61"/>
      <c r="N566" s="61"/>
    </row>
    <row r="567" spans="11:14" ht="15.75" customHeight="1">
      <c r="K567" s="61"/>
      <c r="L567" s="61"/>
      <c r="M567" s="61"/>
      <c r="N567" s="61"/>
    </row>
    <row r="568" spans="11:14" ht="15.75" customHeight="1">
      <c r="K568" s="61"/>
      <c r="L568" s="61"/>
      <c r="M568" s="61"/>
      <c r="N568" s="61"/>
    </row>
    <row r="569" spans="11:14" ht="15.75" customHeight="1">
      <c r="K569" s="61"/>
      <c r="L569" s="61"/>
      <c r="M569" s="61"/>
      <c r="N569" s="61"/>
    </row>
    <row r="570" spans="11:14" ht="15.75" customHeight="1">
      <c r="K570" s="61"/>
      <c r="L570" s="61"/>
      <c r="M570" s="61"/>
      <c r="N570" s="61"/>
    </row>
    <row r="571" spans="11:14" ht="15.75" customHeight="1">
      <c r="K571" s="61"/>
      <c r="L571" s="61"/>
      <c r="M571" s="61"/>
      <c r="N571" s="61"/>
    </row>
    <row r="572" spans="11:14" ht="15.75" customHeight="1">
      <c r="K572" s="61"/>
      <c r="L572" s="61"/>
      <c r="M572" s="61"/>
      <c r="N572" s="61"/>
    </row>
    <row r="573" spans="11:14" ht="15.75" customHeight="1">
      <c r="K573" s="61"/>
      <c r="L573" s="61"/>
      <c r="M573" s="61"/>
      <c r="N573" s="61"/>
    </row>
    <row r="574" spans="11:14" ht="15.75" customHeight="1">
      <c r="K574" s="61"/>
      <c r="L574" s="61"/>
      <c r="M574" s="61"/>
      <c r="N574" s="61"/>
    </row>
    <row r="575" spans="11:14" ht="15.75" customHeight="1">
      <c r="K575" s="61"/>
      <c r="L575" s="61"/>
      <c r="M575" s="61"/>
      <c r="N575" s="61"/>
    </row>
    <row r="576" spans="11:14" ht="15.75" customHeight="1">
      <c r="K576" s="61"/>
      <c r="L576" s="61"/>
      <c r="M576" s="61"/>
      <c r="N576" s="61"/>
    </row>
    <row r="577" spans="11:14" ht="15.75" customHeight="1">
      <c r="K577" s="61"/>
      <c r="L577" s="61"/>
      <c r="M577" s="61"/>
      <c r="N577" s="61"/>
    </row>
    <row r="578" spans="11:14" ht="15.75" customHeight="1">
      <c r="K578" s="61"/>
      <c r="L578" s="61"/>
      <c r="M578" s="61"/>
      <c r="N578" s="61"/>
    </row>
    <row r="579" spans="11:14" ht="15.75" customHeight="1">
      <c r="K579" s="61"/>
      <c r="L579" s="61"/>
      <c r="M579" s="61"/>
      <c r="N579" s="61"/>
    </row>
    <row r="580" spans="11:14" ht="15.75" customHeight="1">
      <c r="K580" s="61"/>
      <c r="L580" s="61"/>
      <c r="M580" s="61"/>
      <c r="N580" s="61"/>
    </row>
    <row r="581" spans="11:14" ht="15.75" customHeight="1">
      <c r="K581" s="61"/>
      <c r="L581" s="61"/>
      <c r="M581" s="61"/>
      <c r="N581" s="61"/>
    </row>
    <row r="582" spans="11:14" ht="15.75" customHeight="1">
      <c r="K582" s="61"/>
      <c r="L582" s="61"/>
      <c r="M582" s="61"/>
      <c r="N582" s="61"/>
    </row>
    <row r="583" spans="11:14" ht="15.75" customHeight="1">
      <c r="K583" s="61"/>
      <c r="L583" s="61"/>
      <c r="M583" s="61"/>
      <c r="N583" s="61"/>
    </row>
    <row r="584" spans="11:14" ht="15.75" customHeight="1">
      <c r="K584" s="61"/>
      <c r="L584" s="61"/>
      <c r="M584" s="61"/>
      <c r="N584" s="61"/>
    </row>
    <row r="585" spans="11:14" ht="15.75" customHeight="1">
      <c r="K585" s="61"/>
      <c r="L585" s="61"/>
      <c r="M585" s="61"/>
      <c r="N585" s="61"/>
    </row>
    <row r="586" spans="11:14" ht="15.75" customHeight="1">
      <c r="K586" s="61"/>
      <c r="L586" s="61"/>
      <c r="M586" s="61"/>
      <c r="N586" s="61"/>
    </row>
    <row r="587" spans="11:14" ht="15.75" customHeight="1">
      <c r="K587" s="61"/>
      <c r="L587" s="61"/>
      <c r="M587" s="61"/>
      <c r="N587" s="61"/>
    </row>
    <row r="588" spans="11:14" ht="15.75" customHeight="1">
      <c r="K588" s="61"/>
      <c r="L588" s="61"/>
      <c r="M588" s="61"/>
      <c r="N588" s="61"/>
    </row>
    <row r="589" spans="11:14" ht="15.75" customHeight="1">
      <c r="K589" s="61"/>
      <c r="L589" s="61"/>
      <c r="M589" s="61"/>
      <c r="N589" s="61"/>
    </row>
    <row r="590" spans="11:14" ht="15.75" customHeight="1">
      <c r="K590" s="61"/>
      <c r="L590" s="61"/>
      <c r="M590" s="61"/>
      <c r="N590" s="61"/>
    </row>
    <row r="591" spans="11:14" ht="15.75" customHeight="1">
      <c r="K591" s="61"/>
      <c r="L591" s="61"/>
      <c r="M591" s="61"/>
      <c r="N591" s="61"/>
    </row>
    <row r="592" spans="11:14" ht="15.75" customHeight="1">
      <c r="K592" s="61"/>
      <c r="L592" s="61"/>
      <c r="M592" s="61"/>
      <c r="N592" s="61"/>
    </row>
    <row r="593" spans="11:14" ht="15.75" customHeight="1">
      <c r="K593" s="61"/>
      <c r="L593" s="61"/>
      <c r="M593" s="61"/>
      <c r="N593" s="61"/>
    </row>
    <row r="594" spans="11:14" ht="15.75" customHeight="1">
      <c r="K594" s="61"/>
      <c r="L594" s="61"/>
      <c r="M594" s="61"/>
      <c r="N594" s="61"/>
    </row>
    <row r="595" spans="11:14" ht="15.75" customHeight="1">
      <c r="K595" s="61"/>
      <c r="L595" s="61"/>
      <c r="M595" s="61"/>
      <c r="N595" s="61"/>
    </row>
    <row r="596" spans="11:14" ht="15.75" customHeight="1">
      <c r="K596" s="61"/>
      <c r="L596" s="61"/>
      <c r="M596" s="61"/>
      <c r="N596" s="61"/>
    </row>
    <row r="597" spans="11:14" ht="15.75" customHeight="1">
      <c r="K597" s="61"/>
      <c r="L597" s="61"/>
      <c r="M597" s="61"/>
      <c r="N597" s="61"/>
    </row>
    <row r="598" spans="11:14" ht="15.75" customHeight="1">
      <c r="K598" s="61"/>
      <c r="L598" s="61"/>
      <c r="M598" s="61"/>
      <c r="N598" s="61"/>
    </row>
    <row r="599" spans="11:14" ht="15.75" customHeight="1">
      <c r="K599" s="61"/>
      <c r="L599" s="61"/>
      <c r="M599" s="61"/>
      <c r="N599" s="61"/>
    </row>
    <row r="600" spans="11:14" ht="15.75" customHeight="1">
      <c r="K600" s="61"/>
      <c r="L600" s="61"/>
      <c r="M600" s="61"/>
      <c r="N600" s="61"/>
    </row>
    <row r="601" spans="11:14" ht="15.75" customHeight="1">
      <c r="K601" s="61"/>
      <c r="L601" s="61"/>
      <c r="M601" s="61"/>
      <c r="N601" s="61"/>
    </row>
    <row r="602" spans="11:14" ht="15.75" customHeight="1">
      <c r="K602" s="61"/>
      <c r="L602" s="61"/>
      <c r="M602" s="61"/>
      <c r="N602" s="61"/>
    </row>
    <row r="603" spans="11:14" ht="15.75" customHeight="1">
      <c r="K603" s="61"/>
      <c r="L603" s="61"/>
      <c r="M603" s="61"/>
      <c r="N603" s="61"/>
    </row>
    <row r="604" spans="11:14" ht="15.75" customHeight="1">
      <c r="K604" s="61"/>
      <c r="L604" s="61"/>
      <c r="M604" s="61"/>
      <c r="N604" s="61"/>
    </row>
    <row r="605" spans="11:14" ht="15.75" customHeight="1">
      <c r="K605" s="61"/>
      <c r="L605" s="61"/>
      <c r="M605" s="61"/>
      <c r="N605" s="61"/>
    </row>
    <row r="606" spans="11:14" ht="15.75" customHeight="1">
      <c r="K606" s="61"/>
      <c r="L606" s="61"/>
      <c r="M606" s="61"/>
      <c r="N606" s="61"/>
    </row>
    <row r="607" spans="11:14" ht="15.75" customHeight="1">
      <c r="K607" s="61"/>
      <c r="L607" s="61"/>
      <c r="M607" s="61"/>
      <c r="N607" s="61"/>
    </row>
    <row r="608" spans="11:14" ht="15.75" customHeight="1">
      <c r="K608" s="61"/>
      <c r="L608" s="61"/>
      <c r="M608" s="61"/>
      <c r="N608" s="61"/>
    </row>
    <row r="609" spans="11:14" ht="15.75" customHeight="1">
      <c r="K609" s="61"/>
      <c r="L609" s="61"/>
      <c r="M609" s="61"/>
      <c r="N609" s="61"/>
    </row>
    <row r="610" spans="11:14" ht="15.75" customHeight="1">
      <c r="K610" s="61"/>
      <c r="L610" s="61"/>
      <c r="M610" s="61"/>
      <c r="N610" s="61"/>
    </row>
    <row r="611" spans="11:14" ht="15.75" customHeight="1">
      <c r="K611" s="61"/>
      <c r="L611" s="61"/>
      <c r="M611" s="61"/>
      <c r="N611" s="61"/>
    </row>
    <row r="612" spans="11:14" ht="15.75" customHeight="1">
      <c r="K612" s="61"/>
      <c r="L612" s="61"/>
      <c r="M612" s="61"/>
      <c r="N612" s="61"/>
    </row>
    <row r="613" spans="11:14" ht="15.75" customHeight="1">
      <c r="K613" s="61"/>
      <c r="L613" s="61"/>
      <c r="M613" s="61"/>
      <c r="N613" s="61"/>
    </row>
    <row r="614" spans="11:14" ht="15.75" customHeight="1">
      <c r="K614" s="61"/>
      <c r="L614" s="61"/>
      <c r="M614" s="61"/>
      <c r="N614" s="61"/>
    </row>
    <row r="615" spans="11:14" ht="15.75" customHeight="1">
      <c r="K615" s="61"/>
      <c r="L615" s="61"/>
      <c r="M615" s="61"/>
      <c r="N615" s="61"/>
    </row>
    <row r="616" spans="11:14" ht="15.75" customHeight="1">
      <c r="K616" s="61"/>
      <c r="L616" s="61"/>
      <c r="M616" s="61"/>
      <c r="N616" s="61"/>
    </row>
    <row r="617" spans="11:14" ht="15.75" customHeight="1">
      <c r="K617" s="61"/>
      <c r="L617" s="61"/>
      <c r="M617" s="61"/>
      <c r="N617" s="61"/>
    </row>
    <row r="618" spans="11:14" ht="15.75" customHeight="1">
      <c r="K618" s="61"/>
      <c r="L618" s="61"/>
      <c r="M618" s="61"/>
      <c r="N618" s="61"/>
    </row>
    <row r="619" spans="11:14" ht="15.75" customHeight="1">
      <c r="K619" s="61"/>
      <c r="L619" s="61"/>
      <c r="M619" s="61"/>
      <c r="N619" s="61"/>
    </row>
    <row r="620" spans="11:14" ht="15.75" customHeight="1">
      <c r="K620" s="61"/>
      <c r="L620" s="61"/>
      <c r="M620" s="61"/>
      <c r="N620" s="61"/>
    </row>
    <row r="621" spans="11:14" ht="15.75" customHeight="1">
      <c r="K621" s="61"/>
      <c r="L621" s="61"/>
      <c r="M621" s="61"/>
      <c r="N621" s="61"/>
    </row>
    <row r="622" spans="11:14" ht="15.75" customHeight="1">
      <c r="K622" s="61"/>
      <c r="L622" s="61"/>
      <c r="M622" s="61"/>
      <c r="N622" s="61"/>
    </row>
    <row r="623" spans="11:14" ht="15.75" customHeight="1">
      <c r="K623" s="61"/>
      <c r="L623" s="61"/>
      <c r="M623" s="61"/>
      <c r="N623" s="61"/>
    </row>
    <row r="624" spans="11:14" ht="15.75" customHeight="1">
      <c r="K624" s="61"/>
      <c r="L624" s="61"/>
      <c r="M624" s="61"/>
      <c r="N624" s="61"/>
    </row>
    <row r="625" spans="11:14" ht="15.75" customHeight="1">
      <c r="K625" s="61"/>
      <c r="L625" s="61"/>
      <c r="M625" s="61"/>
      <c r="N625" s="61"/>
    </row>
    <row r="626" spans="11:14" ht="15.75" customHeight="1">
      <c r="K626" s="61"/>
      <c r="L626" s="61"/>
      <c r="M626" s="61"/>
      <c r="N626" s="61"/>
    </row>
    <row r="627" spans="11:14" ht="15.75" customHeight="1">
      <c r="K627" s="61"/>
      <c r="L627" s="61"/>
      <c r="M627" s="61"/>
      <c r="N627" s="61"/>
    </row>
    <row r="628" spans="11:14" ht="15.75" customHeight="1">
      <c r="K628" s="61"/>
      <c r="L628" s="61"/>
      <c r="M628" s="61"/>
      <c r="N628" s="61"/>
    </row>
    <row r="629" spans="11:14" ht="15.75" customHeight="1">
      <c r="K629" s="61"/>
      <c r="L629" s="61"/>
      <c r="M629" s="61"/>
      <c r="N629" s="61"/>
    </row>
    <row r="630" spans="11:14" ht="15.75" customHeight="1">
      <c r="K630" s="61"/>
      <c r="L630" s="61"/>
      <c r="M630" s="61"/>
      <c r="N630" s="61"/>
    </row>
    <row r="631" spans="11:14" ht="15.75" customHeight="1">
      <c r="K631" s="61"/>
      <c r="L631" s="61"/>
      <c r="M631" s="61"/>
      <c r="N631" s="61"/>
    </row>
    <row r="632" spans="11:14" ht="15.75" customHeight="1">
      <c r="K632" s="61"/>
      <c r="L632" s="61"/>
      <c r="M632" s="61"/>
      <c r="N632" s="61"/>
    </row>
    <row r="633" spans="11:14" ht="15.75" customHeight="1">
      <c r="K633" s="61"/>
      <c r="L633" s="61"/>
      <c r="M633" s="61"/>
      <c r="N633" s="61"/>
    </row>
    <row r="634" spans="11:14" ht="15.75" customHeight="1">
      <c r="K634" s="61"/>
      <c r="L634" s="61"/>
      <c r="M634" s="61"/>
      <c r="N634" s="61"/>
    </row>
    <row r="635" spans="11:14" ht="15.75" customHeight="1">
      <c r="K635" s="61"/>
      <c r="L635" s="61"/>
      <c r="M635" s="61"/>
      <c r="N635" s="61"/>
    </row>
    <row r="636" spans="11:14" ht="15.75" customHeight="1">
      <c r="K636" s="61"/>
      <c r="L636" s="61"/>
      <c r="M636" s="61"/>
      <c r="N636" s="61"/>
    </row>
    <row r="637" spans="11:14" ht="15.75" customHeight="1">
      <c r="K637" s="61"/>
      <c r="L637" s="61"/>
      <c r="M637" s="61"/>
      <c r="N637" s="61"/>
    </row>
    <row r="638" spans="11:14" ht="15.75" customHeight="1">
      <c r="K638" s="61"/>
      <c r="L638" s="61"/>
      <c r="M638" s="61"/>
      <c r="N638" s="61"/>
    </row>
    <row r="639" spans="11:14" ht="15.75" customHeight="1">
      <c r="K639" s="61"/>
      <c r="L639" s="61"/>
      <c r="M639" s="61"/>
      <c r="N639" s="61"/>
    </row>
    <row r="640" spans="11:14" ht="15.75" customHeight="1">
      <c r="K640" s="61"/>
      <c r="L640" s="61"/>
      <c r="M640" s="61"/>
      <c r="N640" s="61"/>
    </row>
    <row r="641" spans="11:14" ht="15.75" customHeight="1">
      <c r="K641" s="61"/>
      <c r="L641" s="61"/>
      <c r="M641" s="61"/>
      <c r="N641" s="61"/>
    </row>
    <row r="642" spans="11:14" ht="15.75" customHeight="1">
      <c r="K642" s="61"/>
      <c r="L642" s="61"/>
      <c r="M642" s="61"/>
      <c r="N642" s="61"/>
    </row>
    <row r="643" spans="11:14" ht="15.75" customHeight="1">
      <c r="K643" s="61"/>
      <c r="L643" s="61"/>
      <c r="M643" s="61"/>
      <c r="N643" s="61"/>
    </row>
    <row r="644" spans="11:14" ht="15.75" customHeight="1">
      <c r="K644" s="61"/>
      <c r="L644" s="61"/>
      <c r="M644" s="61"/>
      <c r="N644" s="61"/>
    </row>
    <row r="645" spans="11:14" ht="15.75" customHeight="1">
      <c r="K645" s="61"/>
      <c r="L645" s="61"/>
      <c r="M645" s="61"/>
      <c r="N645" s="61"/>
    </row>
    <row r="646" spans="11:14" ht="15.75" customHeight="1">
      <c r="K646" s="61"/>
      <c r="L646" s="61"/>
      <c r="M646" s="61"/>
      <c r="N646" s="61"/>
    </row>
    <row r="647" spans="11:14" ht="15.75" customHeight="1">
      <c r="K647" s="61"/>
      <c r="L647" s="61"/>
      <c r="M647" s="61"/>
      <c r="N647" s="61"/>
    </row>
    <row r="648" spans="11:14" ht="15.75" customHeight="1">
      <c r="K648" s="61"/>
      <c r="L648" s="61"/>
      <c r="M648" s="61"/>
      <c r="N648" s="61"/>
    </row>
    <row r="649" spans="11:14" ht="15.75" customHeight="1">
      <c r="K649" s="61"/>
      <c r="L649" s="61"/>
      <c r="M649" s="61"/>
      <c r="N649" s="61"/>
    </row>
    <row r="650" spans="11:14" ht="15.75" customHeight="1">
      <c r="K650" s="61"/>
      <c r="L650" s="61"/>
      <c r="M650" s="61"/>
      <c r="N650" s="61"/>
    </row>
    <row r="651" spans="11:14" ht="15.75" customHeight="1">
      <c r="K651" s="61"/>
      <c r="L651" s="61"/>
      <c r="M651" s="61"/>
      <c r="N651" s="61"/>
    </row>
    <row r="652" spans="11:14" ht="15.75" customHeight="1">
      <c r="K652" s="61"/>
      <c r="L652" s="61"/>
      <c r="M652" s="61"/>
      <c r="N652" s="61"/>
    </row>
    <row r="653" spans="11:14" ht="15.75" customHeight="1">
      <c r="K653" s="61"/>
      <c r="L653" s="61"/>
      <c r="M653" s="61"/>
      <c r="N653" s="61"/>
    </row>
    <row r="654" spans="11:14" ht="15.75" customHeight="1">
      <c r="K654" s="61"/>
      <c r="L654" s="61"/>
      <c r="M654" s="61"/>
      <c r="N654" s="61"/>
    </row>
    <row r="655" spans="11:14" ht="15.75" customHeight="1">
      <c r="K655" s="61"/>
      <c r="L655" s="61"/>
      <c r="M655" s="61"/>
      <c r="N655" s="61"/>
    </row>
    <row r="656" spans="11:14" ht="15.75" customHeight="1">
      <c r="K656" s="61"/>
      <c r="L656" s="61"/>
      <c r="M656" s="61"/>
      <c r="N656" s="61"/>
    </row>
    <row r="657" spans="11:14" ht="15.75" customHeight="1">
      <c r="K657" s="61"/>
      <c r="L657" s="61"/>
      <c r="M657" s="61"/>
      <c r="N657" s="61"/>
    </row>
    <row r="658" spans="11:14" ht="15.75" customHeight="1">
      <c r="K658" s="61"/>
      <c r="L658" s="61"/>
      <c r="M658" s="61"/>
      <c r="N658" s="61"/>
    </row>
    <row r="659" spans="11:14" ht="15.75" customHeight="1">
      <c r="K659" s="61"/>
      <c r="L659" s="61"/>
      <c r="M659" s="61"/>
      <c r="N659" s="61"/>
    </row>
    <row r="660" spans="11:14" ht="15.75" customHeight="1">
      <c r="K660" s="61"/>
      <c r="L660" s="61"/>
      <c r="M660" s="61"/>
      <c r="N660" s="61"/>
    </row>
    <row r="661" spans="11:14" ht="15.75" customHeight="1">
      <c r="K661" s="61"/>
      <c r="L661" s="61"/>
      <c r="M661" s="61"/>
      <c r="N661" s="61"/>
    </row>
    <row r="662" spans="11:14" ht="15.75" customHeight="1">
      <c r="K662" s="61"/>
      <c r="L662" s="61"/>
      <c r="M662" s="61"/>
      <c r="N662" s="61"/>
    </row>
    <row r="663" spans="11:14" ht="15.75" customHeight="1">
      <c r="K663" s="61"/>
      <c r="L663" s="61"/>
      <c r="M663" s="61"/>
      <c r="N663" s="61"/>
    </row>
    <row r="664" spans="11:14" ht="15.75" customHeight="1">
      <c r="K664" s="61"/>
      <c r="L664" s="61"/>
      <c r="M664" s="61"/>
      <c r="N664" s="61"/>
    </row>
    <row r="665" spans="11:14" ht="15.75" customHeight="1">
      <c r="K665" s="61"/>
      <c r="L665" s="61"/>
      <c r="M665" s="61"/>
      <c r="N665" s="61"/>
    </row>
    <row r="666" spans="11:14" ht="15.75" customHeight="1">
      <c r="K666" s="61"/>
      <c r="L666" s="61"/>
      <c r="M666" s="61"/>
      <c r="N666" s="61"/>
    </row>
    <row r="667" spans="11:14" ht="15.75" customHeight="1">
      <c r="K667" s="61"/>
      <c r="L667" s="61"/>
      <c r="M667" s="61"/>
      <c r="N667" s="61"/>
    </row>
    <row r="668" spans="11:14" ht="15.75" customHeight="1">
      <c r="K668" s="61"/>
      <c r="L668" s="61"/>
      <c r="M668" s="61"/>
      <c r="N668" s="61"/>
    </row>
    <row r="669" spans="11:14" ht="15.75" customHeight="1">
      <c r="K669" s="61"/>
      <c r="L669" s="61"/>
      <c r="M669" s="61"/>
      <c r="N669" s="61"/>
    </row>
    <row r="670" spans="11:14" ht="15.75" customHeight="1">
      <c r="K670" s="61"/>
      <c r="L670" s="61"/>
      <c r="M670" s="61"/>
      <c r="N670" s="61"/>
    </row>
    <row r="671" spans="11:14" ht="15.75" customHeight="1">
      <c r="K671" s="61"/>
      <c r="L671" s="61"/>
      <c r="M671" s="61"/>
      <c r="N671" s="61"/>
    </row>
    <row r="672" spans="11:14" ht="15.75" customHeight="1">
      <c r="K672" s="61"/>
      <c r="L672" s="61"/>
      <c r="M672" s="61"/>
      <c r="N672" s="61"/>
    </row>
    <row r="673" spans="11:14" ht="15.75" customHeight="1">
      <c r="K673" s="61"/>
      <c r="L673" s="61"/>
      <c r="M673" s="61"/>
      <c r="N673" s="61"/>
    </row>
    <row r="674" spans="11:14" ht="15.75" customHeight="1">
      <c r="K674" s="61"/>
      <c r="L674" s="61"/>
      <c r="M674" s="61"/>
      <c r="N674" s="61"/>
    </row>
    <row r="675" spans="11:14" ht="15.75" customHeight="1">
      <c r="K675" s="61"/>
      <c r="L675" s="61"/>
      <c r="M675" s="61"/>
      <c r="N675" s="61"/>
    </row>
    <row r="676" spans="11:14" ht="15.75" customHeight="1">
      <c r="K676" s="61"/>
      <c r="L676" s="61"/>
      <c r="M676" s="61"/>
      <c r="N676" s="61"/>
    </row>
    <row r="677" spans="11:14" ht="15.75" customHeight="1">
      <c r="K677" s="61"/>
      <c r="L677" s="61"/>
      <c r="M677" s="61"/>
      <c r="N677" s="61"/>
    </row>
    <row r="678" spans="11:14" ht="15.75" customHeight="1">
      <c r="K678" s="61"/>
      <c r="L678" s="61"/>
      <c r="M678" s="61"/>
      <c r="N678" s="61"/>
    </row>
    <row r="679" spans="11:14" ht="15.75" customHeight="1">
      <c r="K679" s="61"/>
      <c r="L679" s="61"/>
      <c r="M679" s="61"/>
      <c r="N679" s="61"/>
    </row>
    <row r="680" spans="11:14" ht="15.75" customHeight="1">
      <c r="K680" s="61"/>
      <c r="L680" s="61"/>
      <c r="M680" s="61"/>
      <c r="N680" s="61"/>
    </row>
    <row r="681" spans="11:14" ht="15.75" customHeight="1">
      <c r="K681" s="61"/>
      <c r="L681" s="61"/>
      <c r="M681" s="61"/>
      <c r="N681" s="61"/>
    </row>
    <row r="682" spans="11:14" ht="15.75" customHeight="1">
      <c r="K682" s="61"/>
      <c r="L682" s="61"/>
      <c r="M682" s="61"/>
      <c r="N682" s="61"/>
    </row>
    <row r="683" spans="11:14" ht="15.75" customHeight="1">
      <c r="K683" s="61"/>
      <c r="L683" s="61"/>
      <c r="M683" s="61"/>
      <c r="N683" s="61"/>
    </row>
    <row r="684" spans="11:14" ht="15.75" customHeight="1">
      <c r="K684" s="61"/>
      <c r="L684" s="61"/>
      <c r="M684" s="61"/>
      <c r="N684" s="61"/>
    </row>
    <row r="685" spans="11:14" ht="15.75" customHeight="1">
      <c r="K685" s="61"/>
      <c r="L685" s="61"/>
      <c r="M685" s="61"/>
      <c r="N685" s="61"/>
    </row>
    <row r="686" spans="11:14" ht="15.75" customHeight="1">
      <c r="K686" s="61"/>
      <c r="L686" s="61"/>
      <c r="M686" s="61"/>
      <c r="N686" s="61"/>
    </row>
    <row r="687" spans="11:14" ht="15.75" customHeight="1">
      <c r="K687" s="61"/>
      <c r="L687" s="61"/>
      <c r="M687" s="61"/>
      <c r="N687" s="61"/>
    </row>
    <row r="688" spans="11:14" ht="15.75" customHeight="1">
      <c r="K688" s="61"/>
      <c r="L688" s="61"/>
      <c r="M688" s="61"/>
      <c r="N688" s="61"/>
    </row>
    <row r="689" spans="11:14" ht="15.75" customHeight="1">
      <c r="K689" s="61"/>
      <c r="L689" s="61"/>
      <c r="M689" s="61"/>
      <c r="N689" s="61"/>
    </row>
    <row r="690" spans="11:14" ht="15.75" customHeight="1">
      <c r="K690" s="61"/>
      <c r="L690" s="61"/>
      <c r="M690" s="61"/>
      <c r="N690" s="61"/>
    </row>
    <row r="691" spans="11:14" ht="15.75" customHeight="1">
      <c r="K691" s="61"/>
      <c r="L691" s="61"/>
      <c r="M691" s="61"/>
      <c r="N691" s="61"/>
    </row>
    <row r="692" spans="11:14" ht="15.75" customHeight="1">
      <c r="K692" s="61"/>
      <c r="L692" s="61"/>
      <c r="M692" s="61"/>
      <c r="N692" s="61"/>
    </row>
    <row r="693" spans="11:14" ht="15.75" customHeight="1">
      <c r="K693" s="61"/>
      <c r="L693" s="61"/>
      <c r="M693" s="61"/>
      <c r="N693" s="61"/>
    </row>
    <row r="694" spans="11:14" ht="15.75" customHeight="1">
      <c r="K694" s="61"/>
      <c r="L694" s="61"/>
      <c r="M694" s="61"/>
      <c r="N694" s="61"/>
    </row>
    <row r="695" spans="11:14" ht="15.75" customHeight="1">
      <c r="K695" s="61"/>
      <c r="L695" s="61"/>
      <c r="M695" s="61"/>
      <c r="N695" s="61"/>
    </row>
    <row r="696" spans="11:14" ht="15.75" customHeight="1">
      <c r="K696" s="61"/>
      <c r="L696" s="61"/>
      <c r="M696" s="61"/>
      <c r="N696" s="61"/>
    </row>
    <row r="697" spans="11:14" ht="15.75" customHeight="1">
      <c r="K697" s="61"/>
      <c r="L697" s="61"/>
      <c r="M697" s="61"/>
      <c r="N697" s="61"/>
    </row>
    <row r="698" spans="11:14" ht="15.75" customHeight="1">
      <c r="K698" s="61"/>
      <c r="L698" s="61"/>
      <c r="M698" s="61"/>
      <c r="N698" s="61"/>
    </row>
    <row r="699" spans="11:14" ht="15.75" customHeight="1">
      <c r="K699" s="61"/>
      <c r="L699" s="61"/>
      <c r="M699" s="61"/>
      <c r="N699" s="61"/>
    </row>
    <row r="700" spans="11:14" ht="15.75" customHeight="1">
      <c r="K700" s="61"/>
      <c r="L700" s="61"/>
      <c r="M700" s="61"/>
      <c r="N700" s="61"/>
    </row>
    <row r="701" spans="11:14" ht="15.75" customHeight="1">
      <c r="K701" s="61"/>
      <c r="L701" s="61"/>
      <c r="M701" s="61"/>
      <c r="N701" s="61"/>
    </row>
    <row r="702" spans="11:14" ht="15.75" customHeight="1">
      <c r="K702" s="61"/>
      <c r="L702" s="61"/>
      <c r="M702" s="61"/>
      <c r="N702" s="61"/>
    </row>
    <row r="703" spans="11:14" ht="15.75" customHeight="1">
      <c r="K703" s="61"/>
      <c r="L703" s="61"/>
      <c r="M703" s="61"/>
      <c r="N703" s="61"/>
    </row>
    <row r="704" spans="11:14" ht="15.75" customHeight="1">
      <c r="K704" s="61"/>
      <c r="L704" s="61"/>
      <c r="M704" s="61"/>
      <c r="N704" s="61"/>
    </row>
    <row r="705" spans="11:14" ht="15.75" customHeight="1">
      <c r="K705" s="61"/>
      <c r="L705" s="61"/>
      <c r="M705" s="61"/>
      <c r="N705" s="61"/>
    </row>
    <row r="706" spans="11:14" ht="15.75" customHeight="1">
      <c r="K706" s="61"/>
      <c r="L706" s="61"/>
      <c r="M706" s="61"/>
      <c r="N706" s="61"/>
    </row>
    <row r="707" spans="11:14" ht="15.75" customHeight="1">
      <c r="K707" s="61"/>
      <c r="L707" s="61"/>
      <c r="M707" s="61"/>
      <c r="N707" s="61"/>
    </row>
    <row r="708" spans="11:14" ht="15.75" customHeight="1">
      <c r="K708" s="61"/>
      <c r="L708" s="61"/>
      <c r="M708" s="61"/>
      <c r="N708" s="61"/>
    </row>
    <row r="709" spans="11:14" ht="15.75" customHeight="1">
      <c r="K709" s="61"/>
      <c r="L709" s="61"/>
      <c r="M709" s="61"/>
      <c r="N709" s="61"/>
    </row>
    <row r="710" spans="11:14" ht="15.75" customHeight="1">
      <c r="K710" s="61"/>
      <c r="L710" s="61"/>
      <c r="M710" s="61"/>
      <c r="N710" s="61"/>
    </row>
    <row r="711" spans="11:14" ht="15.75" customHeight="1">
      <c r="K711" s="61"/>
      <c r="L711" s="61"/>
      <c r="M711" s="61"/>
      <c r="N711" s="61"/>
    </row>
    <row r="712" spans="11:14" ht="15.75" customHeight="1">
      <c r="K712" s="61"/>
      <c r="L712" s="61"/>
      <c r="M712" s="61"/>
      <c r="N712" s="61"/>
    </row>
    <row r="713" spans="11:14" ht="15.75" customHeight="1">
      <c r="K713" s="61"/>
      <c r="L713" s="61"/>
      <c r="M713" s="61"/>
      <c r="N713" s="61"/>
    </row>
    <row r="714" spans="11:14" ht="15.75" customHeight="1">
      <c r="K714" s="61"/>
      <c r="L714" s="61"/>
      <c r="M714" s="61"/>
      <c r="N714" s="61"/>
    </row>
    <row r="715" spans="11:14" ht="15.75" customHeight="1">
      <c r="K715" s="61"/>
      <c r="L715" s="61"/>
      <c r="M715" s="61"/>
      <c r="N715" s="61"/>
    </row>
    <row r="716" spans="11:14" ht="15.75" customHeight="1">
      <c r="K716" s="61"/>
      <c r="L716" s="61"/>
      <c r="M716" s="61"/>
      <c r="N716" s="61"/>
    </row>
    <row r="717" spans="11:14" ht="15.75" customHeight="1">
      <c r="K717" s="61"/>
      <c r="L717" s="61"/>
      <c r="M717" s="61"/>
      <c r="N717" s="61"/>
    </row>
    <row r="718" spans="11:14" ht="15.75" customHeight="1">
      <c r="K718" s="61"/>
      <c r="L718" s="61"/>
      <c r="M718" s="61"/>
      <c r="N718" s="61"/>
    </row>
    <row r="719" spans="11:14" ht="15.75" customHeight="1">
      <c r="K719" s="61"/>
      <c r="L719" s="61"/>
      <c r="M719" s="61"/>
      <c r="N719" s="61"/>
    </row>
    <row r="720" spans="11:14" ht="15.75" customHeight="1">
      <c r="K720" s="61"/>
      <c r="L720" s="61"/>
      <c r="M720" s="61"/>
      <c r="N720" s="61"/>
    </row>
    <row r="721" spans="11:14" ht="15.75" customHeight="1">
      <c r="K721" s="61"/>
      <c r="L721" s="61"/>
      <c r="M721" s="61"/>
      <c r="N721" s="61"/>
    </row>
    <row r="722" spans="11:14" ht="15.75" customHeight="1">
      <c r="K722" s="61"/>
      <c r="L722" s="61"/>
      <c r="M722" s="61"/>
      <c r="N722" s="61"/>
    </row>
    <row r="723" spans="11:14" ht="15.75" customHeight="1">
      <c r="K723" s="61"/>
      <c r="L723" s="61"/>
      <c r="M723" s="61"/>
      <c r="N723" s="61"/>
    </row>
    <row r="724" spans="11:14" ht="15.75" customHeight="1">
      <c r="K724" s="61"/>
      <c r="L724" s="61"/>
      <c r="M724" s="61"/>
      <c r="N724" s="61"/>
    </row>
    <row r="725" spans="11:14" ht="15.75" customHeight="1">
      <c r="K725" s="61"/>
      <c r="L725" s="61"/>
      <c r="M725" s="61"/>
      <c r="N725" s="61"/>
    </row>
    <row r="726" spans="11:14" ht="15.75" customHeight="1">
      <c r="K726" s="61"/>
      <c r="L726" s="61"/>
      <c r="M726" s="61"/>
      <c r="N726" s="61"/>
    </row>
    <row r="727" spans="11:14" ht="15.75" customHeight="1">
      <c r="K727" s="61"/>
      <c r="L727" s="61"/>
      <c r="M727" s="61"/>
      <c r="N727" s="61"/>
    </row>
    <row r="728" spans="11:14" ht="15.75" customHeight="1">
      <c r="K728" s="61"/>
      <c r="L728" s="61"/>
      <c r="M728" s="61"/>
      <c r="N728" s="61"/>
    </row>
    <row r="729" spans="11:14" ht="15.75" customHeight="1">
      <c r="K729" s="61"/>
      <c r="L729" s="61"/>
      <c r="M729" s="61"/>
      <c r="N729" s="61"/>
    </row>
    <row r="730" spans="11:14" ht="15.75" customHeight="1">
      <c r="K730" s="61"/>
      <c r="L730" s="61"/>
      <c r="M730" s="61"/>
      <c r="N730" s="61"/>
    </row>
    <row r="731" spans="11:14" ht="15.75" customHeight="1">
      <c r="K731" s="61"/>
      <c r="L731" s="61"/>
      <c r="M731" s="61"/>
      <c r="N731" s="61"/>
    </row>
    <row r="732" spans="11:14" ht="15.75" customHeight="1">
      <c r="K732" s="61"/>
      <c r="L732" s="61"/>
      <c r="M732" s="61"/>
      <c r="N732" s="61"/>
    </row>
    <row r="733" spans="11:14" ht="15.75" customHeight="1">
      <c r="K733" s="61"/>
      <c r="L733" s="61"/>
      <c r="M733" s="61"/>
      <c r="N733" s="61"/>
    </row>
    <row r="734" spans="11:14" ht="15.75" customHeight="1">
      <c r="K734" s="61"/>
      <c r="L734" s="61"/>
      <c r="M734" s="61"/>
      <c r="N734" s="61"/>
    </row>
    <row r="735" spans="11:14" ht="15.75" customHeight="1">
      <c r="K735" s="61"/>
      <c r="L735" s="61"/>
      <c r="M735" s="61"/>
      <c r="N735" s="61"/>
    </row>
    <row r="736" spans="11:14" ht="15.75" customHeight="1">
      <c r="K736" s="61"/>
      <c r="L736" s="61"/>
      <c r="M736" s="61"/>
      <c r="N736" s="61"/>
    </row>
    <row r="737" spans="11:14" ht="15.75" customHeight="1">
      <c r="K737" s="61"/>
      <c r="L737" s="61"/>
      <c r="M737" s="61"/>
      <c r="N737" s="61"/>
    </row>
    <row r="738" spans="11:14" ht="15.75" customHeight="1">
      <c r="K738" s="61"/>
      <c r="L738" s="61"/>
      <c r="M738" s="61"/>
      <c r="N738" s="61"/>
    </row>
    <row r="739" spans="11:14" ht="15.75" customHeight="1">
      <c r="K739" s="61"/>
      <c r="L739" s="61"/>
      <c r="M739" s="61"/>
      <c r="N739" s="61"/>
    </row>
    <row r="740" spans="11:14" ht="15.75" customHeight="1">
      <c r="K740" s="61"/>
      <c r="L740" s="61"/>
      <c r="M740" s="61"/>
      <c r="N740" s="61"/>
    </row>
    <row r="741" spans="11:14" ht="15.75" customHeight="1">
      <c r="K741" s="61"/>
      <c r="L741" s="61"/>
      <c r="M741" s="61"/>
      <c r="N741" s="61"/>
    </row>
    <row r="742" spans="11:14" ht="15.75" customHeight="1">
      <c r="K742" s="61"/>
      <c r="L742" s="61"/>
      <c r="M742" s="61"/>
      <c r="N742" s="61"/>
    </row>
    <row r="743" spans="11:14" ht="15.75" customHeight="1">
      <c r="K743" s="61"/>
      <c r="L743" s="61"/>
      <c r="M743" s="61"/>
      <c r="N743" s="61"/>
    </row>
    <row r="744" spans="11:14" ht="15.75" customHeight="1">
      <c r="K744" s="61"/>
      <c r="L744" s="61"/>
      <c r="M744" s="61"/>
      <c r="N744" s="61"/>
    </row>
    <row r="745" spans="11:14" ht="15.75" customHeight="1">
      <c r="K745" s="61"/>
      <c r="L745" s="61"/>
      <c r="M745" s="61"/>
      <c r="N745" s="61"/>
    </row>
    <row r="746" spans="11:14" ht="15.75" customHeight="1">
      <c r="K746" s="61"/>
      <c r="L746" s="61"/>
      <c r="M746" s="61"/>
      <c r="N746" s="61"/>
    </row>
    <row r="747" spans="11:14" ht="15.75" customHeight="1">
      <c r="K747" s="61"/>
      <c r="L747" s="61"/>
      <c r="M747" s="61"/>
      <c r="N747" s="61"/>
    </row>
    <row r="748" spans="11:14" ht="15.75" customHeight="1">
      <c r="K748" s="61"/>
      <c r="L748" s="61"/>
      <c r="M748" s="61"/>
      <c r="N748" s="61"/>
    </row>
    <row r="749" spans="11:14" ht="15.75" customHeight="1">
      <c r="K749" s="61"/>
      <c r="L749" s="61"/>
      <c r="M749" s="61"/>
      <c r="N749" s="61"/>
    </row>
    <row r="750" spans="11:14" ht="15.75" customHeight="1">
      <c r="K750" s="61"/>
      <c r="L750" s="61"/>
      <c r="M750" s="61"/>
      <c r="N750" s="61"/>
    </row>
    <row r="751" spans="11:14" ht="15.75" customHeight="1">
      <c r="K751" s="61"/>
      <c r="L751" s="61"/>
      <c r="M751" s="61"/>
      <c r="N751" s="61"/>
    </row>
    <row r="752" spans="11:14" ht="15.75" customHeight="1">
      <c r="K752" s="61"/>
      <c r="L752" s="61"/>
      <c r="M752" s="61"/>
      <c r="N752" s="61"/>
    </row>
    <row r="753" spans="11:14" ht="15.75" customHeight="1">
      <c r="K753" s="61"/>
      <c r="L753" s="61"/>
      <c r="M753" s="61"/>
      <c r="N753" s="61"/>
    </row>
    <row r="754" spans="11:14" ht="15.75" customHeight="1">
      <c r="K754" s="61"/>
      <c r="L754" s="61"/>
      <c r="M754" s="61"/>
      <c r="N754" s="61"/>
    </row>
    <row r="755" spans="11:14" ht="15.75" customHeight="1">
      <c r="K755" s="61"/>
      <c r="L755" s="61"/>
      <c r="M755" s="61"/>
      <c r="N755" s="61"/>
    </row>
    <row r="756" spans="11:14" ht="15.75" customHeight="1">
      <c r="K756" s="61"/>
      <c r="L756" s="61"/>
      <c r="M756" s="61"/>
      <c r="N756" s="61"/>
    </row>
    <row r="757" spans="11:14" ht="15.75" customHeight="1">
      <c r="K757" s="61"/>
      <c r="L757" s="61"/>
      <c r="M757" s="61"/>
      <c r="N757" s="61"/>
    </row>
    <row r="758" spans="11:14" ht="15.75" customHeight="1">
      <c r="K758" s="61"/>
      <c r="L758" s="61"/>
      <c r="M758" s="61"/>
      <c r="N758" s="61"/>
    </row>
    <row r="759" spans="11:14" ht="15.75" customHeight="1">
      <c r="K759" s="61"/>
      <c r="L759" s="61"/>
      <c r="M759" s="61"/>
      <c r="N759" s="61"/>
    </row>
    <row r="760" spans="11:14" ht="15.75" customHeight="1">
      <c r="K760" s="61"/>
      <c r="L760" s="61"/>
      <c r="M760" s="61"/>
      <c r="N760" s="61"/>
    </row>
    <row r="761" spans="11:14" ht="15.75" customHeight="1">
      <c r="K761" s="61"/>
      <c r="L761" s="61"/>
      <c r="M761" s="61"/>
      <c r="N761" s="61"/>
    </row>
    <row r="762" spans="11:14" ht="15.75" customHeight="1">
      <c r="K762" s="61"/>
      <c r="L762" s="61"/>
      <c r="M762" s="61"/>
      <c r="N762" s="61"/>
    </row>
    <row r="763" spans="11:14" ht="15.75" customHeight="1">
      <c r="K763" s="61"/>
      <c r="L763" s="61"/>
      <c r="M763" s="61"/>
      <c r="N763" s="61"/>
    </row>
    <row r="764" spans="11:14" ht="15.75" customHeight="1">
      <c r="K764" s="61"/>
      <c r="L764" s="61"/>
      <c r="M764" s="61"/>
      <c r="N764" s="61"/>
    </row>
    <row r="765" spans="11:14" ht="15.75" customHeight="1">
      <c r="K765" s="61"/>
      <c r="L765" s="61"/>
      <c r="M765" s="61"/>
      <c r="N765" s="61"/>
    </row>
    <row r="766" spans="11:14" ht="15.75" customHeight="1">
      <c r="K766" s="61"/>
      <c r="L766" s="61"/>
      <c r="M766" s="61"/>
      <c r="N766" s="61"/>
    </row>
    <row r="767" spans="11:14" ht="15.75" customHeight="1">
      <c r="K767" s="61"/>
      <c r="L767" s="61"/>
      <c r="M767" s="61"/>
      <c r="N767" s="61"/>
    </row>
    <row r="768" spans="11:14" ht="15.75" customHeight="1">
      <c r="K768" s="61"/>
      <c r="L768" s="61"/>
      <c r="M768" s="61"/>
      <c r="N768" s="61"/>
    </row>
    <row r="769" spans="11:14" ht="15.75" customHeight="1">
      <c r="K769" s="61"/>
      <c r="L769" s="61"/>
      <c r="M769" s="61"/>
      <c r="N769" s="61"/>
    </row>
    <row r="770" spans="11:14" ht="15.75" customHeight="1">
      <c r="K770" s="61"/>
      <c r="L770" s="61"/>
      <c r="M770" s="61"/>
      <c r="N770" s="61"/>
    </row>
    <row r="771" spans="11:14" ht="15.75" customHeight="1">
      <c r="K771" s="61"/>
      <c r="L771" s="61"/>
      <c r="M771" s="61"/>
      <c r="N771" s="61"/>
    </row>
    <row r="772" spans="11:14" ht="15.75" customHeight="1">
      <c r="K772" s="61"/>
      <c r="L772" s="61"/>
      <c r="M772" s="61"/>
      <c r="N772" s="61"/>
    </row>
    <row r="773" spans="11:14" ht="15.75" customHeight="1">
      <c r="K773" s="61"/>
      <c r="L773" s="61"/>
      <c r="M773" s="61"/>
      <c r="N773" s="61"/>
    </row>
    <row r="774" spans="11:14" ht="15.75" customHeight="1">
      <c r="K774" s="61"/>
      <c r="L774" s="61"/>
      <c r="M774" s="61"/>
      <c r="N774" s="61"/>
    </row>
    <row r="775" spans="11:14" ht="15.75" customHeight="1">
      <c r="K775" s="61"/>
      <c r="L775" s="61"/>
      <c r="M775" s="61"/>
      <c r="N775" s="61"/>
    </row>
    <row r="776" spans="11:14" ht="15.75" customHeight="1">
      <c r="K776" s="61"/>
      <c r="L776" s="61"/>
      <c r="M776" s="61"/>
      <c r="N776" s="61"/>
    </row>
    <row r="777" spans="11:14" ht="15.75" customHeight="1">
      <c r="K777" s="61"/>
      <c r="L777" s="61"/>
      <c r="M777" s="61"/>
      <c r="N777" s="61"/>
    </row>
    <row r="778" spans="11:14" ht="15.75" customHeight="1">
      <c r="K778" s="61"/>
      <c r="L778" s="61"/>
      <c r="M778" s="61"/>
      <c r="N778" s="61"/>
    </row>
    <row r="779" spans="11:14" ht="15.75" customHeight="1">
      <c r="K779" s="61"/>
      <c r="L779" s="61"/>
      <c r="M779" s="61"/>
      <c r="N779" s="61"/>
    </row>
    <row r="780" spans="11:14" ht="15.75" customHeight="1">
      <c r="K780" s="61"/>
      <c r="L780" s="61"/>
      <c r="M780" s="61"/>
      <c r="N780" s="61"/>
    </row>
    <row r="781" spans="11:14" ht="15.75" customHeight="1">
      <c r="K781" s="61"/>
      <c r="L781" s="61"/>
      <c r="M781" s="61"/>
      <c r="N781" s="61"/>
    </row>
    <row r="782" spans="11:14" ht="15.75" customHeight="1">
      <c r="K782" s="61"/>
      <c r="L782" s="61"/>
      <c r="M782" s="61"/>
      <c r="N782" s="61"/>
    </row>
    <row r="783" spans="11:14" ht="15.75" customHeight="1">
      <c r="K783" s="61"/>
      <c r="L783" s="61"/>
      <c r="M783" s="61"/>
      <c r="N783" s="61"/>
    </row>
    <row r="784" spans="11:14" ht="15.75" customHeight="1">
      <c r="K784" s="61"/>
      <c r="L784" s="61"/>
      <c r="M784" s="61"/>
      <c r="N784" s="61"/>
    </row>
    <row r="785" spans="11:14" ht="15.75" customHeight="1">
      <c r="K785" s="61"/>
      <c r="L785" s="61"/>
      <c r="M785" s="61"/>
      <c r="N785" s="61"/>
    </row>
    <row r="786" spans="11:14" ht="15.75" customHeight="1">
      <c r="K786" s="61"/>
      <c r="L786" s="61"/>
      <c r="M786" s="61"/>
      <c r="N786" s="61"/>
    </row>
    <row r="787" spans="11:14" ht="15.75" customHeight="1">
      <c r="K787" s="61"/>
      <c r="L787" s="61"/>
      <c r="M787" s="61"/>
      <c r="N787" s="61"/>
    </row>
    <row r="788" spans="11:14" ht="15.75" customHeight="1">
      <c r="K788" s="61"/>
      <c r="L788" s="61"/>
      <c r="M788" s="61"/>
      <c r="N788" s="61"/>
    </row>
    <row r="789" spans="11:14" ht="15.75" customHeight="1">
      <c r="K789" s="61"/>
      <c r="L789" s="61"/>
      <c r="M789" s="61"/>
      <c r="N789" s="61"/>
    </row>
    <row r="790" spans="11:14" ht="15.75" customHeight="1">
      <c r="K790" s="61"/>
      <c r="L790" s="61"/>
      <c r="M790" s="61"/>
      <c r="N790" s="61"/>
    </row>
    <row r="791" spans="11:14" ht="15.75" customHeight="1">
      <c r="K791" s="61"/>
      <c r="L791" s="61"/>
      <c r="M791" s="61"/>
      <c r="N791" s="61"/>
    </row>
    <row r="792" spans="11:14" ht="15.75" customHeight="1">
      <c r="K792" s="61"/>
      <c r="L792" s="61"/>
      <c r="M792" s="61"/>
      <c r="N792" s="61"/>
    </row>
    <row r="793" spans="11:14" ht="15.75" customHeight="1">
      <c r="K793" s="61"/>
      <c r="L793" s="61"/>
      <c r="M793" s="61"/>
      <c r="N793" s="61"/>
    </row>
    <row r="794" spans="11:14" ht="15.75" customHeight="1">
      <c r="K794" s="61"/>
      <c r="L794" s="61"/>
      <c r="M794" s="61"/>
      <c r="N794" s="61"/>
    </row>
    <row r="795" spans="11:14" ht="15.75" customHeight="1">
      <c r="K795" s="61"/>
      <c r="L795" s="61"/>
      <c r="M795" s="61"/>
      <c r="N795" s="61"/>
    </row>
    <row r="796" spans="11:14" ht="15.75" customHeight="1">
      <c r="K796" s="61"/>
      <c r="L796" s="61"/>
      <c r="M796" s="61"/>
      <c r="N796" s="61"/>
    </row>
    <row r="797" spans="11:14" ht="15.75" customHeight="1">
      <c r="K797" s="61"/>
      <c r="L797" s="61"/>
      <c r="M797" s="61"/>
      <c r="N797" s="61"/>
    </row>
    <row r="798" spans="11:14" ht="15.75" customHeight="1">
      <c r="K798" s="61"/>
      <c r="L798" s="61"/>
      <c r="M798" s="61"/>
      <c r="N798" s="61"/>
    </row>
    <row r="799" spans="11:14" ht="15.75" customHeight="1">
      <c r="K799" s="61"/>
      <c r="L799" s="61"/>
      <c r="M799" s="61"/>
      <c r="N799" s="61"/>
    </row>
    <row r="800" spans="11:14" ht="15.75" customHeight="1">
      <c r="K800" s="61"/>
      <c r="L800" s="61"/>
      <c r="M800" s="61"/>
      <c r="N800" s="61"/>
    </row>
    <row r="801" spans="11:14" ht="15.75" customHeight="1">
      <c r="K801" s="61"/>
      <c r="L801" s="61"/>
      <c r="M801" s="61"/>
      <c r="N801" s="61"/>
    </row>
    <row r="802" spans="11:14" ht="15.75" customHeight="1">
      <c r="K802" s="61"/>
      <c r="L802" s="61"/>
      <c r="M802" s="61"/>
      <c r="N802" s="61"/>
    </row>
    <row r="803" spans="11:14" ht="15.75" customHeight="1">
      <c r="K803" s="61"/>
      <c r="L803" s="61"/>
      <c r="M803" s="61"/>
      <c r="N803" s="61"/>
    </row>
    <row r="804" spans="11:14" ht="15.75" customHeight="1">
      <c r="K804" s="61"/>
      <c r="L804" s="61"/>
      <c r="M804" s="61"/>
      <c r="N804" s="61"/>
    </row>
    <row r="805" spans="11:14" ht="15.75" customHeight="1">
      <c r="K805" s="61"/>
      <c r="L805" s="61"/>
      <c r="M805" s="61"/>
      <c r="N805" s="61"/>
    </row>
    <row r="806" spans="11:14" ht="15.75" customHeight="1">
      <c r="K806" s="61"/>
      <c r="L806" s="61"/>
      <c r="M806" s="61"/>
      <c r="N806" s="61"/>
    </row>
    <row r="807" spans="11:14" ht="15.75" customHeight="1">
      <c r="K807" s="61"/>
      <c r="L807" s="61"/>
      <c r="M807" s="61"/>
      <c r="N807" s="61"/>
    </row>
    <row r="808" spans="11:14" ht="15.75" customHeight="1">
      <c r="K808" s="61"/>
      <c r="L808" s="61"/>
      <c r="M808" s="61"/>
      <c r="N808" s="61"/>
    </row>
    <row r="809" spans="11:14" ht="15.75" customHeight="1">
      <c r="K809" s="61"/>
      <c r="L809" s="61"/>
      <c r="M809" s="61"/>
      <c r="N809" s="61"/>
    </row>
    <row r="810" spans="11:14" ht="15.75" customHeight="1">
      <c r="K810" s="61"/>
      <c r="L810" s="61"/>
      <c r="M810" s="61"/>
      <c r="N810" s="61"/>
    </row>
    <row r="811" spans="11:14" ht="15.75" customHeight="1">
      <c r="K811" s="61"/>
      <c r="L811" s="61"/>
      <c r="M811" s="61"/>
      <c r="N811" s="61"/>
    </row>
    <row r="812" spans="11:14" ht="15.75" customHeight="1">
      <c r="K812" s="61"/>
      <c r="L812" s="61"/>
      <c r="M812" s="61"/>
      <c r="N812" s="61"/>
    </row>
    <row r="813" spans="11:14" ht="15.75" customHeight="1">
      <c r="K813" s="61"/>
      <c r="L813" s="61"/>
      <c r="M813" s="61"/>
      <c r="N813" s="61"/>
    </row>
    <row r="814" spans="11:14" ht="15.75" customHeight="1">
      <c r="K814" s="61"/>
      <c r="L814" s="61"/>
      <c r="M814" s="61"/>
      <c r="N814" s="61"/>
    </row>
    <row r="815" spans="11:14" ht="15.75" customHeight="1">
      <c r="K815" s="61"/>
      <c r="L815" s="61"/>
      <c r="M815" s="61"/>
      <c r="N815" s="61"/>
    </row>
    <row r="816" spans="11:14" ht="15.75" customHeight="1">
      <c r="K816" s="61"/>
      <c r="L816" s="61"/>
      <c r="M816" s="61"/>
      <c r="N816" s="61"/>
    </row>
    <row r="817" spans="11:14" ht="15.75" customHeight="1">
      <c r="K817" s="61"/>
      <c r="L817" s="61"/>
      <c r="M817" s="61"/>
      <c r="N817" s="61"/>
    </row>
    <row r="818" spans="11:14" ht="15.75" customHeight="1">
      <c r="K818" s="61"/>
      <c r="L818" s="61"/>
      <c r="M818" s="61"/>
      <c r="N818" s="61"/>
    </row>
    <row r="819" spans="11:14" ht="15.75" customHeight="1">
      <c r="K819" s="61"/>
      <c r="L819" s="61"/>
      <c r="M819" s="61"/>
      <c r="N819" s="61"/>
    </row>
    <row r="820" spans="11:14" ht="15.75" customHeight="1">
      <c r="K820" s="61"/>
      <c r="L820" s="61"/>
      <c r="M820" s="61"/>
      <c r="N820" s="61"/>
    </row>
    <row r="821" spans="11:14" ht="15.75" customHeight="1">
      <c r="K821" s="61"/>
      <c r="L821" s="61"/>
      <c r="M821" s="61"/>
      <c r="N821" s="61"/>
    </row>
    <row r="822" spans="11:14" ht="15.75" customHeight="1">
      <c r="K822" s="61"/>
      <c r="L822" s="61"/>
      <c r="M822" s="61"/>
      <c r="N822" s="61"/>
    </row>
    <row r="823" spans="11:14" ht="15.75" customHeight="1">
      <c r="K823" s="61"/>
      <c r="L823" s="61"/>
      <c r="M823" s="61"/>
      <c r="N823" s="61"/>
    </row>
    <row r="824" spans="11:14" ht="15.75" customHeight="1">
      <c r="K824" s="61"/>
      <c r="L824" s="61"/>
      <c r="M824" s="61"/>
      <c r="N824" s="61"/>
    </row>
    <row r="825" spans="11:14" ht="15.75" customHeight="1">
      <c r="K825" s="61"/>
      <c r="L825" s="61"/>
      <c r="M825" s="61"/>
      <c r="N825" s="61"/>
    </row>
    <row r="826" spans="11:14" ht="15.75" customHeight="1">
      <c r="K826" s="61"/>
      <c r="L826" s="61"/>
      <c r="M826" s="61"/>
      <c r="N826" s="61"/>
    </row>
    <row r="827" spans="11:14" ht="15.75" customHeight="1">
      <c r="K827" s="61"/>
      <c r="L827" s="61"/>
      <c r="M827" s="61"/>
      <c r="N827" s="61"/>
    </row>
    <row r="828" spans="11:14" ht="15.75" customHeight="1">
      <c r="K828" s="61"/>
      <c r="L828" s="61"/>
      <c r="M828" s="61"/>
      <c r="N828" s="61"/>
    </row>
    <row r="829" spans="11:14" ht="15.75" customHeight="1">
      <c r="K829" s="61"/>
      <c r="L829" s="61"/>
      <c r="M829" s="61"/>
      <c r="N829" s="61"/>
    </row>
    <row r="830" spans="11:14" ht="15.75" customHeight="1">
      <c r="K830" s="61"/>
      <c r="L830" s="61"/>
      <c r="M830" s="61"/>
      <c r="N830" s="61"/>
    </row>
    <row r="831" spans="11:14" ht="15.75" customHeight="1">
      <c r="K831" s="61"/>
      <c r="L831" s="61"/>
      <c r="M831" s="61"/>
      <c r="N831" s="61"/>
    </row>
    <row r="832" spans="11:14" ht="15.75" customHeight="1">
      <c r="K832" s="61"/>
      <c r="L832" s="61"/>
      <c r="M832" s="61"/>
      <c r="N832" s="61"/>
    </row>
    <row r="833" spans="11:14" ht="15.75" customHeight="1">
      <c r="K833" s="61"/>
      <c r="L833" s="61"/>
      <c r="M833" s="61"/>
      <c r="N833" s="61"/>
    </row>
    <row r="834" spans="11:14" ht="15.75" customHeight="1">
      <c r="K834" s="61"/>
      <c r="L834" s="61"/>
      <c r="M834" s="61"/>
      <c r="N834" s="61"/>
    </row>
    <row r="835" spans="11:14" ht="15.75" customHeight="1">
      <c r="K835" s="61"/>
      <c r="L835" s="61"/>
      <c r="M835" s="61"/>
      <c r="N835" s="61"/>
    </row>
    <row r="836" spans="11:14" ht="15.75" customHeight="1">
      <c r="K836" s="61"/>
      <c r="L836" s="61"/>
      <c r="M836" s="61"/>
      <c r="N836" s="61"/>
    </row>
    <row r="837" spans="11:14" ht="15.75" customHeight="1">
      <c r="K837" s="61"/>
      <c r="L837" s="61"/>
      <c r="M837" s="61"/>
      <c r="N837" s="61"/>
    </row>
    <row r="838" spans="11:14" ht="15.75" customHeight="1">
      <c r="K838" s="61"/>
      <c r="L838" s="61"/>
      <c r="M838" s="61"/>
      <c r="N838" s="61"/>
    </row>
    <row r="839" spans="11:14" ht="15.75" customHeight="1">
      <c r="K839" s="61"/>
      <c r="L839" s="61"/>
      <c r="M839" s="61"/>
      <c r="N839" s="61"/>
    </row>
    <row r="840" spans="11:14" ht="15.75" customHeight="1">
      <c r="K840" s="61"/>
      <c r="L840" s="61"/>
      <c r="M840" s="61"/>
      <c r="N840" s="61"/>
    </row>
    <row r="841" spans="11:14" ht="15.75" customHeight="1">
      <c r="K841" s="61"/>
      <c r="L841" s="61"/>
      <c r="M841" s="61"/>
      <c r="N841" s="61"/>
    </row>
    <row r="842" spans="11:14" ht="15.75" customHeight="1">
      <c r="K842" s="61"/>
      <c r="L842" s="61"/>
      <c r="M842" s="61"/>
      <c r="N842" s="61"/>
    </row>
    <row r="843" spans="11:14" ht="15.75" customHeight="1">
      <c r="K843" s="61"/>
      <c r="L843" s="61"/>
      <c r="M843" s="61"/>
      <c r="N843" s="61"/>
    </row>
    <row r="844" spans="11:14" ht="15.75" customHeight="1">
      <c r="K844" s="61"/>
      <c r="L844" s="61"/>
      <c r="M844" s="61"/>
      <c r="N844" s="61"/>
    </row>
    <row r="845" spans="11:14" ht="15.75" customHeight="1">
      <c r="K845" s="61"/>
      <c r="L845" s="61"/>
      <c r="M845" s="61"/>
      <c r="N845" s="61"/>
    </row>
    <row r="846" spans="11:14" ht="15.75" customHeight="1">
      <c r="K846" s="61"/>
      <c r="L846" s="61"/>
      <c r="M846" s="61"/>
      <c r="N846" s="61"/>
    </row>
    <row r="847" spans="11:14" ht="15.75" customHeight="1">
      <c r="K847" s="61"/>
      <c r="L847" s="61"/>
      <c r="M847" s="61"/>
      <c r="N847" s="61"/>
    </row>
    <row r="848" spans="11:14" ht="15.75" customHeight="1">
      <c r="K848" s="61"/>
      <c r="L848" s="61"/>
      <c r="M848" s="61"/>
      <c r="N848" s="61"/>
    </row>
    <row r="849" spans="11:14" ht="15.75" customHeight="1">
      <c r="K849" s="61"/>
      <c r="L849" s="61"/>
      <c r="M849" s="61"/>
      <c r="N849" s="61"/>
    </row>
    <row r="850" spans="11:14" ht="15.75" customHeight="1">
      <c r="K850" s="61"/>
      <c r="L850" s="61"/>
      <c r="M850" s="61"/>
      <c r="N850" s="61"/>
    </row>
    <row r="851" spans="11:14" ht="15.75" customHeight="1">
      <c r="K851" s="61"/>
      <c r="L851" s="61"/>
      <c r="M851" s="61"/>
      <c r="N851" s="61"/>
    </row>
    <row r="852" spans="11:14" ht="15.75" customHeight="1">
      <c r="K852" s="61"/>
      <c r="L852" s="61"/>
      <c r="M852" s="61"/>
      <c r="N852" s="61"/>
    </row>
    <row r="853" spans="11:14" ht="15.75" customHeight="1">
      <c r="K853" s="61"/>
      <c r="L853" s="61"/>
      <c r="M853" s="61"/>
      <c r="N853" s="61"/>
    </row>
    <row r="854" spans="11:14" ht="15.75" customHeight="1">
      <c r="K854" s="61"/>
      <c r="L854" s="61"/>
      <c r="M854" s="61"/>
      <c r="N854" s="61"/>
    </row>
    <row r="855" spans="11:14" ht="15.75" customHeight="1">
      <c r="K855" s="61"/>
      <c r="L855" s="61"/>
      <c r="M855" s="61"/>
      <c r="N855" s="61"/>
    </row>
    <row r="856" spans="11:14" ht="15.75" customHeight="1">
      <c r="K856" s="61"/>
      <c r="L856" s="61"/>
      <c r="M856" s="61"/>
      <c r="N856" s="61"/>
    </row>
    <row r="857" spans="11:14" ht="15.75" customHeight="1">
      <c r="K857" s="61"/>
      <c r="L857" s="61"/>
      <c r="M857" s="61"/>
      <c r="N857" s="61"/>
    </row>
    <row r="858" spans="11:14" ht="15.75" customHeight="1">
      <c r="K858" s="61"/>
      <c r="L858" s="61"/>
      <c r="M858" s="61"/>
      <c r="N858" s="61"/>
    </row>
    <row r="859" spans="11:14" ht="15.75" customHeight="1">
      <c r="K859" s="61"/>
      <c r="L859" s="61"/>
      <c r="M859" s="61"/>
      <c r="N859" s="61"/>
    </row>
    <row r="860" spans="11:14" ht="15.75" customHeight="1">
      <c r="K860" s="61"/>
      <c r="L860" s="61"/>
      <c r="M860" s="61"/>
      <c r="N860" s="61"/>
    </row>
    <row r="861" spans="11:14" ht="15.75" customHeight="1">
      <c r="K861" s="61"/>
      <c r="L861" s="61"/>
      <c r="M861" s="61"/>
      <c r="N861" s="61"/>
    </row>
    <row r="862" spans="11:14" ht="15.75" customHeight="1">
      <c r="K862" s="61"/>
      <c r="L862" s="61"/>
      <c r="M862" s="61"/>
      <c r="N862" s="61"/>
    </row>
    <row r="863" spans="11:14" ht="15.75" customHeight="1">
      <c r="K863" s="61"/>
      <c r="L863" s="61"/>
      <c r="M863" s="61"/>
      <c r="N863" s="61"/>
    </row>
    <row r="864" spans="11:14" ht="15.75" customHeight="1">
      <c r="K864" s="61"/>
      <c r="L864" s="61"/>
      <c r="M864" s="61"/>
      <c r="N864" s="61"/>
    </row>
    <row r="865" spans="11:14" ht="15.75" customHeight="1">
      <c r="K865" s="61"/>
      <c r="L865" s="61"/>
      <c r="M865" s="61"/>
      <c r="N865" s="61"/>
    </row>
    <row r="866" spans="11:14" ht="15.75" customHeight="1">
      <c r="K866" s="61"/>
      <c r="L866" s="61"/>
      <c r="M866" s="61"/>
      <c r="N866" s="61"/>
    </row>
    <row r="867" spans="11:14" ht="15.75" customHeight="1">
      <c r="K867" s="61"/>
      <c r="L867" s="61"/>
      <c r="M867" s="61"/>
      <c r="N867" s="61"/>
    </row>
    <row r="868" spans="11:14" ht="15.75" customHeight="1">
      <c r="K868" s="61"/>
      <c r="L868" s="61"/>
      <c r="M868" s="61"/>
      <c r="N868" s="61"/>
    </row>
    <row r="869" spans="11:14" ht="15.75" customHeight="1">
      <c r="K869" s="61"/>
      <c r="L869" s="61"/>
      <c r="M869" s="61"/>
      <c r="N869" s="61"/>
    </row>
    <row r="870" spans="11:14" ht="15.75" customHeight="1">
      <c r="K870" s="61"/>
      <c r="L870" s="61"/>
      <c r="M870" s="61"/>
      <c r="N870" s="61"/>
    </row>
    <row r="871" spans="11:14" ht="15.75" customHeight="1">
      <c r="K871" s="61"/>
      <c r="L871" s="61"/>
      <c r="M871" s="61"/>
      <c r="N871" s="61"/>
    </row>
    <row r="872" spans="11:14" ht="15.75" customHeight="1">
      <c r="K872" s="61"/>
      <c r="L872" s="61"/>
      <c r="M872" s="61"/>
      <c r="N872" s="61"/>
    </row>
    <row r="873" spans="11:14" ht="15.75" customHeight="1">
      <c r="K873" s="61"/>
      <c r="L873" s="61"/>
      <c r="M873" s="61"/>
      <c r="N873" s="61"/>
    </row>
    <row r="874" spans="11:14" ht="15.75" customHeight="1">
      <c r="K874" s="61"/>
      <c r="L874" s="61"/>
      <c r="M874" s="61"/>
      <c r="N874" s="61"/>
    </row>
    <row r="875" spans="11:14" ht="15.75" customHeight="1">
      <c r="K875" s="61"/>
      <c r="L875" s="61"/>
      <c r="M875" s="61"/>
      <c r="N875" s="61"/>
    </row>
    <row r="876" spans="11:14" ht="15.75" customHeight="1">
      <c r="K876" s="61"/>
      <c r="L876" s="61"/>
      <c r="M876" s="61"/>
      <c r="N876" s="61"/>
    </row>
    <row r="877" spans="11:14" ht="15.75" customHeight="1">
      <c r="K877" s="61"/>
      <c r="L877" s="61"/>
      <c r="M877" s="61"/>
      <c r="N877" s="61"/>
    </row>
    <row r="878" spans="11:14" ht="15.75" customHeight="1">
      <c r="K878" s="61"/>
      <c r="L878" s="61"/>
      <c r="M878" s="61"/>
      <c r="N878" s="61"/>
    </row>
    <row r="879" spans="11:14" ht="15.75" customHeight="1">
      <c r="K879" s="61"/>
      <c r="L879" s="61"/>
      <c r="M879" s="61"/>
      <c r="N879" s="61"/>
    </row>
    <row r="880" spans="11:14" ht="15.75" customHeight="1">
      <c r="K880" s="61"/>
      <c r="L880" s="61"/>
      <c r="M880" s="61"/>
      <c r="N880" s="61"/>
    </row>
    <row r="881" spans="11:14" ht="15.75" customHeight="1">
      <c r="K881" s="61"/>
      <c r="L881" s="61"/>
      <c r="M881" s="61"/>
      <c r="N881" s="61"/>
    </row>
    <row r="882" spans="11:14" ht="15.75" customHeight="1">
      <c r="K882" s="61"/>
      <c r="L882" s="61"/>
      <c r="M882" s="61"/>
      <c r="N882" s="61"/>
    </row>
    <row r="883" spans="11:14" ht="15.75" customHeight="1">
      <c r="K883" s="61"/>
      <c r="L883" s="61"/>
      <c r="M883" s="61"/>
      <c r="N883" s="61"/>
    </row>
    <row r="884" spans="11:14" ht="15.75" customHeight="1">
      <c r="K884" s="61"/>
      <c r="L884" s="61"/>
      <c r="M884" s="61"/>
      <c r="N884" s="61"/>
    </row>
    <row r="885" spans="11:14" ht="15.75" customHeight="1">
      <c r="K885" s="61"/>
      <c r="L885" s="61"/>
      <c r="M885" s="61"/>
      <c r="N885" s="61"/>
    </row>
    <row r="886" spans="11:14" ht="15.75" customHeight="1">
      <c r="K886" s="61"/>
      <c r="L886" s="61"/>
      <c r="M886" s="61"/>
      <c r="N886" s="61"/>
    </row>
    <row r="887" spans="11:14" ht="15.75" customHeight="1">
      <c r="K887" s="61"/>
      <c r="L887" s="61"/>
      <c r="M887" s="61"/>
      <c r="N887" s="61"/>
    </row>
    <row r="888" spans="11:14" ht="15.75" customHeight="1">
      <c r="K888" s="61"/>
      <c r="L888" s="61"/>
      <c r="M888" s="61"/>
      <c r="N888" s="61"/>
    </row>
    <row r="889" spans="11:14" ht="15.75" customHeight="1">
      <c r="K889" s="61"/>
      <c r="L889" s="61"/>
      <c r="M889" s="61"/>
      <c r="N889" s="61"/>
    </row>
    <row r="890" spans="11:14" ht="15.75" customHeight="1">
      <c r="K890" s="61"/>
      <c r="L890" s="61"/>
      <c r="M890" s="61"/>
      <c r="N890" s="61"/>
    </row>
    <row r="891" spans="11:14" ht="15.75" customHeight="1">
      <c r="K891" s="61"/>
      <c r="L891" s="61"/>
      <c r="M891" s="61"/>
      <c r="N891" s="61"/>
    </row>
    <row r="892" spans="11:14" ht="15.75" customHeight="1">
      <c r="K892" s="61"/>
      <c r="L892" s="61"/>
      <c r="M892" s="61"/>
      <c r="N892" s="61"/>
    </row>
    <row r="893" spans="11:14" ht="15.75" customHeight="1">
      <c r="K893" s="61"/>
      <c r="L893" s="61"/>
      <c r="M893" s="61"/>
      <c r="N893" s="61"/>
    </row>
    <row r="894" spans="11:14" ht="15.75" customHeight="1">
      <c r="K894" s="61"/>
      <c r="L894" s="61"/>
      <c r="M894" s="61"/>
      <c r="N894" s="61"/>
    </row>
    <row r="895" spans="11:14" ht="15.75" customHeight="1">
      <c r="K895" s="61"/>
      <c r="L895" s="61"/>
      <c r="M895" s="61"/>
      <c r="N895" s="61"/>
    </row>
    <row r="896" spans="11:14" ht="15.75" customHeight="1">
      <c r="K896" s="61"/>
      <c r="L896" s="61"/>
      <c r="M896" s="61"/>
      <c r="N896" s="61"/>
    </row>
    <row r="897" spans="11:14" ht="15.75" customHeight="1">
      <c r="K897" s="61"/>
      <c r="L897" s="61"/>
      <c r="M897" s="61"/>
      <c r="N897" s="61"/>
    </row>
    <row r="898" spans="11:14" ht="15.75" customHeight="1">
      <c r="K898" s="61"/>
      <c r="L898" s="61"/>
      <c r="M898" s="61"/>
      <c r="N898" s="61"/>
    </row>
    <row r="899" spans="11:14" ht="15.75" customHeight="1">
      <c r="K899" s="61"/>
      <c r="L899" s="61"/>
      <c r="M899" s="61"/>
      <c r="N899" s="61"/>
    </row>
    <row r="900" spans="11:14" ht="15.75" customHeight="1">
      <c r="K900" s="61"/>
      <c r="L900" s="61"/>
      <c r="M900" s="61"/>
      <c r="N900" s="61"/>
    </row>
    <row r="901" spans="11:14" ht="15.75" customHeight="1">
      <c r="K901" s="61"/>
      <c r="L901" s="61"/>
      <c r="M901" s="61"/>
      <c r="N901" s="61"/>
    </row>
    <row r="902" spans="11:14" ht="15.75" customHeight="1">
      <c r="K902" s="61"/>
      <c r="L902" s="61"/>
      <c r="M902" s="61"/>
      <c r="N902" s="61"/>
    </row>
    <row r="903" spans="11:14" ht="15.75" customHeight="1">
      <c r="K903" s="61"/>
      <c r="L903" s="61"/>
      <c r="M903" s="61"/>
      <c r="N903" s="61"/>
    </row>
    <row r="904" spans="11:14" ht="15.75" customHeight="1">
      <c r="K904" s="61"/>
      <c r="L904" s="61"/>
      <c r="M904" s="61"/>
      <c r="N904" s="61"/>
    </row>
    <row r="905" spans="11:14" ht="15.75" customHeight="1">
      <c r="K905" s="61"/>
      <c r="L905" s="61"/>
      <c r="M905" s="61"/>
      <c r="N905" s="61"/>
    </row>
    <row r="906" spans="11:14" ht="15.75" customHeight="1">
      <c r="K906" s="61"/>
      <c r="L906" s="61"/>
      <c r="M906" s="61"/>
      <c r="N906" s="61"/>
    </row>
    <row r="907" spans="11:14" ht="15.75" customHeight="1">
      <c r="K907" s="61"/>
      <c r="L907" s="61"/>
      <c r="M907" s="61"/>
      <c r="N907" s="61"/>
    </row>
    <row r="908" spans="11:14" ht="15.75" customHeight="1">
      <c r="K908" s="61"/>
      <c r="L908" s="61"/>
      <c r="M908" s="61"/>
      <c r="N908" s="61"/>
    </row>
    <row r="909" spans="11:14" ht="15.75" customHeight="1">
      <c r="K909" s="61"/>
      <c r="L909" s="61"/>
      <c r="M909" s="61"/>
      <c r="N909" s="61"/>
    </row>
    <row r="910" spans="11:14" ht="15.75" customHeight="1">
      <c r="K910" s="61"/>
      <c r="L910" s="61"/>
      <c r="M910" s="61"/>
      <c r="N910" s="61"/>
    </row>
    <row r="911" spans="11:14" ht="15.75" customHeight="1">
      <c r="K911" s="61"/>
      <c r="L911" s="61"/>
      <c r="M911" s="61"/>
      <c r="N911" s="61"/>
    </row>
    <row r="912" spans="11:14" ht="15.75" customHeight="1">
      <c r="K912" s="61"/>
      <c r="L912" s="61"/>
      <c r="M912" s="61"/>
      <c r="N912" s="61"/>
    </row>
    <row r="913" spans="11:14" ht="15.75" customHeight="1">
      <c r="K913" s="61"/>
      <c r="L913" s="61"/>
      <c r="M913" s="61"/>
      <c r="N913" s="61"/>
    </row>
    <row r="914" spans="11:14" ht="15.75" customHeight="1">
      <c r="K914" s="61"/>
      <c r="L914" s="61"/>
      <c r="M914" s="61"/>
      <c r="N914" s="61"/>
    </row>
    <row r="915" spans="11:14" ht="15.75" customHeight="1">
      <c r="K915" s="61"/>
      <c r="L915" s="61"/>
      <c r="M915" s="61"/>
      <c r="N915" s="61"/>
    </row>
    <row r="916" spans="11:14" ht="15.75" customHeight="1">
      <c r="K916" s="61"/>
      <c r="L916" s="61"/>
      <c r="M916" s="61"/>
      <c r="N916" s="61"/>
    </row>
    <row r="917" spans="11:14" ht="15.75" customHeight="1">
      <c r="K917" s="61"/>
      <c r="L917" s="61"/>
      <c r="M917" s="61"/>
      <c r="N917" s="61"/>
    </row>
    <row r="918" spans="11:14" ht="15.75" customHeight="1">
      <c r="K918" s="61"/>
      <c r="L918" s="61"/>
      <c r="M918" s="61"/>
      <c r="N918" s="61"/>
    </row>
    <row r="919" spans="11:14" ht="15.75" customHeight="1">
      <c r="K919" s="61"/>
      <c r="L919" s="61"/>
      <c r="M919" s="61"/>
      <c r="N919" s="61"/>
    </row>
    <row r="920" spans="11:14" ht="15.75" customHeight="1">
      <c r="K920" s="61"/>
      <c r="L920" s="61"/>
      <c r="M920" s="61"/>
      <c r="N920" s="61"/>
    </row>
    <row r="921" spans="11:14" ht="15.75" customHeight="1">
      <c r="K921" s="61"/>
      <c r="L921" s="61"/>
      <c r="M921" s="61"/>
      <c r="N921" s="61"/>
    </row>
    <row r="922" spans="11:14" ht="15.75" customHeight="1">
      <c r="K922" s="61"/>
      <c r="L922" s="61"/>
      <c r="M922" s="61"/>
      <c r="N922" s="61"/>
    </row>
    <row r="923" spans="11:14" ht="15.75" customHeight="1">
      <c r="K923" s="61"/>
      <c r="L923" s="61"/>
      <c r="M923" s="61"/>
      <c r="N923" s="61"/>
    </row>
    <row r="924" spans="11:14" ht="15.75" customHeight="1">
      <c r="K924" s="61"/>
      <c r="L924" s="61"/>
      <c r="M924" s="61"/>
      <c r="N924" s="61"/>
    </row>
    <row r="925" spans="11:14" ht="15.75" customHeight="1">
      <c r="K925" s="61"/>
      <c r="L925" s="61"/>
      <c r="M925" s="61"/>
      <c r="N925" s="61"/>
    </row>
    <row r="926" spans="11:14" ht="15.75" customHeight="1">
      <c r="K926" s="61"/>
      <c r="L926" s="61"/>
      <c r="M926" s="61"/>
      <c r="N926" s="61"/>
    </row>
    <row r="927" spans="11:14" ht="15.75" customHeight="1">
      <c r="K927" s="61"/>
      <c r="L927" s="61"/>
      <c r="M927" s="61"/>
      <c r="N927" s="61"/>
    </row>
    <row r="928" spans="11:14" ht="15.75" customHeight="1">
      <c r="K928" s="61"/>
      <c r="L928" s="61"/>
      <c r="M928" s="61"/>
      <c r="N928" s="61"/>
    </row>
    <row r="929" spans="11:14" ht="15.75" customHeight="1">
      <c r="K929" s="61"/>
      <c r="L929" s="61"/>
      <c r="M929" s="61"/>
      <c r="N929" s="61"/>
    </row>
    <row r="930" spans="11:14" ht="15.75" customHeight="1">
      <c r="K930" s="61"/>
      <c r="L930" s="61"/>
      <c r="M930" s="61"/>
      <c r="N930" s="61"/>
    </row>
    <row r="931" spans="11:14" ht="15.75" customHeight="1">
      <c r="K931" s="61"/>
      <c r="L931" s="61"/>
      <c r="M931" s="61"/>
      <c r="N931" s="61"/>
    </row>
    <row r="932" spans="11:14" ht="15.75" customHeight="1">
      <c r="K932" s="61"/>
      <c r="L932" s="61"/>
      <c r="M932" s="61"/>
      <c r="N932" s="61"/>
    </row>
    <row r="933" spans="11:14" ht="15.75" customHeight="1">
      <c r="K933" s="61"/>
      <c r="L933" s="61"/>
      <c r="M933" s="61"/>
      <c r="N933" s="61"/>
    </row>
    <row r="934" spans="11:14" ht="15.75" customHeight="1">
      <c r="K934" s="61"/>
      <c r="L934" s="61"/>
      <c r="M934" s="61"/>
      <c r="N934" s="61"/>
    </row>
    <row r="935" spans="11:14" ht="15.75" customHeight="1">
      <c r="K935" s="61"/>
      <c r="L935" s="61"/>
      <c r="M935" s="61"/>
      <c r="N935" s="61"/>
    </row>
    <row r="936" spans="11:14" ht="15.75" customHeight="1">
      <c r="K936" s="61"/>
      <c r="L936" s="61"/>
      <c r="M936" s="61"/>
      <c r="N936" s="61"/>
    </row>
    <row r="937" spans="11:14" ht="15.75" customHeight="1">
      <c r="K937" s="61"/>
      <c r="L937" s="61"/>
      <c r="M937" s="61"/>
      <c r="N937" s="61"/>
    </row>
    <row r="938" spans="11:14" ht="15.75" customHeight="1">
      <c r="K938" s="61"/>
      <c r="L938" s="61"/>
      <c r="M938" s="61"/>
      <c r="N938" s="61"/>
    </row>
    <row r="939" spans="11:14" ht="15.75" customHeight="1">
      <c r="K939" s="61"/>
      <c r="L939" s="61"/>
      <c r="M939" s="61"/>
      <c r="N939" s="61"/>
    </row>
    <row r="940" spans="11:14" ht="15.75" customHeight="1">
      <c r="K940" s="61"/>
      <c r="L940" s="61"/>
      <c r="M940" s="61"/>
      <c r="N940" s="61"/>
    </row>
    <row r="941" spans="11:14" ht="15.75" customHeight="1">
      <c r="K941" s="61"/>
      <c r="L941" s="61"/>
      <c r="M941" s="61"/>
      <c r="N941" s="61"/>
    </row>
    <row r="942" spans="11:14" ht="15.75" customHeight="1">
      <c r="K942" s="61"/>
      <c r="L942" s="61"/>
      <c r="M942" s="61"/>
      <c r="N942" s="61"/>
    </row>
    <row r="943" spans="11:14" ht="15.75" customHeight="1">
      <c r="K943" s="61"/>
      <c r="L943" s="61"/>
      <c r="M943" s="61"/>
      <c r="N943" s="61"/>
    </row>
    <row r="944" spans="11:14" ht="15.75" customHeight="1">
      <c r="K944" s="61"/>
      <c r="L944" s="61"/>
      <c r="M944" s="61"/>
      <c r="N944" s="61"/>
    </row>
    <row r="945" spans="11:14" ht="15.75" customHeight="1">
      <c r="K945" s="61"/>
      <c r="L945" s="61"/>
      <c r="M945" s="61"/>
      <c r="N945" s="61"/>
    </row>
    <row r="946" spans="11:14" ht="15.75" customHeight="1">
      <c r="K946" s="61"/>
      <c r="L946" s="61"/>
      <c r="M946" s="61"/>
      <c r="N946" s="61"/>
    </row>
    <row r="947" spans="11:14" ht="15.75" customHeight="1">
      <c r="K947" s="61"/>
      <c r="L947" s="61"/>
      <c r="M947" s="61"/>
      <c r="N947" s="61"/>
    </row>
    <row r="948" spans="11:14" ht="15.75" customHeight="1">
      <c r="K948" s="61"/>
      <c r="L948" s="61"/>
      <c r="M948" s="61"/>
      <c r="N948" s="61"/>
    </row>
    <row r="949" spans="11:14" ht="15.75" customHeight="1">
      <c r="K949" s="61"/>
      <c r="L949" s="61"/>
      <c r="M949" s="61"/>
      <c r="N949" s="61"/>
    </row>
    <row r="950" spans="11:14" ht="15.75" customHeight="1">
      <c r="K950" s="61"/>
      <c r="L950" s="61"/>
      <c r="M950" s="61"/>
      <c r="N950" s="61"/>
    </row>
    <row r="951" spans="11:14" ht="15.75" customHeight="1">
      <c r="K951" s="61"/>
      <c r="L951" s="61"/>
      <c r="M951" s="61"/>
      <c r="N951" s="61"/>
    </row>
    <row r="952" spans="11:14" ht="15.75" customHeight="1">
      <c r="K952" s="61"/>
      <c r="L952" s="61"/>
      <c r="M952" s="61"/>
      <c r="N952" s="61"/>
    </row>
    <row r="953" spans="11:14" ht="15.75" customHeight="1">
      <c r="K953" s="61"/>
      <c r="L953" s="61"/>
      <c r="M953" s="61"/>
      <c r="N953" s="61"/>
    </row>
    <row r="954" spans="11:14" ht="15.75" customHeight="1">
      <c r="K954" s="61"/>
      <c r="L954" s="61"/>
      <c r="M954" s="61"/>
      <c r="N954" s="61"/>
    </row>
    <row r="955" spans="11:14" ht="15.75" customHeight="1">
      <c r="K955" s="61"/>
      <c r="L955" s="61"/>
      <c r="M955" s="61"/>
      <c r="N955" s="61"/>
    </row>
    <row r="956" spans="11:14" ht="15.75" customHeight="1">
      <c r="K956" s="61"/>
      <c r="L956" s="61"/>
      <c r="M956" s="61"/>
      <c r="N956" s="61"/>
    </row>
    <row r="957" spans="11:14" ht="15.75" customHeight="1">
      <c r="K957" s="61"/>
      <c r="L957" s="61"/>
      <c r="M957" s="61"/>
      <c r="N957" s="61"/>
    </row>
    <row r="958" spans="11:14" ht="15.75" customHeight="1">
      <c r="K958" s="61"/>
      <c r="L958" s="61"/>
      <c r="M958" s="61"/>
      <c r="N958" s="61"/>
    </row>
    <row r="959" spans="11:14" ht="15.75" customHeight="1">
      <c r="K959" s="61"/>
      <c r="L959" s="61"/>
      <c r="M959" s="61"/>
      <c r="N959" s="61"/>
    </row>
    <row r="960" spans="11:14" ht="15.75" customHeight="1">
      <c r="K960" s="61"/>
      <c r="L960" s="61"/>
      <c r="M960" s="61"/>
      <c r="N960" s="61"/>
    </row>
    <row r="961" spans="11:14" ht="15.75" customHeight="1">
      <c r="K961" s="61"/>
      <c r="L961" s="61"/>
      <c r="M961" s="61"/>
      <c r="N961" s="61"/>
    </row>
    <row r="962" spans="11:14" ht="15.75" customHeight="1">
      <c r="K962" s="61"/>
      <c r="L962" s="61"/>
      <c r="M962" s="61"/>
      <c r="N962" s="61"/>
    </row>
    <row r="963" spans="11:14" ht="15.75" customHeight="1">
      <c r="K963" s="61"/>
      <c r="L963" s="61"/>
      <c r="M963" s="61"/>
      <c r="N963" s="61"/>
    </row>
    <row r="964" spans="11:14" ht="15.75" customHeight="1">
      <c r="K964" s="61"/>
      <c r="L964" s="61"/>
      <c r="M964" s="61"/>
      <c r="N964" s="61"/>
    </row>
    <row r="965" spans="11:14" ht="15.75" customHeight="1">
      <c r="K965" s="61"/>
      <c r="L965" s="61"/>
      <c r="M965" s="61"/>
      <c r="N965" s="61"/>
    </row>
    <row r="966" spans="11:14" ht="15.75" customHeight="1">
      <c r="K966" s="61"/>
      <c r="L966" s="61"/>
      <c r="M966" s="61"/>
      <c r="N966" s="61"/>
    </row>
    <row r="967" spans="11:14" ht="15.75" customHeight="1">
      <c r="K967" s="61"/>
      <c r="L967" s="61"/>
      <c r="M967" s="61"/>
      <c r="N967" s="61"/>
    </row>
    <row r="968" spans="11:14" ht="15.75" customHeight="1">
      <c r="K968" s="61"/>
      <c r="L968" s="61"/>
      <c r="M968" s="61"/>
      <c r="N968" s="61"/>
    </row>
    <row r="969" spans="11:14" ht="15.75" customHeight="1">
      <c r="K969" s="61"/>
      <c r="L969" s="61"/>
      <c r="M969" s="61"/>
      <c r="N969" s="61"/>
    </row>
    <row r="970" spans="11:14" ht="15.75" customHeight="1">
      <c r="K970" s="61"/>
      <c r="L970" s="61"/>
      <c r="M970" s="61"/>
      <c r="N970" s="61"/>
    </row>
    <row r="971" spans="11:14" ht="15.75" customHeight="1">
      <c r="K971" s="61"/>
      <c r="L971" s="61"/>
      <c r="M971" s="61"/>
      <c r="N971" s="61"/>
    </row>
    <row r="972" spans="11:14" ht="15.75" customHeight="1">
      <c r="K972" s="61"/>
      <c r="L972" s="61"/>
      <c r="M972" s="61"/>
      <c r="N972" s="61"/>
    </row>
    <row r="973" spans="11:14" ht="15.75" customHeight="1">
      <c r="K973" s="61"/>
      <c r="L973" s="61"/>
      <c r="M973" s="61"/>
      <c r="N973" s="61"/>
    </row>
    <row r="974" spans="11:14" ht="15.75" customHeight="1">
      <c r="K974" s="61"/>
      <c r="L974" s="61"/>
      <c r="M974" s="61"/>
      <c r="N974" s="61"/>
    </row>
    <row r="975" spans="11:14" ht="15.75" customHeight="1">
      <c r="K975" s="61"/>
      <c r="L975" s="61"/>
      <c r="M975" s="61"/>
      <c r="N975" s="61"/>
    </row>
    <row r="976" spans="11:14" ht="15.75" customHeight="1">
      <c r="K976" s="61"/>
      <c r="L976" s="61"/>
      <c r="M976" s="61"/>
      <c r="N976" s="61"/>
    </row>
    <row r="977" spans="11:14" ht="15.75" customHeight="1">
      <c r="K977" s="61"/>
      <c r="L977" s="61"/>
      <c r="M977" s="61"/>
      <c r="N977" s="61"/>
    </row>
    <row r="978" spans="11:14" ht="15.75" customHeight="1">
      <c r="K978" s="61"/>
      <c r="L978" s="61"/>
      <c r="M978" s="61"/>
      <c r="N978" s="61"/>
    </row>
    <row r="979" spans="11:14" ht="15.75" customHeight="1">
      <c r="K979" s="61"/>
      <c r="L979" s="61"/>
      <c r="M979" s="61"/>
      <c r="N979" s="61"/>
    </row>
    <row r="980" spans="11:14" ht="15.75" customHeight="1">
      <c r="K980" s="61"/>
      <c r="L980" s="61"/>
      <c r="M980" s="61"/>
      <c r="N980" s="61"/>
    </row>
    <row r="981" spans="11:14" ht="15.75" customHeight="1">
      <c r="K981" s="61"/>
      <c r="L981" s="61"/>
      <c r="M981" s="61"/>
      <c r="N981" s="61"/>
    </row>
    <row r="982" spans="11:14" ht="15.75" customHeight="1">
      <c r="K982" s="61"/>
      <c r="L982" s="61"/>
      <c r="M982" s="61"/>
      <c r="N982" s="61"/>
    </row>
    <row r="983" spans="11:14" ht="15.75" customHeight="1">
      <c r="K983" s="61"/>
      <c r="L983" s="61"/>
      <c r="M983" s="61"/>
      <c r="N983" s="61"/>
    </row>
    <row r="984" spans="11:14" ht="15.75" customHeight="1">
      <c r="K984" s="61"/>
      <c r="L984" s="61"/>
      <c r="M984" s="61"/>
      <c r="N984" s="61"/>
    </row>
    <row r="985" spans="11:14" ht="15.75" customHeight="1">
      <c r="K985" s="61"/>
      <c r="L985" s="61"/>
      <c r="M985" s="61"/>
      <c r="N985" s="61"/>
    </row>
    <row r="986" spans="11:14" ht="15.75" customHeight="1">
      <c r="K986" s="61"/>
      <c r="L986" s="61"/>
      <c r="M986" s="61"/>
      <c r="N986" s="61"/>
    </row>
    <row r="987" spans="11:14" ht="15.75" customHeight="1">
      <c r="K987" s="61"/>
      <c r="L987" s="61"/>
      <c r="M987" s="61"/>
      <c r="N987" s="61"/>
    </row>
    <row r="988" spans="11:14" ht="15.75" customHeight="1">
      <c r="K988" s="61"/>
      <c r="L988" s="61"/>
      <c r="M988" s="61"/>
      <c r="N988" s="61"/>
    </row>
    <row r="989" spans="11:14" ht="15.75" customHeight="1">
      <c r="K989" s="61"/>
      <c r="L989" s="61"/>
      <c r="M989" s="61"/>
      <c r="N989" s="61"/>
    </row>
    <row r="990" spans="11:14" ht="15.75" customHeight="1">
      <c r="K990" s="61"/>
      <c r="L990" s="61"/>
      <c r="M990" s="61"/>
      <c r="N990" s="61"/>
    </row>
    <row r="991" spans="11:14" ht="15.75" customHeight="1">
      <c r="K991" s="61"/>
      <c r="L991" s="61"/>
      <c r="M991" s="61"/>
      <c r="N991" s="61"/>
    </row>
    <row r="992" spans="11:14" ht="15.75" customHeight="1">
      <c r="K992" s="61"/>
      <c r="L992" s="61"/>
      <c r="M992" s="61"/>
      <c r="N992" s="61"/>
    </row>
    <row r="993" spans="11:14" ht="15.75" customHeight="1">
      <c r="K993" s="61"/>
      <c r="L993" s="61"/>
      <c r="M993" s="61"/>
      <c r="N993" s="61"/>
    </row>
    <row r="994" spans="11:14" ht="15.75" customHeight="1">
      <c r="K994" s="61"/>
      <c r="L994" s="61"/>
      <c r="M994" s="61"/>
      <c r="N994" s="61"/>
    </row>
    <row r="995" spans="11:14" ht="15.75" customHeight="1">
      <c r="K995" s="61"/>
      <c r="L995" s="61"/>
      <c r="M995" s="61"/>
      <c r="N995" s="61"/>
    </row>
    <row r="996" spans="11:14" ht="15.75" customHeight="1">
      <c r="K996" s="61"/>
      <c r="L996" s="61"/>
      <c r="M996" s="61"/>
      <c r="N996" s="61"/>
    </row>
    <row r="997" spans="11:14" ht="15.75" customHeight="1">
      <c r="K997" s="61"/>
      <c r="L997" s="61"/>
      <c r="M997" s="61"/>
      <c r="N997" s="61"/>
    </row>
    <row r="998" spans="11:14" ht="15.75" customHeight="1">
      <c r="K998" s="61"/>
      <c r="L998" s="61"/>
      <c r="M998" s="61"/>
      <c r="N998" s="61"/>
    </row>
    <row r="999" spans="11:14" ht="15.75" customHeight="1">
      <c r="K999" s="61"/>
      <c r="L999" s="61"/>
      <c r="M999" s="61"/>
      <c r="N999" s="61"/>
    </row>
    <row r="1000" spans="11:14" ht="15.75" customHeight="1">
      <c r="K1000" s="61"/>
      <c r="L1000" s="61"/>
      <c r="M1000" s="61"/>
      <c r="N1000" s="61"/>
    </row>
    <row r="1001" spans="11:14" ht="15.75" customHeight="1">
      <c r="K1001" s="61"/>
      <c r="L1001" s="61"/>
      <c r="M1001" s="61"/>
      <c r="N1001" s="61"/>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DO1026"/>
  <sheetViews>
    <sheetView workbookViewId="0">
      <selection activeCell="B31" sqref="B31"/>
    </sheetView>
  </sheetViews>
  <sheetFormatPr defaultColWidth="14.44140625" defaultRowHeight="15" customHeight="1"/>
  <cols>
    <col min="1" max="1" width="27.6640625" customWidth="1"/>
    <col min="2" max="2" width="29.44140625" customWidth="1"/>
    <col min="3" max="3" width="87.44140625" customWidth="1"/>
    <col min="4" max="4" width="25.6640625" customWidth="1"/>
    <col min="5" max="5" width="7.88671875" customWidth="1"/>
    <col min="6" max="6" width="59.33203125" customWidth="1"/>
    <col min="7" max="7" width="43.33203125" customWidth="1"/>
    <col min="8" max="8" width="7" customWidth="1"/>
    <col min="9" max="37" width="7.6640625" customWidth="1"/>
    <col min="38" max="57" width="8.109375" customWidth="1"/>
    <col min="58" max="63" width="6.6640625" customWidth="1"/>
    <col min="88" max="88" width="15.44140625" customWidth="1"/>
    <col min="89" max="89" width="19.33203125" customWidth="1"/>
    <col min="90" max="90" width="15.33203125" customWidth="1"/>
    <col min="91" max="91" width="13.88671875" customWidth="1"/>
    <col min="92" max="92" width="14.88671875" customWidth="1"/>
  </cols>
  <sheetData>
    <row r="1" spans="1:119" ht="14.25" customHeight="1">
      <c r="A1" s="14" t="s">
        <v>25</v>
      </c>
      <c r="B1" s="15" t="s">
        <v>26</v>
      </c>
      <c r="C1" s="15" t="s">
        <v>27</v>
      </c>
      <c r="D1" s="15" t="s">
        <v>28</v>
      </c>
      <c r="E1" s="15" t="s">
        <v>29</v>
      </c>
      <c r="F1" s="15" t="s">
        <v>30</v>
      </c>
      <c r="G1" s="15" t="s">
        <v>31</v>
      </c>
      <c r="H1" s="16">
        <v>2021</v>
      </c>
      <c r="I1" s="15">
        <v>2022</v>
      </c>
      <c r="J1" s="15">
        <v>2023</v>
      </c>
      <c r="K1" s="15">
        <v>2024</v>
      </c>
      <c r="L1" s="15">
        <v>2025</v>
      </c>
      <c r="M1" s="15">
        <v>2026</v>
      </c>
      <c r="N1" s="15">
        <v>2027</v>
      </c>
      <c r="O1" s="15">
        <v>2028</v>
      </c>
      <c r="P1" s="15">
        <v>2029</v>
      </c>
      <c r="Q1" s="15">
        <v>2030</v>
      </c>
      <c r="R1" s="15">
        <v>2031</v>
      </c>
      <c r="S1" s="15">
        <v>2032</v>
      </c>
      <c r="T1" s="15">
        <v>2033</v>
      </c>
      <c r="U1" s="15">
        <v>2034</v>
      </c>
      <c r="V1" s="15">
        <v>2035</v>
      </c>
      <c r="W1" s="15">
        <v>2036</v>
      </c>
      <c r="X1" s="15">
        <v>2037</v>
      </c>
      <c r="Y1" s="15">
        <v>2038</v>
      </c>
      <c r="Z1" s="15">
        <v>2039</v>
      </c>
      <c r="AA1" s="15">
        <v>2040</v>
      </c>
      <c r="AB1" s="15">
        <v>2041</v>
      </c>
      <c r="AC1" s="15">
        <v>2042</v>
      </c>
      <c r="AD1" s="15">
        <v>2043</v>
      </c>
      <c r="AE1" s="15">
        <v>2044</v>
      </c>
      <c r="AF1" s="15">
        <v>2045</v>
      </c>
      <c r="AG1" s="15">
        <v>2046</v>
      </c>
      <c r="AH1" s="15">
        <v>2047</v>
      </c>
      <c r="AI1" s="15">
        <v>2048</v>
      </c>
      <c r="AJ1" s="15">
        <v>2049</v>
      </c>
      <c r="AK1" s="15">
        <v>2050</v>
      </c>
      <c r="AL1" s="15">
        <v>2051</v>
      </c>
      <c r="AM1" s="15">
        <v>2052</v>
      </c>
      <c r="AN1" s="15">
        <v>2053</v>
      </c>
      <c r="AO1" s="15">
        <v>2054</v>
      </c>
      <c r="AP1" s="15">
        <v>2055</v>
      </c>
      <c r="AQ1" s="15">
        <v>2056</v>
      </c>
      <c r="AR1" s="15">
        <v>2057</v>
      </c>
      <c r="AS1" s="15">
        <v>2058</v>
      </c>
      <c r="AT1" s="15">
        <v>2059</v>
      </c>
      <c r="AU1" s="15">
        <v>2060</v>
      </c>
      <c r="AV1" s="15">
        <v>2061</v>
      </c>
      <c r="AW1" s="15">
        <v>2062</v>
      </c>
      <c r="AX1" s="15">
        <v>2063</v>
      </c>
      <c r="AY1" s="15">
        <v>2064</v>
      </c>
      <c r="AZ1" s="15">
        <v>2065</v>
      </c>
      <c r="BA1" s="15">
        <v>2066</v>
      </c>
      <c r="BB1" s="15">
        <v>2067</v>
      </c>
      <c r="BC1" s="15">
        <v>2068</v>
      </c>
      <c r="BD1" s="15">
        <v>2069</v>
      </c>
      <c r="BE1" s="15">
        <v>2070</v>
      </c>
      <c r="BF1" s="14"/>
      <c r="BG1" s="14"/>
      <c r="BH1" s="14"/>
      <c r="BI1" s="14"/>
      <c r="BJ1" s="14"/>
      <c r="BK1" s="14"/>
      <c r="BL1" s="17" t="s">
        <v>32</v>
      </c>
      <c r="BM1" s="1"/>
      <c r="BN1" s="1"/>
      <c r="BO1" s="1"/>
      <c r="BP1" s="1"/>
      <c r="BQ1" s="1"/>
      <c r="BR1" s="1"/>
      <c r="BS1" s="1"/>
      <c r="BT1" s="1"/>
      <c r="BU1" s="1"/>
      <c r="BV1" s="1"/>
      <c r="BW1" s="1"/>
      <c r="BX1" s="1"/>
      <c r="BY1" s="1"/>
      <c r="BZ1" s="1"/>
      <c r="CA1" s="1"/>
      <c r="CB1" s="1"/>
      <c r="CC1" s="1"/>
      <c r="CD1" s="1"/>
      <c r="CE1" s="1"/>
      <c r="CF1" s="1"/>
      <c r="CG1" s="1" t="s">
        <v>33</v>
      </c>
      <c r="CH1" s="18">
        <v>2021</v>
      </c>
      <c r="CI1" s="18">
        <v>2022</v>
      </c>
      <c r="CJ1" s="18">
        <v>2023</v>
      </c>
      <c r="CK1" s="18">
        <v>2024</v>
      </c>
      <c r="CL1" s="18">
        <v>2025</v>
      </c>
      <c r="CM1" s="18">
        <v>2026</v>
      </c>
      <c r="CN1" s="18">
        <v>2027</v>
      </c>
      <c r="CO1" s="18">
        <v>2028</v>
      </c>
      <c r="CP1" s="18">
        <v>2029</v>
      </c>
      <c r="CQ1" s="18">
        <v>2030</v>
      </c>
      <c r="CR1" s="18">
        <v>2031</v>
      </c>
      <c r="CS1" s="18">
        <v>2032</v>
      </c>
      <c r="CT1" s="18">
        <v>2033</v>
      </c>
      <c r="CU1" s="18">
        <v>2034</v>
      </c>
      <c r="CV1" s="18">
        <v>2035</v>
      </c>
      <c r="CW1" s="18">
        <v>2036</v>
      </c>
      <c r="CX1" s="18">
        <v>2037</v>
      </c>
      <c r="CY1" s="1"/>
      <c r="CZ1" s="1"/>
      <c r="DA1" s="1"/>
      <c r="DB1" s="1"/>
      <c r="DC1" s="1"/>
      <c r="DD1" s="1"/>
      <c r="DE1" s="1"/>
      <c r="DF1" s="1"/>
      <c r="DG1" s="1"/>
      <c r="DH1" s="1"/>
      <c r="DI1" s="1"/>
      <c r="DJ1" s="1"/>
      <c r="DK1" s="1"/>
      <c r="DL1" s="1"/>
      <c r="DM1" s="1"/>
      <c r="DN1" s="1"/>
      <c r="DO1" s="1"/>
    </row>
    <row r="2" spans="1:119" ht="14.25" customHeight="1">
      <c r="A2" s="14" t="s">
        <v>34</v>
      </c>
      <c r="B2" s="19" t="s">
        <v>35</v>
      </c>
      <c r="C2" s="20" t="s">
        <v>36</v>
      </c>
      <c r="D2" s="1" t="s">
        <v>37</v>
      </c>
      <c r="E2" s="14"/>
      <c r="F2" s="19" t="s">
        <v>38</v>
      </c>
      <c r="G2" s="1"/>
      <c r="H2" s="21">
        <f t="shared" ref="H2:BE2" si="0">CH6</f>
        <v>12.742240085572519</v>
      </c>
      <c r="I2" s="22">
        <f t="shared" si="0"/>
        <v>14.157591022596934</v>
      </c>
      <c r="J2" s="22">
        <f t="shared" si="0"/>
        <v>14.950125713872016</v>
      </c>
      <c r="K2" s="22">
        <f t="shared" si="0"/>
        <v>15.147873053568381</v>
      </c>
      <c r="L2" s="22">
        <f t="shared" si="0"/>
        <v>14.88522927102867</v>
      </c>
      <c r="M2" s="22">
        <f t="shared" si="0"/>
        <v>14.344023045788783</v>
      </c>
      <c r="N2" s="22">
        <f t="shared" si="0"/>
        <v>13.654085340672053</v>
      </c>
      <c r="O2" s="22">
        <f t="shared" si="0"/>
        <v>12.884761874337089</v>
      </c>
      <c r="P2" s="22">
        <f t="shared" si="0"/>
        <v>11.541028500268261</v>
      </c>
      <c r="Q2" s="22">
        <f t="shared" si="0"/>
        <v>9.5856079801897671</v>
      </c>
      <c r="R2" s="22">
        <f t="shared" si="0"/>
        <v>8.0071089394876847</v>
      </c>
      <c r="S2" s="22">
        <f t="shared" si="0"/>
        <v>6.719732065186788</v>
      </c>
      <c r="T2" s="22">
        <f t="shared" si="0"/>
        <v>5.1784067076152933</v>
      </c>
      <c r="U2" s="22">
        <f t="shared" si="0"/>
        <v>3.7271174442818462</v>
      </c>
      <c r="V2" s="22">
        <f t="shared" si="0"/>
        <v>1.1728041010598491</v>
      </c>
      <c r="W2" s="23">
        <f t="shared" si="0"/>
        <v>1.8191100570555248E-16</v>
      </c>
      <c r="X2" s="23">
        <f t="shared" si="0"/>
        <v>2.0196185546377905E-32</v>
      </c>
      <c r="Y2" s="23">
        <f t="shared" si="0"/>
        <v>0</v>
      </c>
      <c r="Z2" s="23">
        <f t="shared" si="0"/>
        <v>0</v>
      </c>
      <c r="AA2" s="23">
        <f t="shared" si="0"/>
        <v>0</v>
      </c>
      <c r="AB2" s="23">
        <f t="shared" si="0"/>
        <v>0</v>
      </c>
      <c r="AC2" s="23">
        <f t="shared" si="0"/>
        <v>0</v>
      </c>
      <c r="AD2" s="23">
        <f t="shared" si="0"/>
        <v>0</v>
      </c>
      <c r="AE2" s="23">
        <f t="shared" si="0"/>
        <v>0</v>
      </c>
      <c r="AF2" s="23">
        <f t="shared" si="0"/>
        <v>0</v>
      </c>
      <c r="AG2" s="23">
        <f t="shared" si="0"/>
        <v>0</v>
      </c>
      <c r="AH2" s="23">
        <f t="shared" si="0"/>
        <v>0</v>
      </c>
      <c r="AI2" s="23">
        <f t="shared" si="0"/>
        <v>0</v>
      </c>
      <c r="AJ2" s="23">
        <f t="shared" si="0"/>
        <v>0</v>
      </c>
      <c r="AK2" s="23">
        <f t="shared" si="0"/>
        <v>0</v>
      </c>
      <c r="AL2" s="23">
        <f t="shared" si="0"/>
        <v>0</v>
      </c>
      <c r="AM2" s="23">
        <f t="shared" si="0"/>
        <v>0</v>
      </c>
      <c r="AN2" s="23">
        <f t="shared" si="0"/>
        <v>0</v>
      </c>
      <c r="AO2" s="23">
        <f t="shared" si="0"/>
        <v>0</v>
      </c>
      <c r="AP2" s="23">
        <f t="shared" si="0"/>
        <v>0</v>
      </c>
      <c r="AQ2" s="23">
        <f t="shared" si="0"/>
        <v>0</v>
      </c>
      <c r="AR2" s="23">
        <f t="shared" si="0"/>
        <v>0</v>
      </c>
      <c r="AS2" s="23">
        <f t="shared" si="0"/>
        <v>0</v>
      </c>
      <c r="AT2" s="23">
        <f t="shared" si="0"/>
        <v>0</v>
      </c>
      <c r="AU2" s="23">
        <f t="shared" si="0"/>
        <v>0</v>
      </c>
      <c r="AV2" s="23">
        <f t="shared" si="0"/>
        <v>0</v>
      </c>
      <c r="AW2" s="23">
        <f t="shared" si="0"/>
        <v>0</v>
      </c>
      <c r="AX2" s="23">
        <f t="shared" si="0"/>
        <v>0</v>
      </c>
      <c r="AY2" s="23">
        <f t="shared" si="0"/>
        <v>0</v>
      </c>
      <c r="AZ2" s="23">
        <f t="shared" si="0"/>
        <v>0</v>
      </c>
      <c r="BA2" s="23">
        <f t="shared" si="0"/>
        <v>0</v>
      </c>
      <c r="BB2" s="23">
        <f t="shared" si="0"/>
        <v>0</v>
      </c>
      <c r="BC2" s="23">
        <f t="shared" si="0"/>
        <v>0</v>
      </c>
      <c r="BD2" s="23">
        <f t="shared" si="0"/>
        <v>0</v>
      </c>
      <c r="BE2" s="23">
        <f t="shared" si="0"/>
        <v>0</v>
      </c>
      <c r="BF2" s="22"/>
      <c r="BG2" s="22"/>
      <c r="BH2" s="22"/>
      <c r="BI2" s="22"/>
      <c r="BJ2" s="22"/>
      <c r="BK2" s="22"/>
      <c r="BL2" s="1" t="s">
        <v>39</v>
      </c>
      <c r="BM2" s="1"/>
      <c r="BN2" s="1"/>
      <c r="BO2" s="1"/>
      <c r="BP2" s="1"/>
      <c r="BQ2" s="1"/>
      <c r="BR2" s="1"/>
      <c r="BS2" s="1"/>
      <c r="BT2" s="1"/>
      <c r="BU2" s="1"/>
      <c r="BV2" s="1"/>
      <c r="BW2" s="1"/>
      <c r="BX2" s="1"/>
      <c r="BY2" s="1"/>
      <c r="BZ2" s="1"/>
      <c r="CA2" s="1"/>
      <c r="CB2" s="1"/>
      <c r="CC2" s="1"/>
      <c r="CD2" s="1"/>
      <c r="CE2" s="1"/>
      <c r="CF2" s="1"/>
      <c r="CG2" s="1" t="s">
        <v>40</v>
      </c>
      <c r="CH2" s="24">
        <v>1</v>
      </c>
      <c r="CI2" s="25">
        <f>'Petróleo Espinoza'!X9/'Petróleo Espinoza'!W9</f>
        <v>0.92860045749584885</v>
      </c>
      <c r="CJ2" s="25">
        <f>'Petróleo Espinoza'!Y9/'Petróleo Espinoza'!X9</f>
        <v>0.90701745610963846</v>
      </c>
      <c r="CK2" s="25">
        <f>'Petróleo Espinoza'!Z9/'Petróleo Espinoza'!Y9</f>
        <v>0.88796597551560597</v>
      </c>
      <c r="CL2" s="25">
        <f>'Petróleo Espinoza'!AA9/'Petróleo Espinoza'!Z9</f>
        <v>0.87454490409023522</v>
      </c>
      <c r="CM2" s="25">
        <f>'Petróleo Espinoza'!AB9/'Petróleo Espinoza'!AA9</f>
        <v>0.86812654227840014</v>
      </c>
      <c r="CN2" s="25">
        <f>'Petróleo Espinoza'!AC9/'Petróleo Espinoza'!AB9</f>
        <v>0.86605815458674418</v>
      </c>
      <c r="CO2" s="25">
        <f>'Petróleo Espinoza'!AD9/'Petróleo Espinoza'!AC9</f>
        <v>0.86559655827450921</v>
      </c>
      <c r="CP2" s="25">
        <f>'Petróleo Espinoza'!AE9/'Petróleo Espinoza'!AD9</f>
        <v>0.82727861697411953</v>
      </c>
      <c r="CQ2" s="25">
        <f>'Petróleo Espinoza'!AF9/'Petróleo Espinoza'!AE9</f>
        <v>0.77161605170310277</v>
      </c>
      <c r="CR2" s="25">
        <f>'Petróleo Espinoza'!AG9/'Petróleo Espinoza'!AF9</f>
        <v>0.83532614269597616</v>
      </c>
      <c r="CS2" s="25">
        <f>'Petróleo Espinoza'!AH9/'Petróleo Espinoza'!AG9</f>
        <v>0.83922076194666262</v>
      </c>
      <c r="CT2" s="25">
        <f>'Petróleo Espinoza'!AI9/'Petróleo Espinoza'!AH9</f>
        <v>0.77062696211405413</v>
      </c>
      <c r="CU2" s="25">
        <f>'Petróleo Espinoza'!AJ9/'Petróleo Espinoza'!AI9</f>
        <v>0.71974212431032103</v>
      </c>
      <c r="CV2" s="25">
        <f>'Petróleo Espinoza'!AK9/'Petróleo Espinoza'!AJ9</f>
        <v>0.314667868290324</v>
      </c>
      <c r="CW2" s="25">
        <f>'Petróleo Espinoza'!AL9/'Petróleo Espinoza'!AK9</f>
        <v>1.5510775034053997E-16</v>
      </c>
      <c r="CX2" s="25">
        <f>'Petróleo Espinoza'!AM9/'Petróleo Espinoza'!AL9</f>
        <v>1.1102234011650817E-16</v>
      </c>
      <c r="CY2" s="1"/>
      <c r="CZ2" s="1"/>
      <c r="DA2" s="1"/>
      <c r="DB2" s="1"/>
      <c r="DC2" s="1"/>
      <c r="DD2" s="1"/>
      <c r="DE2" s="1"/>
      <c r="DF2" s="1"/>
      <c r="DG2" s="1"/>
      <c r="DH2" s="1"/>
      <c r="DI2" s="1"/>
      <c r="DJ2" s="1"/>
      <c r="DK2" s="1"/>
      <c r="DL2" s="1"/>
      <c r="DM2" s="1"/>
      <c r="DN2" s="1"/>
      <c r="DO2" s="1"/>
    </row>
    <row r="3" spans="1:119" ht="14.25" customHeight="1">
      <c r="A3" s="14"/>
      <c r="B3" s="19" t="s">
        <v>41</v>
      </c>
      <c r="C3" s="26" t="s">
        <v>42</v>
      </c>
      <c r="D3" s="27" t="s">
        <v>43</v>
      </c>
      <c r="E3" s="14"/>
      <c r="F3" s="28" t="s">
        <v>12</v>
      </c>
      <c r="G3" s="1"/>
      <c r="H3" s="29" t="s">
        <v>44</v>
      </c>
      <c r="I3" s="30">
        <v>0</v>
      </c>
      <c r="J3" s="30">
        <v>0.28000000000000003</v>
      </c>
      <c r="K3" s="30">
        <v>0.55000000000000004</v>
      </c>
      <c r="L3" s="30">
        <v>1.0900000000000001</v>
      </c>
      <c r="M3" s="30">
        <v>1.08</v>
      </c>
      <c r="N3" s="30">
        <v>1.08</v>
      </c>
      <c r="O3" s="30">
        <v>1.08</v>
      </c>
      <c r="P3" s="30">
        <v>1.03</v>
      </c>
      <c r="Q3" s="30">
        <v>0.96</v>
      </c>
      <c r="R3" s="30">
        <v>1.04</v>
      </c>
      <c r="S3" s="30">
        <v>1.04</v>
      </c>
      <c r="T3" s="30">
        <v>0.96</v>
      </c>
      <c r="U3" s="30">
        <v>0.89</v>
      </c>
      <c r="V3" s="30">
        <v>0.39</v>
      </c>
      <c r="W3" s="30">
        <v>0</v>
      </c>
      <c r="X3" s="30">
        <v>0</v>
      </c>
      <c r="Y3" s="30">
        <v>0</v>
      </c>
      <c r="Z3" s="30">
        <v>0</v>
      </c>
      <c r="AA3" s="30">
        <v>0</v>
      </c>
      <c r="AB3" s="30">
        <v>0</v>
      </c>
      <c r="AC3" s="30">
        <v>0</v>
      </c>
      <c r="AD3" s="30">
        <v>0</v>
      </c>
      <c r="AE3" s="30">
        <v>0</v>
      </c>
      <c r="AF3" s="30">
        <v>0</v>
      </c>
      <c r="AG3" s="30">
        <v>0</v>
      </c>
      <c r="AH3" s="30">
        <v>0</v>
      </c>
      <c r="AI3" s="30">
        <v>0</v>
      </c>
      <c r="AJ3" s="30">
        <v>0</v>
      </c>
      <c r="AK3" s="30">
        <v>0</v>
      </c>
      <c r="AL3" s="30">
        <v>0</v>
      </c>
      <c r="AM3" s="30">
        <v>0</v>
      </c>
      <c r="AN3" s="30">
        <v>0</v>
      </c>
      <c r="AO3" s="30">
        <v>0</v>
      </c>
      <c r="AP3" s="30">
        <v>0</v>
      </c>
      <c r="AQ3" s="30">
        <v>0</v>
      </c>
      <c r="AR3" s="30">
        <v>0</v>
      </c>
      <c r="AS3" s="30">
        <v>0</v>
      </c>
      <c r="AT3" s="30">
        <v>0</v>
      </c>
      <c r="AU3" s="30">
        <v>0</v>
      </c>
      <c r="AV3" s="30">
        <v>0</v>
      </c>
      <c r="AW3" s="30">
        <v>0</v>
      </c>
      <c r="AX3" s="30">
        <v>0</v>
      </c>
      <c r="AY3" s="30">
        <v>0</v>
      </c>
      <c r="AZ3" s="30">
        <v>0</v>
      </c>
      <c r="BA3" s="30">
        <v>0</v>
      </c>
      <c r="BB3" s="30">
        <v>0</v>
      </c>
      <c r="BC3" s="30">
        <v>0</v>
      </c>
      <c r="BD3" s="30">
        <v>0</v>
      </c>
      <c r="BE3" s="30">
        <v>0</v>
      </c>
      <c r="BF3" s="14"/>
      <c r="BG3" s="14"/>
      <c r="BH3" s="14"/>
      <c r="BI3" s="14"/>
      <c r="BJ3" s="14"/>
      <c r="BK3" s="14"/>
      <c r="BL3" s="1"/>
      <c r="BM3" s="1"/>
      <c r="BN3" s="1"/>
      <c r="BO3" s="1"/>
      <c r="BP3" s="1"/>
      <c r="BQ3" s="1"/>
      <c r="BR3" s="1"/>
      <c r="BS3" s="1"/>
      <c r="BT3" s="1"/>
      <c r="BU3" s="1"/>
      <c r="BV3" s="1"/>
      <c r="BW3" s="1"/>
      <c r="BX3" s="1"/>
      <c r="BY3" s="1"/>
      <c r="BZ3" s="1"/>
      <c r="CA3" s="1"/>
      <c r="CB3" s="1"/>
      <c r="CC3" s="1"/>
      <c r="CD3" s="1"/>
      <c r="CE3" s="1"/>
      <c r="CF3" s="1"/>
      <c r="CG3" s="1" t="s">
        <v>45</v>
      </c>
      <c r="CH3" s="25">
        <f>'Net Zero 2050'!BO38/'Net Zero 2050'!BN38</f>
        <v>0.35397601551615809</v>
      </c>
      <c r="CI3" s="25">
        <f t="shared" ref="CI3:CP3" si="1">CH3+($CQ$3-$CH$3)/($CQ$1-$CH$1)</f>
        <v>0.42353423601436274</v>
      </c>
      <c r="CJ3" s="25">
        <f t="shared" si="1"/>
        <v>0.49309245651256739</v>
      </c>
      <c r="CK3" s="25">
        <f t="shared" si="1"/>
        <v>0.56265067701077198</v>
      </c>
      <c r="CL3" s="25">
        <f t="shared" si="1"/>
        <v>0.63220889750897657</v>
      </c>
      <c r="CM3" s="25">
        <f t="shared" si="1"/>
        <v>0.70176711800718117</v>
      </c>
      <c r="CN3" s="25">
        <f t="shared" si="1"/>
        <v>0.77132533850538576</v>
      </c>
      <c r="CO3" s="25">
        <f t="shared" si="1"/>
        <v>0.84088355900359035</v>
      </c>
      <c r="CP3" s="25">
        <f t="shared" si="1"/>
        <v>0.91044177950179495</v>
      </c>
      <c r="CQ3" s="25">
        <v>0.98</v>
      </c>
      <c r="CR3" s="25">
        <v>0.98</v>
      </c>
      <c r="CS3" s="25">
        <v>0.98</v>
      </c>
      <c r="CT3" s="25">
        <v>0.98</v>
      </c>
      <c r="CU3" s="25">
        <v>0.98</v>
      </c>
      <c r="CV3" s="25">
        <v>0.98</v>
      </c>
      <c r="CW3" s="25">
        <v>0.98</v>
      </c>
      <c r="CX3" s="25">
        <v>0.98</v>
      </c>
      <c r="CY3" s="1"/>
      <c r="CZ3" s="1"/>
      <c r="DA3" s="1"/>
      <c r="DB3" s="1"/>
      <c r="DC3" s="1"/>
      <c r="DD3" s="1"/>
      <c r="DE3" s="1"/>
      <c r="DF3" s="1"/>
      <c r="DG3" s="1"/>
      <c r="DH3" s="1"/>
      <c r="DI3" s="1"/>
      <c r="DJ3" s="1"/>
      <c r="DK3" s="1"/>
      <c r="DL3" s="1"/>
      <c r="DM3" s="1"/>
      <c r="DN3" s="1"/>
      <c r="DO3" s="1"/>
    </row>
    <row r="4" spans="1:119" ht="14.25" customHeight="1">
      <c r="A4" s="14"/>
      <c r="B4" s="19"/>
      <c r="C4" s="20"/>
      <c r="D4" s="27" t="s">
        <v>46</v>
      </c>
      <c r="E4" s="14"/>
      <c r="F4" s="28" t="s">
        <v>12</v>
      </c>
      <c r="G4" s="1"/>
      <c r="H4" s="29">
        <v>3.69</v>
      </c>
      <c r="I4" s="30">
        <v>3.77</v>
      </c>
      <c r="J4" s="30">
        <v>2.76</v>
      </c>
      <c r="K4" s="30">
        <v>1.8</v>
      </c>
      <c r="L4" s="30">
        <v>0</v>
      </c>
      <c r="M4" s="30">
        <v>0</v>
      </c>
      <c r="N4" s="30">
        <v>0</v>
      </c>
      <c r="O4" s="30">
        <v>0</v>
      </c>
      <c r="P4" s="30">
        <v>0</v>
      </c>
      <c r="Q4" s="30">
        <v>0</v>
      </c>
      <c r="R4" s="30">
        <v>0</v>
      </c>
      <c r="S4" s="30">
        <v>0</v>
      </c>
      <c r="T4" s="30">
        <v>0</v>
      </c>
      <c r="U4" s="30">
        <v>0</v>
      </c>
      <c r="V4" s="30">
        <v>0</v>
      </c>
      <c r="W4" s="30">
        <v>0</v>
      </c>
      <c r="X4" s="30">
        <v>0</v>
      </c>
      <c r="Y4" s="30">
        <v>0</v>
      </c>
      <c r="Z4" s="30">
        <v>0</v>
      </c>
      <c r="AA4" s="30">
        <v>0</v>
      </c>
      <c r="AB4" s="30">
        <v>0</v>
      </c>
      <c r="AC4" s="30">
        <v>0</v>
      </c>
      <c r="AD4" s="30">
        <v>0</v>
      </c>
      <c r="AE4" s="30">
        <v>0</v>
      </c>
      <c r="AF4" s="30">
        <v>0</v>
      </c>
      <c r="AG4" s="30">
        <v>0</v>
      </c>
      <c r="AH4" s="30">
        <v>0</v>
      </c>
      <c r="AI4" s="30">
        <v>0</v>
      </c>
      <c r="AJ4" s="30">
        <v>0</v>
      </c>
      <c r="AK4" s="30">
        <v>0</v>
      </c>
      <c r="AL4" s="30">
        <v>0</v>
      </c>
      <c r="AM4" s="30">
        <v>0</v>
      </c>
      <c r="AN4" s="30">
        <v>0</v>
      </c>
      <c r="AO4" s="30">
        <v>0</v>
      </c>
      <c r="AP4" s="30">
        <v>0</v>
      </c>
      <c r="AQ4" s="30">
        <v>0</v>
      </c>
      <c r="AR4" s="30">
        <v>0</v>
      </c>
      <c r="AS4" s="30">
        <v>0</v>
      </c>
      <c r="AT4" s="30">
        <v>0</v>
      </c>
      <c r="AU4" s="30">
        <v>0</v>
      </c>
      <c r="AV4" s="30">
        <v>0</v>
      </c>
      <c r="AW4" s="30">
        <v>0</v>
      </c>
      <c r="AX4" s="30">
        <v>0</v>
      </c>
      <c r="AY4" s="30">
        <v>0</v>
      </c>
      <c r="AZ4" s="30">
        <v>0</v>
      </c>
      <c r="BA4" s="30">
        <v>0</v>
      </c>
      <c r="BB4" s="30">
        <v>0</v>
      </c>
      <c r="BC4" s="30">
        <v>0</v>
      </c>
      <c r="BD4" s="30">
        <v>0</v>
      </c>
      <c r="BE4" s="30">
        <v>0</v>
      </c>
      <c r="BF4" s="14"/>
      <c r="BG4" s="14"/>
      <c r="BH4" s="14"/>
      <c r="BI4" s="14"/>
      <c r="BJ4" s="14"/>
      <c r="BK4" s="14"/>
      <c r="BL4" s="1"/>
      <c r="BM4" s="1"/>
      <c r="BN4" s="1"/>
      <c r="BO4" s="1"/>
      <c r="BP4" s="1"/>
      <c r="BQ4" s="1"/>
      <c r="BR4" s="1"/>
      <c r="BS4" s="1"/>
      <c r="BT4" s="1"/>
      <c r="BU4" s="1"/>
      <c r="BV4" s="1"/>
      <c r="BW4" s="1"/>
      <c r="BX4" s="1"/>
      <c r="BY4" s="1"/>
      <c r="BZ4" s="1"/>
      <c r="CA4" s="1"/>
      <c r="CB4" s="1"/>
      <c r="CC4" s="1"/>
      <c r="CD4" s="1"/>
      <c r="CE4" s="1"/>
      <c r="CF4" s="1"/>
      <c r="CG4" s="1"/>
      <c r="CH4" s="25"/>
      <c r="CI4" s="25"/>
      <c r="CJ4" s="25"/>
      <c r="CK4" s="25"/>
      <c r="CL4" s="25"/>
      <c r="CM4" s="25"/>
      <c r="CN4" s="25"/>
      <c r="CO4" s="25"/>
      <c r="CP4" s="25"/>
      <c r="CQ4" s="25"/>
      <c r="CR4" s="25"/>
      <c r="CS4" s="25"/>
      <c r="CT4" s="25"/>
      <c r="CU4" s="25"/>
      <c r="CV4" s="25"/>
      <c r="CW4" s="25"/>
      <c r="CX4" s="25"/>
      <c r="CY4" s="1"/>
      <c r="CZ4" s="1"/>
      <c r="DA4" s="1"/>
      <c r="DB4" s="1"/>
      <c r="DC4" s="1"/>
      <c r="DD4" s="1"/>
      <c r="DE4" s="1"/>
      <c r="DF4" s="1"/>
      <c r="DG4" s="1"/>
      <c r="DH4" s="1"/>
      <c r="DI4" s="1"/>
      <c r="DJ4" s="1"/>
      <c r="DK4" s="1"/>
      <c r="DL4" s="1"/>
      <c r="DM4" s="1"/>
      <c r="DN4" s="1"/>
      <c r="DO4" s="1"/>
    </row>
    <row r="5" spans="1:119" ht="14.25" customHeight="1">
      <c r="A5" s="14"/>
      <c r="B5" s="19" t="s">
        <v>47</v>
      </c>
      <c r="C5" s="29" t="s">
        <v>48</v>
      </c>
      <c r="D5" s="31" t="s">
        <v>49</v>
      </c>
      <c r="E5" s="32"/>
      <c r="F5" s="33" t="s">
        <v>50</v>
      </c>
      <c r="G5" s="34"/>
      <c r="H5" s="35"/>
      <c r="I5" s="32" t="s">
        <v>51</v>
      </c>
      <c r="J5" s="32" t="s">
        <v>51</v>
      </c>
      <c r="K5" s="32" t="s">
        <v>51</v>
      </c>
      <c r="L5" s="32" t="s">
        <v>51</v>
      </c>
      <c r="M5" s="36">
        <v>0.05</v>
      </c>
      <c r="N5" s="36">
        <v>0.05</v>
      </c>
      <c r="O5" s="36">
        <v>0.05</v>
      </c>
      <c r="P5" s="36">
        <v>0.05</v>
      </c>
      <c r="Q5" s="36">
        <v>0.05</v>
      </c>
      <c r="R5" s="36">
        <v>0.05</v>
      </c>
      <c r="S5" s="36">
        <v>0.05</v>
      </c>
      <c r="T5" s="36">
        <v>0.05</v>
      </c>
      <c r="U5" s="36">
        <v>0.05</v>
      </c>
      <c r="V5" s="36">
        <v>0.05</v>
      </c>
      <c r="W5" s="36">
        <v>0.05</v>
      </c>
      <c r="X5" s="36">
        <v>0.05</v>
      </c>
      <c r="Y5" s="36">
        <v>0.05</v>
      </c>
      <c r="Z5" s="36">
        <v>0.05</v>
      </c>
      <c r="AA5" s="36">
        <v>0.05</v>
      </c>
      <c r="AB5" s="36">
        <v>0.05</v>
      </c>
      <c r="AC5" s="36">
        <v>0.05</v>
      </c>
      <c r="AD5" s="36">
        <v>0.05</v>
      </c>
      <c r="AE5" s="36">
        <v>0.05</v>
      </c>
      <c r="AF5" s="36">
        <v>0.05</v>
      </c>
      <c r="AG5" s="36">
        <v>0.05</v>
      </c>
      <c r="AH5" s="36">
        <v>0.05</v>
      </c>
      <c r="AI5" s="36">
        <v>0.05</v>
      </c>
      <c r="AJ5" s="36">
        <v>0.05</v>
      </c>
      <c r="AK5" s="36">
        <v>0.05</v>
      </c>
      <c r="AL5" s="36">
        <v>0.05</v>
      </c>
      <c r="AM5" s="36">
        <v>0.05</v>
      </c>
      <c r="AN5" s="36">
        <v>0.05</v>
      </c>
      <c r="AO5" s="36">
        <v>0.05</v>
      </c>
      <c r="AP5" s="36">
        <v>0.05</v>
      </c>
      <c r="AQ5" s="36">
        <v>0.05</v>
      </c>
      <c r="AR5" s="36">
        <v>0.05</v>
      </c>
      <c r="AS5" s="36">
        <v>0.05</v>
      </c>
      <c r="AT5" s="36">
        <v>0.05</v>
      </c>
      <c r="AU5" s="36">
        <v>0.05</v>
      </c>
      <c r="AV5" s="36">
        <v>0.05</v>
      </c>
      <c r="AW5" s="36">
        <v>0.05</v>
      </c>
      <c r="AX5" s="36">
        <v>0.05</v>
      </c>
      <c r="AY5" s="36">
        <v>0.05</v>
      </c>
      <c r="AZ5" s="36">
        <v>0.05</v>
      </c>
      <c r="BA5" s="36">
        <v>0.05</v>
      </c>
      <c r="BB5" s="36">
        <v>0.05</v>
      </c>
      <c r="BC5" s="36">
        <v>0.05</v>
      </c>
      <c r="BD5" s="36">
        <v>0.05</v>
      </c>
      <c r="BE5" s="36">
        <v>0.05</v>
      </c>
      <c r="BF5" s="37"/>
      <c r="BG5" s="37"/>
      <c r="BH5" s="37"/>
      <c r="BI5" s="37"/>
      <c r="BJ5" s="37"/>
      <c r="BK5" s="37"/>
      <c r="BL5" s="37"/>
      <c r="BM5" s="32"/>
      <c r="BN5" s="34"/>
      <c r="BO5" s="34"/>
      <c r="BP5" s="34"/>
      <c r="BQ5" s="34"/>
      <c r="BR5" s="34"/>
      <c r="BS5" s="34"/>
      <c r="BT5" s="34"/>
      <c r="BU5" s="34"/>
      <c r="BV5" s="34"/>
      <c r="BW5" s="34"/>
      <c r="BX5" s="34"/>
      <c r="BY5" s="34"/>
      <c r="BZ5" s="34"/>
      <c r="CA5" s="1"/>
      <c r="CB5" s="1"/>
      <c r="CC5" s="1"/>
      <c r="CD5" s="1"/>
      <c r="CE5" s="1"/>
      <c r="CF5" s="1"/>
      <c r="CG5" s="1"/>
      <c r="CH5" s="14"/>
      <c r="CI5" s="25">
        <f t="shared" ref="CI5:CX5" si="2">CI2*CI3</f>
        <v>0.39329408532809207</v>
      </c>
      <c r="CJ5" s="25">
        <f t="shared" si="2"/>
        <v>0.44724346553288141</v>
      </c>
      <c r="CK5" s="25">
        <f t="shared" si="2"/>
        <v>0.49961465728638627</v>
      </c>
      <c r="CL5" s="25">
        <f t="shared" si="2"/>
        <v>0.55289506963698132</v>
      </c>
      <c r="CM5" s="25">
        <f t="shared" si="2"/>
        <v>0.60922266164025218</v>
      </c>
      <c r="CN5" s="25">
        <f t="shared" si="2"/>
        <v>0.66801259925197021</v>
      </c>
      <c r="CO5" s="25">
        <f t="shared" si="2"/>
        <v>0.72786591458312799</v>
      </c>
      <c r="CP5" s="25">
        <f t="shared" si="2"/>
        <v>0.7531890161817012</v>
      </c>
      <c r="CQ5" s="25">
        <f t="shared" si="2"/>
        <v>0.75618373066904065</v>
      </c>
      <c r="CR5" s="25">
        <f t="shared" si="2"/>
        <v>0.81861961984205667</v>
      </c>
      <c r="CS5" s="25">
        <f t="shared" si="2"/>
        <v>0.82243634670772936</v>
      </c>
      <c r="CT5" s="25">
        <f t="shared" si="2"/>
        <v>0.75521442287177298</v>
      </c>
      <c r="CU5" s="25">
        <f t="shared" si="2"/>
        <v>0.70534728182411455</v>
      </c>
      <c r="CV5" s="25">
        <f t="shared" si="2"/>
        <v>0.30837451092451751</v>
      </c>
      <c r="CW5" s="25">
        <f t="shared" si="2"/>
        <v>1.5200559533372917E-16</v>
      </c>
      <c r="CX5" s="25">
        <f t="shared" si="2"/>
        <v>1.0880189331417801E-16</v>
      </c>
      <c r="CY5" s="1"/>
      <c r="CZ5" s="1"/>
      <c r="DA5" s="1"/>
      <c r="DB5" s="1"/>
      <c r="DC5" s="1"/>
      <c r="DD5" s="1"/>
      <c r="DE5" s="1"/>
      <c r="DF5" s="1"/>
      <c r="DG5" s="1"/>
      <c r="DH5" s="1"/>
      <c r="DI5" s="1"/>
      <c r="DJ5" s="1"/>
      <c r="DK5" s="1"/>
      <c r="DL5" s="1"/>
      <c r="DM5" s="1"/>
      <c r="DN5" s="1"/>
      <c r="DO5" s="1"/>
    </row>
    <row r="6" spans="1:119" ht="13.5" customHeight="1">
      <c r="A6" s="14"/>
      <c r="B6" s="19"/>
      <c r="C6" s="38" t="s">
        <v>52</v>
      </c>
      <c r="D6" s="19" t="s">
        <v>53</v>
      </c>
      <c r="E6" s="19"/>
      <c r="F6" s="19" t="s">
        <v>54</v>
      </c>
      <c r="G6" s="19" t="s">
        <v>55</v>
      </c>
      <c r="H6" s="35"/>
      <c r="I6" s="32" t="s">
        <v>51</v>
      </c>
      <c r="J6" s="32" t="s">
        <v>51</v>
      </c>
      <c r="K6" s="32" t="s">
        <v>51</v>
      </c>
      <c r="L6" s="32" t="s">
        <v>51</v>
      </c>
      <c r="M6" s="32" t="s">
        <v>51</v>
      </c>
      <c r="N6" s="39">
        <f>CP55</f>
        <v>144.08038049999999</v>
      </c>
      <c r="O6" s="39">
        <f t="shared" ref="O6:BE6" si="3">N6</f>
        <v>144.08038049999999</v>
      </c>
      <c r="P6" s="39">
        <f t="shared" si="3"/>
        <v>144.08038049999999</v>
      </c>
      <c r="Q6" s="39">
        <f t="shared" si="3"/>
        <v>144.08038049999999</v>
      </c>
      <c r="R6" s="39">
        <f t="shared" si="3"/>
        <v>144.08038049999999</v>
      </c>
      <c r="S6" s="39">
        <f t="shared" si="3"/>
        <v>144.08038049999999</v>
      </c>
      <c r="T6" s="39">
        <f t="shared" si="3"/>
        <v>144.08038049999999</v>
      </c>
      <c r="U6" s="39">
        <f t="shared" si="3"/>
        <v>144.08038049999999</v>
      </c>
      <c r="V6" s="39">
        <f t="shared" si="3"/>
        <v>144.08038049999999</v>
      </c>
      <c r="W6" s="39">
        <f t="shared" si="3"/>
        <v>144.08038049999999</v>
      </c>
      <c r="X6" s="39">
        <f t="shared" si="3"/>
        <v>144.08038049999999</v>
      </c>
      <c r="Y6" s="39">
        <f t="shared" si="3"/>
        <v>144.08038049999999</v>
      </c>
      <c r="Z6" s="39">
        <f t="shared" si="3"/>
        <v>144.08038049999999</v>
      </c>
      <c r="AA6" s="39">
        <f t="shared" si="3"/>
        <v>144.08038049999999</v>
      </c>
      <c r="AB6" s="39">
        <f t="shared" si="3"/>
        <v>144.08038049999999</v>
      </c>
      <c r="AC6" s="39">
        <f t="shared" si="3"/>
        <v>144.08038049999999</v>
      </c>
      <c r="AD6" s="39">
        <f t="shared" si="3"/>
        <v>144.08038049999999</v>
      </c>
      <c r="AE6" s="39">
        <f t="shared" si="3"/>
        <v>144.08038049999999</v>
      </c>
      <c r="AF6" s="39">
        <f t="shared" si="3"/>
        <v>144.08038049999999</v>
      </c>
      <c r="AG6" s="39">
        <f t="shared" si="3"/>
        <v>144.08038049999999</v>
      </c>
      <c r="AH6" s="39">
        <f t="shared" si="3"/>
        <v>144.08038049999999</v>
      </c>
      <c r="AI6" s="39">
        <f t="shared" si="3"/>
        <v>144.08038049999999</v>
      </c>
      <c r="AJ6" s="39">
        <f t="shared" si="3"/>
        <v>144.08038049999999</v>
      </c>
      <c r="AK6" s="39">
        <f t="shared" si="3"/>
        <v>144.08038049999999</v>
      </c>
      <c r="AL6" s="39">
        <f t="shared" si="3"/>
        <v>144.08038049999999</v>
      </c>
      <c r="AM6" s="39">
        <f t="shared" si="3"/>
        <v>144.08038049999999</v>
      </c>
      <c r="AN6" s="39">
        <f t="shared" si="3"/>
        <v>144.08038049999999</v>
      </c>
      <c r="AO6" s="39">
        <f t="shared" si="3"/>
        <v>144.08038049999999</v>
      </c>
      <c r="AP6" s="39">
        <f t="shared" si="3"/>
        <v>144.08038049999999</v>
      </c>
      <c r="AQ6" s="39">
        <f t="shared" si="3"/>
        <v>144.08038049999999</v>
      </c>
      <c r="AR6" s="39">
        <f t="shared" si="3"/>
        <v>144.08038049999999</v>
      </c>
      <c r="AS6" s="39">
        <f t="shared" si="3"/>
        <v>144.08038049999999</v>
      </c>
      <c r="AT6" s="39">
        <f t="shared" si="3"/>
        <v>144.08038049999999</v>
      </c>
      <c r="AU6" s="39">
        <f t="shared" si="3"/>
        <v>144.08038049999999</v>
      </c>
      <c r="AV6" s="39">
        <f t="shared" si="3"/>
        <v>144.08038049999999</v>
      </c>
      <c r="AW6" s="39">
        <f t="shared" si="3"/>
        <v>144.08038049999999</v>
      </c>
      <c r="AX6" s="39">
        <f t="shared" si="3"/>
        <v>144.08038049999999</v>
      </c>
      <c r="AY6" s="39">
        <f t="shared" si="3"/>
        <v>144.08038049999999</v>
      </c>
      <c r="AZ6" s="39">
        <f t="shared" si="3"/>
        <v>144.08038049999999</v>
      </c>
      <c r="BA6" s="39">
        <f t="shared" si="3"/>
        <v>144.08038049999999</v>
      </c>
      <c r="BB6" s="39">
        <f t="shared" si="3"/>
        <v>144.08038049999999</v>
      </c>
      <c r="BC6" s="39">
        <f t="shared" si="3"/>
        <v>144.08038049999999</v>
      </c>
      <c r="BD6" s="39">
        <f t="shared" si="3"/>
        <v>144.08038049999999</v>
      </c>
      <c r="BE6" s="39">
        <f t="shared" si="3"/>
        <v>144.08038049999999</v>
      </c>
      <c r="BF6" s="32"/>
      <c r="BG6" s="32"/>
      <c r="BH6" s="32"/>
      <c r="BI6" s="32"/>
      <c r="BJ6" s="32"/>
      <c r="BK6" s="32"/>
      <c r="BL6" s="32"/>
      <c r="BM6" s="34" t="s">
        <v>56</v>
      </c>
      <c r="BN6" s="34"/>
      <c r="BO6" s="34"/>
      <c r="BP6" s="34"/>
      <c r="BQ6" s="34"/>
      <c r="BR6" s="34"/>
      <c r="BS6" s="34"/>
      <c r="BT6" s="34"/>
      <c r="BU6" s="34"/>
      <c r="BV6" s="34"/>
      <c r="BW6" s="34"/>
      <c r="BX6" s="34"/>
      <c r="BY6" s="34"/>
      <c r="BZ6" s="34"/>
      <c r="CA6" s="1"/>
      <c r="CB6" s="1"/>
      <c r="CC6" s="1"/>
      <c r="CD6" s="1"/>
      <c r="CE6" s="1"/>
      <c r="CF6" s="1"/>
      <c r="CG6" s="1"/>
      <c r="CH6" s="40">
        <v>12.742240085572519</v>
      </c>
      <c r="CI6" s="1">
        <f t="shared" ref="CI6:CX6" si="4">CH6*CI5/CH3</f>
        <v>14.157591022596934</v>
      </c>
      <c r="CJ6" s="1">
        <f t="shared" si="4"/>
        <v>14.950125713872016</v>
      </c>
      <c r="CK6" s="1">
        <f t="shared" si="4"/>
        <v>15.147873053568381</v>
      </c>
      <c r="CL6" s="1">
        <f t="shared" si="4"/>
        <v>14.88522927102867</v>
      </c>
      <c r="CM6" s="1">
        <f t="shared" si="4"/>
        <v>14.344023045788783</v>
      </c>
      <c r="CN6" s="1">
        <f t="shared" si="4"/>
        <v>13.654085340672053</v>
      </c>
      <c r="CO6" s="1">
        <f t="shared" si="4"/>
        <v>12.884761874337089</v>
      </c>
      <c r="CP6" s="1">
        <f t="shared" si="4"/>
        <v>11.541028500268261</v>
      </c>
      <c r="CQ6" s="1">
        <f t="shared" si="4"/>
        <v>9.5856079801897671</v>
      </c>
      <c r="CR6" s="1">
        <f t="shared" si="4"/>
        <v>8.0071089394876847</v>
      </c>
      <c r="CS6" s="1">
        <f t="shared" si="4"/>
        <v>6.719732065186788</v>
      </c>
      <c r="CT6" s="1">
        <f t="shared" si="4"/>
        <v>5.1784067076152933</v>
      </c>
      <c r="CU6" s="1">
        <f t="shared" si="4"/>
        <v>3.7271174442818462</v>
      </c>
      <c r="CV6" s="1">
        <f t="shared" si="4"/>
        <v>1.1728041010598491</v>
      </c>
      <c r="CW6" s="1">
        <f t="shared" si="4"/>
        <v>1.8191100570555248E-16</v>
      </c>
      <c r="CX6" s="1">
        <f t="shared" si="4"/>
        <v>2.0196185546377905E-32</v>
      </c>
      <c r="CY6" s="1"/>
      <c r="CZ6" s="1"/>
      <c r="DA6" s="1"/>
      <c r="DB6" s="1"/>
      <c r="DC6" s="1"/>
      <c r="DD6" s="1"/>
      <c r="DE6" s="1"/>
      <c r="DF6" s="1"/>
      <c r="DG6" s="1"/>
      <c r="DH6" s="1"/>
      <c r="DI6" s="1"/>
      <c r="DJ6" s="1"/>
      <c r="DK6" s="1"/>
      <c r="DL6" s="1"/>
      <c r="DM6" s="1"/>
      <c r="DN6" s="1"/>
      <c r="DO6" s="1"/>
    </row>
    <row r="7" spans="1:119" ht="13.5" customHeight="1">
      <c r="A7" s="14"/>
      <c r="B7" s="19"/>
      <c r="C7" s="38" t="s">
        <v>57</v>
      </c>
      <c r="D7" s="19" t="s">
        <v>58</v>
      </c>
      <c r="E7" s="19"/>
      <c r="F7" s="19" t="s">
        <v>12</v>
      </c>
      <c r="G7" s="19"/>
      <c r="H7" s="35"/>
      <c r="I7" s="32" t="s">
        <v>51</v>
      </c>
      <c r="J7" s="32" t="s">
        <v>51</v>
      </c>
      <c r="K7" s="32" t="s">
        <v>51</v>
      </c>
      <c r="L7" s="32" t="s">
        <v>51</v>
      </c>
      <c r="M7" s="32" t="s">
        <v>51</v>
      </c>
      <c r="N7" s="39">
        <f t="shared" ref="N7:N12" si="5">CP59</f>
        <v>6.455439550752839</v>
      </c>
      <c r="O7" s="39">
        <f t="shared" ref="O7:BE7" si="6">N7</f>
        <v>6.455439550752839</v>
      </c>
      <c r="P7" s="39">
        <f t="shared" si="6"/>
        <v>6.455439550752839</v>
      </c>
      <c r="Q7" s="39">
        <f t="shared" si="6"/>
        <v>6.455439550752839</v>
      </c>
      <c r="R7" s="39">
        <f t="shared" si="6"/>
        <v>6.455439550752839</v>
      </c>
      <c r="S7" s="39">
        <f t="shared" si="6"/>
        <v>6.455439550752839</v>
      </c>
      <c r="T7" s="39">
        <f t="shared" si="6"/>
        <v>6.455439550752839</v>
      </c>
      <c r="U7" s="39">
        <f t="shared" si="6"/>
        <v>6.455439550752839</v>
      </c>
      <c r="V7" s="39">
        <f t="shared" si="6"/>
        <v>6.455439550752839</v>
      </c>
      <c r="W7" s="39">
        <f t="shared" si="6"/>
        <v>6.455439550752839</v>
      </c>
      <c r="X7" s="39">
        <f t="shared" si="6"/>
        <v>6.455439550752839</v>
      </c>
      <c r="Y7" s="39">
        <f t="shared" si="6"/>
        <v>6.455439550752839</v>
      </c>
      <c r="Z7" s="39">
        <f t="shared" si="6"/>
        <v>6.455439550752839</v>
      </c>
      <c r="AA7" s="39">
        <f t="shared" si="6"/>
        <v>6.455439550752839</v>
      </c>
      <c r="AB7" s="39">
        <f t="shared" si="6"/>
        <v>6.455439550752839</v>
      </c>
      <c r="AC7" s="39">
        <f t="shared" si="6"/>
        <v>6.455439550752839</v>
      </c>
      <c r="AD7" s="39">
        <f t="shared" si="6"/>
        <v>6.455439550752839</v>
      </c>
      <c r="AE7" s="39">
        <f t="shared" si="6"/>
        <v>6.455439550752839</v>
      </c>
      <c r="AF7" s="39">
        <f t="shared" si="6"/>
        <v>6.455439550752839</v>
      </c>
      <c r="AG7" s="39">
        <f t="shared" si="6"/>
        <v>6.455439550752839</v>
      </c>
      <c r="AH7" s="39">
        <f t="shared" si="6"/>
        <v>6.455439550752839</v>
      </c>
      <c r="AI7" s="39">
        <f t="shared" si="6"/>
        <v>6.455439550752839</v>
      </c>
      <c r="AJ7" s="39">
        <f t="shared" si="6"/>
        <v>6.455439550752839</v>
      </c>
      <c r="AK7" s="39">
        <f t="shared" si="6"/>
        <v>6.455439550752839</v>
      </c>
      <c r="AL7" s="39">
        <f t="shared" si="6"/>
        <v>6.455439550752839</v>
      </c>
      <c r="AM7" s="39">
        <f t="shared" si="6"/>
        <v>6.455439550752839</v>
      </c>
      <c r="AN7" s="39">
        <f t="shared" si="6"/>
        <v>6.455439550752839</v>
      </c>
      <c r="AO7" s="39">
        <f t="shared" si="6"/>
        <v>6.455439550752839</v>
      </c>
      <c r="AP7" s="39">
        <f t="shared" si="6"/>
        <v>6.455439550752839</v>
      </c>
      <c r="AQ7" s="39">
        <f t="shared" si="6"/>
        <v>6.455439550752839</v>
      </c>
      <c r="AR7" s="39">
        <f t="shared" si="6"/>
        <v>6.455439550752839</v>
      </c>
      <c r="AS7" s="39">
        <f t="shared" si="6"/>
        <v>6.455439550752839</v>
      </c>
      <c r="AT7" s="39">
        <f t="shared" si="6"/>
        <v>6.455439550752839</v>
      </c>
      <c r="AU7" s="39">
        <f t="shared" si="6"/>
        <v>6.455439550752839</v>
      </c>
      <c r="AV7" s="39">
        <f t="shared" si="6"/>
        <v>6.455439550752839</v>
      </c>
      <c r="AW7" s="39">
        <f t="shared" si="6"/>
        <v>6.455439550752839</v>
      </c>
      <c r="AX7" s="39">
        <f t="shared" si="6"/>
        <v>6.455439550752839</v>
      </c>
      <c r="AY7" s="39">
        <f t="shared" si="6"/>
        <v>6.455439550752839</v>
      </c>
      <c r="AZ7" s="39">
        <f t="shared" si="6"/>
        <v>6.455439550752839</v>
      </c>
      <c r="BA7" s="39">
        <f t="shared" si="6"/>
        <v>6.455439550752839</v>
      </c>
      <c r="BB7" s="39">
        <f t="shared" si="6"/>
        <v>6.455439550752839</v>
      </c>
      <c r="BC7" s="39">
        <f t="shared" si="6"/>
        <v>6.455439550752839</v>
      </c>
      <c r="BD7" s="39">
        <f t="shared" si="6"/>
        <v>6.455439550752839</v>
      </c>
      <c r="BE7" s="39">
        <f t="shared" si="6"/>
        <v>6.455439550752839</v>
      </c>
      <c r="BF7" s="32"/>
      <c r="BG7" s="32"/>
      <c r="BH7" s="32"/>
      <c r="BI7" s="32"/>
      <c r="BJ7" s="32"/>
      <c r="BK7" s="32"/>
      <c r="BL7" s="32"/>
      <c r="BM7" s="34"/>
      <c r="BN7" s="34"/>
      <c r="BO7" s="34"/>
      <c r="BP7" s="34"/>
      <c r="BQ7" s="34"/>
      <c r="BR7" s="34"/>
      <c r="BS7" s="34"/>
      <c r="BT7" s="34"/>
      <c r="BU7" s="34"/>
      <c r="BV7" s="34"/>
      <c r="BW7" s="34"/>
      <c r="BX7" s="34"/>
      <c r="BY7" s="34"/>
      <c r="BZ7" s="34"/>
      <c r="CA7" s="1"/>
      <c r="CB7" s="1"/>
      <c r="CC7" s="1"/>
      <c r="CD7" s="1"/>
      <c r="CE7" s="1"/>
      <c r="CF7" s="1"/>
      <c r="CG7" s="1"/>
      <c r="CH7" s="40"/>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row>
    <row r="8" spans="1:119" ht="13.5" customHeight="1">
      <c r="A8" s="14"/>
      <c r="B8" s="19"/>
      <c r="C8" s="38" t="s">
        <v>57</v>
      </c>
      <c r="D8" s="19" t="s">
        <v>59</v>
      </c>
      <c r="E8" s="19"/>
      <c r="F8" s="19" t="s">
        <v>12</v>
      </c>
      <c r="G8" s="19"/>
      <c r="H8" s="35"/>
      <c r="I8" s="32" t="s">
        <v>51</v>
      </c>
      <c r="J8" s="32" t="s">
        <v>51</v>
      </c>
      <c r="K8" s="32" t="s">
        <v>51</v>
      </c>
      <c r="L8" s="32" t="s">
        <v>51</v>
      </c>
      <c r="M8" s="32" t="s">
        <v>51</v>
      </c>
      <c r="N8" s="39">
        <f t="shared" si="5"/>
        <v>53.832580937998983</v>
      </c>
      <c r="O8" s="39">
        <f t="shared" ref="O8:BE8" si="7">N8</f>
        <v>53.832580937998983</v>
      </c>
      <c r="P8" s="39">
        <f t="shared" si="7"/>
        <v>53.832580937998983</v>
      </c>
      <c r="Q8" s="39">
        <f t="shared" si="7"/>
        <v>53.832580937998983</v>
      </c>
      <c r="R8" s="39">
        <f t="shared" si="7"/>
        <v>53.832580937998983</v>
      </c>
      <c r="S8" s="39">
        <f t="shared" si="7"/>
        <v>53.832580937998983</v>
      </c>
      <c r="T8" s="39">
        <f t="shared" si="7"/>
        <v>53.832580937998983</v>
      </c>
      <c r="U8" s="39">
        <f t="shared" si="7"/>
        <v>53.832580937998983</v>
      </c>
      <c r="V8" s="39">
        <f t="shared" si="7"/>
        <v>53.832580937998983</v>
      </c>
      <c r="W8" s="39">
        <f t="shared" si="7"/>
        <v>53.832580937998983</v>
      </c>
      <c r="X8" s="39">
        <f t="shared" si="7"/>
        <v>53.832580937998983</v>
      </c>
      <c r="Y8" s="39">
        <f t="shared" si="7"/>
        <v>53.832580937998983</v>
      </c>
      <c r="Z8" s="39">
        <f t="shared" si="7"/>
        <v>53.832580937998983</v>
      </c>
      <c r="AA8" s="39">
        <f t="shared" si="7"/>
        <v>53.832580937998983</v>
      </c>
      <c r="AB8" s="39">
        <f t="shared" si="7"/>
        <v>53.832580937998983</v>
      </c>
      <c r="AC8" s="39">
        <f t="shared" si="7"/>
        <v>53.832580937998983</v>
      </c>
      <c r="AD8" s="39">
        <f t="shared" si="7"/>
        <v>53.832580937998983</v>
      </c>
      <c r="AE8" s="39">
        <f t="shared" si="7"/>
        <v>53.832580937998983</v>
      </c>
      <c r="AF8" s="39">
        <f t="shared" si="7"/>
        <v>53.832580937998983</v>
      </c>
      <c r="AG8" s="39">
        <f t="shared" si="7"/>
        <v>53.832580937998983</v>
      </c>
      <c r="AH8" s="39">
        <f t="shared" si="7"/>
        <v>53.832580937998983</v>
      </c>
      <c r="AI8" s="39">
        <f t="shared" si="7"/>
        <v>53.832580937998983</v>
      </c>
      <c r="AJ8" s="39">
        <f t="shared" si="7"/>
        <v>53.832580937998983</v>
      </c>
      <c r="AK8" s="39">
        <f t="shared" si="7"/>
        <v>53.832580937998983</v>
      </c>
      <c r="AL8" s="39">
        <f t="shared" si="7"/>
        <v>53.832580937998983</v>
      </c>
      <c r="AM8" s="39">
        <f t="shared" si="7"/>
        <v>53.832580937998983</v>
      </c>
      <c r="AN8" s="39">
        <f t="shared" si="7"/>
        <v>53.832580937998983</v>
      </c>
      <c r="AO8" s="39">
        <f t="shared" si="7"/>
        <v>53.832580937998983</v>
      </c>
      <c r="AP8" s="39">
        <f t="shared" si="7"/>
        <v>53.832580937998983</v>
      </c>
      <c r="AQ8" s="39">
        <f t="shared" si="7"/>
        <v>53.832580937998983</v>
      </c>
      <c r="AR8" s="39">
        <f t="shared" si="7"/>
        <v>53.832580937998983</v>
      </c>
      <c r="AS8" s="39">
        <f t="shared" si="7"/>
        <v>53.832580937998983</v>
      </c>
      <c r="AT8" s="39">
        <f t="shared" si="7"/>
        <v>53.832580937998983</v>
      </c>
      <c r="AU8" s="39">
        <f t="shared" si="7"/>
        <v>53.832580937998983</v>
      </c>
      <c r="AV8" s="39">
        <f t="shared" si="7"/>
        <v>53.832580937998983</v>
      </c>
      <c r="AW8" s="39">
        <f t="shared" si="7"/>
        <v>53.832580937998983</v>
      </c>
      <c r="AX8" s="39">
        <f t="shared" si="7"/>
        <v>53.832580937998983</v>
      </c>
      <c r="AY8" s="39">
        <f t="shared" si="7"/>
        <v>53.832580937998983</v>
      </c>
      <c r="AZ8" s="39">
        <f t="shared" si="7"/>
        <v>53.832580937998983</v>
      </c>
      <c r="BA8" s="39">
        <f t="shared" si="7"/>
        <v>53.832580937998983</v>
      </c>
      <c r="BB8" s="39">
        <f t="shared" si="7"/>
        <v>53.832580937998983</v>
      </c>
      <c r="BC8" s="39">
        <f t="shared" si="7"/>
        <v>53.832580937998983</v>
      </c>
      <c r="BD8" s="39">
        <f t="shared" si="7"/>
        <v>53.832580937998983</v>
      </c>
      <c r="BE8" s="39">
        <f t="shared" si="7"/>
        <v>53.832580937998983</v>
      </c>
      <c r="BF8" s="32"/>
      <c r="BG8" s="32"/>
      <c r="BH8" s="32"/>
      <c r="BI8" s="32"/>
      <c r="BJ8" s="32"/>
      <c r="BK8" s="32"/>
      <c r="BL8" s="32"/>
      <c r="BM8" s="34"/>
      <c r="BN8" s="34"/>
      <c r="BO8" s="34"/>
      <c r="BP8" s="34"/>
      <c r="BQ8" s="34"/>
      <c r="BR8" s="34"/>
      <c r="BS8" s="34"/>
      <c r="BT8" s="34"/>
      <c r="BU8" s="34"/>
      <c r="BV8" s="34"/>
      <c r="BW8" s="34"/>
      <c r="BX8" s="34"/>
      <c r="BY8" s="34"/>
      <c r="BZ8" s="34"/>
      <c r="CA8" s="1"/>
      <c r="CB8" s="1"/>
      <c r="CC8" s="1"/>
      <c r="CD8" s="1"/>
      <c r="CE8" s="1"/>
      <c r="CF8" s="1"/>
      <c r="CG8" s="1"/>
      <c r="CH8" s="40"/>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row>
    <row r="9" spans="1:119" ht="13.5" customHeight="1">
      <c r="A9" s="14"/>
      <c r="B9" s="19"/>
      <c r="C9" s="38" t="s">
        <v>57</v>
      </c>
      <c r="D9" s="19" t="s">
        <v>60</v>
      </c>
      <c r="E9" s="19"/>
      <c r="F9" s="19" t="s">
        <v>12</v>
      </c>
      <c r="G9" s="19"/>
      <c r="H9" s="35"/>
      <c r="I9" s="32" t="s">
        <v>51</v>
      </c>
      <c r="J9" s="32" t="s">
        <v>51</v>
      </c>
      <c r="K9" s="32" t="s">
        <v>51</v>
      </c>
      <c r="L9" s="32" t="s">
        <v>51</v>
      </c>
      <c r="M9" s="32" t="s">
        <v>51</v>
      </c>
      <c r="N9" s="39">
        <f t="shared" si="5"/>
        <v>14.876435543130013</v>
      </c>
      <c r="O9" s="39">
        <f t="shared" ref="O9:BE9" si="8">N9</f>
        <v>14.876435543130013</v>
      </c>
      <c r="P9" s="39">
        <f t="shared" si="8"/>
        <v>14.876435543130013</v>
      </c>
      <c r="Q9" s="39">
        <f t="shared" si="8"/>
        <v>14.876435543130013</v>
      </c>
      <c r="R9" s="39">
        <f t="shared" si="8"/>
        <v>14.876435543130013</v>
      </c>
      <c r="S9" s="39">
        <f t="shared" si="8"/>
        <v>14.876435543130013</v>
      </c>
      <c r="T9" s="39">
        <f t="shared" si="8"/>
        <v>14.876435543130013</v>
      </c>
      <c r="U9" s="39">
        <f t="shared" si="8"/>
        <v>14.876435543130013</v>
      </c>
      <c r="V9" s="39">
        <f t="shared" si="8"/>
        <v>14.876435543130013</v>
      </c>
      <c r="W9" s="39">
        <f t="shared" si="8"/>
        <v>14.876435543130013</v>
      </c>
      <c r="X9" s="39">
        <f t="shared" si="8"/>
        <v>14.876435543130013</v>
      </c>
      <c r="Y9" s="39">
        <f t="shared" si="8"/>
        <v>14.876435543130013</v>
      </c>
      <c r="Z9" s="39">
        <f t="shared" si="8"/>
        <v>14.876435543130013</v>
      </c>
      <c r="AA9" s="39">
        <f t="shared" si="8"/>
        <v>14.876435543130013</v>
      </c>
      <c r="AB9" s="39">
        <f t="shared" si="8"/>
        <v>14.876435543130013</v>
      </c>
      <c r="AC9" s="39">
        <f t="shared" si="8"/>
        <v>14.876435543130013</v>
      </c>
      <c r="AD9" s="39">
        <f t="shared" si="8"/>
        <v>14.876435543130013</v>
      </c>
      <c r="AE9" s="39">
        <f t="shared" si="8"/>
        <v>14.876435543130013</v>
      </c>
      <c r="AF9" s="39">
        <f t="shared" si="8"/>
        <v>14.876435543130013</v>
      </c>
      <c r="AG9" s="39">
        <f t="shared" si="8"/>
        <v>14.876435543130013</v>
      </c>
      <c r="AH9" s="39">
        <f t="shared" si="8"/>
        <v>14.876435543130013</v>
      </c>
      <c r="AI9" s="39">
        <f t="shared" si="8"/>
        <v>14.876435543130013</v>
      </c>
      <c r="AJ9" s="39">
        <f t="shared" si="8"/>
        <v>14.876435543130013</v>
      </c>
      <c r="AK9" s="39">
        <f t="shared" si="8"/>
        <v>14.876435543130013</v>
      </c>
      <c r="AL9" s="39">
        <f t="shared" si="8"/>
        <v>14.876435543130013</v>
      </c>
      <c r="AM9" s="39">
        <f t="shared" si="8"/>
        <v>14.876435543130013</v>
      </c>
      <c r="AN9" s="39">
        <f t="shared" si="8"/>
        <v>14.876435543130013</v>
      </c>
      <c r="AO9" s="39">
        <f t="shared" si="8"/>
        <v>14.876435543130013</v>
      </c>
      <c r="AP9" s="39">
        <f t="shared" si="8"/>
        <v>14.876435543130013</v>
      </c>
      <c r="AQ9" s="39">
        <f t="shared" si="8"/>
        <v>14.876435543130013</v>
      </c>
      <c r="AR9" s="39">
        <f t="shared" si="8"/>
        <v>14.876435543130013</v>
      </c>
      <c r="AS9" s="39">
        <f t="shared" si="8"/>
        <v>14.876435543130013</v>
      </c>
      <c r="AT9" s="39">
        <f t="shared" si="8"/>
        <v>14.876435543130013</v>
      </c>
      <c r="AU9" s="39">
        <f t="shared" si="8"/>
        <v>14.876435543130013</v>
      </c>
      <c r="AV9" s="39">
        <f t="shared" si="8"/>
        <v>14.876435543130013</v>
      </c>
      <c r="AW9" s="39">
        <f t="shared" si="8"/>
        <v>14.876435543130013</v>
      </c>
      <c r="AX9" s="39">
        <f t="shared" si="8"/>
        <v>14.876435543130013</v>
      </c>
      <c r="AY9" s="39">
        <f t="shared" si="8"/>
        <v>14.876435543130013</v>
      </c>
      <c r="AZ9" s="39">
        <f t="shared" si="8"/>
        <v>14.876435543130013</v>
      </c>
      <c r="BA9" s="39">
        <f t="shared" si="8"/>
        <v>14.876435543130013</v>
      </c>
      <c r="BB9" s="39">
        <f t="shared" si="8"/>
        <v>14.876435543130013</v>
      </c>
      <c r="BC9" s="39">
        <f t="shared" si="8"/>
        <v>14.876435543130013</v>
      </c>
      <c r="BD9" s="39">
        <f t="shared" si="8"/>
        <v>14.876435543130013</v>
      </c>
      <c r="BE9" s="39">
        <f t="shared" si="8"/>
        <v>14.876435543130013</v>
      </c>
      <c r="BF9" s="32"/>
      <c r="BG9" s="32"/>
      <c r="BH9" s="32"/>
      <c r="BI9" s="32"/>
      <c r="BJ9" s="32"/>
      <c r="BK9" s="32"/>
      <c r="BL9" s="32"/>
      <c r="BM9" s="34"/>
      <c r="BN9" s="34"/>
      <c r="BO9" s="34"/>
      <c r="BP9" s="34"/>
      <c r="BQ9" s="34"/>
      <c r="BR9" s="34"/>
      <c r="BS9" s="34"/>
      <c r="BT9" s="34"/>
      <c r="BU9" s="34"/>
      <c r="BV9" s="34"/>
      <c r="BW9" s="34"/>
      <c r="BX9" s="34"/>
      <c r="BY9" s="34"/>
      <c r="BZ9" s="34"/>
      <c r="CA9" s="1"/>
      <c r="CB9" s="1"/>
      <c r="CC9" s="1"/>
      <c r="CD9" s="1"/>
      <c r="CE9" s="1"/>
      <c r="CF9" s="1"/>
      <c r="CG9" s="1"/>
      <c r="CH9" s="40"/>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row>
    <row r="10" spans="1:119" ht="13.5" customHeight="1">
      <c r="A10" s="14"/>
      <c r="B10" s="19"/>
      <c r="C10" s="38" t="s">
        <v>57</v>
      </c>
      <c r="D10" s="19" t="s">
        <v>61</v>
      </c>
      <c r="E10" s="19"/>
      <c r="F10" s="19" t="s">
        <v>12</v>
      </c>
      <c r="G10" s="19"/>
      <c r="H10" s="35"/>
      <c r="I10" s="32" t="s">
        <v>51</v>
      </c>
      <c r="J10" s="32" t="s">
        <v>51</v>
      </c>
      <c r="K10" s="32" t="s">
        <v>51</v>
      </c>
      <c r="L10" s="32" t="s">
        <v>51</v>
      </c>
      <c r="M10" s="32" t="s">
        <v>51</v>
      </c>
      <c r="N10" s="39">
        <f t="shared" si="5"/>
        <v>52.379778350711426</v>
      </c>
      <c r="O10" s="39">
        <f t="shared" ref="O10:BE10" si="9">N10</f>
        <v>52.379778350711426</v>
      </c>
      <c r="P10" s="39">
        <f t="shared" si="9"/>
        <v>52.379778350711426</v>
      </c>
      <c r="Q10" s="39">
        <f t="shared" si="9"/>
        <v>52.379778350711426</v>
      </c>
      <c r="R10" s="39">
        <f t="shared" si="9"/>
        <v>52.379778350711426</v>
      </c>
      <c r="S10" s="39">
        <f t="shared" si="9"/>
        <v>52.379778350711426</v>
      </c>
      <c r="T10" s="39">
        <f t="shared" si="9"/>
        <v>52.379778350711426</v>
      </c>
      <c r="U10" s="39">
        <f t="shared" si="9"/>
        <v>52.379778350711426</v>
      </c>
      <c r="V10" s="39">
        <f t="shared" si="9"/>
        <v>52.379778350711426</v>
      </c>
      <c r="W10" s="39">
        <f t="shared" si="9"/>
        <v>52.379778350711426</v>
      </c>
      <c r="X10" s="39">
        <f t="shared" si="9"/>
        <v>52.379778350711426</v>
      </c>
      <c r="Y10" s="39">
        <f t="shared" si="9"/>
        <v>52.379778350711426</v>
      </c>
      <c r="Z10" s="39">
        <f t="shared" si="9"/>
        <v>52.379778350711426</v>
      </c>
      <c r="AA10" s="39">
        <f t="shared" si="9"/>
        <v>52.379778350711426</v>
      </c>
      <c r="AB10" s="39">
        <f t="shared" si="9"/>
        <v>52.379778350711426</v>
      </c>
      <c r="AC10" s="39">
        <f t="shared" si="9"/>
        <v>52.379778350711426</v>
      </c>
      <c r="AD10" s="39">
        <f t="shared" si="9"/>
        <v>52.379778350711426</v>
      </c>
      <c r="AE10" s="39">
        <f t="shared" si="9"/>
        <v>52.379778350711426</v>
      </c>
      <c r="AF10" s="39">
        <f t="shared" si="9"/>
        <v>52.379778350711426</v>
      </c>
      <c r="AG10" s="39">
        <f t="shared" si="9"/>
        <v>52.379778350711426</v>
      </c>
      <c r="AH10" s="39">
        <f t="shared" si="9"/>
        <v>52.379778350711426</v>
      </c>
      <c r="AI10" s="39">
        <f t="shared" si="9"/>
        <v>52.379778350711426</v>
      </c>
      <c r="AJ10" s="39">
        <f t="shared" si="9"/>
        <v>52.379778350711426</v>
      </c>
      <c r="AK10" s="39">
        <f t="shared" si="9"/>
        <v>52.379778350711426</v>
      </c>
      <c r="AL10" s="39">
        <f t="shared" si="9"/>
        <v>52.379778350711426</v>
      </c>
      <c r="AM10" s="39">
        <f t="shared" si="9"/>
        <v>52.379778350711426</v>
      </c>
      <c r="AN10" s="39">
        <f t="shared" si="9"/>
        <v>52.379778350711426</v>
      </c>
      <c r="AO10" s="39">
        <f t="shared" si="9"/>
        <v>52.379778350711426</v>
      </c>
      <c r="AP10" s="39">
        <f t="shared" si="9"/>
        <v>52.379778350711426</v>
      </c>
      <c r="AQ10" s="39">
        <f t="shared" si="9"/>
        <v>52.379778350711426</v>
      </c>
      <c r="AR10" s="39">
        <f t="shared" si="9"/>
        <v>52.379778350711426</v>
      </c>
      <c r="AS10" s="39">
        <f t="shared" si="9"/>
        <v>52.379778350711426</v>
      </c>
      <c r="AT10" s="39">
        <f t="shared" si="9"/>
        <v>52.379778350711426</v>
      </c>
      <c r="AU10" s="39">
        <f t="shared" si="9"/>
        <v>52.379778350711426</v>
      </c>
      <c r="AV10" s="39">
        <f t="shared" si="9"/>
        <v>52.379778350711426</v>
      </c>
      <c r="AW10" s="39">
        <f t="shared" si="9"/>
        <v>52.379778350711426</v>
      </c>
      <c r="AX10" s="39">
        <f t="shared" si="9"/>
        <v>52.379778350711426</v>
      </c>
      <c r="AY10" s="39">
        <f t="shared" si="9"/>
        <v>52.379778350711426</v>
      </c>
      <c r="AZ10" s="39">
        <f t="shared" si="9"/>
        <v>52.379778350711426</v>
      </c>
      <c r="BA10" s="39">
        <f t="shared" si="9"/>
        <v>52.379778350711426</v>
      </c>
      <c r="BB10" s="39">
        <f t="shared" si="9"/>
        <v>52.379778350711426</v>
      </c>
      <c r="BC10" s="39">
        <f t="shared" si="9"/>
        <v>52.379778350711426</v>
      </c>
      <c r="BD10" s="39">
        <f t="shared" si="9"/>
        <v>52.379778350711426</v>
      </c>
      <c r="BE10" s="39">
        <f t="shared" si="9"/>
        <v>52.379778350711426</v>
      </c>
      <c r="BF10" s="32"/>
      <c r="BG10" s="32"/>
      <c r="BH10" s="32"/>
      <c r="BI10" s="32"/>
      <c r="BJ10" s="32"/>
      <c r="BK10" s="32"/>
      <c r="BL10" s="32"/>
      <c r="BM10" s="34"/>
      <c r="BN10" s="34"/>
      <c r="BO10" s="34"/>
      <c r="BP10" s="34"/>
      <c r="BQ10" s="34"/>
      <c r="BR10" s="34"/>
      <c r="BS10" s="34"/>
      <c r="BT10" s="34"/>
      <c r="BU10" s="34"/>
      <c r="BV10" s="34"/>
      <c r="BW10" s="34"/>
      <c r="BX10" s="34"/>
      <c r="BY10" s="34"/>
      <c r="BZ10" s="34"/>
      <c r="CA10" s="1"/>
      <c r="CB10" s="1"/>
      <c r="CC10" s="1"/>
      <c r="CD10" s="1"/>
      <c r="CE10" s="1"/>
      <c r="CF10" s="1"/>
      <c r="CG10" s="1"/>
      <c r="CH10" s="40"/>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row>
    <row r="11" spans="1:119" ht="13.5" customHeight="1">
      <c r="A11" s="14"/>
      <c r="B11" s="19"/>
      <c r="C11" s="38" t="s">
        <v>57</v>
      </c>
      <c r="D11" s="19" t="s">
        <v>62</v>
      </c>
      <c r="E11" s="19"/>
      <c r="F11" s="19" t="s">
        <v>12</v>
      </c>
      <c r="G11" s="19"/>
      <c r="H11" s="35"/>
      <c r="I11" s="32" t="s">
        <v>51</v>
      </c>
      <c r="J11" s="32" t="s">
        <v>51</v>
      </c>
      <c r="K11" s="32" t="s">
        <v>51</v>
      </c>
      <c r="L11" s="32" t="s">
        <v>51</v>
      </c>
      <c r="M11" s="32" t="s">
        <v>51</v>
      </c>
      <c r="N11" s="39">
        <f t="shared" si="5"/>
        <v>7.0721130200000006</v>
      </c>
      <c r="O11" s="39">
        <f t="shared" ref="O11:BE11" si="10">N11</f>
        <v>7.0721130200000006</v>
      </c>
      <c r="P11" s="39">
        <f t="shared" si="10"/>
        <v>7.0721130200000006</v>
      </c>
      <c r="Q11" s="39">
        <f t="shared" si="10"/>
        <v>7.0721130200000006</v>
      </c>
      <c r="R11" s="39">
        <f t="shared" si="10"/>
        <v>7.0721130200000006</v>
      </c>
      <c r="S11" s="39">
        <f t="shared" si="10"/>
        <v>7.0721130200000006</v>
      </c>
      <c r="T11" s="39">
        <f t="shared" si="10"/>
        <v>7.0721130200000006</v>
      </c>
      <c r="U11" s="39">
        <f t="shared" si="10"/>
        <v>7.0721130200000006</v>
      </c>
      <c r="V11" s="39">
        <f t="shared" si="10"/>
        <v>7.0721130200000006</v>
      </c>
      <c r="W11" s="39">
        <f t="shared" si="10"/>
        <v>7.0721130200000006</v>
      </c>
      <c r="X11" s="39">
        <f t="shared" si="10"/>
        <v>7.0721130200000006</v>
      </c>
      <c r="Y11" s="39">
        <f t="shared" si="10"/>
        <v>7.0721130200000006</v>
      </c>
      <c r="Z11" s="39">
        <f t="shared" si="10"/>
        <v>7.0721130200000006</v>
      </c>
      <c r="AA11" s="39">
        <f t="shared" si="10"/>
        <v>7.0721130200000006</v>
      </c>
      <c r="AB11" s="39">
        <f t="shared" si="10"/>
        <v>7.0721130200000006</v>
      </c>
      <c r="AC11" s="39">
        <f t="shared" si="10"/>
        <v>7.0721130200000006</v>
      </c>
      <c r="AD11" s="39">
        <f t="shared" si="10"/>
        <v>7.0721130200000006</v>
      </c>
      <c r="AE11" s="39">
        <f t="shared" si="10"/>
        <v>7.0721130200000006</v>
      </c>
      <c r="AF11" s="39">
        <f t="shared" si="10"/>
        <v>7.0721130200000006</v>
      </c>
      <c r="AG11" s="39">
        <f t="shared" si="10"/>
        <v>7.0721130200000006</v>
      </c>
      <c r="AH11" s="39">
        <f t="shared" si="10"/>
        <v>7.0721130200000006</v>
      </c>
      <c r="AI11" s="39">
        <f t="shared" si="10"/>
        <v>7.0721130200000006</v>
      </c>
      <c r="AJ11" s="39">
        <f t="shared" si="10"/>
        <v>7.0721130200000006</v>
      </c>
      <c r="AK11" s="39">
        <f t="shared" si="10"/>
        <v>7.0721130200000006</v>
      </c>
      <c r="AL11" s="39">
        <f t="shared" si="10"/>
        <v>7.0721130200000006</v>
      </c>
      <c r="AM11" s="39">
        <f t="shared" si="10"/>
        <v>7.0721130200000006</v>
      </c>
      <c r="AN11" s="39">
        <f t="shared" si="10"/>
        <v>7.0721130200000006</v>
      </c>
      <c r="AO11" s="39">
        <f t="shared" si="10"/>
        <v>7.0721130200000006</v>
      </c>
      <c r="AP11" s="39">
        <f t="shared" si="10"/>
        <v>7.0721130200000006</v>
      </c>
      <c r="AQ11" s="39">
        <f t="shared" si="10"/>
        <v>7.0721130200000006</v>
      </c>
      <c r="AR11" s="39">
        <f t="shared" si="10"/>
        <v>7.0721130200000006</v>
      </c>
      <c r="AS11" s="39">
        <f t="shared" si="10"/>
        <v>7.0721130200000006</v>
      </c>
      <c r="AT11" s="39">
        <f t="shared" si="10"/>
        <v>7.0721130200000006</v>
      </c>
      <c r="AU11" s="39">
        <f t="shared" si="10"/>
        <v>7.0721130200000006</v>
      </c>
      <c r="AV11" s="39">
        <f t="shared" si="10"/>
        <v>7.0721130200000006</v>
      </c>
      <c r="AW11" s="39">
        <f t="shared" si="10"/>
        <v>7.0721130200000006</v>
      </c>
      <c r="AX11" s="39">
        <f t="shared" si="10"/>
        <v>7.0721130200000006</v>
      </c>
      <c r="AY11" s="39">
        <f t="shared" si="10"/>
        <v>7.0721130200000006</v>
      </c>
      <c r="AZ11" s="39">
        <f t="shared" si="10"/>
        <v>7.0721130200000006</v>
      </c>
      <c r="BA11" s="39">
        <f t="shared" si="10"/>
        <v>7.0721130200000006</v>
      </c>
      <c r="BB11" s="39">
        <f t="shared" si="10"/>
        <v>7.0721130200000006</v>
      </c>
      <c r="BC11" s="39">
        <f t="shared" si="10"/>
        <v>7.0721130200000006</v>
      </c>
      <c r="BD11" s="39">
        <f t="shared" si="10"/>
        <v>7.0721130200000006</v>
      </c>
      <c r="BE11" s="39">
        <f t="shared" si="10"/>
        <v>7.0721130200000006</v>
      </c>
      <c r="BF11" s="32"/>
      <c r="BG11" s="32"/>
      <c r="BH11" s="32"/>
      <c r="BI11" s="32"/>
      <c r="BJ11" s="32"/>
      <c r="BK11" s="32"/>
      <c r="BL11" s="32"/>
      <c r="BM11" s="34"/>
      <c r="BN11" s="34"/>
      <c r="BO11" s="34"/>
      <c r="BP11" s="34"/>
      <c r="BQ11" s="34"/>
      <c r="BR11" s="34"/>
      <c r="BS11" s="34"/>
      <c r="BT11" s="34"/>
      <c r="BU11" s="34"/>
      <c r="BV11" s="34"/>
      <c r="BW11" s="34"/>
      <c r="BX11" s="34"/>
      <c r="BY11" s="34"/>
      <c r="BZ11" s="34"/>
      <c r="CA11" s="1"/>
      <c r="CB11" s="1"/>
      <c r="CC11" s="1"/>
      <c r="CD11" s="1"/>
      <c r="CE11" s="1"/>
      <c r="CF11" s="1"/>
      <c r="CG11" s="1"/>
      <c r="CH11" s="40"/>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row>
    <row r="12" spans="1:119" ht="13.5" customHeight="1">
      <c r="A12" s="14"/>
      <c r="B12" s="19"/>
      <c r="C12" s="38" t="s">
        <v>57</v>
      </c>
      <c r="D12" s="19" t="s">
        <v>63</v>
      </c>
      <c r="E12" s="19"/>
      <c r="F12" s="19" t="s">
        <v>12</v>
      </c>
      <c r="G12" s="19"/>
      <c r="H12" s="35"/>
      <c r="I12" s="32" t="s">
        <v>51</v>
      </c>
      <c r="J12" s="32" t="s">
        <v>51</v>
      </c>
      <c r="K12" s="32" t="s">
        <v>51</v>
      </c>
      <c r="L12" s="32" t="s">
        <v>51</v>
      </c>
      <c r="M12" s="32" t="s">
        <v>51</v>
      </c>
      <c r="N12" s="39">
        <f t="shared" si="5"/>
        <v>0</v>
      </c>
      <c r="O12" s="39">
        <f t="shared" ref="O12:BE12" si="11">N12</f>
        <v>0</v>
      </c>
      <c r="P12" s="39">
        <f t="shared" si="11"/>
        <v>0</v>
      </c>
      <c r="Q12" s="39">
        <f t="shared" si="11"/>
        <v>0</v>
      </c>
      <c r="R12" s="39">
        <f t="shared" si="11"/>
        <v>0</v>
      </c>
      <c r="S12" s="39">
        <f t="shared" si="11"/>
        <v>0</v>
      </c>
      <c r="T12" s="39">
        <f t="shared" si="11"/>
        <v>0</v>
      </c>
      <c r="U12" s="39">
        <f t="shared" si="11"/>
        <v>0</v>
      </c>
      <c r="V12" s="39">
        <f t="shared" si="11"/>
        <v>0</v>
      </c>
      <c r="W12" s="39">
        <f t="shared" si="11"/>
        <v>0</v>
      </c>
      <c r="X12" s="39">
        <f t="shared" si="11"/>
        <v>0</v>
      </c>
      <c r="Y12" s="39">
        <f t="shared" si="11"/>
        <v>0</v>
      </c>
      <c r="Z12" s="39">
        <f t="shared" si="11"/>
        <v>0</v>
      </c>
      <c r="AA12" s="39">
        <f t="shared" si="11"/>
        <v>0</v>
      </c>
      <c r="AB12" s="39">
        <f t="shared" si="11"/>
        <v>0</v>
      </c>
      <c r="AC12" s="39">
        <f t="shared" si="11"/>
        <v>0</v>
      </c>
      <c r="AD12" s="39">
        <f t="shared" si="11"/>
        <v>0</v>
      </c>
      <c r="AE12" s="39">
        <f t="shared" si="11"/>
        <v>0</v>
      </c>
      <c r="AF12" s="39">
        <f t="shared" si="11"/>
        <v>0</v>
      </c>
      <c r="AG12" s="39">
        <f t="shared" si="11"/>
        <v>0</v>
      </c>
      <c r="AH12" s="39">
        <f t="shared" si="11"/>
        <v>0</v>
      </c>
      <c r="AI12" s="39">
        <f t="shared" si="11"/>
        <v>0</v>
      </c>
      <c r="AJ12" s="39">
        <f t="shared" si="11"/>
        <v>0</v>
      </c>
      <c r="AK12" s="39">
        <f t="shared" si="11"/>
        <v>0</v>
      </c>
      <c r="AL12" s="39">
        <f t="shared" si="11"/>
        <v>0</v>
      </c>
      <c r="AM12" s="39">
        <f t="shared" si="11"/>
        <v>0</v>
      </c>
      <c r="AN12" s="39">
        <f t="shared" si="11"/>
        <v>0</v>
      </c>
      <c r="AO12" s="39">
        <f t="shared" si="11"/>
        <v>0</v>
      </c>
      <c r="AP12" s="39">
        <f t="shared" si="11"/>
        <v>0</v>
      </c>
      <c r="AQ12" s="39">
        <f t="shared" si="11"/>
        <v>0</v>
      </c>
      <c r="AR12" s="39">
        <f t="shared" si="11"/>
        <v>0</v>
      </c>
      <c r="AS12" s="39">
        <f t="shared" si="11"/>
        <v>0</v>
      </c>
      <c r="AT12" s="39">
        <f t="shared" si="11"/>
        <v>0</v>
      </c>
      <c r="AU12" s="39">
        <f t="shared" si="11"/>
        <v>0</v>
      </c>
      <c r="AV12" s="39">
        <f t="shared" si="11"/>
        <v>0</v>
      </c>
      <c r="AW12" s="39">
        <f t="shared" si="11"/>
        <v>0</v>
      </c>
      <c r="AX12" s="39">
        <f t="shared" si="11"/>
        <v>0</v>
      </c>
      <c r="AY12" s="39">
        <f t="shared" si="11"/>
        <v>0</v>
      </c>
      <c r="AZ12" s="39">
        <f t="shared" si="11"/>
        <v>0</v>
      </c>
      <c r="BA12" s="39">
        <f t="shared" si="11"/>
        <v>0</v>
      </c>
      <c r="BB12" s="39">
        <f t="shared" si="11"/>
        <v>0</v>
      </c>
      <c r="BC12" s="39">
        <f t="shared" si="11"/>
        <v>0</v>
      </c>
      <c r="BD12" s="39">
        <f t="shared" si="11"/>
        <v>0</v>
      </c>
      <c r="BE12" s="39">
        <f t="shared" si="11"/>
        <v>0</v>
      </c>
      <c r="BF12" s="32"/>
      <c r="BG12" s="32"/>
      <c r="BH12" s="32"/>
      <c r="BI12" s="32"/>
      <c r="BJ12" s="32"/>
      <c r="BK12" s="32"/>
      <c r="BL12" s="32"/>
      <c r="BM12" s="34"/>
      <c r="BN12" s="34"/>
      <c r="BO12" s="34"/>
      <c r="BP12" s="34"/>
      <c r="BQ12" s="34"/>
      <c r="BR12" s="34"/>
      <c r="BS12" s="34"/>
      <c r="BT12" s="34"/>
      <c r="BU12" s="34"/>
      <c r="BV12" s="34"/>
      <c r="BW12" s="34"/>
      <c r="BX12" s="34"/>
      <c r="BY12" s="34"/>
      <c r="BZ12" s="34"/>
      <c r="CA12" s="1"/>
      <c r="CB12" s="1"/>
      <c r="CC12" s="1"/>
      <c r="CD12" s="1"/>
      <c r="CE12" s="1"/>
      <c r="CF12" s="1"/>
      <c r="CG12" s="1"/>
      <c r="CH12" s="40"/>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row>
    <row r="13" spans="1:119" ht="14.25" customHeight="1">
      <c r="A13" s="14"/>
      <c r="B13" s="19"/>
      <c r="C13" s="38" t="s">
        <v>64</v>
      </c>
      <c r="D13" s="19"/>
      <c r="E13" s="19"/>
      <c r="F13" s="19" t="s">
        <v>12</v>
      </c>
      <c r="G13" s="19"/>
      <c r="H13" s="41">
        <f>H2*'Net Zero 2050'!BO42</f>
        <v>8.3024180461868173</v>
      </c>
      <c r="I13" s="42">
        <f>I2*'Net Zero 2050'!BP42</f>
        <v>8.9713107810701533</v>
      </c>
      <c r="J13" s="42">
        <f>J2*'Net Zero 2050'!BQ42</f>
        <v>9.206037745887734</v>
      </c>
      <c r="K13" s="42">
        <f>K2*'Net Zero 2050'!BR42</f>
        <v>9.0567868131702411</v>
      </c>
      <c r="L13" s="42">
        <f>L2*'Net Zero 2050'!$BS$42</f>
        <v>8.6334329771966285</v>
      </c>
      <c r="M13" s="42">
        <f>M2*'Net Zero 2050'!$BS$42</f>
        <v>8.3195333665574935</v>
      </c>
      <c r="N13" s="42">
        <f>N2*'Net Zero 2050'!$BS$42</f>
        <v>7.9193694975897904</v>
      </c>
      <c r="O13" s="42">
        <f>O2*'Net Zero 2050'!$BS$42</f>
        <v>7.473161887115511</v>
      </c>
      <c r="P13" s="42">
        <f>P2*'Net Zero 2050'!$BS$42</f>
        <v>6.6937965301555913</v>
      </c>
      <c r="Q13" s="42">
        <f>Q2*'Net Zero 2050'!$BS$42</f>
        <v>5.5596526285100643</v>
      </c>
      <c r="R13" s="42">
        <f>R2*'Net Zero 2050'!$BS$42</f>
        <v>4.644123184902857</v>
      </c>
      <c r="S13" s="42">
        <f>S2*'Net Zero 2050'!$BS$42</f>
        <v>3.8974445978083367</v>
      </c>
      <c r="T13" s="42">
        <f>T2*'Net Zero 2050'!$BS$42</f>
        <v>3.0034758904168699</v>
      </c>
      <c r="U13" s="42">
        <f>U2*'Net Zero 2050'!$BS$42</f>
        <v>2.1617281176834706</v>
      </c>
      <c r="V13" s="42">
        <f>V2*'Net Zero 2050'!$BS$42</f>
        <v>0.68022637861471247</v>
      </c>
      <c r="W13" s="42">
        <f>W2*'Net Zero 2050'!$BS$42</f>
        <v>1.0550838330922043E-16</v>
      </c>
      <c r="X13" s="42">
        <f>X2*'Net Zero 2050'!$BS$42</f>
        <v>1.1713787616899183E-32</v>
      </c>
      <c r="Y13" s="42">
        <f>Y2*'Net Zero 2050'!$BS$42</f>
        <v>0</v>
      </c>
      <c r="Z13" s="42">
        <f t="shared" ref="Z13:BE13" si="12">Z2*0.42</f>
        <v>0</v>
      </c>
      <c r="AA13" s="42">
        <f t="shared" si="12"/>
        <v>0</v>
      </c>
      <c r="AB13" s="42">
        <f t="shared" si="12"/>
        <v>0</v>
      </c>
      <c r="AC13" s="42">
        <f t="shared" si="12"/>
        <v>0</v>
      </c>
      <c r="AD13" s="42">
        <f t="shared" si="12"/>
        <v>0</v>
      </c>
      <c r="AE13" s="42">
        <f t="shared" si="12"/>
        <v>0</v>
      </c>
      <c r="AF13" s="42">
        <f t="shared" si="12"/>
        <v>0</v>
      </c>
      <c r="AG13" s="42">
        <f t="shared" si="12"/>
        <v>0</v>
      </c>
      <c r="AH13" s="42">
        <f t="shared" si="12"/>
        <v>0</v>
      </c>
      <c r="AI13" s="42">
        <f t="shared" si="12"/>
        <v>0</v>
      </c>
      <c r="AJ13" s="42">
        <f t="shared" si="12"/>
        <v>0</v>
      </c>
      <c r="AK13" s="42">
        <f t="shared" si="12"/>
        <v>0</v>
      </c>
      <c r="AL13" s="42">
        <f t="shared" si="12"/>
        <v>0</v>
      </c>
      <c r="AM13" s="42">
        <f t="shared" si="12"/>
        <v>0</v>
      </c>
      <c r="AN13" s="42">
        <f t="shared" si="12"/>
        <v>0</v>
      </c>
      <c r="AO13" s="42">
        <f t="shared" si="12"/>
        <v>0</v>
      </c>
      <c r="AP13" s="42">
        <f t="shared" si="12"/>
        <v>0</v>
      </c>
      <c r="AQ13" s="42">
        <f t="shared" si="12"/>
        <v>0</v>
      </c>
      <c r="AR13" s="42">
        <f t="shared" si="12"/>
        <v>0</v>
      </c>
      <c r="AS13" s="42">
        <f t="shared" si="12"/>
        <v>0</v>
      </c>
      <c r="AT13" s="42">
        <f t="shared" si="12"/>
        <v>0</v>
      </c>
      <c r="AU13" s="42">
        <f t="shared" si="12"/>
        <v>0</v>
      </c>
      <c r="AV13" s="42">
        <f t="shared" si="12"/>
        <v>0</v>
      </c>
      <c r="AW13" s="42">
        <f t="shared" si="12"/>
        <v>0</v>
      </c>
      <c r="AX13" s="42">
        <f t="shared" si="12"/>
        <v>0</v>
      </c>
      <c r="AY13" s="42">
        <f t="shared" si="12"/>
        <v>0</v>
      </c>
      <c r="AZ13" s="42">
        <f t="shared" si="12"/>
        <v>0</v>
      </c>
      <c r="BA13" s="42">
        <f t="shared" si="12"/>
        <v>0</v>
      </c>
      <c r="BB13" s="42">
        <f t="shared" si="12"/>
        <v>0</v>
      </c>
      <c r="BC13" s="42">
        <f t="shared" si="12"/>
        <v>0</v>
      </c>
      <c r="BD13" s="42">
        <f t="shared" si="12"/>
        <v>0</v>
      </c>
      <c r="BE13" s="42">
        <f t="shared" si="12"/>
        <v>0</v>
      </c>
      <c r="BF13" s="42"/>
      <c r="BG13" s="42"/>
      <c r="BH13" s="42"/>
      <c r="BI13" s="42"/>
      <c r="BJ13" s="42"/>
      <c r="BK13" s="42"/>
      <c r="BL13" s="14"/>
      <c r="BM13" s="1"/>
      <c r="BN13" s="1"/>
      <c r="BO13" s="1"/>
      <c r="BP13" s="1"/>
      <c r="BQ13" s="1"/>
      <c r="BR13" s="1"/>
      <c r="BS13" s="1"/>
      <c r="BT13" s="1"/>
      <c r="BU13" s="1"/>
      <c r="BV13" s="1"/>
      <c r="BW13" s="1"/>
      <c r="BX13" s="1"/>
      <c r="BY13" s="1"/>
      <c r="BZ13" s="1"/>
      <c r="CA13" s="1"/>
      <c r="CB13" s="1"/>
      <c r="CC13" s="1"/>
      <c r="CD13" s="1" t="s">
        <v>65</v>
      </c>
      <c r="CE13" s="1"/>
      <c r="CF13" s="1"/>
      <c r="CG13" s="1"/>
      <c r="CH13" s="1"/>
      <c r="CI13" s="1"/>
      <c r="CJ13" s="1"/>
      <c r="CK13" s="1"/>
      <c r="CL13" s="1"/>
      <c r="CM13" s="1"/>
      <c r="CN13" s="1"/>
      <c r="CO13" s="1"/>
      <c r="CP13" s="1"/>
      <c r="CQ13" s="1"/>
      <c r="CR13" s="1"/>
      <c r="CS13" s="1"/>
      <c r="CT13" s="1"/>
      <c r="CU13" s="1"/>
      <c r="CV13" s="1"/>
      <c r="CW13" s="19" t="s">
        <v>66</v>
      </c>
      <c r="CX13" s="19"/>
      <c r="CY13" s="1"/>
      <c r="CZ13" s="1"/>
      <c r="DA13" s="1"/>
      <c r="DB13" s="1"/>
      <c r="DC13" s="1"/>
      <c r="DD13" s="1"/>
      <c r="DE13" s="1"/>
      <c r="DF13" s="1"/>
      <c r="DG13" s="1"/>
      <c r="DH13" s="1"/>
      <c r="DI13" s="1"/>
      <c r="DJ13" s="1"/>
      <c r="DK13" s="1"/>
      <c r="DL13" s="1"/>
      <c r="DM13" s="1"/>
      <c r="DN13" s="1"/>
      <c r="DO13" s="1"/>
    </row>
    <row r="14" spans="1:119" ht="14.25" customHeight="1">
      <c r="A14" s="14"/>
      <c r="B14" s="19"/>
      <c r="C14" s="20" t="s">
        <v>67</v>
      </c>
      <c r="D14" s="14"/>
      <c r="E14" s="14"/>
      <c r="F14" s="19" t="s">
        <v>12</v>
      </c>
      <c r="G14" s="14"/>
      <c r="H14" s="41">
        <f>H2*'Net Zero 2050'!BO41</f>
        <v>4.4398220393857013</v>
      </c>
      <c r="I14" s="42">
        <f>I2*'Net Zero 2050'!BP41</f>
        <v>5.1862802415267808</v>
      </c>
      <c r="J14" s="42">
        <f>J2*'Net Zero 2050'!BQ41</f>
        <v>5.7440879679842816</v>
      </c>
      <c r="K14" s="42">
        <f>K2*'Net Zero 2050'!BR41</f>
        <v>6.0910862403981403</v>
      </c>
      <c r="L14" s="42">
        <f>L2*'Net Zero 2050'!$BS$41</f>
        <v>6.2517962938320411</v>
      </c>
      <c r="M14" s="42">
        <f>M2*'Net Zero 2050'!$BS$41</f>
        <v>6.0244896792312881</v>
      </c>
      <c r="N14" s="42">
        <f>N2*'Net Zero 2050'!$BS$41</f>
        <v>5.7347158430822622</v>
      </c>
      <c r="O14" s="42">
        <f>O2*'Net Zero 2050'!$BS$41</f>
        <v>5.4115999872215772</v>
      </c>
      <c r="P14" s="42">
        <f>P2*'Net Zero 2050'!$BS$41</f>
        <v>4.8472319701126692</v>
      </c>
      <c r="Q14" s="42">
        <f>Q2*'Net Zero 2050'!$BS$41</f>
        <v>4.025955351679702</v>
      </c>
      <c r="R14" s="42">
        <f>R2*'Net Zero 2050'!$BS$41</f>
        <v>3.3629857545848276</v>
      </c>
      <c r="S14" s="42">
        <f>S2*'Net Zero 2050'!$BS$41</f>
        <v>2.8222874673784508</v>
      </c>
      <c r="T14" s="42">
        <f>T2*'Net Zero 2050'!$BS$41</f>
        <v>2.174930817198423</v>
      </c>
      <c r="U14" s="42">
        <f>U2*'Net Zero 2050'!$BS$41</f>
        <v>1.5653893265983754</v>
      </c>
      <c r="V14" s="42">
        <f>V2*'Net Zero 2050'!$BS$41</f>
        <v>0.49257772244513659</v>
      </c>
      <c r="W14" s="42">
        <f>W2*'Net Zero 2050'!$BS$41</f>
        <v>7.6402622396332044E-17</v>
      </c>
      <c r="X14" s="42">
        <f>X2*'Net Zero 2050'!$BS$41</f>
        <v>8.48239792947872E-33</v>
      </c>
      <c r="Y14" s="42">
        <f>Y2*'Net Zero 2050'!$BS$41</f>
        <v>0</v>
      </c>
      <c r="Z14" s="42">
        <f t="shared" ref="Z14:BE14" si="13">Z2*0.58</f>
        <v>0</v>
      </c>
      <c r="AA14" s="42">
        <f t="shared" si="13"/>
        <v>0</v>
      </c>
      <c r="AB14" s="42">
        <f t="shared" si="13"/>
        <v>0</v>
      </c>
      <c r="AC14" s="42">
        <f t="shared" si="13"/>
        <v>0</v>
      </c>
      <c r="AD14" s="42">
        <f t="shared" si="13"/>
        <v>0</v>
      </c>
      <c r="AE14" s="42">
        <f t="shared" si="13"/>
        <v>0</v>
      </c>
      <c r="AF14" s="42">
        <f t="shared" si="13"/>
        <v>0</v>
      </c>
      <c r="AG14" s="42">
        <f t="shared" si="13"/>
        <v>0</v>
      </c>
      <c r="AH14" s="42">
        <f t="shared" si="13"/>
        <v>0</v>
      </c>
      <c r="AI14" s="42">
        <f t="shared" si="13"/>
        <v>0</v>
      </c>
      <c r="AJ14" s="42">
        <f t="shared" si="13"/>
        <v>0</v>
      </c>
      <c r="AK14" s="42">
        <f t="shared" si="13"/>
        <v>0</v>
      </c>
      <c r="AL14" s="42">
        <f t="shared" si="13"/>
        <v>0</v>
      </c>
      <c r="AM14" s="42">
        <f t="shared" si="13"/>
        <v>0</v>
      </c>
      <c r="AN14" s="42">
        <f t="shared" si="13"/>
        <v>0</v>
      </c>
      <c r="AO14" s="42">
        <f t="shared" si="13"/>
        <v>0</v>
      </c>
      <c r="AP14" s="42">
        <f t="shared" si="13"/>
        <v>0</v>
      </c>
      <c r="AQ14" s="42">
        <f t="shared" si="13"/>
        <v>0</v>
      </c>
      <c r="AR14" s="42">
        <f t="shared" si="13"/>
        <v>0</v>
      </c>
      <c r="AS14" s="42">
        <f t="shared" si="13"/>
        <v>0</v>
      </c>
      <c r="AT14" s="42">
        <f t="shared" si="13"/>
        <v>0</v>
      </c>
      <c r="AU14" s="42">
        <f t="shared" si="13"/>
        <v>0</v>
      </c>
      <c r="AV14" s="42">
        <f t="shared" si="13"/>
        <v>0</v>
      </c>
      <c r="AW14" s="42">
        <f t="shared" si="13"/>
        <v>0</v>
      </c>
      <c r="AX14" s="42">
        <f t="shared" si="13"/>
        <v>0</v>
      </c>
      <c r="AY14" s="42">
        <f t="shared" si="13"/>
        <v>0</v>
      </c>
      <c r="AZ14" s="42">
        <f t="shared" si="13"/>
        <v>0</v>
      </c>
      <c r="BA14" s="42">
        <f t="shared" si="13"/>
        <v>0</v>
      </c>
      <c r="BB14" s="42">
        <f t="shared" si="13"/>
        <v>0</v>
      </c>
      <c r="BC14" s="42">
        <f t="shared" si="13"/>
        <v>0</v>
      </c>
      <c r="BD14" s="42">
        <f t="shared" si="13"/>
        <v>0</v>
      </c>
      <c r="BE14" s="42">
        <f t="shared" si="13"/>
        <v>0</v>
      </c>
      <c r="BF14" s="42"/>
      <c r="BG14" s="42"/>
      <c r="BH14" s="42"/>
      <c r="BI14" s="42"/>
      <c r="BJ14" s="42"/>
      <c r="BK14" s="42"/>
      <c r="BL14" s="14"/>
      <c r="BM14" s="1"/>
      <c r="BN14" s="1"/>
      <c r="BO14" s="1"/>
      <c r="BP14" s="1"/>
      <c r="BQ14" s="1"/>
      <c r="BR14" s="1"/>
      <c r="BS14" s="1"/>
      <c r="BT14" s="1"/>
      <c r="BU14" s="1"/>
      <c r="BV14" s="1"/>
      <c r="BW14" s="1"/>
      <c r="BX14" s="1"/>
      <c r="BY14" s="1"/>
      <c r="BZ14" s="1"/>
      <c r="CA14" s="1"/>
      <c r="CB14" s="1"/>
      <c r="CC14" s="1"/>
      <c r="CD14" s="14"/>
      <c r="CE14" s="19">
        <v>2018</v>
      </c>
      <c r="CF14" s="19">
        <v>2019</v>
      </c>
      <c r="CG14" s="19">
        <v>2020</v>
      </c>
      <c r="CH14" s="19">
        <v>2021</v>
      </c>
      <c r="CI14" s="19">
        <v>2022</v>
      </c>
      <c r="CJ14" s="19">
        <v>2023</v>
      </c>
      <c r="CK14" s="19">
        <v>2024</v>
      </c>
      <c r="CL14" s="19">
        <v>2025</v>
      </c>
      <c r="CM14" s="19"/>
      <c r="CN14" s="1"/>
      <c r="CO14" s="1"/>
      <c r="CP14" s="1"/>
      <c r="CQ14" s="1"/>
      <c r="CR14" s="1"/>
      <c r="CS14" s="1"/>
      <c r="CT14" s="1"/>
      <c r="CU14" s="1"/>
      <c r="CV14" s="1"/>
      <c r="CW14" s="43">
        <v>0.3</v>
      </c>
      <c r="CX14" s="19" t="s">
        <v>68</v>
      </c>
      <c r="CY14" s="1"/>
      <c r="CZ14" s="1"/>
      <c r="DA14" s="1"/>
      <c r="DB14" s="1"/>
      <c r="DC14" s="1"/>
      <c r="DD14" s="1"/>
      <c r="DE14" s="1"/>
      <c r="DF14" s="1"/>
      <c r="DG14" s="1"/>
      <c r="DH14" s="1"/>
      <c r="DI14" s="1"/>
      <c r="DJ14" s="1"/>
      <c r="DK14" s="1"/>
      <c r="DL14" s="1"/>
      <c r="DM14" s="1"/>
      <c r="DN14" s="1"/>
      <c r="DO14" s="1"/>
    </row>
    <row r="15" spans="1:119" ht="14.25" customHeight="1">
      <c r="A15" s="44" t="s">
        <v>69</v>
      </c>
      <c r="B15" s="45" t="s">
        <v>70</v>
      </c>
      <c r="C15" s="46" t="s">
        <v>71</v>
      </c>
      <c r="D15" s="47" t="s">
        <v>72</v>
      </c>
      <c r="E15" s="44"/>
      <c r="F15" s="48" t="s">
        <v>73</v>
      </c>
      <c r="G15" s="44"/>
      <c r="H15" s="49">
        <v>1.1000000000000001E-3</v>
      </c>
      <c r="I15" s="50">
        <f t="shared" ref="I15:U15" si="14">H15+($V$15-$H$15)/($V$1-$H$1)</f>
        <v>1.1592857142857146E-2</v>
      </c>
      <c r="J15" s="50">
        <f t="shared" si="14"/>
        <v>2.2085714285714292E-2</v>
      </c>
      <c r="K15" s="50">
        <f t="shared" si="14"/>
        <v>3.2578571428571436E-2</v>
      </c>
      <c r="L15" s="50">
        <f t="shared" si="14"/>
        <v>4.307142857142858E-2</v>
      </c>
      <c r="M15" s="50">
        <f t="shared" si="14"/>
        <v>5.3564285714285724E-2</v>
      </c>
      <c r="N15" s="50">
        <f t="shared" si="14"/>
        <v>6.4057142857142868E-2</v>
      </c>
      <c r="O15" s="50">
        <f t="shared" si="14"/>
        <v>7.4550000000000019E-2</v>
      </c>
      <c r="P15" s="50">
        <f t="shared" si="14"/>
        <v>8.504285714285717E-2</v>
      </c>
      <c r="Q15" s="50">
        <f t="shared" si="14"/>
        <v>9.5535714285714321E-2</v>
      </c>
      <c r="R15" s="50">
        <f t="shared" si="14"/>
        <v>0.10602857142857147</v>
      </c>
      <c r="S15" s="50">
        <f t="shared" si="14"/>
        <v>0.11652142857142862</v>
      </c>
      <c r="T15" s="50">
        <f t="shared" si="14"/>
        <v>0.12701428571428577</v>
      </c>
      <c r="U15" s="50">
        <f t="shared" si="14"/>
        <v>0.13750714285714291</v>
      </c>
      <c r="V15" s="50">
        <f>14.8%</f>
        <v>0.14800000000000002</v>
      </c>
      <c r="W15" s="50">
        <f t="shared" ref="W15:BE15" si="15">V15</f>
        <v>0.14800000000000002</v>
      </c>
      <c r="X15" s="50">
        <f t="shared" si="15"/>
        <v>0.14800000000000002</v>
      </c>
      <c r="Y15" s="50">
        <f t="shared" si="15"/>
        <v>0.14800000000000002</v>
      </c>
      <c r="Z15" s="50">
        <f t="shared" si="15"/>
        <v>0.14800000000000002</v>
      </c>
      <c r="AA15" s="50">
        <f t="shared" si="15"/>
        <v>0.14800000000000002</v>
      </c>
      <c r="AB15" s="50">
        <f t="shared" si="15"/>
        <v>0.14800000000000002</v>
      </c>
      <c r="AC15" s="50">
        <f t="shared" si="15"/>
        <v>0.14800000000000002</v>
      </c>
      <c r="AD15" s="50">
        <f t="shared" si="15"/>
        <v>0.14800000000000002</v>
      </c>
      <c r="AE15" s="50">
        <f t="shared" si="15"/>
        <v>0.14800000000000002</v>
      </c>
      <c r="AF15" s="50">
        <f t="shared" si="15"/>
        <v>0.14800000000000002</v>
      </c>
      <c r="AG15" s="50">
        <f t="shared" si="15"/>
        <v>0.14800000000000002</v>
      </c>
      <c r="AH15" s="50">
        <f t="shared" si="15"/>
        <v>0.14800000000000002</v>
      </c>
      <c r="AI15" s="50">
        <f t="shared" si="15"/>
        <v>0.14800000000000002</v>
      </c>
      <c r="AJ15" s="50">
        <f t="shared" si="15"/>
        <v>0.14800000000000002</v>
      </c>
      <c r="AK15" s="50">
        <f t="shared" si="15"/>
        <v>0.14800000000000002</v>
      </c>
      <c r="AL15" s="50">
        <f t="shared" si="15"/>
        <v>0.14800000000000002</v>
      </c>
      <c r="AM15" s="50">
        <f t="shared" si="15"/>
        <v>0.14800000000000002</v>
      </c>
      <c r="AN15" s="50">
        <f t="shared" si="15"/>
        <v>0.14800000000000002</v>
      </c>
      <c r="AO15" s="50">
        <f t="shared" si="15"/>
        <v>0.14800000000000002</v>
      </c>
      <c r="AP15" s="50">
        <f t="shared" si="15"/>
        <v>0.14800000000000002</v>
      </c>
      <c r="AQ15" s="50">
        <f t="shared" si="15"/>
        <v>0.14800000000000002</v>
      </c>
      <c r="AR15" s="50">
        <f t="shared" si="15"/>
        <v>0.14800000000000002</v>
      </c>
      <c r="AS15" s="50">
        <f t="shared" si="15"/>
        <v>0.14800000000000002</v>
      </c>
      <c r="AT15" s="50">
        <f t="shared" si="15"/>
        <v>0.14800000000000002</v>
      </c>
      <c r="AU15" s="50">
        <f t="shared" si="15"/>
        <v>0.14800000000000002</v>
      </c>
      <c r="AV15" s="50">
        <f t="shared" si="15"/>
        <v>0.14800000000000002</v>
      </c>
      <c r="AW15" s="50">
        <f t="shared" si="15"/>
        <v>0.14800000000000002</v>
      </c>
      <c r="AX15" s="50">
        <f t="shared" si="15"/>
        <v>0.14800000000000002</v>
      </c>
      <c r="AY15" s="50">
        <f t="shared" si="15"/>
        <v>0.14800000000000002</v>
      </c>
      <c r="AZ15" s="50">
        <f t="shared" si="15"/>
        <v>0.14800000000000002</v>
      </c>
      <c r="BA15" s="50">
        <f t="shared" si="15"/>
        <v>0.14800000000000002</v>
      </c>
      <c r="BB15" s="50">
        <f t="shared" si="15"/>
        <v>0.14800000000000002</v>
      </c>
      <c r="BC15" s="50">
        <f t="shared" si="15"/>
        <v>0.14800000000000002</v>
      </c>
      <c r="BD15" s="50">
        <f t="shared" si="15"/>
        <v>0.14800000000000002</v>
      </c>
      <c r="BE15" s="50">
        <f t="shared" si="15"/>
        <v>0.14800000000000002</v>
      </c>
      <c r="BF15" s="14"/>
      <c r="BG15" s="14"/>
      <c r="BH15" s="14"/>
      <c r="BI15" s="14"/>
      <c r="BJ15" s="14"/>
      <c r="BK15" s="14"/>
      <c r="BL15" s="1"/>
      <c r="BM15" s="1"/>
      <c r="BN15" s="1"/>
      <c r="BO15" s="1"/>
      <c r="BP15" s="1"/>
      <c r="BQ15" s="1"/>
      <c r="BR15" s="1"/>
      <c r="BS15" s="1"/>
      <c r="BT15" s="1"/>
      <c r="BU15" s="1"/>
      <c r="BV15" s="1"/>
      <c r="BW15" s="1"/>
      <c r="BX15" s="1"/>
      <c r="BY15" s="1"/>
      <c r="BZ15" s="1"/>
      <c r="CA15" s="1"/>
      <c r="CB15" s="1"/>
      <c r="CC15" s="1"/>
      <c r="CD15" s="14" t="s">
        <v>74</v>
      </c>
      <c r="CE15" s="42">
        <v>4.0599999999999996</v>
      </c>
      <c r="CF15" s="42">
        <v>4.1900000000000004</v>
      </c>
      <c r="CG15" s="42">
        <v>3.92</v>
      </c>
      <c r="CH15" s="42">
        <v>3.69</v>
      </c>
      <c r="CI15" s="42">
        <f>CE15</f>
        <v>4.0599999999999996</v>
      </c>
      <c r="CJ15" s="51">
        <f t="shared" ref="CJ15:CL15" si="16">CI15</f>
        <v>4.0599999999999996</v>
      </c>
      <c r="CK15" s="51">
        <f t="shared" si="16"/>
        <v>4.0599999999999996</v>
      </c>
      <c r="CL15" s="51">
        <f t="shared" si="16"/>
        <v>4.0599999999999996</v>
      </c>
      <c r="CM15" s="19"/>
      <c r="CN15" s="1"/>
      <c r="CO15" s="1"/>
      <c r="CP15" s="1"/>
      <c r="CQ15" s="1"/>
      <c r="CR15" s="1"/>
      <c r="CS15" s="1"/>
      <c r="CT15" s="1"/>
      <c r="CU15" s="1"/>
      <c r="CV15" s="1"/>
      <c r="CW15" s="43">
        <v>0.98</v>
      </c>
      <c r="CX15" s="19" t="s">
        <v>75</v>
      </c>
      <c r="CY15" s="1"/>
      <c r="CZ15" s="1"/>
      <c r="DA15" s="1"/>
      <c r="DB15" s="1"/>
      <c r="DC15" s="1"/>
      <c r="DD15" s="1"/>
      <c r="DE15" s="1"/>
      <c r="DF15" s="1"/>
      <c r="DG15" s="1"/>
      <c r="DH15" s="1"/>
      <c r="DI15" s="1"/>
      <c r="DJ15" s="1"/>
      <c r="DK15" s="1"/>
      <c r="DL15" s="1"/>
      <c r="DM15" s="1"/>
      <c r="DN15" s="1"/>
      <c r="DO15" s="1"/>
    </row>
    <row r="16" spans="1:119" ht="14.25" customHeight="1">
      <c r="A16" s="14"/>
      <c r="B16" s="28" t="s">
        <v>70</v>
      </c>
      <c r="C16" s="27" t="s">
        <v>76</v>
      </c>
      <c r="D16" s="19" t="s">
        <v>72</v>
      </c>
      <c r="E16" s="14"/>
      <c r="F16" s="52" t="s">
        <v>73</v>
      </c>
      <c r="G16" s="14"/>
      <c r="H16" s="53">
        <v>3.0000000000000001E-5</v>
      </c>
      <c r="I16" s="54">
        <f t="shared" ref="I16:U16" si="17">H16+($V$16-$H$16)/($V$1-$H$1)</f>
        <v>1.7071428571428571E-4</v>
      </c>
      <c r="J16" s="54">
        <f t="shared" si="17"/>
        <v>3.1142857142857144E-4</v>
      </c>
      <c r="K16" s="54">
        <f t="shared" si="17"/>
        <v>4.5214285714285712E-4</v>
      </c>
      <c r="L16" s="54">
        <f t="shared" si="17"/>
        <v>5.928571428571428E-4</v>
      </c>
      <c r="M16" s="54">
        <f t="shared" si="17"/>
        <v>7.3357142857142848E-4</v>
      </c>
      <c r="N16" s="54">
        <f t="shared" si="17"/>
        <v>8.7428571428571416E-4</v>
      </c>
      <c r="O16" s="54">
        <f t="shared" si="17"/>
        <v>1.0149999999999998E-3</v>
      </c>
      <c r="P16" s="54">
        <f t="shared" si="17"/>
        <v>1.1557142857142855E-3</v>
      </c>
      <c r="Q16" s="54">
        <f t="shared" si="17"/>
        <v>1.2964285714285712E-3</v>
      </c>
      <c r="R16" s="54">
        <f t="shared" si="17"/>
        <v>1.4371428571428569E-3</v>
      </c>
      <c r="S16" s="54">
        <f t="shared" si="17"/>
        <v>1.5778571428571426E-3</v>
      </c>
      <c r="T16" s="54">
        <f t="shared" si="17"/>
        <v>1.7185714285714282E-3</v>
      </c>
      <c r="U16" s="54">
        <f t="shared" si="17"/>
        <v>1.8592857142857139E-3</v>
      </c>
      <c r="V16" s="54">
        <v>2E-3</v>
      </c>
      <c r="W16" s="54">
        <f t="shared" ref="W16:BE16" si="18">V16</f>
        <v>2E-3</v>
      </c>
      <c r="X16" s="54">
        <f t="shared" si="18"/>
        <v>2E-3</v>
      </c>
      <c r="Y16" s="54">
        <f t="shared" si="18"/>
        <v>2E-3</v>
      </c>
      <c r="Z16" s="54">
        <f t="shared" si="18"/>
        <v>2E-3</v>
      </c>
      <c r="AA16" s="54">
        <f t="shared" si="18"/>
        <v>2E-3</v>
      </c>
      <c r="AB16" s="54">
        <f t="shared" si="18"/>
        <v>2E-3</v>
      </c>
      <c r="AC16" s="54">
        <f t="shared" si="18"/>
        <v>2E-3</v>
      </c>
      <c r="AD16" s="54">
        <f t="shared" si="18"/>
        <v>2E-3</v>
      </c>
      <c r="AE16" s="54">
        <f t="shared" si="18"/>
        <v>2E-3</v>
      </c>
      <c r="AF16" s="54">
        <f t="shared" si="18"/>
        <v>2E-3</v>
      </c>
      <c r="AG16" s="54">
        <f t="shared" si="18"/>
        <v>2E-3</v>
      </c>
      <c r="AH16" s="54">
        <f t="shared" si="18"/>
        <v>2E-3</v>
      </c>
      <c r="AI16" s="54">
        <f t="shared" si="18"/>
        <v>2E-3</v>
      </c>
      <c r="AJ16" s="54">
        <f t="shared" si="18"/>
        <v>2E-3</v>
      </c>
      <c r="AK16" s="54">
        <f t="shared" si="18"/>
        <v>2E-3</v>
      </c>
      <c r="AL16" s="54">
        <f t="shared" si="18"/>
        <v>2E-3</v>
      </c>
      <c r="AM16" s="54">
        <f t="shared" si="18"/>
        <v>2E-3</v>
      </c>
      <c r="AN16" s="54">
        <f t="shared" si="18"/>
        <v>2E-3</v>
      </c>
      <c r="AO16" s="54">
        <f t="shared" si="18"/>
        <v>2E-3</v>
      </c>
      <c r="AP16" s="54">
        <f t="shared" si="18"/>
        <v>2E-3</v>
      </c>
      <c r="AQ16" s="54">
        <f t="shared" si="18"/>
        <v>2E-3</v>
      </c>
      <c r="AR16" s="54">
        <f t="shared" si="18"/>
        <v>2E-3</v>
      </c>
      <c r="AS16" s="54">
        <f t="shared" si="18"/>
        <v>2E-3</v>
      </c>
      <c r="AT16" s="54">
        <f t="shared" si="18"/>
        <v>2E-3</v>
      </c>
      <c r="AU16" s="54">
        <f t="shared" si="18"/>
        <v>2E-3</v>
      </c>
      <c r="AV16" s="54">
        <f t="shared" si="18"/>
        <v>2E-3</v>
      </c>
      <c r="AW16" s="54">
        <f t="shared" si="18"/>
        <v>2E-3</v>
      </c>
      <c r="AX16" s="54">
        <f t="shared" si="18"/>
        <v>2E-3</v>
      </c>
      <c r="AY16" s="54">
        <f t="shared" si="18"/>
        <v>2E-3</v>
      </c>
      <c r="AZ16" s="54">
        <f t="shared" si="18"/>
        <v>2E-3</v>
      </c>
      <c r="BA16" s="54">
        <f t="shared" si="18"/>
        <v>2E-3</v>
      </c>
      <c r="BB16" s="54">
        <f t="shared" si="18"/>
        <v>2E-3</v>
      </c>
      <c r="BC16" s="54">
        <f t="shared" si="18"/>
        <v>2E-3</v>
      </c>
      <c r="BD16" s="54">
        <f t="shared" si="18"/>
        <v>2E-3</v>
      </c>
      <c r="BE16" s="54">
        <f t="shared" si="18"/>
        <v>2E-3</v>
      </c>
      <c r="BF16" s="14"/>
      <c r="BG16" s="14"/>
      <c r="BH16" s="14"/>
      <c r="BI16" s="14"/>
      <c r="BJ16" s="14"/>
      <c r="BK16" s="14"/>
      <c r="BL16" s="1"/>
      <c r="BM16" s="1"/>
      <c r="BN16" s="1"/>
      <c r="BO16" s="1"/>
      <c r="BP16" s="1"/>
      <c r="BQ16" s="1"/>
      <c r="BR16" s="1"/>
      <c r="BS16" s="1"/>
      <c r="BT16" s="1"/>
      <c r="BU16" s="1"/>
      <c r="BV16" s="1"/>
      <c r="BW16" s="1"/>
      <c r="BX16" s="1"/>
      <c r="BY16" s="1"/>
      <c r="BZ16" s="1"/>
      <c r="CA16" s="1"/>
      <c r="CB16" s="1"/>
      <c r="CC16" s="1"/>
      <c r="CD16" s="14"/>
      <c r="CE16" s="42"/>
      <c r="CF16" s="42"/>
      <c r="CG16" s="42"/>
      <c r="CH16" s="42"/>
      <c r="CI16" s="42"/>
      <c r="CJ16" s="51"/>
      <c r="CK16" s="51"/>
      <c r="CL16" s="51"/>
      <c r="CM16" s="19"/>
      <c r="CN16" s="1"/>
      <c r="CO16" s="1"/>
      <c r="CP16" s="1"/>
      <c r="CQ16" s="1"/>
      <c r="CR16" s="1"/>
      <c r="CS16" s="1"/>
      <c r="CT16" s="1"/>
      <c r="CU16" s="1"/>
      <c r="CV16" s="1"/>
      <c r="CW16" s="43"/>
      <c r="CX16" s="19"/>
      <c r="CY16" s="1"/>
      <c r="CZ16" s="1"/>
      <c r="DA16" s="1"/>
      <c r="DB16" s="1"/>
      <c r="DC16" s="1"/>
      <c r="DD16" s="1"/>
      <c r="DE16" s="1"/>
      <c r="DF16" s="1"/>
      <c r="DG16" s="1"/>
      <c r="DH16" s="1"/>
      <c r="DI16" s="1"/>
      <c r="DJ16" s="1"/>
      <c r="DK16" s="1"/>
      <c r="DL16" s="1"/>
      <c r="DM16" s="1"/>
      <c r="DN16" s="1"/>
      <c r="DO16" s="1"/>
    </row>
    <row r="17" spans="1:119" ht="14.25" customHeight="1">
      <c r="A17" s="14"/>
      <c r="B17" s="19" t="s">
        <v>77</v>
      </c>
      <c r="C17" s="55" t="s">
        <v>78</v>
      </c>
      <c r="D17" s="19" t="s">
        <v>72</v>
      </c>
      <c r="E17" s="14"/>
      <c r="F17" s="19" t="s">
        <v>79</v>
      </c>
      <c r="G17" s="56" t="s">
        <v>80</v>
      </c>
      <c r="H17" s="57"/>
      <c r="I17" s="14"/>
      <c r="J17" s="14"/>
      <c r="K17" s="1">
        <v>0.32</v>
      </c>
      <c r="L17" s="1"/>
      <c r="M17" s="1">
        <v>0.27</v>
      </c>
      <c r="N17" s="1">
        <v>0.12</v>
      </c>
      <c r="O17" s="1"/>
      <c r="P17" s="1"/>
      <c r="Q17" s="58"/>
      <c r="R17" s="1"/>
      <c r="S17" s="1"/>
      <c r="T17" s="1"/>
      <c r="U17" s="1"/>
      <c r="V17" s="1"/>
      <c r="W17" s="1"/>
      <c r="X17" s="1"/>
      <c r="Y17" s="1"/>
      <c r="Z17" s="1"/>
      <c r="AA17" s="1"/>
      <c r="AB17" s="1"/>
      <c r="AC17" s="1"/>
      <c r="AD17" s="1"/>
      <c r="AE17" s="1"/>
      <c r="AF17" s="1"/>
      <c r="AG17" s="1"/>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 t="s">
        <v>81</v>
      </c>
      <c r="BM17" s="59" t="s">
        <v>82</v>
      </c>
      <c r="BN17" s="1"/>
      <c r="BO17" s="1"/>
      <c r="BP17" s="1"/>
      <c r="BQ17" s="1"/>
      <c r="BR17" s="1"/>
      <c r="BS17" s="1"/>
      <c r="BT17" s="1"/>
      <c r="BU17" s="1"/>
      <c r="BV17" s="1"/>
      <c r="BW17" s="1"/>
      <c r="BX17" s="1"/>
      <c r="BY17" s="1"/>
      <c r="BZ17" s="1"/>
      <c r="CA17" s="1"/>
      <c r="CB17" s="1"/>
      <c r="CC17" s="1"/>
      <c r="CD17" s="14" t="s">
        <v>83</v>
      </c>
      <c r="CE17" s="60">
        <f t="shared" ref="CE17:CL17" si="19">CE15*$CW$14/$CW$15</f>
        <v>1.2428571428571427</v>
      </c>
      <c r="CF17" s="60">
        <f t="shared" si="19"/>
        <v>1.28265306122449</v>
      </c>
      <c r="CG17" s="60">
        <f t="shared" si="19"/>
        <v>1.2</v>
      </c>
      <c r="CH17" s="60">
        <f t="shared" si="19"/>
        <v>1.129591836734694</v>
      </c>
      <c r="CI17" s="60">
        <f t="shared" si="19"/>
        <v>1.2428571428571427</v>
      </c>
      <c r="CJ17" s="60">
        <f t="shared" si="19"/>
        <v>1.2428571428571427</v>
      </c>
      <c r="CK17" s="60">
        <f t="shared" si="19"/>
        <v>1.2428571428571427</v>
      </c>
      <c r="CL17" s="60">
        <f t="shared" si="19"/>
        <v>1.2428571428571427</v>
      </c>
      <c r="CM17" s="60"/>
      <c r="CN17" s="60"/>
      <c r="CO17" s="60"/>
      <c r="CP17" s="60"/>
      <c r="CQ17" s="60"/>
      <c r="CR17" s="60"/>
      <c r="CS17" s="60"/>
      <c r="CT17" s="60"/>
      <c r="CU17" s="60"/>
      <c r="CV17" s="1"/>
      <c r="CW17" s="1"/>
      <c r="CX17" s="1"/>
      <c r="CY17" s="1"/>
      <c r="CZ17" s="1"/>
      <c r="DA17" s="1"/>
      <c r="DB17" s="1"/>
      <c r="DC17" s="1"/>
      <c r="DD17" s="1"/>
      <c r="DE17" s="1"/>
      <c r="DF17" s="1"/>
      <c r="DG17" s="1"/>
      <c r="DH17" s="1"/>
      <c r="DI17" s="1"/>
      <c r="DJ17" s="1"/>
      <c r="DK17" s="1"/>
      <c r="DL17" s="1"/>
      <c r="DM17" s="1"/>
      <c r="DN17" s="1"/>
      <c r="DO17" s="1"/>
    </row>
    <row r="18" spans="1:119" ht="14.25" customHeight="1">
      <c r="A18" s="14"/>
      <c r="B18" s="19" t="s">
        <v>77</v>
      </c>
      <c r="C18" s="55" t="s">
        <v>78</v>
      </c>
      <c r="D18" s="19" t="s">
        <v>84</v>
      </c>
      <c r="E18" s="14"/>
      <c r="F18" s="19" t="s">
        <v>79</v>
      </c>
      <c r="G18" s="56" t="s">
        <v>80</v>
      </c>
      <c r="H18" s="57"/>
      <c r="I18" s="61">
        <v>0.05</v>
      </c>
      <c r="J18" s="1"/>
      <c r="K18" s="1">
        <v>0.31</v>
      </c>
      <c r="L18" s="1"/>
      <c r="M18" s="1">
        <v>0.13</v>
      </c>
      <c r="N18" s="1"/>
      <c r="O18" s="1">
        <v>0.32</v>
      </c>
      <c r="P18" s="1"/>
      <c r="Q18" s="1"/>
      <c r="R18" s="1"/>
      <c r="S18" s="1"/>
      <c r="T18" s="1"/>
      <c r="U18" s="1"/>
      <c r="V18" s="1"/>
      <c r="W18" s="1"/>
      <c r="X18" s="1"/>
      <c r="Y18" s="1"/>
      <c r="Z18" s="1"/>
      <c r="AA18" s="1"/>
      <c r="AB18" s="1"/>
      <c r="AC18" s="1"/>
      <c r="AD18" s="1"/>
      <c r="AE18" s="1"/>
      <c r="AF18" s="1"/>
      <c r="AG18" s="1"/>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 t="s">
        <v>81</v>
      </c>
      <c r="BM18" s="59" t="s">
        <v>85</v>
      </c>
      <c r="BN18" s="1"/>
      <c r="BO18" s="1"/>
      <c r="BP18" s="1"/>
      <c r="BQ18" s="1"/>
      <c r="BR18" s="1"/>
      <c r="BS18" s="1"/>
      <c r="BT18" s="1"/>
      <c r="BU18" s="1"/>
      <c r="BV18" s="1"/>
      <c r="BW18" s="1"/>
      <c r="BX18" s="1"/>
      <c r="BY18" s="1"/>
      <c r="BZ18" s="1"/>
      <c r="CA18" s="1"/>
      <c r="CB18" s="1"/>
      <c r="CC18" s="1"/>
      <c r="CD18" s="1"/>
      <c r="CE18" s="1"/>
      <c r="CF18" s="1"/>
      <c r="CG18" s="1"/>
      <c r="CH18" s="1">
        <f t="shared" ref="CH18:CI18" si="20">1*CH15+0*CH17</f>
        <v>3.69</v>
      </c>
      <c r="CI18" s="1">
        <f t="shared" si="20"/>
        <v>4.0599999999999996</v>
      </c>
      <c r="CJ18" s="1">
        <f>0.75*CJ15+0.25*CJ17</f>
        <v>3.3557142857142854</v>
      </c>
      <c r="CK18" s="1">
        <f>0.5*CK15+0.5*CK17</f>
        <v>2.6514285714285712</v>
      </c>
      <c r="CL18" s="1">
        <f>0*CL15+1*CL17</f>
        <v>1.2428571428571427</v>
      </c>
      <c r="CM18" s="1">
        <f t="shared" ref="CM18:CX18" si="21">CL18</f>
        <v>1.2428571428571427</v>
      </c>
      <c r="CN18" s="1">
        <f t="shared" si="21"/>
        <v>1.2428571428571427</v>
      </c>
      <c r="CO18" s="1">
        <f t="shared" si="21"/>
        <v>1.2428571428571427</v>
      </c>
      <c r="CP18" s="1">
        <f t="shared" si="21"/>
        <v>1.2428571428571427</v>
      </c>
      <c r="CQ18" s="1">
        <f t="shared" si="21"/>
        <v>1.2428571428571427</v>
      </c>
      <c r="CR18" s="1">
        <f t="shared" si="21"/>
        <v>1.2428571428571427</v>
      </c>
      <c r="CS18" s="1">
        <f t="shared" si="21"/>
        <v>1.2428571428571427</v>
      </c>
      <c r="CT18" s="1">
        <f t="shared" si="21"/>
        <v>1.2428571428571427</v>
      </c>
      <c r="CU18" s="1">
        <f t="shared" si="21"/>
        <v>1.2428571428571427</v>
      </c>
      <c r="CV18" s="1">
        <f t="shared" si="21"/>
        <v>1.2428571428571427</v>
      </c>
      <c r="CW18" s="1">
        <f t="shared" si="21"/>
        <v>1.2428571428571427</v>
      </c>
      <c r="CX18" s="1">
        <f t="shared" si="21"/>
        <v>1.2428571428571427</v>
      </c>
      <c r="CY18" s="1"/>
      <c r="CZ18" s="1"/>
      <c r="DA18" s="1"/>
      <c r="DB18" s="1"/>
      <c r="DC18" s="1"/>
      <c r="DD18" s="1"/>
      <c r="DE18" s="1"/>
      <c r="DF18" s="1"/>
      <c r="DG18" s="1"/>
      <c r="DH18" s="1"/>
      <c r="DI18" s="1"/>
      <c r="DJ18" s="1"/>
      <c r="DK18" s="1"/>
      <c r="DL18" s="1"/>
      <c r="DM18" s="1"/>
      <c r="DN18" s="1"/>
      <c r="DO18" s="1"/>
    </row>
    <row r="19" spans="1:119" ht="13.5" customHeight="1">
      <c r="A19" s="14"/>
      <c r="B19" s="19" t="s">
        <v>77</v>
      </c>
      <c r="C19" s="55" t="s">
        <v>78</v>
      </c>
      <c r="D19" s="19" t="s">
        <v>86</v>
      </c>
      <c r="E19" s="14"/>
      <c r="F19" s="19" t="s">
        <v>79</v>
      </c>
      <c r="G19" s="56" t="s">
        <v>80</v>
      </c>
      <c r="H19" s="57"/>
      <c r="I19" s="14"/>
      <c r="J19" s="14"/>
      <c r="K19" s="1">
        <v>0.03</v>
      </c>
      <c r="L19" s="1"/>
      <c r="M19" s="1"/>
      <c r="N19" s="1">
        <v>0.1</v>
      </c>
      <c r="O19" s="1"/>
      <c r="P19" s="1"/>
      <c r="Q19" s="1"/>
      <c r="R19" s="1"/>
      <c r="S19" s="1"/>
      <c r="T19" s="1"/>
      <c r="U19" s="1"/>
      <c r="V19" s="1"/>
      <c r="W19" s="1"/>
      <c r="X19" s="1"/>
      <c r="Y19" s="1"/>
      <c r="Z19" s="1"/>
      <c r="AA19" s="1"/>
      <c r="AB19" s="1"/>
      <c r="AC19" s="1"/>
      <c r="AD19" s="1"/>
      <c r="AE19" s="1"/>
      <c r="AF19" s="1"/>
      <c r="AG19" s="1"/>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 t="s">
        <v>81</v>
      </c>
      <c r="BM19" s="59" t="s">
        <v>87</v>
      </c>
      <c r="BN19" s="1"/>
      <c r="BO19" s="1"/>
      <c r="BP19" s="1"/>
      <c r="BQ19" s="1"/>
      <c r="BR19" s="1"/>
      <c r="BS19" s="1"/>
      <c r="BT19" s="1"/>
      <c r="BU19" s="1"/>
      <c r="BV19" s="1"/>
      <c r="BW19" s="1"/>
      <c r="BX19" s="1"/>
      <c r="BY19" s="1"/>
      <c r="BZ19" s="1"/>
      <c r="CA19" s="1"/>
      <c r="CB19" s="1"/>
      <c r="CC19" s="1"/>
      <c r="CD19" s="14" t="s">
        <v>88</v>
      </c>
      <c r="CE19" s="1"/>
      <c r="CF19" s="1"/>
      <c r="CG19" s="1"/>
      <c r="CH19" s="1">
        <f t="shared" ref="CH19:CX19" si="22">CH18*CH2</f>
        <v>3.69</v>
      </c>
      <c r="CI19" s="1">
        <f t="shared" si="22"/>
        <v>3.7701178574331458</v>
      </c>
      <c r="CJ19" s="1">
        <f t="shared" si="22"/>
        <v>3.0436914348593436</v>
      </c>
      <c r="CK19" s="1">
        <f t="shared" si="22"/>
        <v>2.3543783579385207</v>
      </c>
      <c r="CL19" s="1">
        <f t="shared" si="22"/>
        <v>1.0869343807978635</v>
      </c>
      <c r="CM19" s="1">
        <f t="shared" si="22"/>
        <v>1.078957273974583</v>
      </c>
      <c r="CN19" s="1">
        <f t="shared" si="22"/>
        <v>1.0763865635578105</v>
      </c>
      <c r="CO19" s="1">
        <f t="shared" si="22"/>
        <v>1.0758128652840326</v>
      </c>
      <c r="CP19" s="1">
        <f t="shared" si="22"/>
        <v>1.0281891382392627</v>
      </c>
      <c r="CQ19" s="1">
        <f t="shared" si="22"/>
        <v>0.95900852140242754</v>
      </c>
      <c r="CR19" s="1">
        <f t="shared" si="22"/>
        <v>1.0381910630649989</v>
      </c>
      <c r="CS19" s="1">
        <f t="shared" si="22"/>
        <v>1.0430315184194234</v>
      </c>
      <c r="CT19" s="1">
        <f t="shared" si="22"/>
        <v>0.95777922434175289</v>
      </c>
      <c r="CU19" s="1">
        <f t="shared" si="22"/>
        <v>0.89453664021425594</v>
      </c>
      <c r="CV19" s="1">
        <f t="shared" si="22"/>
        <v>0.39108720773225975</v>
      </c>
      <c r="CW19" s="1">
        <f t="shared" si="22"/>
        <v>1.927767754232425E-16</v>
      </c>
      <c r="CX19" s="1">
        <f t="shared" si="22"/>
        <v>1.3798490843051728E-16</v>
      </c>
      <c r="CY19" s="1"/>
      <c r="CZ19" s="1"/>
      <c r="DA19" s="1"/>
      <c r="DB19" s="1"/>
      <c r="DC19" s="1"/>
      <c r="DD19" s="1"/>
      <c r="DE19" s="1"/>
      <c r="DF19" s="1"/>
      <c r="DG19" s="1"/>
      <c r="DH19" s="1"/>
      <c r="DI19" s="1"/>
      <c r="DJ19" s="1"/>
      <c r="DK19" s="1"/>
      <c r="DL19" s="1"/>
      <c r="DM19" s="1"/>
      <c r="DN19" s="1"/>
      <c r="DO19" s="1"/>
    </row>
    <row r="20" spans="1:119" ht="14.25" customHeight="1">
      <c r="A20" s="14"/>
      <c r="B20" s="19" t="s">
        <v>77</v>
      </c>
      <c r="C20" s="55" t="s">
        <v>78</v>
      </c>
      <c r="D20" s="19" t="s">
        <v>89</v>
      </c>
      <c r="E20" s="14"/>
      <c r="F20" s="19" t="s">
        <v>79</v>
      </c>
      <c r="G20" s="56" t="s">
        <v>80</v>
      </c>
      <c r="H20" s="57"/>
      <c r="I20" s="14"/>
      <c r="J20" s="14"/>
      <c r="K20" s="1">
        <v>0.15</v>
      </c>
      <c r="L20" s="1"/>
      <c r="M20" s="1"/>
      <c r="N20" s="1"/>
      <c r="O20" s="1"/>
      <c r="P20" s="1"/>
      <c r="Q20" s="1"/>
      <c r="R20" s="1"/>
      <c r="S20" s="1"/>
      <c r="T20" s="1"/>
      <c r="U20" s="1"/>
      <c r="V20" s="1"/>
      <c r="W20" s="1"/>
      <c r="X20" s="1"/>
      <c r="Y20" s="1"/>
      <c r="Z20" s="1"/>
      <c r="AA20" s="1"/>
      <c r="AB20" s="1"/>
      <c r="AC20" s="1"/>
      <c r="AD20" s="1"/>
      <c r="AE20" s="1"/>
      <c r="AF20" s="1"/>
      <c r="AG20" s="1"/>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 t="s">
        <v>81</v>
      </c>
      <c r="BM20" s="59" t="s">
        <v>90</v>
      </c>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row>
    <row r="21" spans="1:119" ht="14.25" customHeight="1">
      <c r="A21" s="14"/>
      <c r="B21" s="19" t="s">
        <v>91</v>
      </c>
      <c r="C21" s="55" t="s">
        <v>78</v>
      </c>
      <c r="D21" s="19" t="s">
        <v>92</v>
      </c>
      <c r="E21" s="14"/>
      <c r="F21" s="19" t="s">
        <v>79</v>
      </c>
      <c r="G21" s="56" t="s">
        <v>80</v>
      </c>
      <c r="H21" s="57"/>
      <c r="I21" s="19">
        <v>7.9000000000000001E-2</v>
      </c>
      <c r="J21" s="19">
        <v>0.21440000000000001</v>
      </c>
      <c r="K21" s="1">
        <v>6.1199999999999997E-2</v>
      </c>
      <c r="L21" s="1">
        <v>7.918E-2</v>
      </c>
      <c r="M21" s="1"/>
      <c r="N21" s="1"/>
      <c r="O21" s="1">
        <v>0.19400000000000001</v>
      </c>
      <c r="P21" s="1"/>
      <c r="Q21" s="1">
        <v>0.59560000000000002</v>
      </c>
      <c r="R21" s="1"/>
      <c r="S21" s="1">
        <v>2.4</v>
      </c>
      <c r="T21" s="1"/>
      <c r="U21" s="1"/>
      <c r="V21" s="1"/>
      <c r="W21" s="1"/>
      <c r="X21" s="1"/>
      <c r="Y21" s="1"/>
      <c r="Z21" s="1"/>
      <c r="AA21" s="1"/>
      <c r="AB21" s="1"/>
      <c r="AC21" s="1"/>
      <c r="AD21" s="1"/>
      <c r="AE21" s="1"/>
      <c r="AF21" s="1"/>
      <c r="AG21" s="1"/>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
      <c r="BM21" s="59"/>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row>
    <row r="22" spans="1:119" ht="13.5" customHeight="1">
      <c r="A22" s="14"/>
      <c r="B22" s="28" t="s">
        <v>70</v>
      </c>
      <c r="C22" s="1" t="s">
        <v>93</v>
      </c>
      <c r="D22" s="19" t="s">
        <v>94</v>
      </c>
      <c r="E22" s="14"/>
      <c r="F22" s="62" t="s">
        <v>95</v>
      </c>
      <c r="G22" s="63"/>
      <c r="H22" s="41">
        <v>0.12</v>
      </c>
      <c r="I22" s="19">
        <v>10000</v>
      </c>
      <c r="J22" s="19">
        <v>10000</v>
      </c>
      <c r="K22" s="19">
        <v>10000</v>
      </c>
      <c r="L22" s="19">
        <v>10000</v>
      </c>
      <c r="M22" s="19">
        <v>10000</v>
      </c>
      <c r="N22" s="19">
        <v>10000</v>
      </c>
      <c r="O22" s="19">
        <v>10000</v>
      </c>
      <c r="P22" s="19">
        <v>10000</v>
      </c>
      <c r="Q22" s="19">
        <v>10000</v>
      </c>
      <c r="R22" s="19">
        <v>10000</v>
      </c>
      <c r="S22" s="19">
        <v>10000</v>
      </c>
      <c r="T22" s="19">
        <v>10000</v>
      </c>
      <c r="U22" s="19">
        <v>10000</v>
      </c>
      <c r="V22" s="19">
        <v>10000</v>
      </c>
      <c r="W22" s="19">
        <v>10000</v>
      </c>
      <c r="X22" s="19">
        <v>10000</v>
      </c>
      <c r="Y22" s="19">
        <v>10000</v>
      </c>
      <c r="Z22" s="19">
        <v>10000</v>
      </c>
      <c r="AA22" s="19">
        <v>10000</v>
      </c>
      <c r="AB22" s="19">
        <v>10000</v>
      </c>
      <c r="AC22" s="19">
        <v>10000</v>
      </c>
      <c r="AD22" s="19">
        <v>10000</v>
      </c>
      <c r="AE22" s="19">
        <v>10000</v>
      </c>
      <c r="AF22" s="19">
        <v>10000</v>
      </c>
      <c r="AG22" s="19">
        <v>10000</v>
      </c>
      <c r="AH22" s="19">
        <v>10000</v>
      </c>
      <c r="AI22" s="19">
        <v>10000</v>
      </c>
      <c r="AJ22" s="19">
        <v>10000</v>
      </c>
      <c r="AK22" s="19">
        <v>10000</v>
      </c>
      <c r="AL22" s="19">
        <v>10000</v>
      </c>
      <c r="AM22" s="19">
        <v>10000</v>
      </c>
      <c r="AN22" s="19">
        <v>10000</v>
      </c>
      <c r="AO22" s="19">
        <v>10000</v>
      </c>
      <c r="AP22" s="19">
        <v>10000</v>
      </c>
      <c r="AQ22" s="19">
        <v>10000</v>
      </c>
      <c r="AR22" s="19">
        <v>10000</v>
      </c>
      <c r="AS22" s="19">
        <v>10000</v>
      </c>
      <c r="AT22" s="19">
        <v>10000</v>
      </c>
      <c r="AU22" s="19">
        <v>10000</v>
      </c>
      <c r="AV22" s="19">
        <v>10000</v>
      </c>
      <c r="AW22" s="19">
        <v>10000</v>
      </c>
      <c r="AX22" s="19">
        <v>10000</v>
      </c>
      <c r="AY22" s="19">
        <v>10000</v>
      </c>
      <c r="AZ22" s="19">
        <v>10000</v>
      </c>
      <c r="BA22" s="19">
        <v>10000</v>
      </c>
      <c r="BB22" s="19">
        <v>10000</v>
      </c>
      <c r="BC22" s="19">
        <v>10000</v>
      </c>
      <c r="BD22" s="19">
        <v>10000</v>
      </c>
      <c r="BE22" s="19">
        <v>10000</v>
      </c>
      <c r="BF22" s="14"/>
      <c r="BG22" s="14"/>
      <c r="BH22" s="14"/>
      <c r="BI22" s="14"/>
      <c r="BJ22" s="14"/>
      <c r="BK22" s="14"/>
      <c r="BL22" s="1" t="s">
        <v>96</v>
      </c>
      <c r="BM22" s="1" t="s">
        <v>97</v>
      </c>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row>
    <row r="23" spans="1:119" ht="14.25" customHeight="1">
      <c r="A23" s="1"/>
      <c r="B23" s="28" t="s">
        <v>70</v>
      </c>
      <c r="C23" s="27" t="s">
        <v>98</v>
      </c>
      <c r="D23" s="1" t="s">
        <v>99</v>
      </c>
      <c r="E23" s="1" t="s">
        <v>100</v>
      </c>
      <c r="F23" s="52" t="s">
        <v>73</v>
      </c>
      <c r="G23" s="1"/>
      <c r="H23" s="64">
        <v>3.6400000000000002E-2</v>
      </c>
      <c r="I23" s="54">
        <f t="shared" ref="I23:U23" si="23">H23+($V$23-$H$23)/($V$1-$H$1)</f>
        <v>3.4157142857142858E-2</v>
      </c>
      <c r="J23" s="54">
        <f t="shared" si="23"/>
        <v>3.1914285714285714E-2</v>
      </c>
      <c r="K23" s="54">
        <f t="shared" si="23"/>
        <v>2.9671428571428571E-2</v>
      </c>
      <c r="L23" s="54">
        <f t="shared" si="23"/>
        <v>2.7428571428571427E-2</v>
      </c>
      <c r="M23" s="54">
        <f t="shared" si="23"/>
        <v>2.5185714285714284E-2</v>
      </c>
      <c r="N23" s="54">
        <f t="shared" si="23"/>
        <v>2.294285714285714E-2</v>
      </c>
      <c r="O23" s="54">
        <f t="shared" si="23"/>
        <v>2.0699999999999996E-2</v>
      </c>
      <c r="P23" s="54">
        <f t="shared" si="23"/>
        <v>1.8457142857142853E-2</v>
      </c>
      <c r="Q23" s="54">
        <f t="shared" si="23"/>
        <v>1.6214285714285709E-2</v>
      </c>
      <c r="R23" s="54">
        <f t="shared" si="23"/>
        <v>1.3971428571428565E-2</v>
      </c>
      <c r="S23" s="54">
        <f t="shared" si="23"/>
        <v>1.1728571428571422E-2</v>
      </c>
      <c r="T23" s="54">
        <f t="shared" si="23"/>
        <v>9.4857142857142779E-3</v>
      </c>
      <c r="U23" s="54">
        <f t="shared" si="23"/>
        <v>7.2428571428571342E-3</v>
      </c>
      <c r="V23" s="65">
        <v>5.0000000000000001E-3</v>
      </c>
      <c r="W23" s="65">
        <v>5.0000000000000001E-3</v>
      </c>
      <c r="X23" s="65">
        <v>5.0000000000000001E-3</v>
      </c>
      <c r="Y23" s="65">
        <v>5.0000000000000001E-3</v>
      </c>
      <c r="Z23" s="65">
        <v>5.0000000000000001E-3</v>
      </c>
      <c r="AA23" s="65">
        <v>5.0000000000000001E-3</v>
      </c>
      <c r="AB23" s="65">
        <v>5.0000000000000001E-3</v>
      </c>
      <c r="AC23" s="65">
        <v>5.0000000000000001E-3</v>
      </c>
      <c r="AD23" s="65">
        <v>5.0000000000000001E-3</v>
      </c>
      <c r="AE23" s="65">
        <v>5.0000000000000001E-3</v>
      </c>
      <c r="AF23" s="65">
        <v>5.0000000000000001E-3</v>
      </c>
      <c r="AG23" s="65">
        <v>5.0000000000000001E-3</v>
      </c>
      <c r="AH23" s="65">
        <v>5.0000000000000001E-3</v>
      </c>
      <c r="AI23" s="65">
        <v>5.0000000000000001E-3</v>
      </c>
      <c r="AJ23" s="65">
        <v>5.0000000000000001E-3</v>
      </c>
      <c r="AK23" s="65">
        <v>5.0000000000000001E-3</v>
      </c>
      <c r="AL23" s="65">
        <v>5.0000000000000001E-3</v>
      </c>
      <c r="AM23" s="65">
        <v>5.0000000000000001E-3</v>
      </c>
      <c r="AN23" s="65">
        <v>5.0000000000000001E-3</v>
      </c>
      <c r="AO23" s="65">
        <v>5.0000000000000001E-3</v>
      </c>
      <c r="AP23" s="65">
        <v>5.0000000000000001E-3</v>
      </c>
      <c r="AQ23" s="65">
        <v>5.0000000000000001E-3</v>
      </c>
      <c r="AR23" s="65">
        <v>5.0000000000000001E-3</v>
      </c>
      <c r="AS23" s="65">
        <v>5.0000000000000001E-3</v>
      </c>
      <c r="AT23" s="65">
        <v>5.0000000000000001E-3</v>
      </c>
      <c r="AU23" s="65">
        <v>5.0000000000000001E-3</v>
      </c>
      <c r="AV23" s="65">
        <v>5.0000000000000001E-3</v>
      </c>
      <c r="AW23" s="65">
        <v>5.0000000000000001E-3</v>
      </c>
      <c r="AX23" s="65">
        <v>5.0000000000000001E-3</v>
      </c>
      <c r="AY23" s="65">
        <v>5.0000000000000001E-3</v>
      </c>
      <c r="AZ23" s="65">
        <v>5.0000000000000001E-3</v>
      </c>
      <c r="BA23" s="65">
        <v>5.0000000000000001E-3</v>
      </c>
      <c r="BB23" s="65">
        <v>5.0000000000000001E-3</v>
      </c>
      <c r="BC23" s="65">
        <v>5.0000000000000001E-3</v>
      </c>
      <c r="BD23" s="65">
        <v>5.0000000000000001E-3</v>
      </c>
      <c r="BE23" s="65">
        <v>5.0000000000000001E-3</v>
      </c>
      <c r="BF23" s="65"/>
      <c r="BG23" s="65"/>
      <c r="BH23" s="65"/>
      <c r="BI23" s="65"/>
      <c r="BJ23" s="65"/>
      <c r="BK23" s="65"/>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row>
    <row r="24" spans="1:119" ht="14.25" customHeight="1">
      <c r="A24" s="1"/>
      <c r="B24" s="28" t="s">
        <v>70</v>
      </c>
      <c r="C24" s="55" t="s">
        <v>101</v>
      </c>
      <c r="D24" s="1" t="s">
        <v>102</v>
      </c>
      <c r="E24" s="1" t="s">
        <v>103</v>
      </c>
      <c r="F24" s="43" t="s">
        <v>79</v>
      </c>
      <c r="G24" s="1"/>
      <c r="H24" s="35"/>
      <c r="I24" s="65"/>
      <c r="J24" s="1"/>
      <c r="K24" s="1"/>
      <c r="L24" s="1"/>
      <c r="M24" s="1"/>
      <c r="N24" s="1"/>
      <c r="O24" s="1">
        <v>0.05</v>
      </c>
      <c r="P24" s="1"/>
      <c r="Q24" s="65"/>
      <c r="R24" s="1"/>
      <c r="S24" s="1"/>
      <c r="T24" s="1"/>
      <c r="U24" s="1"/>
      <c r="V24" s="65"/>
      <c r="W24" s="1"/>
      <c r="X24" s="1"/>
      <c r="Y24" s="1"/>
      <c r="Z24" s="1"/>
      <c r="AA24" s="65"/>
      <c r="AB24" s="1"/>
      <c r="AC24" s="1"/>
      <c r="AD24" s="1"/>
      <c r="AE24" s="1"/>
      <c r="AF24" s="65"/>
      <c r="AG24" s="1"/>
      <c r="AH24" s="1"/>
      <c r="AI24" s="1"/>
      <c r="AJ24" s="1"/>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1"/>
      <c r="BM24" s="1"/>
      <c r="BN24" s="1"/>
      <c r="BO24" s="1"/>
      <c r="BP24" s="1"/>
      <c r="BQ24" s="1"/>
      <c r="BR24" s="1"/>
      <c r="BS24" s="1"/>
      <c r="BT24" s="1"/>
      <c r="BU24" s="1"/>
      <c r="BV24" s="1"/>
      <c r="BW24" s="1"/>
      <c r="BX24" s="1"/>
      <c r="BY24" s="1"/>
      <c r="BZ24" s="1"/>
      <c r="CA24" s="1"/>
      <c r="CB24" s="1"/>
      <c r="CC24" s="1"/>
      <c r="CD24" s="1"/>
      <c r="CE24" s="1" t="s">
        <v>104</v>
      </c>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row>
    <row r="25" spans="1:119" ht="14.25" customHeight="1">
      <c r="A25" s="1"/>
      <c r="B25" s="28" t="s">
        <v>70</v>
      </c>
      <c r="C25" s="27" t="s">
        <v>105</v>
      </c>
      <c r="D25" s="1" t="s">
        <v>106</v>
      </c>
      <c r="E25" s="1" t="s">
        <v>107</v>
      </c>
      <c r="F25" s="43" t="s">
        <v>79</v>
      </c>
      <c r="G25" s="1"/>
      <c r="H25" s="35"/>
      <c r="I25" s="1">
        <f>12.35/1000</f>
        <v>1.235E-2</v>
      </c>
      <c r="J25" s="1"/>
      <c r="K25" s="56"/>
      <c r="L25" s="1">
        <f>2.75/1000</f>
        <v>2.7499999999999998E-3</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t="s">
        <v>108</v>
      </c>
      <c r="CF25" s="1" t="s">
        <v>109</v>
      </c>
      <c r="CG25" s="1" t="s">
        <v>110</v>
      </c>
      <c r="CH25" s="1" t="s">
        <v>111</v>
      </c>
      <c r="CI25" s="1" t="s">
        <v>112</v>
      </c>
      <c r="CJ25" s="1" t="s">
        <v>113</v>
      </c>
      <c r="CK25" s="1" t="s">
        <v>114</v>
      </c>
      <c r="CL25" s="1" t="s">
        <v>115</v>
      </c>
      <c r="CM25" s="1" t="s">
        <v>116</v>
      </c>
      <c r="CN25" s="1" t="s">
        <v>117</v>
      </c>
      <c r="CO25" s="1" t="s">
        <v>58</v>
      </c>
      <c r="CP25" s="1" t="s">
        <v>118</v>
      </c>
      <c r="CQ25" s="1" t="s">
        <v>119</v>
      </c>
      <c r="CR25" s="1" t="s">
        <v>120</v>
      </c>
      <c r="CS25" s="1" t="s">
        <v>121</v>
      </c>
      <c r="CT25" s="1" t="s">
        <v>122</v>
      </c>
      <c r="CU25" s="1"/>
      <c r="CV25" s="1"/>
      <c r="CW25" s="1"/>
      <c r="CX25" s="1"/>
      <c r="CY25" s="1"/>
      <c r="CZ25" s="1"/>
      <c r="DA25" s="1"/>
      <c r="DB25" s="1"/>
      <c r="DC25" s="1"/>
      <c r="DD25" s="1"/>
      <c r="DE25" s="1"/>
      <c r="DF25" s="1"/>
      <c r="DG25" s="1"/>
      <c r="DH25" s="1"/>
      <c r="DI25" s="1"/>
      <c r="DJ25" s="1"/>
      <c r="DK25" s="1"/>
      <c r="DL25" s="1"/>
      <c r="DM25" s="1"/>
      <c r="DN25" s="1"/>
      <c r="DO25" s="1"/>
    </row>
    <row r="26" spans="1:119" ht="14.25" customHeight="1">
      <c r="A26" s="1"/>
      <c r="B26" s="28" t="s">
        <v>70</v>
      </c>
      <c r="C26" s="27" t="s">
        <v>105</v>
      </c>
      <c r="D26" s="1" t="s">
        <v>123</v>
      </c>
      <c r="E26" s="1"/>
      <c r="F26" s="43" t="s">
        <v>79</v>
      </c>
      <c r="G26" s="1"/>
      <c r="H26" s="35"/>
      <c r="I26" s="1"/>
      <c r="J26" s="66">
        <f>0.58/1000</f>
        <v>5.8E-4</v>
      </c>
      <c r="K26" s="1">
        <f>(2.5+4)/1000</f>
        <v>6.4999999999999997E-3</v>
      </c>
      <c r="L26" s="1">
        <v>2E-3</v>
      </c>
      <c r="M26" s="1"/>
      <c r="N26" s="1"/>
      <c r="O26" s="1"/>
      <c r="P26" s="1"/>
      <c r="Q26" s="65"/>
      <c r="R26" s="1"/>
      <c r="S26" s="1"/>
      <c r="T26" s="1"/>
      <c r="U26" s="1"/>
      <c r="V26" s="65"/>
      <c r="W26" s="1"/>
      <c r="X26" s="1"/>
      <c r="Y26" s="1"/>
      <c r="Z26" s="1"/>
      <c r="AA26" s="65"/>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v>6593454</v>
      </c>
      <c r="CF26" s="1">
        <v>4999767</v>
      </c>
      <c r="CG26" s="1">
        <v>581179</v>
      </c>
      <c r="CH26" s="1">
        <v>74842</v>
      </c>
      <c r="CI26" s="1">
        <v>1325840</v>
      </c>
      <c r="CJ26" s="1">
        <v>6630180</v>
      </c>
      <c r="CK26" s="1">
        <v>63794</v>
      </c>
      <c r="CL26" s="1">
        <v>1050698</v>
      </c>
      <c r="CM26" s="1">
        <v>14094294</v>
      </c>
      <c r="CN26" s="1">
        <v>2361870</v>
      </c>
      <c r="CO26" s="1">
        <v>1465138</v>
      </c>
      <c r="CP26" s="1">
        <v>1329466</v>
      </c>
      <c r="CQ26" s="1">
        <v>405558</v>
      </c>
      <c r="CR26" s="1">
        <v>1781379</v>
      </c>
      <c r="CS26" s="1">
        <v>43331606</v>
      </c>
      <c r="CT26" s="1">
        <v>3523530</v>
      </c>
      <c r="CU26" s="1"/>
      <c r="CV26" s="1"/>
      <c r="CW26" s="1"/>
      <c r="CX26" s="1"/>
      <c r="CY26" s="1"/>
      <c r="CZ26" s="1"/>
      <c r="DA26" s="1"/>
      <c r="DB26" s="1"/>
      <c r="DC26" s="1"/>
      <c r="DD26" s="1"/>
      <c r="DE26" s="1"/>
      <c r="DF26" s="1"/>
      <c r="DG26" s="1"/>
      <c r="DH26" s="1"/>
      <c r="DI26" s="1"/>
      <c r="DJ26" s="1"/>
      <c r="DK26" s="1"/>
      <c r="DL26" s="1"/>
      <c r="DM26" s="1"/>
      <c r="DN26" s="1"/>
      <c r="DO26" s="1"/>
    </row>
    <row r="27" spans="1:119" ht="14.25" customHeight="1">
      <c r="A27" s="1"/>
      <c r="B27" s="28" t="s">
        <v>70</v>
      </c>
      <c r="C27" s="1" t="s">
        <v>124</v>
      </c>
      <c r="D27" s="1" t="s">
        <v>125</v>
      </c>
      <c r="E27" s="1"/>
      <c r="F27" s="52" t="s">
        <v>73</v>
      </c>
      <c r="G27" s="1"/>
      <c r="H27" s="35"/>
      <c r="I27" s="65"/>
      <c r="J27" s="1"/>
      <c r="K27" s="1"/>
      <c r="L27" s="65"/>
      <c r="M27" s="1"/>
      <c r="N27" s="1"/>
      <c r="O27" s="1"/>
      <c r="P27" s="1"/>
      <c r="Q27" s="65"/>
      <c r="R27" s="1"/>
      <c r="S27" s="1"/>
      <c r="T27" s="1"/>
      <c r="U27" s="1"/>
      <c r="V27" s="65"/>
      <c r="W27" s="1"/>
      <c r="X27" s="1"/>
      <c r="Y27" s="1"/>
      <c r="Z27" s="1"/>
      <c r="AA27" s="65"/>
      <c r="AB27" s="1"/>
      <c r="AC27" s="1"/>
      <c r="AD27" s="1"/>
      <c r="AE27" s="1"/>
      <c r="AF27" s="65"/>
      <c r="AG27" s="1"/>
      <c r="AH27" s="1"/>
      <c r="AI27" s="1"/>
      <c r="AJ27" s="1"/>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1" t="s">
        <v>126</v>
      </c>
      <c r="BM27" s="1"/>
      <c r="BN27" s="1"/>
      <c r="BO27" s="1"/>
      <c r="BP27" s="1"/>
      <c r="BQ27" s="1"/>
      <c r="BR27" s="1"/>
      <c r="BS27" s="1"/>
      <c r="BT27" s="1"/>
      <c r="BU27" s="1"/>
      <c r="BV27" s="1"/>
      <c r="BW27" s="1"/>
      <c r="BX27" s="1"/>
      <c r="BY27" s="1"/>
      <c r="BZ27" s="1"/>
      <c r="CA27" s="1"/>
      <c r="CB27" s="1"/>
      <c r="CC27" s="1"/>
      <c r="CD27" s="1"/>
      <c r="CE27" s="1"/>
      <c r="CF27" s="1"/>
      <c r="CG27" s="1"/>
      <c r="CH27" s="1">
        <v>74</v>
      </c>
      <c r="CI27" s="1">
        <v>1325</v>
      </c>
      <c r="CJ27" s="1">
        <v>6630</v>
      </c>
      <c r="CK27" s="1">
        <v>63</v>
      </c>
      <c r="CL27" s="1">
        <v>1051</v>
      </c>
      <c r="CM27" s="1">
        <v>14094</v>
      </c>
      <c r="CN27" s="1">
        <v>2362</v>
      </c>
      <c r="CO27" s="1">
        <v>1465</v>
      </c>
      <c r="CP27" s="1">
        <v>1329</v>
      </c>
      <c r="CQ27" s="1">
        <v>406</v>
      </c>
      <c r="CR27" s="1">
        <v>1781</v>
      </c>
      <c r="CS27" s="1"/>
      <c r="CT27" s="1"/>
      <c r="CU27" s="1"/>
      <c r="CV27" s="1"/>
      <c r="CW27" s="1"/>
      <c r="CX27" s="1"/>
      <c r="CY27" s="1"/>
      <c r="CZ27" s="1"/>
      <c r="DA27" s="1"/>
      <c r="DB27" s="1"/>
      <c r="DC27" s="1"/>
      <c r="DD27" s="1"/>
      <c r="DE27" s="1"/>
      <c r="DF27" s="1"/>
      <c r="DG27" s="1"/>
      <c r="DH27" s="1"/>
      <c r="DI27" s="1"/>
      <c r="DJ27" s="1"/>
      <c r="DK27" s="1"/>
      <c r="DL27" s="1"/>
      <c r="DM27" s="1"/>
      <c r="DN27" s="1"/>
      <c r="DO27" s="1"/>
    </row>
    <row r="28" spans="1:119" ht="14.25" customHeight="1">
      <c r="A28" s="1"/>
      <c r="B28" s="28" t="s">
        <v>70</v>
      </c>
      <c r="C28" s="1" t="s">
        <v>127</v>
      </c>
      <c r="D28" s="1" t="s">
        <v>128</v>
      </c>
      <c r="E28" s="1"/>
      <c r="F28" s="52" t="s">
        <v>79</v>
      </c>
      <c r="G28" s="1"/>
      <c r="H28" s="35"/>
      <c r="I28" s="1"/>
      <c r="J28" s="1"/>
      <c r="K28" s="1">
        <v>7.6999999999999999E-2</v>
      </c>
      <c r="L28" s="1">
        <v>0.11</v>
      </c>
      <c r="M28" s="1">
        <v>0.4</v>
      </c>
      <c r="N28" s="1"/>
      <c r="O28" s="1"/>
      <c r="P28" s="1"/>
      <c r="Q28" s="1"/>
      <c r="R28" s="67"/>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63">
        <f t="shared" ref="CH28:CR28" si="24">CH26/1000</f>
        <v>74.841999999999999</v>
      </c>
      <c r="CI28" s="63">
        <f t="shared" si="24"/>
        <v>1325.84</v>
      </c>
      <c r="CJ28" s="63">
        <f t="shared" si="24"/>
        <v>6630.18</v>
      </c>
      <c r="CK28" s="63">
        <f t="shared" si="24"/>
        <v>63.793999999999997</v>
      </c>
      <c r="CL28" s="63">
        <f t="shared" si="24"/>
        <v>1050.6980000000001</v>
      </c>
      <c r="CM28" s="63">
        <f t="shared" si="24"/>
        <v>14094.294</v>
      </c>
      <c r="CN28" s="63">
        <f t="shared" si="24"/>
        <v>2361.87</v>
      </c>
      <c r="CO28" s="63">
        <f t="shared" si="24"/>
        <v>1465.1379999999999</v>
      </c>
      <c r="CP28" s="63">
        <f t="shared" si="24"/>
        <v>1329.4659999999999</v>
      </c>
      <c r="CQ28" s="63">
        <f t="shared" si="24"/>
        <v>405.55799999999999</v>
      </c>
      <c r="CR28" s="63">
        <f t="shared" si="24"/>
        <v>1781.3789999999999</v>
      </c>
      <c r="CS28" s="1"/>
      <c r="CT28" s="1"/>
      <c r="CU28" s="1"/>
      <c r="CV28" s="1"/>
      <c r="CW28" s="1"/>
      <c r="CX28" s="1"/>
      <c r="CY28" s="1"/>
      <c r="CZ28" s="1"/>
      <c r="DA28" s="1"/>
      <c r="DB28" s="1"/>
      <c r="DC28" s="1"/>
      <c r="DD28" s="1"/>
      <c r="DE28" s="1"/>
      <c r="DF28" s="1"/>
      <c r="DG28" s="1"/>
      <c r="DH28" s="1"/>
      <c r="DI28" s="1"/>
      <c r="DJ28" s="1"/>
      <c r="DK28" s="1"/>
      <c r="DL28" s="1"/>
      <c r="DM28" s="1"/>
      <c r="DN28" s="1"/>
      <c r="DO28" s="1"/>
    </row>
    <row r="29" spans="1:119" ht="14.25" customHeight="1">
      <c r="A29" s="1"/>
      <c r="B29" s="28" t="s">
        <v>129</v>
      </c>
      <c r="C29" s="27" t="s">
        <v>130</v>
      </c>
      <c r="D29" s="1" t="s">
        <v>131</v>
      </c>
      <c r="E29" s="1"/>
      <c r="F29" s="68" t="s">
        <v>132</v>
      </c>
      <c r="G29" s="1"/>
      <c r="H29" s="35"/>
      <c r="I29" s="25">
        <v>0</v>
      </c>
      <c r="J29" s="65">
        <v>0.123333333333358</v>
      </c>
      <c r="K29" s="65">
        <v>0.246666666666679</v>
      </c>
      <c r="L29" s="25">
        <v>0.37</v>
      </c>
      <c r="M29" s="25">
        <v>0.37</v>
      </c>
      <c r="N29" s="25">
        <v>0.37</v>
      </c>
      <c r="O29" s="25">
        <v>0.37</v>
      </c>
      <c r="P29" s="25">
        <v>0.37</v>
      </c>
      <c r="Q29" s="25">
        <v>0.37</v>
      </c>
      <c r="R29" s="25">
        <v>0.37</v>
      </c>
      <c r="S29" s="25">
        <v>0.37</v>
      </c>
      <c r="T29" s="25">
        <v>0.37</v>
      </c>
      <c r="U29" s="25">
        <v>0.37</v>
      </c>
      <c r="V29" s="25">
        <v>0.37</v>
      </c>
      <c r="W29" s="25">
        <v>0.37</v>
      </c>
      <c r="X29" s="25">
        <v>0.37</v>
      </c>
      <c r="Y29" s="25">
        <v>0.37</v>
      </c>
      <c r="Z29" s="25">
        <v>0.37</v>
      </c>
      <c r="AA29" s="25">
        <v>0.37</v>
      </c>
      <c r="AB29" s="25">
        <v>0.37</v>
      </c>
      <c r="AC29" s="25">
        <v>0.37</v>
      </c>
      <c r="AD29" s="25">
        <v>0.37</v>
      </c>
      <c r="AE29" s="25">
        <v>0.37</v>
      </c>
      <c r="AF29" s="25">
        <v>0.37</v>
      </c>
      <c r="AG29" s="25">
        <v>0.37</v>
      </c>
      <c r="AH29" s="25">
        <v>0.37</v>
      </c>
      <c r="AI29" s="25">
        <v>0.37</v>
      </c>
      <c r="AJ29" s="25">
        <v>0.37</v>
      </c>
      <c r="AK29" s="25">
        <v>0.37</v>
      </c>
      <c r="AL29" s="25">
        <v>0.37</v>
      </c>
      <c r="AM29" s="25">
        <v>0.37</v>
      </c>
      <c r="AN29" s="25">
        <v>0.37</v>
      </c>
      <c r="AO29" s="25">
        <v>0.37</v>
      </c>
      <c r="AP29" s="25">
        <v>0.37</v>
      </c>
      <c r="AQ29" s="25">
        <v>0.37</v>
      </c>
      <c r="AR29" s="25">
        <v>0.37</v>
      </c>
      <c r="AS29" s="25">
        <v>0.37</v>
      </c>
      <c r="AT29" s="25">
        <v>0.37</v>
      </c>
      <c r="AU29" s="25">
        <v>0.37</v>
      </c>
      <c r="AV29" s="25">
        <v>0.37</v>
      </c>
      <c r="AW29" s="25">
        <v>0.37</v>
      </c>
      <c r="AX29" s="25">
        <v>0.37</v>
      </c>
      <c r="AY29" s="25">
        <v>0.37</v>
      </c>
      <c r="AZ29" s="25">
        <v>0.37</v>
      </c>
      <c r="BA29" s="25">
        <v>0.37</v>
      </c>
      <c r="BB29" s="25">
        <v>0.37</v>
      </c>
      <c r="BC29" s="25">
        <v>0.37</v>
      </c>
      <c r="BD29" s="25">
        <v>0.37</v>
      </c>
      <c r="BE29" s="25">
        <v>0.37</v>
      </c>
      <c r="BF29" s="1"/>
      <c r="BG29" s="1"/>
      <c r="BH29" s="1"/>
      <c r="BI29" s="1"/>
      <c r="BJ29" s="1"/>
      <c r="BK29" s="1"/>
      <c r="BL29" s="1" t="s">
        <v>133</v>
      </c>
      <c r="BM29" s="1" t="s">
        <v>134</v>
      </c>
      <c r="BN29" s="1"/>
      <c r="BO29" s="1"/>
      <c r="BP29" s="1"/>
      <c r="BQ29" s="1"/>
      <c r="BR29" s="1"/>
      <c r="BS29" s="1"/>
      <c r="BT29" s="1"/>
      <c r="BU29" s="1"/>
      <c r="BV29" s="1"/>
      <c r="BW29" s="1"/>
      <c r="BX29" s="1"/>
      <c r="BY29" s="1"/>
      <c r="BZ29" s="1"/>
      <c r="CA29" s="1"/>
      <c r="CB29" s="1"/>
      <c r="CC29" s="1"/>
      <c r="CD29" s="1"/>
      <c r="CE29" s="65">
        <f t="shared" ref="CE29:CR29" si="25">CE26/$CS$29</f>
        <v>0.21559171043027447</v>
      </c>
      <c r="CF29" s="65">
        <f t="shared" si="25"/>
        <v>0.16348158632529206</v>
      </c>
      <c r="CG29" s="65">
        <f t="shared" si="25"/>
        <v>1.9003298525500669E-2</v>
      </c>
      <c r="CH29" s="65">
        <f t="shared" si="25"/>
        <v>2.4471718149580786E-3</v>
      </c>
      <c r="CI29" s="65">
        <f t="shared" si="25"/>
        <v>4.3352105490820914E-2</v>
      </c>
      <c r="CJ29" s="65">
        <f t="shared" si="25"/>
        <v>0.21679257133826935</v>
      </c>
      <c r="CK29" s="65">
        <f t="shared" si="25"/>
        <v>2.0859260677618939E-3</v>
      </c>
      <c r="CL29" s="65">
        <f t="shared" si="25"/>
        <v>3.4355556126677844E-2</v>
      </c>
      <c r="CM29" s="65">
        <f t="shared" si="25"/>
        <v>0.46085298400006358</v>
      </c>
      <c r="CN29" s="65">
        <f t="shared" si="25"/>
        <v>7.7228049685938868E-2</v>
      </c>
      <c r="CO29" s="65">
        <f t="shared" si="25"/>
        <v>4.7906849344272591E-2</v>
      </c>
      <c r="CP29" s="65">
        <f t="shared" si="25"/>
        <v>4.3470667862230528E-2</v>
      </c>
      <c r="CQ29" s="65">
        <f t="shared" si="25"/>
        <v>1.3260870993970877E-2</v>
      </c>
      <c r="CR29" s="65">
        <f t="shared" si="25"/>
        <v>5.8247247275035503E-2</v>
      </c>
      <c r="CS29" s="1">
        <f>SUM(CH26:CR26)</f>
        <v>30583059</v>
      </c>
      <c r="CT29" s="1"/>
      <c r="CU29" s="1"/>
      <c r="CV29" s="1"/>
      <c r="CW29" s="1"/>
      <c r="CX29" s="1"/>
      <c r="CY29" s="1"/>
      <c r="CZ29" s="1"/>
      <c r="DA29" s="1"/>
      <c r="DB29" s="1"/>
      <c r="DC29" s="1"/>
      <c r="DD29" s="1"/>
      <c r="DE29" s="1"/>
      <c r="DF29" s="1"/>
      <c r="DG29" s="1"/>
      <c r="DH29" s="1"/>
      <c r="DI29" s="1"/>
      <c r="DJ29" s="1"/>
      <c r="DK29" s="1"/>
      <c r="DL29" s="1"/>
      <c r="DM29" s="1"/>
      <c r="DN29" s="1"/>
      <c r="DO29" s="1"/>
    </row>
    <row r="30" spans="1:119" ht="14.25" customHeight="1">
      <c r="A30" s="69"/>
      <c r="B30" s="28" t="s">
        <v>129</v>
      </c>
      <c r="C30" s="70" t="s">
        <v>135</v>
      </c>
      <c r="D30" s="69"/>
      <c r="E30" s="69"/>
      <c r="F30" s="52" t="s">
        <v>136</v>
      </c>
      <c r="G30" s="69"/>
      <c r="H30" s="71"/>
      <c r="I30" s="1">
        <f t="shared" ref="I30:M30" si="26">225+110</f>
        <v>335</v>
      </c>
      <c r="J30" s="1">
        <f t="shared" si="26"/>
        <v>335</v>
      </c>
      <c r="K30" s="1">
        <f t="shared" si="26"/>
        <v>335</v>
      </c>
      <c r="L30" s="1">
        <f t="shared" si="26"/>
        <v>335</v>
      </c>
      <c r="M30" s="1">
        <f t="shared" si="26"/>
        <v>335</v>
      </c>
      <c r="N30" s="1">
        <f t="shared" ref="N30:AK30" si="27">680+525</f>
        <v>1205</v>
      </c>
      <c r="O30" s="1">
        <f t="shared" si="27"/>
        <v>1205</v>
      </c>
      <c r="P30" s="1">
        <f t="shared" si="27"/>
        <v>1205</v>
      </c>
      <c r="Q30" s="1">
        <f t="shared" si="27"/>
        <v>1205</v>
      </c>
      <c r="R30" s="1">
        <f t="shared" si="27"/>
        <v>1205</v>
      </c>
      <c r="S30" s="1">
        <f t="shared" si="27"/>
        <v>1205</v>
      </c>
      <c r="T30" s="1">
        <f t="shared" si="27"/>
        <v>1205</v>
      </c>
      <c r="U30" s="1">
        <f t="shared" si="27"/>
        <v>1205</v>
      </c>
      <c r="V30" s="1">
        <f t="shared" si="27"/>
        <v>1205</v>
      </c>
      <c r="W30" s="1">
        <f t="shared" si="27"/>
        <v>1205</v>
      </c>
      <c r="X30" s="1">
        <f t="shared" si="27"/>
        <v>1205</v>
      </c>
      <c r="Y30" s="1">
        <f t="shared" si="27"/>
        <v>1205</v>
      </c>
      <c r="Z30" s="1">
        <f t="shared" si="27"/>
        <v>1205</v>
      </c>
      <c r="AA30" s="1">
        <f t="shared" si="27"/>
        <v>1205</v>
      </c>
      <c r="AB30" s="1">
        <f t="shared" si="27"/>
        <v>1205</v>
      </c>
      <c r="AC30" s="1">
        <f t="shared" si="27"/>
        <v>1205</v>
      </c>
      <c r="AD30" s="1">
        <f t="shared" si="27"/>
        <v>1205</v>
      </c>
      <c r="AE30" s="1">
        <f t="shared" si="27"/>
        <v>1205</v>
      </c>
      <c r="AF30" s="1">
        <f t="shared" si="27"/>
        <v>1205</v>
      </c>
      <c r="AG30" s="1">
        <f t="shared" si="27"/>
        <v>1205</v>
      </c>
      <c r="AH30" s="1">
        <f t="shared" si="27"/>
        <v>1205</v>
      </c>
      <c r="AI30" s="1">
        <f t="shared" si="27"/>
        <v>1205</v>
      </c>
      <c r="AJ30" s="1">
        <f t="shared" si="27"/>
        <v>1205</v>
      </c>
      <c r="AK30" s="1">
        <f t="shared" si="27"/>
        <v>1205</v>
      </c>
      <c r="AL30" s="1">
        <f t="shared" ref="AL30:BE30" si="28">AK30</f>
        <v>1205</v>
      </c>
      <c r="AM30" s="1">
        <f t="shared" si="28"/>
        <v>1205</v>
      </c>
      <c r="AN30" s="1">
        <f t="shared" si="28"/>
        <v>1205</v>
      </c>
      <c r="AO30" s="1">
        <f t="shared" si="28"/>
        <v>1205</v>
      </c>
      <c r="AP30" s="1">
        <f t="shared" si="28"/>
        <v>1205</v>
      </c>
      <c r="AQ30" s="1">
        <f t="shared" si="28"/>
        <v>1205</v>
      </c>
      <c r="AR30" s="1">
        <f t="shared" si="28"/>
        <v>1205</v>
      </c>
      <c r="AS30" s="1">
        <f t="shared" si="28"/>
        <v>1205</v>
      </c>
      <c r="AT30" s="1">
        <f t="shared" si="28"/>
        <v>1205</v>
      </c>
      <c r="AU30" s="1">
        <f t="shared" si="28"/>
        <v>1205</v>
      </c>
      <c r="AV30" s="1">
        <f t="shared" si="28"/>
        <v>1205</v>
      </c>
      <c r="AW30" s="1">
        <f t="shared" si="28"/>
        <v>1205</v>
      </c>
      <c r="AX30" s="1">
        <f t="shared" si="28"/>
        <v>1205</v>
      </c>
      <c r="AY30" s="1">
        <f t="shared" si="28"/>
        <v>1205</v>
      </c>
      <c r="AZ30" s="1">
        <f t="shared" si="28"/>
        <v>1205</v>
      </c>
      <c r="BA30" s="1">
        <f t="shared" si="28"/>
        <v>1205</v>
      </c>
      <c r="BB30" s="1">
        <f t="shared" si="28"/>
        <v>1205</v>
      </c>
      <c r="BC30" s="1">
        <f t="shared" si="28"/>
        <v>1205</v>
      </c>
      <c r="BD30" s="1">
        <f t="shared" si="28"/>
        <v>1205</v>
      </c>
      <c r="BE30" s="1">
        <f t="shared" si="28"/>
        <v>1205</v>
      </c>
      <c r="BF30" s="69"/>
      <c r="BG30" s="69"/>
      <c r="BH30" s="69"/>
      <c r="BI30" s="69"/>
      <c r="BJ30" s="69"/>
      <c r="BK30" s="69"/>
      <c r="BL30" s="69"/>
      <c r="BM30" s="69"/>
      <c r="BN30" s="69">
        <v>1000</v>
      </c>
      <c r="BO30" s="69">
        <f>BO31*1000</f>
        <v>5.8069999999999995</v>
      </c>
      <c r="BP30" s="69"/>
      <c r="BQ30" s="69"/>
      <c r="BR30" s="69"/>
      <c r="BS30" s="69"/>
      <c r="BT30" s="69"/>
      <c r="BU30" s="69"/>
      <c r="BV30" s="69"/>
      <c r="BW30" s="69"/>
      <c r="BX30" s="69"/>
      <c r="BY30" s="69"/>
      <c r="BZ30" s="69"/>
      <c r="CA30" s="1"/>
      <c r="CB30" s="1"/>
      <c r="CC30" s="1"/>
      <c r="CD30" s="1"/>
      <c r="CE30" s="54">
        <f t="shared" ref="CE30:CJ30" si="29">CE29*$CQ$34/$CP$34</f>
        <v>0.23890048619700813</v>
      </c>
      <c r="CF30" s="54">
        <f t="shared" si="29"/>
        <v>0.18115645717278939</v>
      </c>
      <c r="CG30" s="54">
        <f t="shared" si="29"/>
        <v>2.1057847020316055E-2</v>
      </c>
      <c r="CH30" s="54">
        <f t="shared" si="29"/>
        <v>2.7117486810337168E-3</v>
      </c>
      <c r="CI30" s="54">
        <f t="shared" si="29"/>
        <v>4.8039134059241373E-2</v>
      </c>
      <c r="CJ30" s="54">
        <f t="shared" si="29"/>
        <v>0.24023117861650048</v>
      </c>
      <c r="CK30" s="54">
        <f t="shared" ref="CK30:CM30" si="30">CK29*$CQ$33/$CP$33</f>
        <v>1.9286802498837238E-4</v>
      </c>
      <c r="CL30" s="54">
        <f t="shared" si="30"/>
        <v>3.1765690836008543E-3</v>
      </c>
      <c r="CM30" s="54">
        <f t="shared" si="30"/>
        <v>4.2611196153015445E-2</v>
      </c>
      <c r="CN30" s="54">
        <f>CK34</f>
        <v>8.557758821615008E-2</v>
      </c>
      <c r="CO30" s="54">
        <f>CH34</f>
        <v>5.3086315692156508E-2</v>
      </c>
      <c r="CP30" s="54">
        <f>CN34</f>
        <v>4.0193667383953274E-3</v>
      </c>
      <c r="CQ30" s="54">
        <f t="shared" ref="CQ30:CR30" si="31">CQ29*$CQ$34/$CP$34</f>
        <v>1.4694574858804843E-2</v>
      </c>
      <c r="CR30" s="54">
        <f t="shared" si="31"/>
        <v>6.4544669485999323E-2</v>
      </c>
      <c r="CS30" s="1"/>
      <c r="CT30" s="1"/>
      <c r="CU30" s="1"/>
      <c r="CV30" s="1"/>
      <c r="CW30" s="1"/>
      <c r="CX30" s="1"/>
      <c r="CY30" s="1"/>
      <c r="CZ30" s="1"/>
      <c r="DA30" s="1"/>
      <c r="DB30" s="1"/>
      <c r="DC30" s="1"/>
      <c r="DD30" s="1"/>
      <c r="DE30" s="1"/>
      <c r="DF30" s="1"/>
      <c r="DG30" s="1"/>
      <c r="DH30" s="1"/>
      <c r="DI30" s="1"/>
      <c r="DJ30" s="1"/>
      <c r="DK30" s="1"/>
      <c r="DL30" s="1"/>
      <c r="DM30" s="1"/>
      <c r="DN30" s="1"/>
      <c r="DO30" s="1"/>
    </row>
    <row r="31" spans="1:119" ht="14.25" customHeight="1">
      <c r="A31" s="69"/>
      <c r="B31" s="28" t="s">
        <v>129</v>
      </c>
      <c r="C31" s="27" t="s">
        <v>137</v>
      </c>
      <c r="D31" s="69"/>
      <c r="E31" s="69"/>
      <c r="F31" s="52" t="s">
        <v>138</v>
      </c>
      <c r="G31" s="69"/>
      <c r="H31" s="72">
        <v>0.1007</v>
      </c>
      <c r="I31" s="54">
        <v>9.8699999999999996E-2</v>
      </c>
      <c r="J31" s="54">
        <v>9.5299999999999996E-2</v>
      </c>
      <c r="K31" s="54">
        <v>9.3299999999999994E-2</v>
      </c>
      <c r="L31" s="54">
        <v>9.1700000000000004E-2</v>
      </c>
      <c r="M31" s="54">
        <v>9.0300000000000005E-2</v>
      </c>
      <c r="N31" s="54">
        <v>8.9200000000000002E-2</v>
      </c>
      <c r="O31" s="54">
        <v>8.9200000000000002E-2</v>
      </c>
      <c r="P31" s="54">
        <v>8.9200000000000002E-2</v>
      </c>
      <c r="Q31" s="54">
        <v>8.9200000000000002E-2</v>
      </c>
      <c r="R31" s="54">
        <v>8.9200000000000002E-2</v>
      </c>
      <c r="S31" s="54">
        <v>8.9200000000000002E-2</v>
      </c>
      <c r="T31" s="54">
        <v>8.9200000000000002E-2</v>
      </c>
      <c r="U31" s="54">
        <v>8.9200000000000002E-2</v>
      </c>
      <c r="V31" s="54">
        <v>8.9200000000000002E-2</v>
      </c>
      <c r="W31" s="54">
        <v>8.9200000000000002E-2</v>
      </c>
      <c r="X31" s="54">
        <v>8.9200000000000002E-2</v>
      </c>
      <c r="Y31" s="54">
        <v>8.9200000000000002E-2</v>
      </c>
      <c r="Z31" s="54">
        <v>8.9200000000000002E-2</v>
      </c>
      <c r="AA31" s="54">
        <v>8.9200000000000002E-2</v>
      </c>
      <c r="AB31" s="54">
        <v>8.9200000000000002E-2</v>
      </c>
      <c r="AC31" s="54">
        <v>8.9200000000000002E-2</v>
      </c>
      <c r="AD31" s="54">
        <v>8.9200000000000002E-2</v>
      </c>
      <c r="AE31" s="54">
        <v>8.9200000000000002E-2</v>
      </c>
      <c r="AF31" s="54">
        <v>8.9200000000000002E-2</v>
      </c>
      <c r="AG31" s="54">
        <v>8.9200000000000002E-2</v>
      </c>
      <c r="AH31" s="54">
        <v>8.9200000000000002E-2</v>
      </c>
      <c r="AI31" s="54">
        <v>8.9200000000000002E-2</v>
      </c>
      <c r="AJ31" s="54">
        <v>8.9200000000000002E-2</v>
      </c>
      <c r="AK31" s="54">
        <v>8.9200000000000002E-2</v>
      </c>
      <c r="AL31" s="54">
        <v>8.9200000000000002E-2</v>
      </c>
      <c r="AM31" s="54">
        <v>8.9200000000000002E-2</v>
      </c>
      <c r="AN31" s="54">
        <v>8.9200000000000002E-2</v>
      </c>
      <c r="AO31" s="54">
        <v>8.9200000000000002E-2</v>
      </c>
      <c r="AP31" s="54">
        <v>8.9200000000000002E-2</v>
      </c>
      <c r="AQ31" s="54">
        <v>8.9200000000000002E-2</v>
      </c>
      <c r="AR31" s="54">
        <v>8.9200000000000002E-2</v>
      </c>
      <c r="AS31" s="54">
        <v>8.9200000000000002E-2</v>
      </c>
      <c r="AT31" s="54">
        <v>8.9200000000000002E-2</v>
      </c>
      <c r="AU31" s="54">
        <v>8.9200000000000002E-2</v>
      </c>
      <c r="AV31" s="54">
        <v>8.9200000000000002E-2</v>
      </c>
      <c r="AW31" s="54">
        <v>8.9200000000000002E-2</v>
      </c>
      <c r="AX31" s="54">
        <v>8.9200000000000002E-2</v>
      </c>
      <c r="AY31" s="54">
        <v>8.9200000000000002E-2</v>
      </c>
      <c r="AZ31" s="54">
        <v>8.9200000000000002E-2</v>
      </c>
      <c r="BA31" s="54">
        <v>8.9200000000000002E-2</v>
      </c>
      <c r="BB31" s="54">
        <v>8.9200000000000002E-2</v>
      </c>
      <c r="BC31" s="54">
        <v>8.9200000000000002E-2</v>
      </c>
      <c r="BD31" s="54">
        <v>8.9200000000000002E-2</v>
      </c>
      <c r="BE31" s="54">
        <v>8.9200000000000002E-2</v>
      </c>
      <c r="BF31" s="69"/>
      <c r="BG31" s="69"/>
      <c r="BH31" s="69"/>
      <c r="BI31" s="69"/>
      <c r="BJ31" s="69"/>
      <c r="BK31" s="69"/>
      <c r="BL31" s="69" t="s">
        <v>139</v>
      </c>
      <c r="BM31" s="69"/>
      <c r="BN31" s="69">
        <v>1</v>
      </c>
      <c r="BO31" s="69">
        <v>5.8069999999999997E-3</v>
      </c>
      <c r="BP31" s="69"/>
      <c r="BQ31" s="69"/>
      <c r="BR31" s="69"/>
      <c r="BS31" s="69"/>
      <c r="BT31" s="69"/>
      <c r="BU31" s="69"/>
      <c r="BV31" s="69"/>
      <c r="BW31" s="69"/>
      <c r="BX31" s="69"/>
      <c r="BY31" s="69"/>
      <c r="BZ31" s="69"/>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row>
    <row r="32" spans="1:119" ht="14.25" customHeight="1">
      <c r="A32" s="69"/>
      <c r="B32" s="73"/>
      <c r="C32" s="69"/>
      <c r="D32" s="69"/>
      <c r="E32" s="69"/>
      <c r="F32" s="74"/>
      <c r="G32" s="69"/>
      <c r="H32" s="71"/>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25"/>
      <c r="AM32" s="25"/>
      <c r="AN32" s="25"/>
      <c r="AO32" s="25"/>
      <c r="AP32" s="25"/>
      <c r="AQ32" s="25"/>
      <c r="AR32" s="25"/>
      <c r="AS32" s="25"/>
      <c r="AT32" s="25"/>
      <c r="AU32" s="25"/>
      <c r="AV32" s="25"/>
      <c r="AW32" s="25"/>
      <c r="AX32" s="25"/>
      <c r="AY32" s="25"/>
      <c r="AZ32" s="25"/>
      <c r="BA32" s="25"/>
      <c r="BB32" s="25"/>
      <c r="BC32" s="25"/>
      <c r="BD32" s="25"/>
      <c r="BE32" s="25"/>
      <c r="BF32" s="69"/>
      <c r="BG32" s="69"/>
      <c r="BH32" s="69"/>
      <c r="BI32" s="69"/>
      <c r="BJ32" s="69"/>
      <c r="BK32" s="69"/>
      <c r="BL32" s="69"/>
      <c r="BM32" s="69"/>
      <c r="BN32" s="69" t="s">
        <v>140</v>
      </c>
      <c r="BO32" s="69" t="s">
        <v>12</v>
      </c>
      <c r="BP32" s="69"/>
      <c r="BQ32" s="69"/>
      <c r="BR32" s="69"/>
      <c r="BS32" s="69"/>
      <c r="BT32" s="69"/>
      <c r="BU32" s="69"/>
      <c r="BV32" s="69"/>
      <c r="BW32" s="69"/>
      <c r="BX32" s="69"/>
      <c r="BY32" s="69"/>
      <c r="BZ32" s="69"/>
      <c r="CA32" s="1"/>
      <c r="CB32" s="1"/>
      <c r="CC32" s="1"/>
      <c r="CD32" s="1"/>
      <c r="CE32" s="1"/>
      <c r="CF32" s="1"/>
      <c r="CG32" s="1"/>
      <c r="CH32" s="1" t="s">
        <v>58</v>
      </c>
      <c r="CI32" s="1" t="s">
        <v>59</v>
      </c>
      <c r="CJ32" s="1" t="s">
        <v>141</v>
      </c>
      <c r="CK32" s="1" t="s">
        <v>142</v>
      </c>
      <c r="CL32" s="1" t="s">
        <v>61</v>
      </c>
      <c r="CM32" s="1" t="s">
        <v>143</v>
      </c>
      <c r="CN32" s="1" t="s">
        <v>118</v>
      </c>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row>
    <row r="33" spans="1:119" ht="14.25" customHeight="1">
      <c r="A33" s="1"/>
      <c r="B33" s="28"/>
      <c r="C33" s="1"/>
      <c r="D33" s="1"/>
      <c r="E33" s="1"/>
      <c r="F33" s="52"/>
      <c r="G33" s="1"/>
      <c r="H33" s="35"/>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25"/>
      <c r="AM33" s="25"/>
      <c r="AN33" s="25"/>
      <c r="AO33" s="25"/>
      <c r="AP33" s="25"/>
      <c r="AQ33" s="25"/>
      <c r="AR33" s="25"/>
      <c r="AS33" s="25"/>
      <c r="AT33" s="25"/>
      <c r="AU33" s="25"/>
      <c r="AV33" s="25"/>
      <c r="AW33" s="25"/>
      <c r="AX33" s="25"/>
      <c r="AY33" s="25"/>
      <c r="AZ33" s="25"/>
      <c r="BA33" s="25"/>
      <c r="BB33" s="25"/>
      <c r="BC33" s="25"/>
      <c r="BD33" s="25"/>
      <c r="BE33" s="25"/>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65">
        <f>CO29</f>
        <v>4.7906849344272591E-2</v>
      </c>
      <c r="CI33" s="65">
        <f>CE29+CF29+CG29+CQ29+CR29+CH29</f>
        <v>0.47203188536503166</v>
      </c>
      <c r="CJ33" s="1"/>
      <c r="CK33" s="65">
        <f>CN29</f>
        <v>7.7228049685938868E-2</v>
      </c>
      <c r="CL33" s="65">
        <f>CI29+CJ29</f>
        <v>0.26014467682909026</v>
      </c>
      <c r="CM33" s="65">
        <f>CK29+CL29+CM29</f>
        <v>0.49729446619450335</v>
      </c>
      <c r="CN33" s="65">
        <f>CP29</f>
        <v>4.3470667862230528E-2</v>
      </c>
      <c r="CO33" s="1"/>
      <c r="CP33" s="65">
        <f>CN33+CM33</f>
        <v>0.54076513405673388</v>
      </c>
      <c r="CQ33" s="25">
        <v>0.05</v>
      </c>
      <c r="CR33" s="1"/>
      <c r="CS33" s="1"/>
      <c r="CT33" s="1"/>
      <c r="CU33" s="1"/>
      <c r="CV33" s="1"/>
      <c r="CW33" s="1"/>
      <c r="CX33" s="1"/>
      <c r="CY33" s="1"/>
      <c r="CZ33" s="1"/>
      <c r="DA33" s="1"/>
      <c r="DB33" s="1"/>
      <c r="DC33" s="1"/>
      <c r="DD33" s="1"/>
      <c r="DE33" s="1"/>
      <c r="DF33" s="1"/>
      <c r="DG33" s="1"/>
      <c r="DH33" s="1"/>
      <c r="DI33" s="1"/>
      <c r="DJ33" s="1"/>
      <c r="DK33" s="1"/>
      <c r="DL33" s="1"/>
      <c r="DM33" s="1"/>
      <c r="DN33" s="1"/>
      <c r="DO33" s="1"/>
    </row>
    <row r="34" spans="1:119" ht="14.25" customHeight="1">
      <c r="A34" s="44" t="s">
        <v>144</v>
      </c>
      <c r="B34" s="45" t="s">
        <v>145</v>
      </c>
      <c r="C34" s="75" t="s">
        <v>146</v>
      </c>
      <c r="D34" s="75"/>
      <c r="E34" s="75"/>
      <c r="F34" s="76" t="s">
        <v>147</v>
      </c>
      <c r="G34" s="75"/>
      <c r="H34" s="77"/>
      <c r="I34" s="78">
        <v>0.09</v>
      </c>
      <c r="J34" s="50">
        <f>I34+(L34-I34)/(L1-I1)</f>
        <v>0.10433333333333333</v>
      </c>
      <c r="K34" s="50">
        <f>J34+(L34-I34)/(L1-I1)</f>
        <v>0.11866666666666667</v>
      </c>
      <c r="L34" s="50">
        <v>0.13300000000000001</v>
      </c>
      <c r="M34" s="50">
        <f t="shared" ref="M34:P34" si="32">L34+($Q34-$L34)/($Q$1-$L$1)</f>
        <v>0.14219999999999999</v>
      </c>
      <c r="N34" s="50">
        <f t="shared" si="32"/>
        <v>0.15139999999999998</v>
      </c>
      <c r="O34" s="50">
        <f t="shared" si="32"/>
        <v>0.16059999999999997</v>
      </c>
      <c r="P34" s="50">
        <f t="shared" si="32"/>
        <v>0.16979999999999995</v>
      </c>
      <c r="Q34" s="50">
        <v>0.17899999999999999</v>
      </c>
      <c r="R34" s="50">
        <f t="shared" ref="R34:U34" si="33">Q34+($V34-$Q34)/($V$1-$Q$1)</f>
        <v>0.18839999999999998</v>
      </c>
      <c r="S34" s="50">
        <f t="shared" si="33"/>
        <v>0.19779999999999998</v>
      </c>
      <c r="T34" s="50">
        <f t="shared" si="33"/>
        <v>0.20719999999999997</v>
      </c>
      <c r="U34" s="50">
        <f t="shared" si="33"/>
        <v>0.21659999999999996</v>
      </c>
      <c r="V34" s="50">
        <v>0.22600000000000001</v>
      </c>
      <c r="W34" s="50">
        <f t="shared" ref="W34:BE34" si="34">V34</f>
        <v>0.22600000000000001</v>
      </c>
      <c r="X34" s="50">
        <f t="shared" si="34"/>
        <v>0.22600000000000001</v>
      </c>
      <c r="Y34" s="50">
        <f t="shared" si="34"/>
        <v>0.22600000000000001</v>
      </c>
      <c r="Z34" s="50">
        <f t="shared" si="34"/>
        <v>0.22600000000000001</v>
      </c>
      <c r="AA34" s="50">
        <f t="shared" si="34"/>
        <v>0.22600000000000001</v>
      </c>
      <c r="AB34" s="50">
        <f t="shared" si="34"/>
        <v>0.22600000000000001</v>
      </c>
      <c r="AC34" s="50">
        <f t="shared" si="34"/>
        <v>0.22600000000000001</v>
      </c>
      <c r="AD34" s="50">
        <f t="shared" si="34"/>
        <v>0.22600000000000001</v>
      </c>
      <c r="AE34" s="50">
        <f t="shared" si="34"/>
        <v>0.22600000000000001</v>
      </c>
      <c r="AF34" s="50">
        <f t="shared" si="34"/>
        <v>0.22600000000000001</v>
      </c>
      <c r="AG34" s="50">
        <f t="shared" si="34"/>
        <v>0.22600000000000001</v>
      </c>
      <c r="AH34" s="50">
        <f t="shared" si="34"/>
        <v>0.22600000000000001</v>
      </c>
      <c r="AI34" s="50">
        <f t="shared" si="34"/>
        <v>0.22600000000000001</v>
      </c>
      <c r="AJ34" s="50">
        <f t="shared" si="34"/>
        <v>0.22600000000000001</v>
      </c>
      <c r="AK34" s="50">
        <f t="shared" si="34"/>
        <v>0.22600000000000001</v>
      </c>
      <c r="AL34" s="78">
        <f t="shared" si="34"/>
        <v>0.22600000000000001</v>
      </c>
      <c r="AM34" s="78">
        <f t="shared" si="34"/>
        <v>0.22600000000000001</v>
      </c>
      <c r="AN34" s="78">
        <f t="shared" si="34"/>
        <v>0.22600000000000001</v>
      </c>
      <c r="AO34" s="78">
        <f t="shared" si="34"/>
        <v>0.22600000000000001</v>
      </c>
      <c r="AP34" s="78">
        <f t="shared" si="34"/>
        <v>0.22600000000000001</v>
      </c>
      <c r="AQ34" s="78">
        <f t="shared" si="34"/>
        <v>0.22600000000000001</v>
      </c>
      <c r="AR34" s="78">
        <f t="shared" si="34"/>
        <v>0.22600000000000001</v>
      </c>
      <c r="AS34" s="78">
        <f t="shared" si="34"/>
        <v>0.22600000000000001</v>
      </c>
      <c r="AT34" s="78">
        <f t="shared" si="34"/>
        <v>0.22600000000000001</v>
      </c>
      <c r="AU34" s="78">
        <f t="shared" si="34"/>
        <v>0.22600000000000001</v>
      </c>
      <c r="AV34" s="78">
        <f t="shared" si="34"/>
        <v>0.22600000000000001</v>
      </c>
      <c r="AW34" s="78">
        <f t="shared" si="34"/>
        <v>0.22600000000000001</v>
      </c>
      <c r="AX34" s="78">
        <f t="shared" si="34"/>
        <v>0.22600000000000001</v>
      </c>
      <c r="AY34" s="78">
        <f t="shared" si="34"/>
        <v>0.22600000000000001</v>
      </c>
      <c r="AZ34" s="78">
        <f t="shared" si="34"/>
        <v>0.22600000000000001</v>
      </c>
      <c r="BA34" s="78">
        <f t="shared" si="34"/>
        <v>0.22600000000000001</v>
      </c>
      <c r="BB34" s="78">
        <f t="shared" si="34"/>
        <v>0.22600000000000001</v>
      </c>
      <c r="BC34" s="78">
        <f t="shared" si="34"/>
        <v>0.22600000000000001</v>
      </c>
      <c r="BD34" s="78">
        <f t="shared" si="34"/>
        <v>0.22600000000000001</v>
      </c>
      <c r="BE34" s="78">
        <f t="shared" si="34"/>
        <v>0.22600000000000001</v>
      </c>
      <c r="BF34" s="1"/>
      <c r="BG34" s="1"/>
      <c r="BH34" s="1"/>
      <c r="BI34" s="1"/>
      <c r="BJ34" s="1"/>
      <c r="BK34" s="1"/>
      <c r="BL34" s="1" t="s">
        <v>148</v>
      </c>
      <c r="BM34" s="1" t="s">
        <v>149</v>
      </c>
      <c r="BN34" s="1"/>
      <c r="BO34" s="1"/>
      <c r="BP34" s="1"/>
      <c r="BQ34" s="1"/>
      <c r="BR34" s="1"/>
      <c r="BS34" s="1"/>
      <c r="BT34" s="1"/>
      <c r="BU34" s="1"/>
      <c r="BV34" s="1"/>
      <c r="BW34" s="1"/>
      <c r="BX34" s="1"/>
      <c r="BY34" s="1"/>
      <c r="BZ34" s="1"/>
      <c r="CA34" s="1"/>
      <c r="CB34" s="1"/>
      <c r="CC34" s="1"/>
      <c r="CD34" s="1"/>
      <c r="CE34" s="1"/>
      <c r="CF34" s="1"/>
      <c r="CG34" s="1"/>
      <c r="CH34" s="54">
        <f t="shared" ref="CH34:CI34" si="35">CH33*$CQ$34/$CP$34</f>
        <v>5.3086315692156508E-2</v>
      </c>
      <c r="CI34" s="54">
        <f t="shared" si="35"/>
        <v>0.52306578341595145</v>
      </c>
      <c r="CJ34" s="54"/>
      <c r="CK34" s="54">
        <f t="shared" ref="CK34:CL34" si="36">CK33*$CQ$34/$CP$34</f>
        <v>8.557758821615008E-2</v>
      </c>
      <c r="CL34" s="54">
        <f t="shared" si="36"/>
        <v>0.28827031267574182</v>
      </c>
      <c r="CM34" s="54">
        <f>CM33*CQ33/CP33</f>
        <v>4.5980633261604675E-2</v>
      </c>
      <c r="CN34" s="54">
        <f>CN33*CQ33/CP33</f>
        <v>4.0193667383953274E-3</v>
      </c>
      <c r="CO34" s="1"/>
      <c r="CP34" s="65">
        <f>CH33+CI33+CK33+CL33</f>
        <v>0.85731146122433344</v>
      </c>
      <c r="CQ34" s="25">
        <v>0.95</v>
      </c>
      <c r="CR34" s="1"/>
      <c r="CS34" s="1"/>
      <c r="CT34" s="1"/>
      <c r="CU34" s="1"/>
      <c r="CV34" s="1"/>
      <c r="CW34" s="1"/>
      <c r="CX34" s="1"/>
      <c r="CY34" s="1"/>
      <c r="CZ34" s="1"/>
      <c r="DA34" s="1"/>
      <c r="DB34" s="1"/>
      <c r="DC34" s="1"/>
      <c r="DD34" s="1"/>
      <c r="DE34" s="1"/>
      <c r="DF34" s="1"/>
      <c r="DG34" s="1"/>
      <c r="DH34" s="1"/>
      <c r="DI34" s="1"/>
      <c r="DJ34" s="1"/>
      <c r="DK34" s="1"/>
      <c r="DL34" s="1"/>
      <c r="DM34" s="1"/>
      <c r="DN34" s="1"/>
      <c r="DO34" s="1"/>
    </row>
    <row r="35" spans="1:119" ht="14.25" customHeight="1">
      <c r="A35" s="1"/>
      <c r="B35" s="28" t="s">
        <v>145</v>
      </c>
      <c r="C35" s="1" t="s">
        <v>150</v>
      </c>
      <c r="D35" s="1" t="s">
        <v>151</v>
      </c>
      <c r="E35" s="1"/>
      <c r="F35" s="1" t="s">
        <v>152</v>
      </c>
      <c r="G35" s="1" t="s">
        <v>153</v>
      </c>
      <c r="H35" s="35"/>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25"/>
      <c r="AM35" s="25"/>
      <c r="AN35" s="25"/>
      <c r="AO35" s="25"/>
      <c r="AP35" s="25"/>
      <c r="AQ35" s="25"/>
      <c r="AR35" s="25"/>
      <c r="AS35" s="25"/>
      <c r="AT35" s="25"/>
      <c r="AU35" s="25"/>
      <c r="AV35" s="25"/>
      <c r="AW35" s="25"/>
      <c r="AX35" s="25"/>
      <c r="AY35" s="25"/>
      <c r="AZ35" s="25"/>
      <c r="BA35" s="25"/>
      <c r="BB35" s="25"/>
      <c r="BC35" s="25"/>
      <c r="BD35" s="25"/>
      <c r="BE35" s="25"/>
      <c r="BF35" s="1"/>
      <c r="BG35" s="1"/>
      <c r="BH35" s="1"/>
      <c r="BI35" s="1"/>
      <c r="BJ35" s="1"/>
      <c r="BK35" s="1"/>
      <c r="BL35" s="1"/>
      <c r="BM35" s="1"/>
      <c r="BN35" s="1"/>
      <c r="BO35" s="1"/>
      <c r="BP35" s="1"/>
      <c r="BQ35" s="1"/>
      <c r="BR35" s="1"/>
      <c r="BS35" s="1"/>
      <c r="BT35" s="1"/>
      <c r="BU35" s="1"/>
      <c r="BV35" s="1"/>
      <c r="BW35" s="1"/>
      <c r="BX35" s="1"/>
      <c r="BY35" s="1"/>
      <c r="BZ35" s="1"/>
      <c r="CA35" s="1"/>
      <c r="CB35" s="1"/>
      <c r="CC35" s="1"/>
      <c r="CD35" s="1">
        <v>17620000</v>
      </c>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row>
    <row r="36" spans="1:119" ht="14.25" customHeight="1">
      <c r="A36" s="1"/>
      <c r="B36" s="28" t="s">
        <v>145</v>
      </c>
      <c r="C36" s="1" t="s">
        <v>154</v>
      </c>
      <c r="D36" s="1" t="s">
        <v>155</v>
      </c>
      <c r="E36" s="1"/>
      <c r="F36" s="1" t="s">
        <v>156</v>
      </c>
      <c r="G36" s="1" t="s">
        <v>153</v>
      </c>
      <c r="H36" s="72">
        <v>2.9999999999999997E-4</v>
      </c>
      <c r="I36" s="65">
        <f t="shared" ref="I36:AA36" si="37">CU46</f>
        <v>5.0000000000000001E-4</v>
      </c>
      <c r="J36" s="65">
        <f t="shared" si="37"/>
        <v>1E-3</v>
      </c>
      <c r="K36" s="65">
        <f t="shared" si="37"/>
        <v>2E-3</v>
      </c>
      <c r="L36" s="65">
        <f t="shared" si="37"/>
        <v>3.5000000000000001E-3</v>
      </c>
      <c r="M36" s="65">
        <f t="shared" si="37"/>
        <v>5.0000000000000001E-3</v>
      </c>
      <c r="N36" s="65">
        <f t="shared" si="37"/>
        <v>6.0000000000000001E-3</v>
      </c>
      <c r="O36" s="65">
        <f t="shared" si="37"/>
        <v>8.0000000000000002E-3</v>
      </c>
      <c r="P36" s="65">
        <f t="shared" si="37"/>
        <v>0.01</v>
      </c>
      <c r="Q36" s="65">
        <f t="shared" si="37"/>
        <v>1.4800000000000001E-2</v>
      </c>
      <c r="R36" s="65">
        <f t="shared" si="37"/>
        <v>2.5520000000000001E-2</v>
      </c>
      <c r="S36" s="65">
        <f t="shared" si="37"/>
        <v>3.8399999999999997E-2</v>
      </c>
      <c r="T36" s="65">
        <f t="shared" si="37"/>
        <v>5.5E-2</v>
      </c>
      <c r="U36" s="65">
        <f t="shared" si="37"/>
        <v>7.5600000000000001E-2</v>
      </c>
      <c r="V36" s="65">
        <f t="shared" si="37"/>
        <v>9.0720000000000009E-2</v>
      </c>
      <c r="W36" s="65">
        <f t="shared" si="37"/>
        <v>0.10672</v>
      </c>
      <c r="X36" s="65">
        <f t="shared" si="37"/>
        <v>0.11781</v>
      </c>
      <c r="Y36" s="65">
        <f t="shared" si="37"/>
        <v>0.12914999999999999</v>
      </c>
      <c r="Z36" s="65">
        <f t="shared" si="37"/>
        <v>0.13969999999999999</v>
      </c>
      <c r="AA36" s="65">
        <f t="shared" si="37"/>
        <v>0.14624999999999999</v>
      </c>
      <c r="AB36" s="65">
        <f t="shared" ref="AB36:BE36" si="38">AA36</f>
        <v>0.14624999999999999</v>
      </c>
      <c r="AC36" s="65">
        <f t="shared" si="38"/>
        <v>0.14624999999999999</v>
      </c>
      <c r="AD36" s="65">
        <f t="shared" si="38"/>
        <v>0.14624999999999999</v>
      </c>
      <c r="AE36" s="65">
        <f t="shared" si="38"/>
        <v>0.14624999999999999</v>
      </c>
      <c r="AF36" s="65">
        <f t="shared" si="38"/>
        <v>0.14624999999999999</v>
      </c>
      <c r="AG36" s="65">
        <f t="shared" si="38"/>
        <v>0.14624999999999999</v>
      </c>
      <c r="AH36" s="65">
        <f t="shared" si="38"/>
        <v>0.14624999999999999</v>
      </c>
      <c r="AI36" s="65">
        <f t="shared" si="38"/>
        <v>0.14624999999999999</v>
      </c>
      <c r="AJ36" s="65">
        <f t="shared" si="38"/>
        <v>0.14624999999999999</v>
      </c>
      <c r="AK36" s="65">
        <f t="shared" si="38"/>
        <v>0.14624999999999999</v>
      </c>
      <c r="AL36" s="54">
        <f t="shared" si="38"/>
        <v>0.14624999999999999</v>
      </c>
      <c r="AM36" s="54">
        <f t="shared" si="38"/>
        <v>0.14624999999999999</v>
      </c>
      <c r="AN36" s="54">
        <f t="shared" si="38"/>
        <v>0.14624999999999999</v>
      </c>
      <c r="AO36" s="54">
        <f t="shared" si="38"/>
        <v>0.14624999999999999</v>
      </c>
      <c r="AP36" s="54">
        <f t="shared" si="38"/>
        <v>0.14624999999999999</v>
      </c>
      <c r="AQ36" s="54">
        <f t="shared" si="38"/>
        <v>0.14624999999999999</v>
      </c>
      <c r="AR36" s="54">
        <f t="shared" si="38"/>
        <v>0.14624999999999999</v>
      </c>
      <c r="AS36" s="54">
        <f t="shared" si="38"/>
        <v>0.14624999999999999</v>
      </c>
      <c r="AT36" s="54">
        <f t="shared" si="38"/>
        <v>0.14624999999999999</v>
      </c>
      <c r="AU36" s="54">
        <f t="shared" si="38"/>
        <v>0.14624999999999999</v>
      </c>
      <c r="AV36" s="54">
        <f t="shared" si="38"/>
        <v>0.14624999999999999</v>
      </c>
      <c r="AW36" s="54">
        <f t="shared" si="38"/>
        <v>0.14624999999999999</v>
      </c>
      <c r="AX36" s="54">
        <f t="shared" si="38"/>
        <v>0.14624999999999999</v>
      </c>
      <c r="AY36" s="54">
        <f t="shared" si="38"/>
        <v>0.14624999999999999</v>
      </c>
      <c r="AZ36" s="54">
        <f t="shared" si="38"/>
        <v>0.14624999999999999</v>
      </c>
      <c r="BA36" s="54">
        <f t="shared" si="38"/>
        <v>0.14624999999999999</v>
      </c>
      <c r="BB36" s="54">
        <f t="shared" si="38"/>
        <v>0.14624999999999999</v>
      </c>
      <c r="BC36" s="54">
        <f t="shared" si="38"/>
        <v>0.14624999999999999</v>
      </c>
      <c r="BD36" s="54">
        <f t="shared" si="38"/>
        <v>0.14624999999999999</v>
      </c>
      <c r="BE36" s="54">
        <f t="shared" si="38"/>
        <v>0.14624999999999999</v>
      </c>
      <c r="BF36" s="65"/>
      <c r="BG36" s="65"/>
      <c r="BH36" s="65"/>
      <c r="BI36" s="65"/>
      <c r="BJ36" s="65"/>
      <c r="BK36" s="65"/>
      <c r="BL36" s="1" t="s">
        <v>157</v>
      </c>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row>
    <row r="37" spans="1:119" ht="14.25" customHeight="1">
      <c r="A37" s="1"/>
      <c r="B37" s="28" t="s">
        <v>145</v>
      </c>
      <c r="C37" s="1" t="s">
        <v>154</v>
      </c>
      <c r="D37" s="1" t="s">
        <v>158</v>
      </c>
      <c r="E37" s="1"/>
      <c r="F37" s="1" t="s">
        <v>156</v>
      </c>
      <c r="G37" s="1" t="s">
        <v>153</v>
      </c>
      <c r="H37" s="72">
        <v>5.0000000000000001E-4</v>
      </c>
      <c r="I37" s="65">
        <f t="shared" ref="I37:AK37" si="39">I36</f>
        <v>5.0000000000000001E-4</v>
      </c>
      <c r="J37" s="65">
        <f t="shared" si="39"/>
        <v>1E-3</v>
      </c>
      <c r="K37" s="65">
        <f t="shared" si="39"/>
        <v>2E-3</v>
      </c>
      <c r="L37" s="65">
        <f t="shared" si="39"/>
        <v>3.5000000000000001E-3</v>
      </c>
      <c r="M37" s="65">
        <f t="shared" si="39"/>
        <v>5.0000000000000001E-3</v>
      </c>
      <c r="N37" s="65">
        <f t="shared" si="39"/>
        <v>6.0000000000000001E-3</v>
      </c>
      <c r="O37" s="65">
        <f t="shared" si="39"/>
        <v>8.0000000000000002E-3</v>
      </c>
      <c r="P37" s="65">
        <f t="shared" si="39"/>
        <v>0.01</v>
      </c>
      <c r="Q37" s="65">
        <f t="shared" si="39"/>
        <v>1.4800000000000001E-2</v>
      </c>
      <c r="R37" s="65">
        <f t="shared" si="39"/>
        <v>2.5520000000000001E-2</v>
      </c>
      <c r="S37" s="65">
        <f t="shared" si="39"/>
        <v>3.8399999999999997E-2</v>
      </c>
      <c r="T37" s="65">
        <f t="shared" si="39"/>
        <v>5.5E-2</v>
      </c>
      <c r="U37" s="65">
        <f t="shared" si="39"/>
        <v>7.5600000000000001E-2</v>
      </c>
      <c r="V37" s="65">
        <f t="shared" si="39"/>
        <v>9.0720000000000009E-2</v>
      </c>
      <c r="W37" s="65">
        <f t="shared" si="39"/>
        <v>0.10672</v>
      </c>
      <c r="X37" s="65">
        <f t="shared" si="39"/>
        <v>0.11781</v>
      </c>
      <c r="Y37" s="65">
        <f t="shared" si="39"/>
        <v>0.12914999999999999</v>
      </c>
      <c r="Z37" s="65">
        <f t="shared" si="39"/>
        <v>0.13969999999999999</v>
      </c>
      <c r="AA37" s="65">
        <f t="shared" si="39"/>
        <v>0.14624999999999999</v>
      </c>
      <c r="AB37" s="65">
        <f t="shared" si="39"/>
        <v>0.14624999999999999</v>
      </c>
      <c r="AC37" s="65">
        <f t="shared" si="39"/>
        <v>0.14624999999999999</v>
      </c>
      <c r="AD37" s="65">
        <f t="shared" si="39"/>
        <v>0.14624999999999999</v>
      </c>
      <c r="AE37" s="65">
        <f t="shared" si="39"/>
        <v>0.14624999999999999</v>
      </c>
      <c r="AF37" s="65">
        <f t="shared" si="39"/>
        <v>0.14624999999999999</v>
      </c>
      <c r="AG37" s="65">
        <f t="shared" si="39"/>
        <v>0.14624999999999999</v>
      </c>
      <c r="AH37" s="65">
        <f t="shared" si="39"/>
        <v>0.14624999999999999</v>
      </c>
      <c r="AI37" s="65">
        <f t="shared" si="39"/>
        <v>0.14624999999999999</v>
      </c>
      <c r="AJ37" s="65">
        <f t="shared" si="39"/>
        <v>0.14624999999999999</v>
      </c>
      <c r="AK37" s="65">
        <f t="shared" si="39"/>
        <v>0.14624999999999999</v>
      </c>
      <c r="AL37" s="54">
        <f t="shared" ref="AL37:BE37" si="40">AK37</f>
        <v>0.14624999999999999</v>
      </c>
      <c r="AM37" s="54">
        <f t="shared" si="40"/>
        <v>0.14624999999999999</v>
      </c>
      <c r="AN37" s="54">
        <f t="shared" si="40"/>
        <v>0.14624999999999999</v>
      </c>
      <c r="AO37" s="54">
        <f t="shared" si="40"/>
        <v>0.14624999999999999</v>
      </c>
      <c r="AP37" s="54">
        <f t="shared" si="40"/>
        <v>0.14624999999999999</v>
      </c>
      <c r="AQ37" s="54">
        <f t="shared" si="40"/>
        <v>0.14624999999999999</v>
      </c>
      <c r="AR37" s="54">
        <f t="shared" si="40"/>
        <v>0.14624999999999999</v>
      </c>
      <c r="AS37" s="54">
        <f t="shared" si="40"/>
        <v>0.14624999999999999</v>
      </c>
      <c r="AT37" s="54">
        <f t="shared" si="40"/>
        <v>0.14624999999999999</v>
      </c>
      <c r="AU37" s="54">
        <f t="shared" si="40"/>
        <v>0.14624999999999999</v>
      </c>
      <c r="AV37" s="54">
        <f t="shared" si="40"/>
        <v>0.14624999999999999</v>
      </c>
      <c r="AW37" s="54">
        <f t="shared" si="40"/>
        <v>0.14624999999999999</v>
      </c>
      <c r="AX37" s="54">
        <f t="shared" si="40"/>
        <v>0.14624999999999999</v>
      </c>
      <c r="AY37" s="54">
        <f t="shared" si="40"/>
        <v>0.14624999999999999</v>
      </c>
      <c r="AZ37" s="54">
        <f t="shared" si="40"/>
        <v>0.14624999999999999</v>
      </c>
      <c r="BA37" s="54">
        <f t="shared" si="40"/>
        <v>0.14624999999999999</v>
      </c>
      <c r="BB37" s="54">
        <f t="shared" si="40"/>
        <v>0.14624999999999999</v>
      </c>
      <c r="BC37" s="54">
        <f t="shared" si="40"/>
        <v>0.14624999999999999</v>
      </c>
      <c r="BD37" s="54">
        <f t="shared" si="40"/>
        <v>0.14624999999999999</v>
      </c>
      <c r="BE37" s="54">
        <f t="shared" si="40"/>
        <v>0.14624999999999999</v>
      </c>
      <c r="BF37" s="65"/>
      <c r="BG37" s="65"/>
      <c r="BH37" s="65"/>
      <c r="BI37" s="65"/>
      <c r="BJ37" s="65"/>
      <c r="BK37" s="65"/>
      <c r="BL37" s="1" t="s">
        <v>157</v>
      </c>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row>
    <row r="38" spans="1:119" ht="14.25" customHeight="1">
      <c r="A38" s="1"/>
      <c r="B38" s="28" t="s">
        <v>145</v>
      </c>
      <c r="C38" s="1" t="s">
        <v>154</v>
      </c>
      <c r="D38" s="1" t="s">
        <v>159</v>
      </c>
      <c r="E38" s="1"/>
      <c r="F38" s="1" t="s">
        <v>156</v>
      </c>
      <c r="G38" s="1" t="s">
        <v>153</v>
      </c>
      <c r="H38" s="35">
        <v>7.0000000000000007E-2</v>
      </c>
      <c r="I38" s="65">
        <f t="shared" ref="I38:AA38" si="41">CU52</f>
        <v>9.9999999999999964E-5</v>
      </c>
      <c r="J38" s="65">
        <f t="shared" si="41"/>
        <v>1E-3</v>
      </c>
      <c r="K38" s="65">
        <f t="shared" si="41"/>
        <v>2E-3</v>
      </c>
      <c r="L38" s="65">
        <f t="shared" si="41"/>
        <v>5.000000000000001E-3</v>
      </c>
      <c r="M38" s="65">
        <f t="shared" si="41"/>
        <v>8.0000000000000002E-3</v>
      </c>
      <c r="N38" s="65">
        <f t="shared" si="41"/>
        <v>1.0000000000000002E-2</v>
      </c>
      <c r="O38" s="65">
        <f t="shared" si="41"/>
        <v>1.6E-2</v>
      </c>
      <c r="P38" s="65">
        <f t="shared" si="41"/>
        <v>2.0000000000000004E-2</v>
      </c>
      <c r="Q38" s="65">
        <f t="shared" si="41"/>
        <v>0.03</v>
      </c>
      <c r="R38" s="65">
        <f t="shared" si="41"/>
        <v>4.3999999999999997E-2</v>
      </c>
      <c r="S38" s="65">
        <f t="shared" si="41"/>
        <v>6.720000000000001E-2</v>
      </c>
      <c r="T38" s="65">
        <f t="shared" si="41"/>
        <v>0.09</v>
      </c>
      <c r="U38" s="65">
        <f t="shared" si="41"/>
        <v>0.1188</v>
      </c>
      <c r="V38" s="65">
        <f t="shared" si="41"/>
        <v>0.14279999999999998</v>
      </c>
      <c r="W38" s="65">
        <f t="shared" si="41"/>
        <v>0.1653</v>
      </c>
      <c r="X38" s="65">
        <f t="shared" si="41"/>
        <v>0.18445</v>
      </c>
      <c r="Y38" s="65">
        <f t="shared" si="41"/>
        <v>0.20295000000000002</v>
      </c>
      <c r="Z38" s="65">
        <f t="shared" si="41"/>
        <v>0.21907499999999999</v>
      </c>
      <c r="AA38" s="65">
        <f t="shared" si="41"/>
        <v>0.22749999999999998</v>
      </c>
      <c r="AB38" s="65">
        <f t="shared" ref="AB38:BE38" si="42">AA38</f>
        <v>0.22749999999999998</v>
      </c>
      <c r="AC38" s="65">
        <f t="shared" si="42"/>
        <v>0.22749999999999998</v>
      </c>
      <c r="AD38" s="65">
        <f t="shared" si="42"/>
        <v>0.22749999999999998</v>
      </c>
      <c r="AE38" s="65">
        <f t="shared" si="42"/>
        <v>0.22749999999999998</v>
      </c>
      <c r="AF38" s="65">
        <f t="shared" si="42"/>
        <v>0.22749999999999998</v>
      </c>
      <c r="AG38" s="65">
        <f t="shared" si="42"/>
        <v>0.22749999999999998</v>
      </c>
      <c r="AH38" s="65">
        <f t="shared" si="42"/>
        <v>0.22749999999999998</v>
      </c>
      <c r="AI38" s="65">
        <f t="shared" si="42"/>
        <v>0.22749999999999998</v>
      </c>
      <c r="AJ38" s="65">
        <f t="shared" si="42"/>
        <v>0.22749999999999998</v>
      </c>
      <c r="AK38" s="65">
        <f t="shared" si="42"/>
        <v>0.22749999999999998</v>
      </c>
      <c r="AL38" s="54">
        <f t="shared" si="42"/>
        <v>0.22749999999999998</v>
      </c>
      <c r="AM38" s="54">
        <f t="shared" si="42"/>
        <v>0.22749999999999998</v>
      </c>
      <c r="AN38" s="54">
        <f t="shared" si="42"/>
        <v>0.22749999999999998</v>
      </c>
      <c r="AO38" s="54">
        <f t="shared" si="42"/>
        <v>0.22749999999999998</v>
      </c>
      <c r="AP38" s="54">
        <f t="shared" si="42"/>
        <v>0.22749999999999998</v>
      </c>
      <c r="AQ38" s="54">
        <f t="shared" si="42"/>
        <v>0.22749999999999998</v>
      </c>
      <c r="AR38" s="54">
        <f t="shared" si="42"/>
        <v>0.22749999999999998</v>
      </c>
      <c r="AS38" s="54">
        <f t="shared" si="42"/>
        <v>0.22749999999999998</v>
      </c>
      <c r="AT38" s="54">
        <f t="shared" si="42"/>
        <v>0.22749999999999998</v>
      </c>
      <c r="AU38" s="54">
        <f t="shared" si="42"/>
        <v>0.22749999999999998</v>
      </c>
      <c r="AV38" s="54">
        <f t="shared" si="42"/>
        <v>0.22749999999999998</v>
      </c>
      <c r="AW38" s="54">
        <f t="shared" si="42"/>
        <v>0.22749999999999998</v>
      </c>
      <c r="AX38" s="54">
        <f t="shared" si="42"/>
        <v>0.22749999999999998</v>
      </c>
      <c r="AY38" s="54">
        <f t="shared" si="42"/>
        <v>0.22749999999999998</v>
      </c>
      <c r="AZ38" s="54">
        <f t="shared" si="42"/>
        <v>0.22749999999999998</v>
      </c>
      <c r="BA38" s="54">
        <f t="shared" si="42"/>
        <v>0.22749999999999998</v>
      </c>
      <c r="BB38" s="54">
        <f t="shared" si="42"/>
        <v>0.22749999999999998</v>
      </c>
      <c r="BC38" s="54">
        <f t="shared" si="42"/>
        <v>0.22749999999999998</v>
      </c>
      <c r="BD38" s="54">
        <f t="shared" si="42"/>
        <v>0.22749999999999998</v>
      </c>
      <c r="BE38" s="54">
        <f t="shared" si="42"/>
        <v>0.22749999999999998</v>
      </c>
      <c r="BF38" s="65"/>
      <c r="BG38" s="65"/>
      <c r="BH38" s="65"/>
      <c r="BI38" s="65"/>
      <c r="BJ38" s="65"/>
      <c r="BK38" s="65"/>
      <c r="BL38" s="1" t="s">
        <v>157</v>
      </c>
      <c r="BM38" s="1"/>
      <c r="BN38" s="1"/>
      <c r="BO38" s="1"/>
      <c r="BP38" s="1"/>
      <c r="BQ38" s="1"/>
      <c r="BR38" s="1"/>
      <c r="BS38" s="1"/>
      <c r="BT38" s="1"/>
      <c r="BU38" s="1"/>
      <c r="BV38" s="1"/>
      <c r="BW38" s="1"/>
      <c r="BX38" s="1"/>
      <c r="BY38" s="1"/>
      <c r="BZ38" s="1"/>
      <c r="CA38" s="1"/>
      <c r="CB38" s="1"/>
      <c r="CC38" s="1"/>
      <c r="CD38" s="1" t="s">
        <v>160</v>
      </c>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row>
    <row r="39" spans="1:119" ht="14.25" customHeight="1">
      <c r="A39" s="1"/>
      <c r="B39" s="28" t="s">
        <v>145</v>
      </c>
      <c r="C39" s="1" t="s">
        <v>154</v>
      </c>
      <c r="D39" s="1" t="s">
        <v>161</v>
      </c>
      <c r="E39" s="1"/>
      <c r="F39" s="1" t="s">
        <v>156</v>
      </c>
      <c r="G39" s="1" t="s">
        <v>153</v>
      </c>
      <c r="H39" s="35"/>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54"/>
      <c r="AM39" s="54"/>
      <c r="AN39" s="54"/>
      <c r="AO39" s="54"/>
      <c r="AP39" s="54"/>
      <c r="AQ39" s="54"/>
      <c r="AR39" s="54"/>
      <c r="AS39" s="54"/>
      <c r="AT39" s="54"/>
      <c r="AU39" s="54"/>
      <c r="AV39" s="54"/>
      <c r="AW39" s="54"/>
      <c r="AX39" s="54"/>
      <c r="AY39" s="54"/>
      <c r="AZ39" s="54"/>
      <c r="BA39" s="54"/>
      <c r="BB39" s="54"/>
      <c r="BC39" s="54"/>
      <c r="BD39" s="54"/>
      <c r="BE39" s="54"/>
      <c r="BF39" s="65"/>
      <c r="BG39" s="65"/>
      <c r="BH39" s="65"/>
      <c r="BI39" s="65"/>
      <c r="BJ39" s="65"/>
      <c r="BK39" s="65"/>
      <c r="BL39" s="1"/>
      <c r="BM39" s="1"/>
      <c r="BN39" s="1"/>
      <c r="BO39" s="1"/>
      <c r="BP39" s="1"/>
      <c r="BQ39" s="1"/>
      <c r="BR39" s="1"/>
      <c r="BS39" s="1"/>
      <c r="BT39" s="1"/>
      <c r="BU39" s="1"/>
      <c r="BV39" s="1"/>
      <c r="BW39" s="1"/>
      <c r="BX39" s="1"/>
      <c r="BY39" s="1"/>
      <c r="BZ39" s="1"/>
      <c r="CA39" s="1"/>
      <c r="CB39" s="1"/>
      <c r="CC39" s="1"/>
      <c r="CD39" s="1">
        <f>35445/(110*365)</f>
        <v>0.8828144458281445</v>
      </c>
      <c r="CE39" s="1"/>
      <c r="CF39" s="1" t="s">
        <v>162</v>
      </c>
      <c r="CG39" s="1" t="s">
        <v>163</v>
      </c>
      <c r="CH39" s="1"/>
      <c r="CI39" s="1" t="s">
        <v>164</v>
      </c>
      <c r="CJ39" s="1" t="s">
        <v>165</v>
      </c>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row>
    <row r="40" spans="1:119" ht="14.25" customHeight="1">
      <c r="A40" s="1"/>
      <c r="B40" s="28" t="s">
        <v>145</v>
      </c>
      <c r="C40" s="1" t="s">
        <v>154</v>
      </c>
      <c r="D40" s="1" t="s">
        <v>166</v>
      </c>
      <c r="E40" s="1"/>
      <c r="F40" s="1" t="s">
        <v>156</v>
      </c>
      <c r="G40" s="1" t="s">
        <v>153</v>
      </c>
      <c r="H40" s="35"/>
      <c r="I40" s="65">
        <f t="shared" ref="I40:AA40" si="43">CU56</f>
        <v>4.8999999999999998E-4</v>
      </c>
      <c r="J40" s="65">
        <f t="shared" si="43"/>
        <v>1E-3</v>
      </c>
      <c r="K40" s="65">
        <f t="shared" si="43"/>
        <v>7.0000000000000001E-3</v>
      </c>
      <c r="L40" s="65">
        <f t="shared" si="43"/>
        <v>2.4E-2</v>
      </c>
      <c r="M40" s="65">
        <f t="shared" si="43"/>
        <v>3.7999999999999999E-2</v>
      </c>
      <c r="N40" s="65">
        <f t="shared" si="43"/>
        <v>6.9000000000000006E-2</v>
      </c>
      <c r="O40" s="65">
        <f t="shared" si="43"/>
        <v>9.8000000000000004E-2</v>
      </c>
      <c r="P40" s="65">
        <f t="shared" si="43"/>
        <v>0.13490000000000002</v>
      </c>
      <c r="Q40" s="65">
        <f t="shared" si="43"/>
        <v>0.1825</v>
      </c>
      <c r="R40" s="65">
        <f t="shared" si="43"/>
        <v>0.22199999999999998</v>
      </c>
      <c r="S40" s="65">
        <f t="shared" si="43"/>
        <v>0.26600000000000001</v>
      </c>
      <c r="T40" s="65">
        <f t="shared" si="43"/>
        <v>0.31979999999999997</v>
      </c>
      <c r="U40" s="65">
        <f t="shared" si="43"/>
        <v>0.376</v>
      </c>
      <c r="V40" s="65">
        <f t="shared" si="43"/>
        <v>0.43460000000000004</v>
      </c>
      <c r="W40" s="65">
        <f t="shared" si="43"/>
        <v>0.47309999999999997</v>
      </c>
      <c r="X40" s="65">
        <f t="shared" si="43"/>
        <v>0.51122500000000004</v>
      </c>
      <c r="Y40" s="65">
        <f t="shared" si="43"/>
        <v>0.53676000000000001</v>
      </c>
      <c r="Z40" s="65">
        <f t="shared" si="43"/>
        <v>0.55341000000000007</v>
      </c>
      <c r="AA40" s="65">
        <f t="shared" si="43"/>
        <v>0.55900000000000005</v>
      </c>
      <c r="AB40" s="65">
        <f t="shared" ref="AB40:BE40" si="44">AA40</f>
        <v>0.55900000000000005</v>
      </c>
      <c r="AC40" s="65">
        <f t="shared" si="44"/>
        <v>0.55900000000000005</v>
      </c>
      <c r="AD40" s="65">
        <f t="shared" si="44"/>
        <v>0.55900000000000005</v>
      </c>
      <c r="AE40" s="65">
        <f t="shared" si="44"/>
        <v>0.55900000000000005</v>
      </c>
      <c r="AF40" s="65">
        <f t="shared" si="44"/>
        <v>0.55900000000000005</v>
      </c>
      <c r="AG40" s="65">
        <f t="shared" si="44"/>
        <v>0.55900000000000005</v>
      </c>
      <c r="AH40" s="65">
        <f t="shared" si="44"/>
        <v>0.55900000000000005</v>
      </c>
      <c r="AI40" s="65">
        <f t="shared" si="44"/>
        <v>0.55900000000000005</v>
      </c>
      <c r="AJ40" s="65">
        <f t="shared" si="44"/>
        <v>0.55900000000000005</v>
      </c>
      <c r="AK40" s="65">
        <f t="shared" si="44"/>
        <v>0.55900000000000005</v>
      </c>
      <c r="AL40" s="54">
        <f t="shared" si="44"/>
        <v>0.55900000000000005</v>
      </c>
      <c r="AM40" s="54">
        <f t="shared" si="44"/>
        <v>0.55900000000000005</v>
      </c>
      <c r="AN40" s="54">
        <f t="shared" si="44"/>
        <v>0.55900000000000005</v>
      </c>
      <c r="AO40" s="54">
        <f t="shared" si="44"/>
        <v>0.55900000000000005</v>
      </c>
      <c r="AP40" s="54">
        <f t="shared" si="44"/>
        <v>0.55900000000000005</v>
      </c>
      <c r="AQ40" s="54">
        <f t="shared" si="44"/>
        <v>0.55900000000000005</v>
      </c>
      <c r="AR40" s="54">
        <f t="shared" si="44"/>
        <v>0.55900000000000005</v>
      </c>
      <c r="AS40" s="54">
        <f t="shared" si="44"/>
        <v>0.55900000000000005</v>
      </c>
      <c r="AT40" s="54">
        <f t="shared" si="44"/>
        <v>0.55900000000000005</v>
      </c>
      <c r="AU40" s="54">
        <f t="shared" si="44"/>
        <v>0.55900000000000005</v>
      </c>
      <c r="AV40" s="54">
        <f t="shared" si="44"/>
        <v>0.55900000000000005</v>
      </c>
      <c r="AW40" s="54">
        <f t="shared" si="44"/>
        <v>0.55900000000000005</v>
      </c>
      <c r="AX40" s="54">
        <f t="shared" si="44"/>
        <v>0.55900000000000005</v>
      </c>
      <c r="AY40" s="54">
        <f t="shared" si="44"/>
        <v>0.55900000000000005</v>
      </c>
      <c r="AZ40" s="54">
        <f t="shared" si="44"/>
        <v>0.55900000000000005</v>
      </c>
      <c r="BA40" s="54">
        <f t="shared" si="44"/>
        <v>0.55900000000000005</v>
      </c>
      <c r="BB40" s="54">
        <f t="shared" si="44"/>
        <v>0.55900000000000005</v>
      </c>
      <c r="BC40" s="54">
        <f t="shared" si="44"/>
        <v>0.55900000000000005</v>
      </c>
      <c r="BD40" s="54">
        <f t="shared" si="44"/>
        <v>0.55900000000000005</v>
      </c>
      <c r="BE40" s="54">
        <f t="shared" si="44"/>
        <v>0.55900000000000005</v>
      </c>
      <c r="BF40" s="65"/>
      <c r="BG40" s="65"/>
      <c r="BH40" s="65"/>
      <c r="BI40" s="65"/>
      <c r="BJ40" s="65"/>
      <c r="BK40" s="65"/>
      <c r="BL40" s="1" t="s">
        <v>157</v>
      </c>
      <c r="BM40" s="1"/>
      <c r="BN40" s="1"/>
      <c r="BO40" s="1"/>
      <c r="BP40" s="1"/>
      <c r="BQ40" s="1"/>
      <c r="BR40" s="1"/>
      <c r="BS40" s="1"/>
      <c r="BT40" s="1"/>
      <c r="BU40" s="1"/>
      <c r="BV40" s="1"/>
      <c r="BW40" s="1"/>
      <c r="BX40" s="1"/>
      <c r="BY40" s="1"/>
      <c r="BZ40" s="1"/>
      <c r="CA40" s="1"/>
      <c r="CB40" s="1"/>
      <c r="CC40" s="1"/>
      <c r="CD40" s="1"/>
      <c r="CE40" s="1"/>
      <c r="CF40" s="1" t="s">
        <v>68</v>
      </c>
      <c r="CG40" s="1">
        <v>1.0015000000000001</v>
      </c>
      <c r="CH40" s="1"/>
      <c r="CI40" s="1">
        <v>35392212</v>
      </c>
      <c r="CJ40" s="1">
        <f t="shared" ref="CJ40:CJ42" si="45">CI40*CG40</f>
        <v>35445300.318000004</v>
      </c>
      <c r="CK40" s="1">
        <f t="shared" ref="CK40:CK42" si="46">CJ40*0.005807</f>
        <v>205830.85894662602</v>
      </c>
      <c r="CL40" s="1"/>
      <c r="CM40" s="1"/>
      <c r="CN40" s="1"/>
      <c r="CO40" s="1"/>
      <c r="CP40" s="1"/>
      <c r="CQ40" s="1"/>
      <c r="CR40" s="1"/>
      <c r="CS40" s="1"/>
      <c r="CT40" s="1"/>
      <c r="CU40" s="1">
        <v>2022</v>
      </c>
      <c r="CV40" s="1">
        <v>2023</v>
      </c>
      <c r="CW40" s="1">
        <v>2024</v>
      </c>
      <c r="CX40" s="1">
        <v>2025</v>
      </c>
      <c r="CY40" s="1">
        <v>2026</v>
      </c>
      <c r="CZ40" s="1">
        <v>2027</v>
      </c>
      <c r="DA40" s="1">
        <v>2028</v>
      </c>
      <c r="DB40" s="1">
        <v>2029</v>
      </c>
      <c r="DC40" s="1">
        <v>2030</v>
      </c>
      <c r="DD40" s="1">
        <v>2031</v>
      </c>
      <c r="DE40" s="1">
        <v>2032</v>
      </c>
      <c r="DF40" s="1">
        <v>2033</v>
      </c>
      <c r="DG40" s="1">
        <v>2034</v>
      </c>
      <c r="DH40" s="1">
        <v>2035</v>
      </c>
      <c r="DI40" s="1">
        <v>2036</v>
      </c>
      <c r="DJ40" s="1">
        <v>2037</v>
      </c>
      <c r="DK40" s="1">
        <v>2038</v>
      </c>
      <c r="DL40" s="1">
        <v>2039</v>
      </c>
      <c r="DM40" s="1">
        <v>2040</v>
      </c>
      <c r="DN40" s="1"/>
      <c r="DO40" s="1"/>
    </row>
    <row r="41" spans="1:119" ht="14.25" customHeight="1">
      <c r="A41" s="1"/>
      <c r="B41" s="28" t="s">
        <v>145</v>
      </c>
      <c r="C41" s="1" t="s">
        <v>154</v>
      </c>
      <c r="D41" s="1" t="s">
        <v>167</v>
      </c>
      <c r="E41" s="1"/>
      <c r="F41" s="1" t="s">
        <v>156</v>
      </c>
      <c r="G41" s="1" t="s">
        <v>153</v>
      </c>
      <c r="H41" s="35"/>
      <c r="I41" s="65">
        <f t="shared" ref="I41:AA41" si="47">AVERAGE(I40,I36)</f>
        <v>4.95E-4</v>
      </c>
      <c r="J41" s="65">
        <f t="shared" si="47"/>
        <v>1E-3</v>
      </c>
      <c r="K41" s="65">
        <f t="shared" si="47"/>
        <v>4.5000000000000005E-3</v>
      </c>
      <c r="L41" s="65">
        <f t="shared" si="47"/>
        <v>1.375E-2</v>
      </c>
      <c r="M41" s="65">
        <f t="shared" si="47"/>
        <v>2.1499999999999998E-2</v>
      </c>
      <c r="N41" s="65">
        <f t="shared" si="47"/>
        <v>3.7500000000000006E-2</v>
      </c>
      <c r="O41" s="65">
        <f t="shared" si="47"/>
        <v>5.3000000000000005E-2</v>
      </c>
      <c r="P41" s="65">
        <f t="shared" si="47"/>
        <v>7.2450000000000014E-2</v>
      </c>
      <c r="Q41" s="65">
        <f t="shared" si="47"/>
        <v>9.8650000000000002E-2</v>
      </c>
      <c r="R41" s="65">
        <f t="shared" si="47"/>
        <v>0.12375999999999998</v>
      </c>
      <c r="S41" s="65">
        <f t="shared" si="47"/>
        <v>0.1522</v>
      </c>
      <c r="T41" s="65">
        <f t="shared" si="47"/>
        <v>0.18739999999999998</v>
      </c>
      <c r="U41" s="65">
        <f t="shared" si="47"/>
        <v>0.2258</v>
      </c>
      <c r="V41" s="65">
        <f t="shared" si="47"/>
        <v>0.26266</v>
      </c>
      <c r="W41" s="65">
        <f t="shared" si="47"/>
        <v>0.28991</v>
      </c>
      <c r="X41" s="65">
        <f t="shared" si="47"/>
        <v>0.31451750000000001</v>
      </c>
      <c r="Y41" s="65">
        <f t="shared" si="47"/>
        <v>0.332955</v>
      </c>
      <c r="Z41" s="65">
        <f t="shared" si="47"/>
        <v>0.34655500000000006</v>
      </c>
      <c r="AA41" s="65">
        <f t="shared" si="47"/>
        <v>0.35262500000000002</v>
      </c>
      <c r="AB41" s="65">
        <f t="shared" ref="AB41:BE41" si="48">AA41</f>
        <v>0.35262500000000002</v>
      </c>
      <c r="AC41" s="65">
        <f t="shared" si="48"/>
        <v>0.35262500000000002</v>
      </c>
      <c r="AD41" s="65">
        <f t="shared" si="48"/>
        <v>0.35262500000000002</v>
      </c>
      <c r="AE41" s="65">
        <f t="shared" si="48"/>
        <v>0.35262500000000002</v>
      </c>
      <c r="AF41" s="65">
        <f t="shared" si="48"/>
        <v>0.35262500000000002</v>
      </c>
      <c r="AG41" s="65">
        <f t="shared" si="48"/>
        <v>0.35262500000000002</v>
      </c>
      <c r="AH41" s="65">
        <f t="shared" si="48"/>
        <v>0.35262500000000002</v>
      </c>
      <c r="AI41" s="65">
        <f t="shared" si="48"/>
        <v>0.35262500000000002</v>
      </c>
      <c r="AJ41" s="65">
        <f t="shared" si="48"/>
        <v>0.35262500000000002</v>
      </c>
      <c r="AK41" s="65">
        <f t="shared" si="48"/>
        <v>0.35262500000000002</v>
      </c>
      <c r="AL41" s="54">
        <f t="shared" si="48"/>
        <v>0.35262500000000002</v>
      </c>
      <c r="AM41" s="54">
        <f t="shared" si="48"/>
        <v>0.35262500000000002</v>
      </c>
      <c r="AN41" s="54">
        <f t="shared" si="48"/>
        <v>0.35262500000000002</v>
      </c>
      <c r="AO41" s="54">
        <f t="shared" si="48"/>
        <v>0.35262500000000002</v>
      </c>
      <c r="AP41" s="54">
        <f t="shared" si="48"/>
        <v>0.35262500000000002</v>
      </c>
      <c r="AQ41" s="54">
        <f t="shared" si="48"/>
        <v>0.35262500000000002</v>
      </c>
      <c r="AR41" s="54">
        <f t="shared" si="48"/>
        <v>0.35262500000000002</v>
      </c>
      <c r="AS41" s="54">
        <f t="shared" si="48"/>
        <v>0.35262500000000002</v>
      </c>
      <c r="AT41" s="54">
        <f t="shared" si="48"/>
        <v>0.35262500000000002</v>
      </c>
      <c r="AU41" s="54">
        <f t="shared" si="48"/>
        <v>0.35262500000000002</v>
      </c>
      <c r="AV41" s="54">
        <f t="shared" si="48"/>
        <v>0.35262500000000002</v>
      </c>
      <c r="AW41" s="54">
        <f t="shared" si="48"/>
        <v>0.35262500000000002</v>
      </c>
      <c r="AX41" s="54">
        <f t="shared" si="48"/>
        <v>0.35262500000000002</v>
      </c>
      <c r="AY41" s="54">
        <f t="shared" si="48"/>
        <v>0.35262500000000002</v>
      </c>
      <c r="AZ41" s="54">
        <f t="shared" si="48"/>
        <v>0.35262500000000002</v>
      </c>
      <c r="BA41" s="54">
        <f t="shared" si="48"/>
        <v>0.35262500000000002</v>
      </c>
      <c r="BB41" s="54">
        <f t="shared" si="48"/>
        <v>0.35262500000000002</v>
      </c>
      <c r="BC41" s="54">
        <f t="shared" si="48"/>
        <v>0.35262500000000002</v>
      </c>
      <c r="BD41" s="54">
        <f t="shared" si="48"/>
        <v>0.35262500000000002</v>
      </c>
      <c r="BE41" s="54">
        <f t="shared" si="48"/>
        <v>0.35262500000000002</v>
      </c>
      <c r="BF41" s="65"/>
      <c r="BG41" s="65"/>
      <c r="BH41" s="65"/>
      <c r="BI41" s="65"/>
      <c r="BJ41" s="65"/>
      <c r="BK41" s="65"/>
      <c r="BL41" s="1" t="s">
        <v>157</v>
      </c>
      <c r="BM41" s="1" t="s">
        <v>168</v>
      </c>
      <c r="BN41" s="1"/>
      <c r="BO41" s="1"/>
      <c r="BP41" s="1"/>
      <c r="BQ41" s="1"/>
      <c r="BR41" s="1"/>
      <c r="BS41" s="1"/>
      <c r="BT41" s="1"/>
      <c r="BU41" s="1"/>
      <c r="BV41" s="1"/>
      <c r="BW41" s="1"/>
      <c r="BX41" s="1"/>
      <c r="BY41" s="1"/>
      <c r="BZ41" s="1"/>
      <c r="CA41" s="1"/>
      <c r="CB41" s="1"/>
      <c r="CC41" s="1"/>
      <c r="CD41" s="1"/>
      <c r="CE41" s="1"/>
      <c r="CF41" s="1" t="s">
        <v>169</v>
      </c>
      <c r="CG41" s="1">
        <v>0.89339999999999997</v>
      </c>
      <c r="CH41" s="1"/>
      <c r="CI41" s="1">
        <f>CE26+CF26+CG26+CH26+CQ26+CR26</f>
        <v>14436179</v>
      </c>
      <c r="CJ41" s="1">
        <f t="shared" si="45"/>
        <v>12897282.318599999</v>
      </c>
      <c r="CK41" s="1">
        <f t="shared" si="46"/>
        <v>74894.518424110196</v>
      </c>
      <c r="CL41" s="1"/>
      <c r="CM41" s="1"/>
      <c r="CN41" s="1"/>
      <c r="CO41" s="1"/>
      <c r="CP41" s="1"/>
      <c r="CQ41" s="1"/>
      <c r="CR41" s="1"/>
      <c r="CS41" s="1"/>
      <c r="CT41" s="1" t="s">
        <v>170</v>
      </c>
      <c r="CU41" s="1" t="s">
        <v>171</v>
      </c>
      <c r="CV41" s="1"/>
      <c r="CW41" s="1"/>
      <c r="CX41" s="1"/>
      <c r="CY41" s="1"/>
      <c r="CZ41" s="1"/>
      <c r="DA41" s="1"/>
      <c r="DB41" s="1"/>
      <c r="DC41" s="1"/>
      <c r="DD41" s="1"/>
      <c r="DE41" s="1"/>
      <c r="DF41" s="1"/>
      <c r="DG41" s="1"/>
      <c r="DH41" s="1"/>
      <c r="DI41" s="1"/>
      <c r="DJ41" s="1"/>
      <c r="DK41" s="1"/>
      <c r="DL41" s="1"/>
      <c r="DM41" s="1"/>
      <c r="DN41" s="1"/>
      <c r="DO41" s="1"/>
    </row>
    <row r="42" spans="1:119" ht="14.25" customHeight="1">
      <c r="A42" s="1"/>
      <c r="B42" s="28" t="s">
        <v>145</v>
      </c>
      <c r="C42" s="1" t="s">
        <v>154</v>
      </c>
      <c r="D42" s="1" t="s">
        <v>172</v>
      </c>
      <c r="E42" s="1"/>
      <c r="F42" s="1" t="s">
        <v>156</v>
      </c>
      <c r="G42" s="1" t="s">
        <v>153</v>
      </c>
      <c r="H42" s="35"/>
      <c r="I42" s="54">
        <f t="shared" ref="I42:AA42" si="49">CU60</f>
        <v>2.0000000000000004E-4</v>
      </c>
      <c r="J42" s="54">
        <f t="shared" si="49"/>
        <v>1E-3</v>
      </c>
      <c r="K42" s="54">
        <f t="shared" si="49"/>
        <v>7.0000000000000001E-3</v>
      </c>
      <c r="L42" s="54">
        <f t="shared" si="49"/>
        <v>8.9999999999999976E-3</v>
      </c>
      <c r="M42" s="54">
        <f t="shared" si="49"/>
        <v>1.4999999999999999E-2</v>
      </c>
      <c r="N42" s="54">
        <f t="shared" si="49"/>
        <v>2.0000000000000004E-2</v>
      </c>
      <c r="O42" s="54">
        <f t="shared" si="49"/>
        <v>3.5000000000000003E-2</v>
      </c>
      <c r="P42" s="54">
        <f t="shared" si="49"/>
        <v>0.05</v>
      </c>
      <c r="Q42" s="54">
        <f t="shared" si="49"/>
        <v>6.9999999999999993E-2</v>
      </c>
      <c r="R42" s="65">
        <f t="shared" si="49"/>
        <v>0.10119999999999998</v>
      </c>
      <c r="S42" s="65">
        <f t="shared" si="49"/>
        <v>0.14399999999999999</v>
      </c>
      <c r="T42" s="65">
        <f t="shared" si="49"/>
        <v>0.19</v>
      </c>
      <c r="U42" s="65">
        <f t="shared" si="49"/>
        <v>0.24299999999999999</v>
      </c>
      <c r="V42" s="65">
        <f t="shared" si="49"/>
        <v>0.28000000000000003</v>
      </c>
      <c r="W42" s="65">
        <f t="shared" si="49"/>
        <v>0.30740000000000001</v>
      </c>
      <c r="X42" s="65">
        <f t="shared" si="49"/>
        <v>0.32427499999999998</v>
      </c>
      <c r="Y42" s="65">
        <f t="shared" si="49"/>
        <v>0.34440000000000004</v>
      </c>
      <c r="Z42" s="65">
        <f t="shared" si="49"/>
        <v>0.36194999999999999</v>
      </c>
      <c r="AA42" s="65">
        <f t="shared" si="49"/>
        <v>0.37374999999999997</v>
      </c>
      <c r="AB42" s="65">
        <f t="shared" ref="AB42:BE42" si="50">AA42</f>
        <v>0.37374999999999997</v>
      </c>
      <c r="AC42" s="65">
        <f t="shared" si="50"/>
        <v>0.37374999999999997</v>
      </c>
      <c r="AD42" s="65">
        <f t="shared" si="50"/>
        <v>0.37374999999999997</v>
      </c>
      <c r="AE42" s="65">
        <f t="shared" si="50"/>
        <v>0.37374999999999997</v>
      </c>
      <c r="AF42" s="65">
        <f t="shared" si="50"/>
        <v>0.37374999999999997</v>
      </c>
      <c r="AG42" s="65">
        <f t="shared" si="50"/>
        <v>0.37374999999999997</v>
      </c>
      <c r="AH42" s="65">
        <f t="shared" si="50"/>
        <v>0.37374999999999997</v>
      </c>
      <c r="AI42" s="65">
        <f t="shared" si="50"/>
        <v>0.37374999999999997</v>
      </c>
      <c r="AJ42" s="65">
        <f t="shared" si="50"/>
        <v>0.37374999999999997</v>
      </c>
      <c r="AK42" s="65">
        <f t="shared" si="50"/>
        <v>0.37374999999999997</v>
      </c>
      <c r="AL42" s="54">
        <f t="shared" si="50"/>
        <v>0.37374999999999997</v>
      </c>
      <c r="AM42" s="54">
        <f t="shared" si="50"/>
        <v>0.37374999999999997</v>
      </c>
      <c r="AN42" s="54">
        <f t="shared" si="50"/>
        <v>0.37374999999999997</v>
      </c>
      <c r="AO42" s="54">
        <f t="shared" si="50"/>
        <v>0.37374999999999997</v>
      </c>
      <c r="AP42" s="54">
        <f t="shared" si="50"/>
        <v>0.37374999999999997</v>
      </c>
      <c r="AQ42" s="54">
        <f t="shared" si="50"/>
        <v>0.37374999999999997</v>
      </c>
      <c r="AR42" s="54">
        <f t="shared" si="50"/>
        <v>0.37374999999999997</v>
      </c>
      <c r="AS42" s="54">
        <f t="shared" si="50"/>
        <v>0.37374999999999997</v>
      </c>
      <c r="AT42" s="54">
        <f t="shared" si="50"/>
        <v>0.37374999999999997</v>
      </c>
      <c r="AU42" s="54">
        <f t="shared" si="50"/>
        <v>0.37374999999999997</v>
      </c>
      <c r="AV42" s="54">
        <f t="shared" si="50"/>
        <v>0.37374999999999997</v>
      </c>
      <c r="AW42" s="54">
        <f t="shared" si="50"/>
        <v>0.37374999999999997</v>
      </c>
      <c r="AX42" s="54">
        <f t="shared" si="50"/>
        <v>0.37374999999999997</v>
      </c>
      <c r="AY42" s="54">
        <f t="shared" si="50"/>
        <v>0.37374999999999997</v>
      </c>
      <c r="AZ42" s="54">
        <f t="shared" si="50"/>
        <v>0.37374999999999997</v>
      </c>
      <c r="BA42" s="54">
        <f t="shared" si="50"/>
        <v>0.37374999999999997</v>
      </c>
      <c r="BB42" s="54">
        <f t="shared" si="50"/>
        <v>0.37374999999999997</v>
      </c>
      <c r="BC42" s="54">
        <f t="shared" si="50"/>
        <v>0.37374999999999997</v>
      </c>
      <c r="BD42" s="54">
        <f t="shared" si="50"/>
        <v>0.37374999999999997</v>
      </c>
      <c r="BE42" s="54">
        <f t="shared" si="50"/>
        <v>0.37374999999999997</v>
      </c>
      <c r="BF42" s="65"/>
      <c r="BG42" s="65"/>
      <c r="BH42" s="65"/>
      <c r="BI42" s="65"/>
      <c r="BJ42" s="65"/>
      <c r="BK42" s="65"/>
      <c r="BL42" s="1" t="s">
        <v>173</v>
      </c>
      <c r="BM42" s="1"/>
      <c r="BN42" s="1"/>
      <c r="BO42" s="1"/>
      <c r="BP42" s="1"/>
      <c r="BQ42" s="1"/>
      <c r="BR42" s="1"/>
      <c r="BS42" s="1"/>
      <c r="BT42" s="1"/>
      <c r="BU42" s="1"/>
      <c r="BV42" s="1"/>
      <c r="BW42" s="1"/>
      <c r="BX42" s="1"/>
      <c r="BY42" s="1"/>
      <c r="BZ42" s="1"/>
      <c r="CA42" s="1"/>
      <c r="CB42" s="1"/>
      <c r="CC42" s="1"/>
      <c r="CD42" s="1"/>
      <c r="CE42" s="1"/>
      <c r="CF42" s="1" t="s">
        <v>174</v>
      </c>
      <c r="CG42" s="1">
        <v>1.0015000000000001</v>
      </c>
      <c r="CH42" s="1"/>
      <c r="CI42" s="1">
        <f>CI26+CJ26</f>
        <v>7956020</v>
      </c>
      <c r="CJ42" s="1">
        <f t="shared" si="45"/>
        <v>7967954.0300000003</v>
      </c>
      <c r="CK42" s="1">
        <f t="shared" si="46"/>
        <v>46269.909052210001</v>
      </c>
      <c r="CL42" s="1"/>
      <c r="CM42" s="1"/>
      <c r="CN42" s="1"/>
      <c r="CO42" s="1"/>
      <c r="CP42" s="1"/>
      <c r="CQ42" s="1"/>
      <c r="CR42" s="1"/>
      <c r="CS42" s="1"/>
      <c r="CT42" s="1" t="s">
        <v>175</v>
      </c>
      <c r="CU42" s="54">
        <v>5.0000000000000001E-4</v>
      </c>
      <c r="CV42" s="54">
        <v>8.0000000000000004E-4</v>
      </c>
      <c r="CW42" s="54">
        <v>1.8E-3</v>
      </c>
      <c r="CX42" s="54">
        <f t="shared" ref="CX42:CX43" si="51">(0.2%+0.5%)/2</f>
        <v>3.5000000000000001E-3</v>
      </c>
      <c r="CY42" s="65">
        <v>7.0000000000000001E-3</v>
      </c>
      <c r="CZ42" s="65">
        <v>1.4E-2</v>
      </c>
      <c r="DA42" s="54">
        <v>2.1999999999999999E-2</v>
      </c>
      <c r="DB42" s="54">
        <v>0.03</v>
      </c>
      <c r="DC42" s="65">
        <f t="shared" ref="DC42:DC43" si="52">(3%+5%)/2</f>
        <v>0.04</v>
      </c>
      <c r="DD42" s="25">
        <v>5.8000000000000003E-2</v>
      </c>
      <c r="DE42" s="25">
        <v>0.08</v>
      </c>
      <c r="DF42" s="25">
        <v>0.11</v>
      </c>
      <c r="DG42" s="25">
        <v>0.14000000000000001</v>
      </c>
      <c r="DH42" s="25">
        <v>0.16200000000000001</v>
      </c>
      <c r="DI42" s="25">
        <v>0.184</v>
      </c>
      <c r="DJ42" s="25">
        <v>0.19800000000000001</v>
      </c>
      <c r="DK42" s="25">
        <v>0.21</v>
      </c>
      <c r="DL42" s="25">
        <v>0.22</v>
      </c>
      <c r="DM42" s="65">
        <f>(20%+25%)/2</f>
        <v>0.22500000000000001</v>
      </c>
      <c r="DN42" s="1"/>
      <c r="DO42" s="1"/>
    </row>
    <row r="43" spans="1:119" ht="14.25" customHeight="1">
      <c r="A43" s="1"/>
      <c r="B43" s="28" t="s">
        <v>145</v>
      </c>
      <c r="C43" s="1" t="s">
        <v>176</v>
      </c>
      <c r="D43" s="1" t="s">
        <v>155</v>
      </c>
      <c r="E43" s="1"/>
      <c r="F43" s="1" t="s">
        <v>156</v>
      </c>
      <c r="G43" s="1"/>
      <c r="H43" s="72">
        <v>1.2E-2</v>
      </c>
      <c r="I43" s="65">
        <f t="shared" ref="I43:AA43" si="53">CU45</f>
        <v>1.2999999999999999E-3</v>
      </c>
      <c r="J43" s="65">
        <f t="shared" si="53"/>
        <v>2.5000000000000001E-3</v>
      </c>
      <c r="K43" s="65">
        <f t="shared" si="53"/>
        <v>5.0000000000000001E-3</v>
      </c>
      <c r="L43" s="65">
        <f t="shared" si="53"/>
        <v>7.4999999999999997E-3</v>
      </c>
      <c r="M43" s="65">
        <f t="shared" si="53"/>
        <v>0.01</v>
      </c>
      <c r="N43" s="65">
        <f t="shared" si="53"/>
        <v>1.2999999999999999E-2</v>
      </c>
      <c r="O43" s="65">
        <f t="shared" si="53"/>
        <v>1.6E-2</v>
      </c>
      <c r="P43" s="65">
        <f t="shared" si="53"/>
        <v>0.02</v>
      </c>
      <c r="Q43" s="65">
        <f t="shared" si="53"/>
        <v>2.52E-2</v>
      </c>
      <c r="R43" s="65">
        <f t="shared" si="53"/>
        <v>3.2480000000000002E-2</v>
      </c>
      <c r="S43" s="65">
        <f t="shared" si="53"/>
        <v>4.1600000000000005E-2</v>
      </c>
      <c r="T43" s="65">
        <f t="shared" si="53"/>
        <v>5.5E-2</v>
      </c>
      <c r="U43" s="65">
        <f t="shared" si="53"/>
        <v>6.4400000000000013E-2</v>
      </c>
      <c r="V43" s="65">
        <f t="shared" si="53"/>
        <v>7.1279999999999996E-2</v>
      </c>
      <c r="W43" s="65">
        <f t="shared" si="53"/>
        <v>7.7280000000000001E-2</v>
      </c>
      <c r="X43" s="65">
        <f t="shared" si="53"/>
        <v>8.0190000000000011E-2</v>
      </c>
      <c r="Y43" s="65">
        <f t="shared" si="53"/>
        <v>8.0850000000000005E-2</v>
      </c>
      <c r="Z43" s="65">
        <f t="shared" si="53"/>
        <v>8.0299999999999996E-2</v>
      </c>
      <c r="AA43" s="65">
        <f t="shared" si="53"/>
        <v>7.8750000000000001E-2</v>
      </c>
      <c r="AB43" s="65">
        <f t="shared" ref="AB43:BE43" si="54">AA43</f>
        <v>7.8750000000000001E-2</v>
      </c>
      <c r="AC43" s="65">
        <f t="shared" si="54"/>
        <v>7.8750000000000001E-2</v>
      </c>
      <c r="AD43" s="65">
        <f t="shared" si="54"/>
        <v>7.8750000000000001E-2</v>
      </c>
      <c r="AE43" s="65">
        <f t="shared" si="54"/>
        <v>7.8750000000000001E-2</v>
      </c>
      <c r="AF43" s="65">
        <f t="shared" si="54"/>
        <v>7.8750000000000001E-2</v>
      </c>
      <c r="AG43" s="65">
        <f t="shared" si="54"/>
        <v>7.8750000000000001E-2</v>
      </c>
      <c r="AH43" s="65">
        <f t="shared" si="54"/>
        <v>7.8750000000000001E-2</v>
      </c>
      <c r="AI43" s="65">
        <f t="shared" si="54"/>
        <v>7.8750000000000001E-2</v>
      </c>
      <c r="AJ43" s="65">
        <f t="shared" si="54"/>
        <v>7.8750000000000001E-2</v>
      </c>
      <c r="AK43" s="65">
        <f t="shared" si="54"/>
        <v>7.8750000000000001E-2</v>
      </c>
      <c r="AL43" s="54">
        <f t="shared" si="54"/>
        <v>7.8750000000000001E-2</v>
      </c>
      <c r="AM43" s="54">
        <f t="shared" si="54"/>
        <v>7.8750000000000001E-2</v>
      </c>
      <c r="AN43" s="54">
        <f t="shared" si="54"/>
        <v>7.8750000000000001E-2</v>
      </c>
      <c r="AO43" s="54">
        <f t="shared" si="54"/>
        <v>7.8750000000000001E-2</v>
      </c>
      <c r="AP43" s="54">
        <f t="shared" si="54"/>
        <v>7.8750000000000001E-2</v>
      </c>
      <c r="AQ43" s="54">
        <f t="shared" si="54"/>
        <v>7.8750000000000001E-2</v>
      </c>
      <c r="AR43" s="54">
        <f t="shared" si="54"/>
        <v>7.8750000000000001E-2</v>
      </c>
      <c r="AS43" s="54">
        <f t="shared" si="54"/>
        <v>7.8750000000000001E-2</v>
      </c>
      <c r="AT43" s="54">
        <f t="shared" si="54"/>
        <v>7.8750000000000001E-2</v>
      </c>
      <c r="AU43" s="54">
        <f t="shared" si="54"/>
        <v>7.8750000000000001E-2</v>
      </c>
      <c r="AV43" s="54">
        <f t="shared" si="54"/>
        <v>7.8750000000000001E-2</v>
      </c>
      <c r="AW43" s="54">
        <f t="shared" si="54"/>
        <v>7.8750000000000001E-2</v>
      </c>
      <c r="AX43" s="54">
        <f t="shared" si="54"/>
        <v>7.8750000000000001E-2</v>
      </c>
      <c r="AY43" s="54">
        <f t="shared" si="54"/>
        <v>7.8750000000000001E-2</v>
      </c>
      <c r="AZ43" s="54">
        <f t="shared" si="54"/>
        <v>7.8750000000000001E-2</v>
      </c>
      <c r="BA43" s="54">
        <f t="shared" si="54"/>
        <v>7.8750000000000001E-2</v>
      </c>
      <c r="BB43" s="54">
        <f t="shared" si="54"/>
        <v>7.8750000000000001E-2</v>
      </c>
      <c r="BC43" s="54">
        <f t="shared" si="54"/>
        <v>7.8750000000000001E-2</v>
      </c>
      <c r="BD43" s="54">
        <f t="shared" si="54"/>
        <v>7.8750000000000001E-2</v>
      </c>
      <c r="BE43" s="54">
        <f t="shared" si="54"/>
        <v>7.8750000000000001E-2</v>
      </c>
      <c r="BF43" s="65"/>
      <c r="BG43" s="65"/>
      <c r="BH43" s="65"/>
      <c r="BI43" s="65"/>
      <c r="BJ43" s="65"/>
      <c r="BK43" s="1" t="s">
        <v>155</v>
      </c>
      <c r="BL43" s="65">
        <v>3.5000000000000001E-3</v>
      </c>
      <c r="BM43" s="65">
        <f t="shared" ref="BM43:BP43" si="55">BL43+($BQ43-$BL43)/($Q$1-$L$1)</f>
        <v>1.0799999999999999E-2</v>
      </c>
      <c r="BN43" s="65">
        <f t="shared" si="55"/>
        <v>1.8099999999999998E-2</v>
      </c>
      <c r="BO43" s="65">
        <f t="shared" si="55"/>
        <v>2.5399999999999999E-2</v>
      </c>
      <c r="BP43" s="65">
        <f t="shared" si="55"/>
        <v>3.27E-2</v>
      </c>
      <c r="BQ43" s="65">
        <v>0.04</v>
      </c>
      <c r="BR43" s="65">
        <f t="shared" ref="BR43:BZ43" si="56">BQ43+($CA43-$BQ43)/($AA$1-$Q$1)</f>
        <v>5.8499999999999996E-2</v>
      </c>
      <c r="BS43" s="65">
        <f t="shared" si="56"/>
        <v>7.6999999999999999E-2</v>
      </c>
      <c r="BT43" s="65">
        <f t="shared" si="56"/>
        <v>9.5500000000000002E-2</v>
      </c>
      <c r="BU43" s="65">
        <f t="shared" si="56"/>
        <v>0.114</v>
      </c>
      <c r="BV43" s="65">
        <f t="shared" si="56"/>
        <v>0.13250000000000001</v>
      </c>
      <c r="BW43" s="65">
        <f t="shared" si="56"/>
        <v>0.151</v>
      </c>
      <c r="BX43" s="65">
        <f t="shared" si="56"/>
        <v>0.16949999999999998</v>
      </c>
      <c r="BY43" s="65">
        <f t="shared" si="56"/>
        <v>0.18799999999999997</v>
      </c>
      <c r="BZ43" s="65">
        <f t="shared" si="56"/>
        <v>0.20649999999999996</v>
      </c>
      <c r="CA43" s="65">
        <v>0.22500000000000001</v>
      </c>
      <c r="CB43" s="65">
        <f t="shared" ref="CB43:CK43" si="57">CA43</f>
        <v>0.22500000000000001</v>
      </c>
      <c r="CC43" s="65">
        <f t="shared" si="57"/>
        <v>0.22500000000000001</v>
      </c>
      <c r="CD43" s="65">
        <f t="shared" si="57"/>
        <v>0.22500000000000001</v>
      </c>
      <c r="CE43" s="65">
        <f t="shared" si="57"/>
        <v>0.22500000000000001</v>
      </c>
      <c r="CF43" s="65">
        <f t="shared" si="57"/>
        <v>0.22500000000000001</v>
      </c>
      <c r="CG43" s="65">
        <f t="shared" si="57"/>
        <v>0.22500000000000001</v>
      </c>
      <c r="CH43" s="65">
        <f t="shared" si="57"/>
        <v>0.22500000000000001</v>
      </c>
      <c r="CI43" s="65">
        <f t="shared" si="57"/>
        <v>0.22500000000000001</v>
      </c>
      <c r="CJ43" s="65">
        <f t="shared" si="57"/>
        <v>0.22500000000000001</v>
      </c>
      <c r="CK43" s="65">
        <f t="shared" si="57"/>
        <v>0.22500000000000001</v>
      </c>
      <c r="CL43" s="1"/>
      <c r="CM43" s="1"/>
      <c r="CN43" s="1"/>
      <c r="CO43" s="1"/>
      <c r="CP43" s="1"/>
      <c r="CQ43" s="1"/>
      <c r="CR43" s="1"/>
      <c r="CS43" s="1"/>
      <c r="CT43" s="1" t="s">
        <v>177</v>
      </c>
      <c r="CU43" s="54">
        <v>5.0000000000000001E-4</v>
      </c>
      <c r="CV43" s="54">
        <v>8.0000000000000004E-4</v>
      </c>
      <c r="CW43" s="54">
        <v>1.8E-3</v>
      </c>
      <c r="CX43" s="54">
        <f t="shared" si="51"/>
        <v>3.5000000000000001E-3</v>
      </c>
      <c r="CY43" s="65">
        <v>7.0000000000000001E-3</v>
      </c>
      <c r="CZ43" s="65">
        <v>1.4E-2</v>
      </c>
      <c r="DA43" s="54">
        <v>2.1999999999999999E-2</v>
      </c>
      <c r="DB43" s="54">
        <v>0.03</v>
      </c>
      <c r="DC43" s="65">
        <f t="shared" si="52"/>
        <v>0.04</v>
      </c>
      <c r="DD43" s="25">
        <v>5.8000000000000003E-2</v>
      </c>
      <c r="DE43" s="25">
        <v>0.08</v>
      </c>
      <c r="DF43" s="25">
        <v>0.11</v>
      </c>
      <c r="DG43" s="25">
        <v>0.14000000000000001</v>
      </c>
      <c r="DH43" s="25">
        <v>0.16200000000000001</v>
      </c>
      <c r="DI43" s="25">
        <v>0.184</v>
      </c>
      <c r="DJ43" s="25">
        <v>0.19800000000000001</v>
      </c>
      <c r="DK43" s="25">
        <v>0.21</v>
      </c>
      <c r="DL43" s="25">
        <v>0.22</v>
      </c>
      <c r="DM43" s="65">
        <v>0.14599999999999999</v>
      </c>
      <c r="DN43" s="1"/>
      <c r="DO43" s="1"/>
    </row>
    <row r="44" spans="1:119" ht="14.25" customHeight="1">
      <c r="A44" s="1"/>
      <c r="B44" s="28" t="s">
        <v>145</v>
      </c>
      <c r="C44" s="1" t="s">
        <v>176</v>
      </c>
      <c r="D44" s="1" t="s">
        <v>158</v>
      </c>
      <c r="E44" s="1"/>
      <c r="F44" s="1" t="s">
        <v>156</v>
      </c>
      <c r="G44" s="1"/>
      <c r="H44" s="72">
        <v>9.4999999999999998E-3</v>
      </c>
      <c r="I44" s="65">
        <f t="shared" ref="I44:AK44" si="58">I43</f>
        <v>1.2999999999999999E-3</v>
      </c>
      <c r="J44" s="65">
        <f t="shared" si="58"/>
        <v>2.5000000000000001E-3</v>
      </c>
      <c r="K44" s="65">
        <f t="shared" si="58"/>
        <v>5.0000000000000001E-3</v>
      </c>
      <c r="L44" s="65">
        <f t="shared" si="58"/>
        <v>7.4999999999999997E-3</v>
      </c>
      <c r="M44" s="65">
        <f t="shared" si="58"/>
        <v>0.01</v>
      </c>
      <c r="N44" s="65">
        <f t="shared" si="58"/>
        <v>1.2999999999999999E-2</v>
      </c>
      <c r="O44" s="65">
        <f t="shared" si="58"/>
        <v>1.6E-2</v>
      </c>
      <c r="P44" s="65">
        <f t="shared" si="58"/>
        <v>0.02</v>
      </c>
      <c r="Q44" s="65">
        <f t="shared" si="58"/>
        <v>2.52E-2</v>
      </c>
      <c r="R44" s="65">
        <f t="shared" si="58"/>
        <v>3.2480000000000002E-2</v>
      </c>
      <c r="S44" s="65">
        <f t="shared" si="58"/>
        <v>4.1600000000000005E-2</v>
      </c>
      <c r="T44" s="65">
        <f t="shared" si="58"/>
        <v>5.5E-2</v>
      </c>
      <c r="U44" s="65">
        <f t="shared" si="58"/>
        <v>6.4400000000000013E-2</v>
      </c>
      <c r="V44" s="65">
        <f t="shared" si="58"/>
        <v>7.1279999999999996E-2</v>
      </c>
      <c r="W44" s="65">
        <f t="shared" si="58"/>
        <v>7.7280000000000001E-2</v>
      </c>
      <c r="X44" s="65">
        <f t="shared" si="58"/>
        <v>8.0190000000000011E-2</v>
      </c>
      <c r="Y44" s="65">
        <f t="shared" si="58"/>
        <v>8.0850000000000005E-2</v>
      </c>
      <c r="Z44" s="65">
        <f t="shared" si="58"/>
        <v>8.0299999999999996E-2</v>
      </c>
      <c r="AA44" s="65">
        <f t="shared" si="58"/>
        <v>7.8750000000000001E-2</v>
      </c>
      <c r="AB44" s="65">
        <f t="shared" si="58"/>
        <v>7.8750000000000001E-2</v>
      </c>
      <c r="AC44" s="65">
        <f t="shared" si="58"/>
        <v>7.8750000000000001E-2</v>
      </c>
      <c r="AD44" s="65">
        <f t="shared" si="58"/>
        <v>7.8750000000000001E-2</v>
      </c>
      <c r="AE44" s="65">
        <f t="shared" si="58"/>
        <v>7.8750000000000001E-2</v>
      </c>
      <c r="AF44" s="65">
        <f t="shared" si="58"/>
        <v>7.8750000000000001E-2</v>
      </c>
      <c r="AG44" s="65">
        <f t="shared" si="58"/>
        <v>7.8750000000000001E-2</v>
      </c>
      <c r="AH44" s="65">
        <f t="shared" si="58"/>
        <v>7.8750000000000001E-2</v>
      </c>
      <c r="AI44" s="65">
        <f t="shared" si="58"/>
        <v>7.8750000000000001E-2</v>
      </c>
      <c r="AJ44" s="65">
        <f t="shared" si="58"/>
        <v>7.8750000000000001E-2</v>
      </c>
      <c r="AK44" s="65">
        <f t="shared" si="58"/>
        <v>7.8750000000000001E-2</v>
      </c>
      <c r="AL44" s="54">
        <f t="shared" ref="AL44:BE44" si="59">AK44</f>
        <v>7.8750000000000001E-2</v>
      </c>
      <c r="AM44" s="54">
        <f t="shared" si="59"/>
        <v>7.8750000000000001E-2</v>
      </c>
      <c r="AN44" s="54">
        <f t="shared" si="59"/>
        <v>7.8750000000000001E-2</v>
      </c>
      <c r="AO44" s="54">
        <f t="shared" si="59"/>
        <v>7.8750000000000001E-2</v>
      </c>
      <c r="AP44" s="54">
        <f t="shared" si="59"/>
        <v>7.8750000000000001E-2</v>
      </c>
      <c r="AQ44" s="54">
        <f t="shared" si="59"/>
        <v>7.8750000000000001E-2</v>
      </c>
      <c r="AR44" s="54">
        <f t="shared" si="59"/>
        <v>7.8750000000000001E-2</v>
      </c>
      <c r="AS44" s="54">
        <f t="shared" si="59"/>
        <v>7.8750000000000001E-2</v>
      </c>
      <c r="AT44" s="54">
        <f t="shared" si="59"/>
        <v>7.8750000000000001E-2</v>
      </c>
      <c r="AU44" s="54">
        <f t="shared" si="59"/>
        <v>7.8750000000000001E-2</v>
      </c>
      <c r="AV44" s="54">
        <f t="shared" si="59"/>
        <v>7.8750000000000001E-2</v>
      </c>
      <c r="AW44" s="54">
        <f t="shared" si="59"/>
        <v>7.8750000000000001E-2</v>
      </c>
      <c r="AX44" s="54">
        <f t="shared" si="59"/>
        <v>7.8750000000000001E-2</v>
      </c>
      <c r="AY44" s="54">
        <f t="shared" si="59"/>
        <v>7.8750000000000001E-2</v>
      </c>
      <c r="AZ44" s="54">
        <f t="shared" si="59"/>
        <v>7.8750000000000001E-2</v>
      </c>
      <c r="BA44" s="54">
        <f t="shared" si="59"/>
        <v>7.8750000000000001E-2</v>
      </c>
      <c r="BB44" s="54">
        <f t="shared" si="59"/>
        <v>7.8750000000000001E-2</v>
      </c>
      <c r="BC44" s="54">
        <f t="shared" si="59"/>
        <v>7.8750000000000001E-2</v>
      </c>
      <c r="BD44" s="54">
        <f t="shared" si="59"/>
        <v>7.8750000000000001E-2</v>
      </c>
      <c r="BE44" s="54">
        <f t="shared" si="59"/>
        <v>7.8750000000000001E-2</v>
      </c>
      <c r="BF44" s="65"/>
      <c r="BG44" s="65"/>
      <c r="BH44" s="65"/>
      <c r="BI44" s="65"/>
      <c r="BJ44" s="65"/>
      <c r="BK44" s="1" t="s">
        <v>158</v>
      </c>
      <c r="BL44" s="65">
        <f>BL43</f>
        <v>3.5000000000000001E-3</v>
      </c>
      <c r="BM44" s="65">
        <f t="shared" ref="BM44:BP44" si="60">BL44+($BQ44-$BL44)/($Q$1-$L$1)</f>
        <v>1.0799999999999999E-2</v>
      </c>
      <c r="BN44" s="65">
        <f t="shared" si="60"/>
        <v>1.8099999999999998E-2</v>
      </c>
      <c r="BO44" s="65">
        <f t="shared" si="60"/>
        <v>2.5399999999999999E-2</v>
      </c>
      <c r="BP44" s="65">
        <f t="shared" si="60"/>
        <v>3.27E-2</v>
      </c>
      <c r="BQ44" s="65">
        <f>BQ43</f>
        <v>0.04</v>
      </c>
      <c r="BR44" s="65">
        <f t="shared" ref="BR44:BZ44" si="61">BQ44+($CA44-$BQ44)/($AA$1-$Q$1)</f>
        <v>5.8499999999999996E-2</v>
      </c>
      <c r="BS44" s="65">
        <f t="shared" si="61"/>
        <v>7.6999999999999999E-2</v>
      </c>
      <c r="BT44" s="65">
        <f t="shared" si="61"/>
        <v>9.5500000000000002E-2</v>
      </c>
      <c r="BU44" s="65">
        <f t="shared" si="61"/>
        <v>0.114</v>
      </c>
      <c r="BV44" s="65">
        <f t="shared" si="61"/>
        <v>0.13250000000000001</v>
      </c>
      <c r="BW44" s="65">
        <f t="shared" si="61"/>
        <v>0.151</v>
      </c>
      <c r="BX44" s="65">
        <f t="shared" si="61"/>
        <v>0.16949999999999998</v>
      </c>
      <c r="BY44" s="65">
        <f t="shared" si="61"/>
        <v>0.18799999999999997</v>
      </c>
      <c r="BZ44" s="65">
        <f t="shared" si="61"/>
        <v>0.20649999999999996</v>
      </c>
      <c r="CA44" s="65">
        <f>CA43</f>
        <v>0.22500000000000001</v>
      </c>
      <c r="CB44" s="65">
        <f t="shared" ref="CB44:CK44" si="62">CA44</f>
        <v>0.22500000000000001</v>
      </c>
      <c r="CC44" s="65">
        <f t="shared" si="62"/>
        <v>0.22500000000000001</v>
      </c>
      <c r="CD44" s="65">
        <f t="shared" si="62"/>
        <v>0.22500000000000001</v>
      </c>
      <c r="CE44" s="65">
        <f t="shared" si="62"/>
        <v>0.22500000000000001</v>
      </c>
      <c r="CF44" s="65">
        <f t="shared" si="62"/>
        <v>0.22500000000000001</v>
      </c>
      <c r="CG44" s="65">
        <f t="shared" si="62"/>
        <v>0.22500000000000001</v>
      </c>
      <c r="CH44" s="65">
        <f t="shared" si="62"/>
        <v>0.22500000000000001</v>
      </c>
      <c r="CI44" s="65">
        <f t="shared" si="62"/>
        <v>0.22500000000000001</v>
      </c>
      <c r="CJ44" s="65">
        <f t="shared" si="62"/>
        <v>0.22500000000000001</v>
      </c>
      <c r="CK44" s="65">
        <f t="shared" si="62"/>
        <v>0.22500000000000001</v>
      </c>
      <c r="CL44" s="1"/>
      <c r="CM44" s="1"/>
      <c r="CN44" s="1"/>
      <c r="CO44" s="1"/>
      <c r="CP44" s="1"/>
      <c r="CQ44" s="1"/>
      <c r="CR44" s="1"/>
      <c r="CS44" s="1"/>
      <c r="CT44" s="1" t="s">
        <v>178</v>
      </c>
      <c r="CU44" s="65"/>
      <c r="CV44" s="65">
        <v>8.0000000000000002E-3</v>
      </c>
      <c r="CW44" s="65">
        <v>8.3000000000000001E-3</v>
      </c>
      <c r="CX44" s="1">
        <v>0.87</v>
      </c>
      <c r="CY44" s="65">
        <v>0.9</v>
      </c>
      <c r="CZ44" s="65">
        <v>0.89</v>
      </c>
      <c r="DA44" s="65">
        <v>0.84</v>
      </c>
      <c r="DB44" s="65">
        <v>0.75</v>
      </c>
      <c r="DC44" s="65">
        <v>0.63</v>
      </c>
      <c r="DD44" s="65">
        <v>0.56000000000000005</v>
      </c>
      <c r="DE44" s="65">
        <v>0.52</v>
      </c>
      <c r="DF44" s="65">
        <v>0.5</v>
      </c>
      <c r="DG44" s="65">
        <v>0.46</v>
      </c>
      <c r="DH44" s="65">
        <v>0.44</v>
      </c>
      <c r="DI44" s="65">
        <v>0.42</v>
      </c>
      <c r="DJ44" s="65">
        <v>0.40500000000000003</v>
      </c>
      <c r="DK44" s="65">
        <v>0.38500000000000001</v>
      </c>
      <c r="DL44" s="65">
        <v>0.36499999999999999</v>
      </c>
      <c r="DM44" s="65">
        <v>0.35</v>
      </c>
      <c r="DN44" s="1"/>
      <c r="DO44" s="54"/>
    </row>
    <row r="45" spans="1:119" ht="14.25" customHeight="1">
      <c r="A45" s="1"/>
      <c r="B45" s="28" t="s">
        <v>145</v>
      </c>
      <c r="C45" s="1" t="s">
        <v>176</v>
      </c>
      <c r="D45" s="1" t="s">
        <v>159</v>
      </c>
      <c r="E45" s="1"/>
      <c r="F45" s="1" t="s">
        <v>156</v>
      </c>
      <c r="G45" s="1"/>
      <c r="H45" s="35">
        <v>0</v>
      </c>
      <c r="I45" s="65">
        <f t="shared" ref="I45:AA45" si="63">CU51</f>
        <v>2.0000000000000001E-4</v>
      </c>
      <c r="J45" s="65">
        <f t="shared" si="63"/>
        <v>5.0000000000000001E-3</v>
      </c>
      <c r="K45" s="65">
        <f t="shared" si="63"/>
        <v>8.9999999999999993E-3</v>
      </c>
      <c r="L45" s="65">
        <f t="shared" si="63"/>
        <v>1.4999999999999999E-2</v>
      </c>
      <c r="M45" s="65">
        <f t="shared" si="63"/>
        <v>0.02</v>
      </c>
      <c r="N45" s="65">
        <f t="shared" si="63"/>
        <v>2.5000000000000001E-2</v>
      </c>
      <c r="O45" s="65">
        <f t="shared" si="63"/>
        <v>0.03</v>
      </c>
      <c r="P45" s="65">
        <f t="shared" si="63"/>
        <v>3.7999999999999999E-2</v>
      </c>
      <c r="Q45" s="65">
        <f t="shared" si="63"/>
        <v>4.4999999999999998E-2</v>
      </c>
      <c r="R45" s="65">
        <f t="shared" si="63"/>
        <v>5.6000000000000008E-2</v>
      </c>
      <c r="S45" s="65">
        <f t="shared" si="63"/>
        <v>7.2800000000000004E-2</v>
      </c>
      <c r="T45" s="65">
        <f t="shared" si="63"/>
        <v>0.09</v>
      </c>
      <c r="U45" s="65">
        <f t="shared" si="63"/>
        <v>0.1012</v>
      </c>
      <c r="V45" s="65">
        <f t="shared" si="63"/>
        <v>0.11220000000000001</v>
      </c>
      <c r="W45" s="65">
        <f t="shared" si="63"/>
        <v>0.11969999999999999</v>
      </c>
      <c r="X45" s="65">
        <f t="shared" si="63"/>
        <v>0.12554999999999999</v>
      </c>
      <c r="Y45" s="65">
        <f t="shared" si="63"/>
        <v>0.12705</v>
      </c>
      <c r="Z45" s="65">
        <f t="shared" si="63"/>
        <v>0.12592499999999998</v>
      </c>
      <c r="AA45" s="65">
        <f t="shared" si="63"/>
        <v>0.12249999999999998</v>
      </c>
      <c r="AB45" s="65">
        <f t="shared" ref="AB45:BE45" si="64">AA45</f>
        <v>0.12249999999999998</v>
      </c>
      <c r="AC45" s="65">
        <f t="shared" si="64"/>
        <v>0.12249999999999998</v>
      </c>
      <c r="AD45" s="65">
        <f t="shared" si="64"/>
        <v>0.12249999999999998</v>
      </c>
      <c r="AE45" s="65">
        <f t="shared" si="64"/>
        <v>0.12249999999999998</v>
      </c>
      <c r="AF45" s="65">
        <f t="shared" si="64"/>
        <v>0.12249999999999998</v>
      </c>
      <c r="AG45" s="65">
        <f t="shared" si="64"/>
        <v>0.12249999999999998</v>
      </c>
      <c r="AH45" s="65">
        <f t="shared" si="64"/>
        <v>0.12249999999999998</v>
      </c>
      <c r="AI45" s="65">
        <f t="shared" si="64"/>
        <v>0.12249999999999998</v>
      </c>
      <c r="AJ45" s="65">
        <f t="shared" si="64"/>
        <v>0.12249999999999998</v>
      </c>
      <c r="AK45" s="65">
        <f t="shared" si="64"/>
        <v>0.12249999999999998</v>
      </c>
      <c r="AL45" s="54">
        <f t="shared" si="64"/>
        <v>0.12249999999999998</v>
      </c>
      <c r="AM45" s="54">
        <f t="shared" si="64"/>
        <v>0.12249999999999998</v>
      </c>
      <c r="AN45" s="54">
        <f t="shared" si="64"/>
        <v>0.12249999999999998</v>
      </c>
      <c r="AO45" s="54">
        <f t="shared" si="64"/>
        <v>0.12249999999999998</v>
      </c>
      <c r="AP45" s="54">
        <f t="shared" si="64"/>
        <v>0.12249999999999998</v>
      </c>
      <c r="AQ45" s="54">
        <f t="shared" si="64"/>
        <v>0.12249999999999998</v>
      </c>
      <c r="AR45" s="54">
        <f t="shared" si="64"/>
        <v>0.12249999999999998</v>
      </c>
      <c r="AS45" s="54">
        <f t="shared" si="64"/>
        <v>0.12249999999999998</v>
      </c>
      <c r="AT45" s="54">
        <f t="shared" si="64"/>
        <v>0.12249999999999998</v>
      </c>
      <c r="AU45" s="54">
        <f t="shared" si="64"/>
        <v>0.12249999999999998</v>
      </c>
      <c r="AV45" s="54">
        <f t="shared" si="64"/>
        <v>0.12249999999999998</v>
      </c>
      <c r="AW45" s="54">
        <f t="shared" si="64"/>
        <v>0.12249999999999998</v>
      </c>
      <c r="AX45" s="54">
        <f t="shared" si="64"/>
        <v>0.12249999999999998</v>
      </c>
      <c r="AY45" s="54">
        <f t="shared" si="64"/>
        <v>0.12249999999999998</v>
      </c>
      <c r="AZ45" s="54">
        <f t="shared" si="64"/>
        <v>0.12249999999999998</v>
      </c>
      <c r="BA45" s="54">
        <f t="shared" si="64"/>
        <v>0.12249999999999998</v>
      </c>
      <c r="BB45" s="54">
        <f t="shared" si="64"/>
        <v>0.12249999999999998</v>
      </c>
      <c r="BC45" s="54">
        <f t="shared" si="64"/>
        <v>0.12249999999999998</v>
      </c>
      <c r="BD45" s="54">
        <f t="shared" si="64"/>
        <v>0.12249999999999998</v>
      </c>
      <c r="BE45" s="54">
        <f t="shared" si="64"/>
        <v>0.12249999999999998</v>
      </c>
      <c r="BF45" s="65"/>
      <c r="BG45" s="65"/>
      <c r="BH45" s="65"/>
      <c r="BI45" s="65"/>
      <c r="BJ45" s="65"/>
      <c r="BK45" s="1" t="s">
        <v>159</v>
      </c>
      <c r="BL45" s="65">
        <v>0.02</v>
      </c>
      <c r="BM45" s="65">
        <f t="shared" ref="BM45:BP45" si="65">BL45+($BQ45-$BL45)/($Q$1-$L$1)</f>
        <v>3.1E-2</v>
      </c>
      <c r="BN45" s="65">
        <f t="shared" si="65"/>
        <v>4.1999999999999996E-2</v>
      </c>
      <c r="BO45" s="65">
        <f t="shared" si="65"/>
        <v>5.2999999999999992E-2</v>
      </c>
      <c r="BP45" s="65">
        <f t="shared" si="65"/>
        <v>6.3999999999999987E-2</v>
      </c>
      <c r="BQ45" s="65">
        <v>7.4999999999999997E-2</v>
      </c>
      <c r="BR45" s="65">
        <f t="shared" ref="BR45:BZ45" si="66">BQ45+($CA45-$BQ45)/($AA$1-$Q$1)</f>
        <v>0.10249999999999999</v>
      </c>
      <c r="BS45" s="65">
        <f t="shared" si="66"/>
        <v>0.13</v>
      </c>
      <c r="BT45" s="65">
        <f t="shared" si="66"/>
        <v>0.1575</v>
      </c>
      <c r="BU45" s="65">
        <f t="shared" si="66"/>
        <v>0.185</v>
      </c>
      <c r="BV45" s="65">
        <f t="shared" si="66"/>
        <v>0.21249999999999999</v>
      </c>
      <c r="BW45" s="65">
        <f t="shared" si="66"/>
        <v>0.24</v>
      </c>
      <c r="BX45" s="65">
        <f t="shared" si="66"/>
        <v>0.26749999999999996</v>
      </c>
      <c r="BY45" s="65">
        <f t="shared" si="66"/>
        <v>0.29499999999999993</v>
      </c>
      <c r="BZ45" s="65">
        <f t="shared" si="66"/>
        <v>0.3224999999999999</v>
      </c>
      <c r="CA45" s="65">
        <v>0.35</v>
      </c>
      <c r="CB45" s="65">
        <f t="shared" ref="CB45:CK45" si="67">CA45</f>
        <v>0.35</v>
      </c>
      <c r="CC45" s="65">
        <f t="shared" si="67"/>
        <v>0.35</v>
      </c>
      <c r="CD45" s="65">
        <f t="shared" si="67"/>
        <v>0.35</v>
      </c>
      <c r="CE45" s="65">
        <f t="shared" si="67"/>
        <v>0.35</v>
      </c>
      <c r="CF45" s="65">
        <f t="shared" si="67"/>
        <v>0.35</v>
      </c>
      <c r="CG45" s="65">
        <f t="shared" si="67"/>
        <v>0.35</v>
      </c>
      <c r="CH45" s="65">
        <f t="shared" si="67"/>
        <v>0.35</v>
      </c>
      <c r="CI45" s="65">
        <f t="shared" si="67"/>
        <v>0.35</v>
      </c>
      <c r="CJ45" s="65">
        <f t="shared" si="67"/>
        <v>0.35</v>
      </c>
      <c r="CK45" s="65">
        <f t="shared" si="67"/>
        <v>0.35</v>
      </c>
      <c r="CL45" s="1"/>
      <c r="CM45" s="1"/>
      <c r="CN45" s="1"/>
      <c r="CO45" s="1"/>
      <c r="CP45" s="1"/>
      <c r="CQ45" s="1"/>
      <c r="CR45" s="1"/>
      <c r="CS45" s="1"/>
      <c r="CT45" s="1" t="s">
        <v>179</v>
      </c>
      <c r="CU45" s="65">
        <v>1.2999999999999999E-3</v>
      </c>
      <c r="CV45" s="65">
        <v>2.5000000000000001E-3</v>
      </c>
      <c r="CW45" s="65">
        <v>5.0000000000000001E-3</v>
      </c>
      <c r="CX45" s="65">
        <v>7.4999999999999997E-3</v>
      </c>
      <c r="CY45" s="65">
        <v>0.01</v>
      </c>
      <c r="CZ45" s="65">
        <v>1.2999999999999999E-2</v>
      </c>
      <c r="DA45" s="65">
        <v>1.6E-2</v>
      </c>
      <c r="DB45" s="65">
        <v>0.02</v>
      </c>
      <c r="DC45" s="65">
        <f t="shared" ref="DC45:DM45" si="68">DC42*DC44</f>
        <v>2.52E-2</v>
      </c>
      <c r="DD45" s="65">
        <f t="shared" si="68"/>
        <v>3.2480000000000002E-2</v>
      </c>
      <c r="DE45" s="65">
        <f t="shared" si="68"/>
        <v>4.1600000000000005E-2</v>
      </c>
      <c r="DF45" s="65">
        <f t="shared" si="68"/>
        <v>5.5E-2</v>
      </c>
      <c r="DG45" s="65">
        <f t="shared" si="68"/>
        <v>6.4400000000000013E-2</v>
      </c>
      <c r="DH45" s="65">
        <f t="shared" si="68"/>
        <v>7.1279999999999996E-2</v>
      </c>
      <c r="DI45" s="65">
        <f t="shared" si="68"/>
        <v>7.7280000000000001E-2</v>
      </c>
      <c r="DJ45" s="65">
        <f t="shared" si="68"/>
        <v>8.0190000000000011E-2</v>
      </c>
      <c r="DK45" s="65">
        <f t="shared" si="68"/>
        <v>8.0850000000000005E-2</v>
      </c>
      <c r="DL45" s="65">
        <f t="shared" si="68"/>
        <v>8.0299999999999996E-2</v>
      </c>
      <c r="DM45" s="65">
        <f t="shared" si="68"/>
        <v>7.8750000000000001E-2</v>
      </c>
      <c r="DN45" s="65"/>
      <c r="DO45" s="65"/>
    </row>
    <row r="46" spans="1:119" ht="14.25" customHeight="1">
      <c r="A46" s="1"/>
      <c r="B46" s="28" t="s">
        <v>145</v>
      </c>
      <c r="C46" s="1" t="s">
        <v>176</v>
      </c>
      <c r="D46" s="1" t="s">
        <v>161</v>
      </c>
      <c r="E46" s="1"/>
      <c r="F46" s="1" t="s">
        <v>156</v>
      </c>
      <c r="G46" s="1"/>
      <c r="H46" s="35"/>
      <c r="I46" s="1"/>
      <c r="J46" s="1"/>
      <c r="K46" s="1"/>
      <c r="L46" s="1"/>
      <c r="M46" s="1"/>
      <c r="N46" s="1"/>
      <c r="O46" s="1"/>
      <c r="P46" s="1"/>
      <c r="Q46" s="1"/>
      <c r="R46" s="1"/>
      <c r="S46" s="1"/>
      <c r="T46" s="1"/>
      <c r="U46" s="1"/>
      <c r="V46" s="1"/>
      <c r="W46" s="1"/>
      <c r="X46" s="1"/>
      <c r="Y46" s="1"/>
      <c r="Z46" s="1"/>
      <c r="AA46" s="1"/>
      <c r="AB46" s="1"/>
      <c r="AC46" s="1"/>
      <c r="AD46" s="65"/>
      <c r="AE46" s="65"/>
      <c r="AF46" s="65"/>
      <c r="AG46" s="65"/>
      <c r="AH46" s="65"/>
      <c r="AI46" s="65"/>
      <c r="AJ46" s="65"/>
      <c r="AK46" s="65"/>
      <c r="AL46" s="54"/>
      <c r="AM46" s="54"/>
      <c r="AN46" s="54"/>
      <c r="AO46" s="54"/>
      <c r="AP46" s="54"/>
      <c r="AQ46" s="54"/>
      <c r="AR46" s="54"/>
      <c r="AS46" s="54"/>
      <c r="AT46" s="54"/>
      <c r="AU46" s="54"/>
      <c r="AV46" s="54"/>
      <c r="AW46" s="54"/>
      <c r="AX46" s="54"/>
      <c r="AY46" s="54"/>
      <c r="AZ46" s="54"/>
      <c r="BA46" s="54"/>
      <c r="BB46" s="54"/>
      <c r="BC46" s="54"/>
      <c r="BD46" s="54"/>
      <c r="BE46" s="54"/>
      <c r="BF46" s="65"/>
      <c r="BG46" s="65"/>
      <c r="BH46" s="65"/>
      <c r="BI46" s="65"/>
      <c r="BJ46" s="65"/>
      <c r="BK46" s="1" t="s">
        <v>161</v>
      </c>
      <c r="BL46" s="65"/>
      <c r="BM46" s="65"/>
      <c r="BN46" s="65"/>
      <c r="BO46" s="65"/>
      <c r="BP46" s="65"/>
      <c r="BQ46" s="65"/>
      <c r="BR46" s="65"/>
      <c r="BS46" s="65"/>
      <c r="BT46" s="65"/>
      <c r="BU46" s="65"/>
      <c r="BV46" s="65"/>
      <c r="BW46" s="65"/>
      <c r="BX46" s="65"/>
      <c r="BY46" s="65"/>
      <c r="BZ46" s="65"/>
      <c r="CA46" s="65"/>
      <c r="CB46" s="65"/>
      <c r="CC46" s="65"/>
      <c r="CD46" s="65"/>
      <c r="CE46" s="65"/>
      <c r="CF46" s="65"/>
      <c r="CG46" s="65"/>
      <c r="CH46" s="65"/>
      <c r="CI46" s="65"/>
      <c r="CJ46" s="65"/>
      <c r="CK46" s="65"/>
      <c r="CL46" s="1"/>
      <c r="CM46" s="1"/>
      <c r="CN46" s="1"/>
      <c r="CO46" s="1"/>
      <c r="CP46" s="1"/>
      <c r="CQ46" s="1"/>
      <c r="CR46" s="1"/>
      <c r="CS46" s="1"/>
      <c r="CT46" s="1" t="s">
        <v>180</v>
      </c>
      <c r="CU46" s="65">
        <v>5.0000000000000001E-4</v>
      </c>
      <c r="CV46" s="65">
        <v>1E-3</v>
      </c>
      <c r="CW46" s="65">
        <v>2E-3</v>
      </c>
      <c r="CX46" s="65">
        <v>3.5000000000000001E-3</v>
      </c>
      <c r="CY46" s="65">
        <v>5.0000000000000001E-3</v>
      </c>
      <c r="CZ46" s="65">
        <v>6.0000000000000001E-3</v>
      </c>
      <c r="DA46" s="65">
        <v>8.0000000000000002E-3</v>
      </c>
      <c r="DB46" s="65">
        <v>0.01</v>
      </c>
      <c r="DC46" s="65">
        <f t="shared" ref="DC46:DM46" si="69">DC42-DC45</f>
        <v>1.4800000000000001E-2</v>
      </c>
      <c r="DD46" s="65">
        <f t="shared" si="69"/>
        <v>2.5520000000000001E-2</v>
      </c>
      <c r="DE46" s="65">
        <f t="shared" si="69"/>
        <v>3.8399999999999997E-2</v>
      </c>
      <c r="DF46" s="65">
        <f t="shared" si="69"/>
        <v>5.5E-2</v>
      </c>
      <c r="DG46" s="65">
        <f t="shared" si="69"/>
        <v>7.5600000000000001E-2</v>
      </c>
      <c r="DH46" s="65">
        <f t="shared" si="69"/>
        <v>9.0720000000000009E-2</v>
      </c>
      <c r="DI46" s="65">
        <f t="shared" si="69"/>
        <v>0.10672</v>
      </c>
      <c r="DJ46" s="65">
        <f t="shared" si="69"/>
        <v>0.11781</v>
      </c>
      <c r="DK46" s="65">
        <f t="shared" si="69"/>
        <v>0.12914999999999999</v>
      </c>
      <c r="DL46" s="65">
        <f t="shared" si="69"/>
        <v>0.13969999999999999</v>
      </c>
      <c r="DM46" s="65">
        <f t="shared" si="69"/>
        <v>0.14624999999999999</v>
      </c>
      <c r="DN46" s="65"/>
      <c r="DO46" s="65"/>
    </row>
    <row r="47" spans="1:119" ht="14.25" customHeight="1">
      <c r="A47" s="1"/>
      <c r="B47" s="28" t="s">
        <v>145</v>
      </c>
      <c r="C47" s="1" t="s">
        <v>176</v>
      </c>
      <c r="D47" s="1" t="s">
        <v>166</v>
      </c>
      <c r="E47" s="1"/>
      <c r="F47" s="1" t="s">
        <v>156</v>
      </c>
      <c r="G47" s="1"/>
      <c r="H47" s="35"/>
      <c r="I47" s="65">
        <f t="shared" ref="I47:AA47" si="70">CU55</f>
        <v>2.0999999999999998E-4</v>
      </c>
      <c r="J47" s="65">
        <f t="shared" si="70"/>
        <v>5.0000000000000001E-4</v>
      </c>
      <c r="K47" s="65">
        <f t="shared" si="70"/>
        <v>6.0000000000000001E-3</v>
      </c>
      <c r="L47" s="65">
        <f t="shared" si="70"/>
        <v>1.6E-2</v>
      </c>
      <c r="M47" s="65">
        <f t="shared" si="70"/>
        <v>2.1999999999999999E-2</v>
      </c>
      <c r="N47" s="65">
        <f t="shared" si="70"/>
        <v>3.1E-2</v>
      </c>
      <c r="O47" s="65">
        <f t="shared" si="70"/>
        <v>4.2000000000000003E-2</v>
      </c>
      <c r="P47" s="65">
        <f t="shared" si="70"/>
        <v>5.5099999999999996E-2</v>
      </c>
      <c r="Q47" s="65">
        <f t="shared" si="70"/>
        <v>6.7500000000000004E-2</v>
      </c>
      <c r="R47" s="65">
        <f t="shared" si="70"/>
        <v>7.8E-2</v>
      </c>
      <c r="S47" s="65">
        <f t="shared" si="70"/>
        <v>8.3999999999999991E-2</v>
      </c>
      <c r="T47" s="65">
        <f t="shared" si="70"/>
        <v>9.0199999999999989E-2</v>
      </c>
      <c r="U47" s="65">
        <f t="shared" si="70"/>
        <v>9.4E-2</v>
      </c>
      <c r="V47" s="65">
        <f t="shared" si="70"/>
        <v>9.5399999999999999E-2</v>
      </c>
      <c r="W47" s="65">
        <f t="shared" si="70"/>
        <v>9.69E-2</v>
      </c>
      <c r="X47" s="65">
        <f t="shared" si="70"/>
        <v>9.3774999999999997E-2</v>
      </c>
      <c r="Y47" s="65">
        <f t="shared" si="70"/>
        <v>9.323999999999999E-2</v>
      </c>
      <c r="Z47" s="65">
        <f t="shared" si="70"/>
        <v>9.1589999999999991E-2</v>
      </c>
      <c r="AA47" s="65">
        <f t="shared" si="70"/>
        <v>9.1000000000000011E-2</v>
      </c>
      <c r="AB47" s="65">
        <f t="shared" ref="AB47:BE47" si="71">AA47</f>
        <v>9.1000000000000011E-2</v>
      </c>
      <c r="AC47" s="65">
        <f t="shared" si="71"/>
        <v>9.1000000000000011E-2</v>
      </c>
      <c r="AD47" s="65">
        <f t="shared" si="71"/>
        <v>9.1000000000000011E-2</v>
      </c>
      <c r="AE47" s="65">
        <f t="shared" si="71"/>
        <v>9.1000000000000011E-2</v>
      </c>
      <c r="AF47" s="65">
        <f t="shared" si="71"/>
        <v>9.1000000000000011E-2</v>
      </c>
      <c r="AG47" s="65">
        <f t="shared" si="71"/>
        <v>9.1000000000000011E-2</v>
      </c>
      <c r="AH47" s="65">
        <f t="shared" si="71"/>
        <v>9.1000000000000011E-2</v>
      </c>
      <c r="AI47" s="65">
        <f t="shared" si="71"/>
        <v>9.1000000000000011E-2</v>
      </c>
      <c r="AJ47" s="65">
        <f t="shared" si="71"/>
        <v>9.1000000000000011E-2</v>
      </c>
      <c r="AK47" s="65">
        <f t="shared" si="71"/>
        <v>9.1000000000000011E-2</v>
      </c>
      <c r="AL47" s="54">
        <f t="shared" si="71"/>
        <v>9.1000000000000011E-2</v>
      </c>
      <c r="AM47" s="54">
        <f t="shared" si="71"/>
        <v>9.1000000000000011E-2</v>
      </c>
      <c r="AN47" s="54">
        <f t="shared" si="71"/>
        <v>9.1000000000000011E-2</v>
      </c>
      <c r="AO47" s="54">
        <f t="shared" si="71"/>
        <v>9.1000000000000011E-2</v>
      </c>
      <c r="AP47" s="54">
        <f t="shared" si="71"/>
        <v>9.1000000000000011E-2</v>
      </c>
      <c r="AQ47" s="54">
        <f t="shared" si="71"/>
        <v>9.1000000000000011E-2</v>
      </c>
      <c r="AR47" s="54">
        <f t="shared" si="71"/>
        <v>9.1000000000000011E-2</v>
      </c>
      <c r="AS47" s="54">
        <f t="shared" si="71"/>
        <v>9.1000000000000011E-2</v>
      </c>
      <c r="AT47" s="54">
        <f t="shared" si="71"/>
        <v>9.1000000000000011E-2</v>
      </c>
      <c r="AU47" s="54">
        <f t="shared" si="71"/>
        <v>9.1000000000000011E-2</v>
      </c>
      <c r="AV47" s="54">
        <f t="shared" si="71"/>
        <v>9.1000000000000011E-2</v>
      </c>
      <c r="AW47" s="54">
        <f t="shared" si="71"/>
        <v>9.1000000000000011E-2</v>
      </c>
      <c r="AX47" s="54">
        <f t="shared" si="71"/>
        <v>9.1000000000000011E-2</v>
      </c>
      <c r="AY47" s="54">
        <f t="shared" si="71"/>
        <v>9.1000000000000011E-2</v>
      </c>
      <c r="AZ47" s="54">
        <f t="shared" si="71"/>
        <v>9.1000000000000011E-2</v>
      </c>
      <c r="BA47" s="54">
        <f t="shared" si="71"/>
        <v>9.1000000000000011E-2</v>
      </c>
      <c r="BB47" s="54">
        <f t="shared" si="71"/>
        <v>9.1000000000000011E-2</v>
      </c>
      <c r="BC47" s="54">
        <f t="shared" si="71"/>
        <v>9.1000000000000011E-2</v>
      </c>
      <c r="BD47" s="54">
        <f t="shared" si="71"/>
        <v>9.1000000000000011E-2</v>
      </c>
      <c r="BE47" s="54">
        <f t="shared" si="71"/>
        <v>9.1000000000000011E-2</v>
      </c>
      <c r="BF47" s="65"/>
      <c r="BG47" s="65"/>
      <c r="BH47" s="65"/>
      <c r="BI47" s="65"/>
      <c r="BJ47" s="65"/>
      <c r="BK47" s="1" t="s">
        <v>166</v>
      </c>
      <c r="BL47" s="65">
        <v>0.04</v>
      </c>
      <c r="BM47" s="65">
        <f t="shared" ref="BM47:BP47" si="72">BL47+($BQ47-$BL47)/($Q$1-$L$1)</f>
        <v>8.199999999999999E-2</v>
      </c>
      <c r="BN47" s="65">
        <f t="shared" si="72"/>
        <v>0.12399999999999999</v>
      </c>
      <c r="BO47" s="65">
        <f t="shared" si="72"/>
        <v>0.16599999999999998</v>
      </c>
      <c r="BP47" s="65">
        <f t="shared" si="72"/>
        <v>0.20799999999999996</v>
      </c>
      <c r="BQ47" s="65">
        <v>0.25</v>
      </c>
      <c r="BR47" s="65">
        <f t="shared" ref="BR47:BZ47" si="73">BQ47+($CA47-$BQ47)/($AA$1-$Q$1)</f>
        <v>0.28999999999999998</v>
      </c>
      <c r="BS47" s="65">
        <f t="shared" si="73"/>
        <v>0.32999999999999996</v>
      </c>
      <c r="BT47" s="65">
        <f t="shared" si="73"/>
        <v>0.36999999999999994</v>
      </c>
      <c r="BU47" s="65">
        <f t="shared" si="73"/>
        <v>0.40999999999999992</v>
      </c>
      <c r="BV47" s="65">
        <f t="shared" si="73"/>
        <v>0.4499999999999999</v>
      </c>
      <c r="BW47" s="65">
        <f t="shared" si="73"/>
        <v>0.48999999999999988</v>
      </c>
      <c r="BX47" s="65">
        <f t="shared" si="73"/>
        <v>0.52999999999999992</v>
      </c>
      <c r="BY47" s="65">
        <f t="shared" si="73"/>
        <v>0.56999999999999995</v>
      </c>
      <c r="BZ47" s="65">
        <f t="shared" si="73"/>
        <v>0.61</v>
      </c>
      <c r="CA47" s="65">
        <v>0.65</v>
      </c>
      <c r="CB47" s="65">
        <f t="shared" ref="CB47:CK47" si="74">CA47</f>
        <v>0.65</v>
      </c>
      <c r="CC47" s="65">
        <f t="shared" si="74"/>
        <v>0.65</v>
      </c>
      <c r="CD47" s="65">
        <f t="shared" si="74"/>
        <v>0.65</v>
      </c>
      <c r="CE47" s="65">
        <f t="shared" si="74"/>
        <v>0.65</v>
      </c>
      <c r="CF47" s="65">
        <f t="shared" si="74"/>
        <v>0.65</v>
      </c>
      <c r="CG47" s="65">
        <f t="shared" si="74"/>
        <v>0.65</v>
      </c>
      <c r="CH47" s="65">
        <f t="shared" si="74"/>
        <v>0.65</v>
      </c>
      <c r="CI47" s="65">
        <f t="shared" si="74"/>
        <v>0.65</v>
      </c>
      <c r="CJ47" s="65">
        <f t="shared" si="74"/>
        <v>0.65</v>
      </c>
      <c r="CK47" s="65">
        <f t="shared" si="74"/>
        <v>0.65</v>
      </c>
      <c r="CL47" s="1"/>
      <c r="CM47" s="1"/>
      <c r="CN47" s="1"/>
      <c r="CO47" s="1"/>
      <c r="CP47" s="1"/>
      <c r="CQ47" s="1"/>
      <c r="CR47" s="1"/>
      <c r="CS47" s="1"/>
      <c r="CT47" s="1"/>
      <c r="CU47" s="65"/>
      <c r="CV47" s="65"/>
      <c r="CW47" s="65"/>
      <c r="CX47" s="65"/>
      <c r="CY47" s="65"/>
      <c r="CZ47" s="65"/>
      <c r="DA47" s="65"/>
      <c r="DB47" s="65"/>
      <c r="DC47" s="65"/>
      <c r="DD47" s="65"/>
      <c r="DE47" s="65"/>
      <c r="DF47" s="65"/>
      <c r="DG47" s="65"/>
      <c r="DH47" s="65"/>
      <c r="DI47" s="65"/>
      <c r="DJ47" s="65"/>
      <c r="DK47" s="65"/>
      <c r="DL47" s="65"/>
      <c r="DM47" s="65"/>
      <c r="DN47" s="65"/>
      <c r="DO47" s="65"/>
    </row>
    <row r="48" spans="1:119" ht="14.25" customHeight="1">
      <c r="A48" s="1"/>
      <c r="B48" s="28" t="s">
        <v>145</v>
      </c>
      <c r="C48" s="1" t="s">
        <v>176</v>
      </c>
      <c r="D48" s="1" t="s">
        <v>167</v>
      </c>
      <c r="E48" s="1"/>
      <c r="F48" s="1" t="s">
        <v>156</v>
      </c>
      <c r="G48" s="1"/>
      <c r="H48" s="35"/>
      <c r="I48" s="65">
        <f t="shared" ref="I48:AA48" si="75">AVERAGE(I47,I43)</f>
        <v>7.5499999999999992E-4</v>
      </c>
      <c r="J48" s="65">
        <f t="shared" si="75"/>
        <v>1.5E-3</v>
      </c>
      <c r="K48" s="65">
        <f t="shared" si="75"/>
        <v>5.4999999999999997E-3</v>
      </c>
      <c r="L48" s="65">
        <f t="shared" si="75"/>
        <v>1.175E-2</v>
      </c>
      <c r="M48" s="65">
        <f t="shared" si="75"/>
        <v>1.6E-2</v>
      </c>
      <c r="N48" s="65">
        <f t="shared" si="75"/>
        <v>2.1999999999999999E-2</v>
      </c>
      <c r="O48" s="65">
        <f t="shared" si="75"/>
        <v>2.9000000000000001E-2</v>
      </c>
      <c r="P48" s="65">
        <f t="shared" si="75"/>
        <v>3.755E-2</v>
      </c>
      <c r="Q48" s="65">
        <f t="shared" si="75"/>
        <v>4.6350000000000002E-2</v>
      </c>
      <c r="R48" s="65">
        <f t="shared" si="75"/>
        <v>5.5239999999999997E-2</v>
      </c>
      <c r="S48" s="65">
        <f t="shared" si="75"/>
        <v>6.2799999999999995E-2</v>
      </c>
      <c r="T48" s="65">
        <f t="shared" si="75"/>
        <v>7.2599999999999998E-2</v>
      </c>
      <c r="U48" s="65">
        <f t="shared" si="75"/>
        <v>7.9200000000000007E-2</v>
      </c>
      <c r="V48" s="65">
        <f t="shared" si="75"/>
        <v>8.3339999999999997E-2</v>
      </c>
      <c r="W48" s="65">
        <f t="shared" si="75"/>
        <v>8.7090000000000001E-2</v>
      </c>
      <c r="X48" s="65">
        <f t="shared" si="75"/>
        <v>8.6982500000000004E-2</v>
      </c>
      <c r="Y48" s="65">
        <f t="shared" si="75"/>
        <v>8.7044999999999997E-2</v>
      </c>
      <c r="Z48" s="65">
        <f t="shared" si="75"/>
        <v>8.5944999999999994E-2</v>
      </c>
      <c r="AA48" s="65">
        <f t="shared" si="75"/>
        <v>8.4875000000000006E-2</v>
      </c>
      <c r="AB48" s="65">
        <f t="shared" ref="AB48:BE48" si="76">AA48</f>
        <v>8.4875000000000006E-2</v>
      </c>
      <c r="AC48" s="65">
        <f t="shared" si="76"/>
        <v>8.4875000000000006E-2</v>
      </c>
      <c r="AD48" s="65">
        <f t="shared" si="76"/>
        <v>8.4875000000000006E-2</v>
      </c>
      <c r="AE48" s="65">
        <f t="shared" si="76"/>
        <v>8.4875000000000006E-2</v>
      </c>
      <c r="AF48" s="65">
        <f t="shared" si="76"/>
        <v>8.4875000000000006E-2</v>
      </c>
      <c r="AG48" s="65">
        <f t="shared" si="76"/>
        <v>8.4875000000000006E-2</v>
      </c>
      <c r="AH48" s="65">
        <f t="shared" si="76"/>
        <v>8.4875000000000006E-2</v>
      </c>
      <c r="AI48" s="65">
        <f t="shared" si="76"/>
        <v>8.4875000000000006E-2</v>
      </c>
      <c r="AJ48" s="65">
        <f t="shared" si="76"/>
        <v>8.4875000000000006E-2</v>
      </c>
      <c r="AK48" s="65">
        <f t="shared" si="76"/>
        <v>8.4875000000000006E-2</v>
      </c>
      <c r="AL48" s="54">
        <f t="shared" si="76"/>
        <v>8.4875000000000006E-2</v>
      </c>
      <c r="AM48" s="54">
        <f t="shared" si="76"/>
        <v>8.4875000000000006E-2</v>
      </c>
      <c r="AN48" s="54">
        <f t="shared" si="76"/>
        <v>8.4875000000000006E-2</v>
      </c>
      <c r="AO48" s="54">
        <f t="shared" si="76"/>
        <v>8.4875000000000006E-2</v>
      </c>
      <c r="AP48" s="54">
        <f t="shared" si="76"/>
        <v>8.4875000000000006E-2</v>
      </c>
      <c r="AQ48" s="54">
        <f t="shared" si="76"/>
        <v>8.4875000000000006E-2</v>
      </c>
      <c r="AR48" s="54">
        <f t="shared" si="76"/>
        <v>8.4875000000000006E-2</v>
      </c>
      <c r="AS48" s="54">
        <f t="shared" si="76"/>
        <v>8.4875000000000006E-2</v>
      </c>
      <c r="AT48" s="54">
        <f t="shared" si="76"/>
        <v>8.4875000000000006E-2</v>
      </c>
      <c r="AU48" s="54">
        <f t="shared" si="76"/>
        <v>8.4875000000000006E-2</v>
      </c>
      <c r="AV48" s="54">
        <f t="shared" si="76"/>
        <v>8.4875000000000006E-2</v>
      </c>
      <c r="AW48" s="54">
        <f t="shared" si="76"/>
        <v>8.4875000000000006E-2</v>
      </c>
      <c r="AX48" s="54">
        <f t="shared" si="76"/>
        <v>8.4875000000000006E-2</v>
      </c>
      <c r="AY48" s="54">
        <f t="shared" si="76"/>
        <v>8.4875000000000006E-2</v>
      </c>
      <c r="AZ48" s="54">
        <f t="shared" si="76"/>
        <v>8.4875000000000006E-2</v>
      </c>
      <c r="BA48" s="54">
        <f t="shared" si="76"/>
        <v>8.4875000000000006E-2</v>
      </c>
      <c r="BB48" s="54">
        <f t="shared" si="76"/>
        <v>8.4875000000000006E-2</v>
      </c>
      <c r="BC48" s="54">
        <f t="shared" si="76"/>
        <v>8.4875000000000006E-2</v>
      </c>
      <c r="BD48" s="54">
        <f t="shared" si="76"/>
        <v>8.4875000000000006E-2</v>
      </c>
      <c r="BE48" s="54">
        <f t="shared" si="76"/>
        <v>8.4875000000000006E-2</v>
      </c>
      <c r="BF48" s="65"/>
      <c r="BG48" s="65"/>
      <c r="BH48" s="65"/>
      <c r="BI48" s="65"/>
      <c r="BJ48" s="65"/>
      <c r="BK48" s="1" t="s">
        <v>167</v>
      </c>
      <c r="BL48" s="65">
        <f>AVERAGE(BL43,BL47)</f>
        <v>2.1750000000000002E-2</v>
      </c>
      <c r="BM48" s="65">
        <f t="shared" ref="BM48:BP48" si="77">BL48+($BQ48-$BL48)/($Q$1-$L$1)</f>
        <v>4.6399999999999997E-2</v>
      </c>
      <c r="BN48" s="65">
        <f t="shared" si="77"/>
        <v>7.1050000000000002E-2</v>
      </c>
      <c r="BO48" s="65">
        <f t="shared" si="77"/>
        <v>9.5700000000000007E-2</v>
      </c>
      <c r="BP48" s="65">
        <f t="shared" si="77"/>
        <v>0.12035000000000001</v>
      </c>
      <c r="BQ48" s="65">
        <f>AVERAGE(BQ43,BQ47)</f>
        <v>0.14499999999999999</v>
      </c>
      <c r="BR48" s="65">
        <f t="shared" ref="BR48:BZ48" si="78">BQ48+($CA48-$BQ48)/($AA$1-$Q$1)</f>
        <v>0.17424999999999999</v>
      </c>
      <c r="BS48" s="65">
        <f t="shared" si="78"/>
        <v>0.20349999999999999</v>
      </c>
      <c r="BT48" s="65">
        <f t="shared" si="78"/>
        <v>0.23274999999999998</v>
      </c>
      <c r="BU48" s="65">
        <f t="shared" si="78"/>
        <v>0.26200000000000001</v>
      </c>
      <c r="BV48" s="65">
        <f t="shared" si="78"/>
        <v>0.29125000000000001</v>
      </c>
      <c r="BW48" s="65">
        <f t="shared" si="78"/>
        <v>0.32050000000000001</v>
      </c>
      <c r="BX48" s="65">
        <f t="shared" si="78"/>
        <v>0.34975000000000001</v>
      </c>
      <c r="BY48" s="65">
        <f t="shared" si="78"/>
        <v>0.379</v>
      </c>
      <c r="BZ48" s="65">
        <f t="shared" si="78"/>
        <v>0.40825</v>
      </c>
      <c r="CA48" s="65">
        <f>AVERAGE(CA43,CA47)</f>
        <v>0.4375</v>
      </c>
      <c r="CB48" s="65">
        <f t="shared" ref="CB48:CK48" si="79">CA48</f>
        <v>0.4375</v>
      </c>
      <c r="CC48" s="65">
        <f t="shared" si="79"/>
        <v>0.4375</v>
      </c>
      <c r="CD48" s="65">
        <f t="shared" si="79"/>
        <v>0.4375</v>
      </c>
      <c r="CE48" s="65">
        <f t="shared" si="79"/>
        <v>0.4375</v>
      </c>
      <c r="CF48" s="65">
        <f t="shared" si="79"/>
        <v>0.4375</v>
      </c>
      <c r="CG48" s="65">
        <f t="shared" si="79"/>
        <v>0.4375</v>
      </c>
      <c r="CH48" s="65">
        <f t="shared" si="79"/>
        <v>0.4375</v>
      </c>
      <c r="CI48" s="65">
        <f t="shared" si="79"/>
        <v>0.4375</v>
      </c>
      <c r="CJ48" s="65">
        <f t="shared" si="79"/>
        <v>0.4375</v>
      </c>
      <c r="CK48" s="65">
        <f t="shared" si="79"/>
        <v>0.4375</v>
      </c>
      <c r="CL48" s="1"/>
      <c r="CM48" s="1"/>
      <c r="CN48" s="1"/>
      <c r="CO48" s="1"/>
      <c r="CP48" s="1"/>
      <c r="CQ48" s="1"/>
      <c r="CR48" s="1"/>
      <c r="CS48" s="1"/>
      <c r="CT48" s="1" t="s">
        <v>181</v>
      </c>
      <c r="CU48" s="65">
        <v>0.25</v>
      </c>
      <c r="CV48" s="65"/>
      <c r="CW48" s="65"/>
      <c r="CX48" s="65">
        <v>0.35</v>
      </c>
      <c r="CY48" s="65"/>
      <c r="CZ48" s="65"/>
      <c r="DA48" s="65"/>
      <c r="DB48" s="65"/>
      <c r="DC48" s="65">
        <v>0.5</v>
      </c>
      <c r="DD48" s="65"/>
      <c r="DE48" s="65"/>
      <c r="DF48" s="65"/>
      <c r="DG48" s="65"/>
      <c r="DH48" s="65"/>
      <c r="DI48" s="65">
        <v>0.6</v>
      </c>
      <c r="DJ48" s="65"/>
      <c r="DK48" s="65"/>
      <c r="DL48" s="65"/>
      <c r="DM48" s="1"/>
      <c r="DN48" s="65">
        <v>0.65</v>
      </c>
      <c r="DO48" s="79" t="s">
        <v>182</v>
      </c>
    </row>
    <row r="49" spans="1:119" ht="14.25" customHeight="1">
      <c r="A49" s="1"/>
      <c r="B49" s="28" t="s">
        <v>145</v>
      </c>
      <c r="C49" s="1" t="s">
        <v>176</v>
      </c>
      <c r="D49" s="1" t="s">
        <v>172</v>
      </c>
      <c r="E49" s="1"/>
      <c r="F49" s="1" t="s">
        <v>156</v>
      </c>
      <c r="G49" s="1"/>
      <c r="H49" s="35"/>
      <c r="I49" s="65">
        <f t="shared" ref="I49:AA49" si="80">CU59</f>
        <v>2.9999999999999997E-4</v>
      </c>
      <c r="J49" s="65">
        <f t="shared" si="80"/>
        <v>5.0000000000000001E-3</v>
      </c>
      <c r="K49" s="65">
        <f t="shared" si="80"/>
        <v>1.2E-2</v>
      </c>
      <c r="L49" s="65">
        <f t="shared" si="80"/>
        <v>2.1000000000000001E-2</v>
      </c>
      <c r="M49" s="65">
        <f t="shared" si="80"/>
        <v>3.5000000000000003E-2</v>
      </c>
      <c r="N49" s="65">
        <f t="shared" si="80"/>
        <v>0.05</v>
      </c>
      <c r="O49" s="65">
        <f t="shared" si="80"/>
        <v>6.5000000000000002E-2</v>
      </c>
      <c r="P49" s="65">
        <f t="shared" si="80"/>
        <v>8.5000000000000006E-2</v>
      </c>
      <c r="Q49" s="65">
        <f t="shared" si="80"/>
        <v>0.105</v>
      </c>
      <c r="R49" s="65">
        <f t="shared" si="80"/>
        <v>0.12880000000000003</v>
      </c>
      <c r="S49" s="65">
        <f t="shared" si="80"/>
        <v>0.156</v>
      </c>
      <c r="T49" s="65">
        <f t="shared" si="80"/>
        <v>0.19</v>
      </c>
      <c r="U49" s="65">
        <f t="shared" si="80"/>
        <v>0.20700000000000002</v>
      </c>
      <c r="V49" s="65">
        <f t="shared" si="80"/>
        <v>0.22</v>
      </c>
      <c r="W49" s="65">
        <f t="shared" si="80"/>
        <v>0.22259999999999999</v>
      </c>
      <c r="X49" s="65">
        <f t="shared" si="80"/>
        <v>0.22072500000000003</v>
      </c>
      <c r="Y49" s="65">
        <f t="shared" si="80"/>
        <v>0.21560000000000001</v>
      </c>
      <c r="Z49" s="65">
        <f t="shared" si="80"/>
        <v>0.20804999999999998</v>
      </c>
      <c r="AA49" s="65">
        <f t="shared" si="80"/>
        <v>0.20124999999999998</v>
      </c>
      <c r="AB49" s="65">
        <f t="shared" ref="AB49:BE49" si="81">AA49</f>
        <v>0.20124999999999998</v>
      </c>
      <c r="AC49" s="65">
        <f t="shared" si="81"/>
        <v>0.20124999999999998</v>
      </c>
      <c r="AD49" s="65">
        <f t="shared" si="81"/>
        <v>0.20124999999999998</v>
      </c>
      <c r="AE49" s="65">
        <f t="shared" si="81"/>
        <v>0.20124999999999998</v>
      </c>
      <c r="AF49" s="65">
        <f t="shared" si="81"/>
        <v>0.20124999999999998</v>
      </c>
      <c r="AG49" s="65">
        <f t="shared" si="81"/>
        <v>0.20124999999999998</v>
      </c>
      <c r="AH49" s="65">
        <f t="shared" si="81"/>
        <v>0.20124999999999998</v>
      </c>
      <c r="AI49" s="65">
        <f t="shared" si="81"/>
        <v>0.20124999999999998</v>
      </c>
      <c r="AJ49" s="65">
        <f t="shared" si="81"/>
        <v>0.20124999999999998</v>
      </c>
      <c r="AK49" s="65">
        <f t="shared" si="81"/>
        <v>0.20124999999999998</v>
      </c>
      <c r="AL49" s="54">
        <f t="shared" si="81"/>
        <v>0.20124999999999998</v>
      </c>
      <c r="AM49" s="54">
        <f t="shared" si="81"/>
        <v>0.20124999999999998</v>
      </c>
      <c r="AN49" s="54">
        <f t="shared" si="81"/>
        <v>0.20124999999999998</v>
      </c>
      <c r="AO49" s="54">
        <f t="shared" si="81"/>
        <v>0.20124999999999998</v>
      </c>
      <c r="AP49" s="54">
        <f t="shared" si="81"/>
        <v>0.20124999999999998</v>
      </c>
      <c r="AQ49" s="54">
        <f t="shared" si="81"/>
        <v>0.20124999999999998</v>
      </c>
      <c r="AR49" s="54">
        <f t="shared" si="81"/>
        <v>0.20124999999999998</v>
      </c>
      <c r="AS49" s="54">
        <f t="shared" si="81"/>
        <v>0.20124999999999998</v>
      </c>
      <c r="AT49" s="54">
        <f t="shared" si="81"/>
        <v>0.20124999999999998</v>
      </c>
      <c r="AU49" s="54">
        <f t="shared" si="81"/>
        <v>0.20124999999999998</v>
      </c>
      <c r="AV49" s="54">
        <f t="shared" si="81"/>
        <v>0.20124999999999998</v>
      </c>
      <c r="AW49" s="54">
        <f t="shared" si="81"/>
        <v>0.20124999999999998</v>
      </c>
      <c r="AX49" s="54">
        <f t="shared" si="81"/>
        <v>0.20124999999999998</v>
      </c>
      <c r="AY49" s="54">
        <f t="shared" si="81"/>
        <v>0.20124999999999998</v>
      </c>
      <c r="AZ49" s="54">
        <f t="shared" si="81"/>
        <v>0.20124999999999998</v>
      </c>
      <c r="BA49" s="54">
        <f t="shared" si="81"/>
        <v>0.20124999999999998</v>
      </c>
      <c r="BB49" s="54">
        <f t="shared" si="81"/>
        <v>0.20124999999999998</v>
      </c>
      <c r="BC49" s="54">
        <f t="shared" si="81"/>
        <v>0.20124999999999998</v>
      </c>
      <c r="BD49" s="54">
        <f t="shared" si="81"/>
        <v>0.20124999999999998</v>
      </c>
      <c r="BE49" s="54">
        <f t="shared" si="81"/>
        <v>0.20124999999999998</v>
      </c>
      <c r="BF49" s="65"/>
      <c r="BG49" s="65"/>
      <c r="BH49" s="65"/>
      <c r="BI49" s="65"/>
      <c r="BJ49" s="65"/>
      <c r="BK49" s="1" t="s">
        <v>172</v>
      </c>
      <c r="BL49" s="65">
        <v>0.03</v>
      </c>
      <c r="BM49" s="65">
        <f t="shared" ref="BM49:BP49" si="82">BL49+($BQ49-$BL49)/($Q$1-$L$1)</f>
        <v>5.8999999999999997E-2</v>
      </c>
      <c r="BN49" s="65">
        <f t="shared" si="82"/>
        <v>8.7999999999999995E-2</v>
      </c>
      <c r="BO49" s="65">
        <f t="shared" si="82"/>
        <v>0.11699999999999999</v>
      </c>
      <c r="BP49" s="65">
        <f t="shared" si="82"/>
        <v>0.14599999999999999</v>
      </c>
      <c r="BQ49" s="65">
        <v>0.17499999999999999</v>
      </c>
      <c r="BR49" s="65">
        <f t="shared" ref="BR49:BZ49" si="83">BQ49+($CA49-$BQ49)/($AA$1-$Q$1)</f>
        <v>0.21499999999999997</v>
      </c>
      <c r="BS49" s="65">
        <f t="shared" si="83"/>
        <v>0.25499999999999995</v>
      </c>
      <c r="BT49" s="65">
        <f t="shared" si="83"/>
        <v>0.29499999999999993</v>
      </c>
      <c r="BU49" s="65">
        <f t="shared" si="83"/>
        <v>0.33499999999999991</v>
      </c>
      <c r="BV49" s="65">
        <f t="shared" si="83"/>
        <v>0.37499999999999989</v>
      </c>
      <c r="BW49" s="65">
        <f t="shared" si="83"/>
        <v>0.41499999999999987</v>
      </c>
      <c r="BX49" s="65">
        <f t="shared" si="83"/>
        <v>0.45499999999999985</v>
      </c>
      <c r="BY49" s="65">
        <f t="shared" si="83"/>
        <v>0.49499999999999983</v>
      </c>
      <c r="BZ49" s="65">
        <f t="shared" si="83"/>
        <v>0.53499999999999981</v>
      </c>
      <c r="CA49" s="65">
        <v>0.57499999999999996</v>
      </c>
      <c r="CB49" s="65">
        <f t="shared" ref="CB49:CK49" si="84">CA49</f>
        <v>0.57499999999999996</v>
      </c>
      <c r="CC49" s="65">
        <f t="shared" si="84"/>
        <v>0.57499999999999996</v>
      </c>
      <c r="CD49" s="65">
        <f t="shared" si="84"/>
        <v>0.57499999999999996</v>
      </c>
      <c r="CE49" s="65">
        <f t="shared" si="84"/>
        <v>0.57499999999999996</v>
      </c>
      <c r="CF49" s="65">
        <f t="shared" si="84"/>
        <v>0.57499999999999996</v>
      </c>
      <c r="CG49" s="65">
        <f t="shared" si="84"/>
        <v>0.57499999999999996</v>
      </c>
      <c r="CH49" s="65">
        <f t="shared" si="84"/>
        <v>0.57499999999999996</v>
      </c>
      <c r="CI49" s="65">
        <f t="shared" si="84"/>
        <v>0.57499999999999996</v>
      </c>
      <c r="CJ49" s="65">
        <f t="shared" si="84"/>
        <v>0.57499999999999996</v>
      </c>
      <c r="CK49" s="65">
        <f t="shared" si="84"/>
        <v>0.57499999999999996</v>
      </c>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row>
    <row r="50" spans="1:119" ht="14.25" customHeight="1">
      <c r="A50" s="1"/>
      <c r="B50" s="28" t="s">
        <v>145</v>
      </c>
      <c r="C50" s="1" t="s">
        <v>176</v>
      </c>
      <c r="D50" s="1" t="s">
        <v>183</v>
      </c>
      <c r="E50" s="1"/>
      <c r="F50" s="1" t="s">
        <v>184</v>
      </c>
      <c r="G50" s="1" t="s">
        <v>185</v>
      </c>
      <c r="H50" s="35"/>
      <c r="I50" s="65">
        <f>0.04*0.1</f>
        <v>4.0000000000000001E-3</v>
      </c>
      <c r="J50" s="65">
        <f t="shared" ref="J50:AJ50" si="85">I50+($AK50-$I50)/($AK$1-$I$1)</f>
        <v>4.0000000000000001E-3</v>
      </c>
      <c r="K50" s="65">
        <f t="shared" si="85"/>
        <v>4.0000000000000001E-3</v>
      </c>
      <c r="L50" s="65">
        <f t="shared" si="85"/>
        <v>4.0000000000000001E-3</v>
      </c>
      <c r="M50" s="65">
        <f t="shared" si="85"/>
        <v>4.0000000000000001E-3</v>
      </c>
      <c r="N50" s="65">
        <f t="shared" si="85"/>
        <v>4.0000000000000001E-3</v>
      </c>
      <c r="O50" s="65">
        <f t="shared" si="85"/>
        <v>4.0000000000000001E-3</v>
      </c>
      <c r="P50" s="65">
        <f t="shared" si="85"/>
        <v>4.0000000000000001E-3</v>
      </c>
      <c r="Q50" s="65">
        <f t="shared" si="85"/>
        <v>4.0000000000000001E-3</v>
      </c>
      <c r="R50" s="65">
        <f t="shared" si="85"/>
        <v>4.0000000000000001E-3</v>
      </c>
      <c r="S50" s="65">
        <f t="shared" si="85"/>
        <v>4.0000000000000001E-3</v>
      </c>
      <c r="T50" s="65">
        <f t="shared" si="85"/>
        <v>4.0000000000000001E-3</v>
      </c>
      <c r="U50" s="65">
        <f t="shared" si="85"/>
        <v>4.0000000000000001E-3</v>
      </c>
      <c r="V50" s="65">
        <f t="shared" si="85"/>
        <v>4.0000000000000001E-3</v>
      </c>
      <c r="W50" s="65">
        <f t="shared" si="85"/>
        <v>4.0000000000000001E-3</v>
      </c>
      <c r="X50" s="65">
        <f t="shared" si="85"/>
        <v>4.0000000000000001E-3</v>
      </c>
      <c r="Y50" s="65">
        <f t="shared" si="85"/>
        <v>4.0000000000000001E-3</v>
      </c>
      <c r="Z50" s="65">
        <f t="shared" si="85"/>
        <v>4.0000000000000001E-3</v>
      </c>
      <c r="AA50" s="65">
        <f t="shared" si="85"/>
        <v>4.0000000000000001E-3</v>
      </c>
      <c r="AB50" s="65">
        <f t="shared" si="85"/>
        <v>4.0000000000000001E-3</v>
      </c>
      <c r="AC50" s="65">
        <f t="shared" si="85"/>
        <v>4.0000000000000001E-3</v>
      </c>
      <c r="AD50" s="65">
        <f t="shared" si="85"/>
        <v>4.0000000000000001E-3</v>
      </c>
      <c r="AE50" s="65">
        <f t="shared" si="85"/>
        <v>4.0000000000000001E-3</v>
      </c>
      <c r="AF50" s="65">
        <f t="shared" si="85"/>
        <v>4.0000000000000001E-3</v>
      </c>
      <c r="AG50" s="65">
        <f t="shared" si="85"/>
        <v>4.0000000000000001E-3</v>
      </c>
      <c r="AH50" s="65">
        <f t="shared" si="85"/>
        <v>4.0000000000000001E-3</v>
      </c>
      <c r="AI50" s="65">
        <f t="shared" si="85"/>
        <v>4.0000000000000001E-3</v>
      </c>
      <c r="AJ50" s="65">
        <f t="shared" si="85"/>
        <v>4.0000000000000001E-3</v>
      </c>
      <c r="AK50" s="65">
        <f>0.04*0.1</f>
        <v>4.0000000000000001E-3</v>
      </c>
      <c r="AL50" s="54">
        <f t="shared" ref="AL50:BE50" si="86">AK50</f>
        <v>4.0000000000000001E-3</v>
      </c>
      <c r="AM50" s="54">
        <f t="shared" si="86"/>
        <v>4.0000000000000001E-3</v>
      </c>
      <c r="AN50" s="54">
        <f t="shared" si="86"/>
        <v>4.0000000000000001E-3</v>
      </c>
      <c r="AO50" s="54">
        <f t="shared" si="86"/>
        <v>4.0000000000000001E-3</v>
      </c>
      <c r="AP50" s="54">
        <f t="shared" si="86"/>
        <v>4.0000000000000001E-3</v>
      </c>
      <c r="AQ50" s="54">
        <f t="shared" si="86"/>
        <v>4.0000000000000001E-3</v>
      </c>
      <c r="AR50" s="54">
        <f t="shared" si="86"/>
        <v>4.0000000000000001E-3</v>
      </c>
      <c r="AS50" s="54">
        <f t="shared" si="86"/>
        <v>4.0000000000000001E-3</v>
      </c>
      <c r="AT50" s="54">
        <f t="shared" si="86"/>
        <v>4.0000000000000001E-3</v>
      </c>
      <c r="AU50" s="54">
        <f t="shared" si="86"/>
        <v>4.0000000000000001E-3</v>
      </c>
      <c r="AV50" s="54">
        <f t="shared" si="86"/>
        <v>4.0000000000000001E-3</v>
      </c>
      <c r="AW50" s="54">
        <f t="shared" si="86"/>
        <v>4.0000000000000001E-3</v>
      </c>
      <c r="AX50" s="54">
        <f t="shared" si="86"/>
        <v>4.0000000000000001E-3</v>
      </c>
      <c r="AY50" s="54">
        <f t="shared" si="86"/>
        <v>4.0000000000000001E-3</v>
      </c>
      <c r="AZ50" s="54">
        <f t="shared" si="86"/>
        <v>4.0000000000000001E-3</v>
      </c>
      <c r="BA50" s="54">
        <f t="shared" si="86"/>
        <v>4.0000000000000001E-3</v>
      </c>
      <c r="BB50" s="54">
        <f t="shared" si="86"/>
        <v>4.0000000000000001E-3</v>
      </c>
      <c r="BC50" s="54">
        <f t="shared" si="86"/>
        <v>4.0000000000000001E-3</v>
      </c>
      <c r="BD50" s="54">
        <f t="shared" si="86"/>
        <v>4.0000000000000001E-3</v>
      </c>
      <c r="BE50" s="54">
        <f t="shared" si="86"/>
        <v>4.0000000000000001E-3</v>
      </c>
      <c r="BF50" s="65"/>
      <c r="BG50" s="65"/>
      <c r="BH50" s="65"/>
      <c r="BI50" s="65"/>
      <c r="BJ50" s="65"/>
      <c r="BK50" s="1"/>
      <c r="BL50" s="1" t="s">
        <v>186</v>
      </c>
      <c r="BM50" s="1"/>
      <c r="BN50" s="25"/>
      <c r="BO50" s="54"/>
      <c r="BP50" s="1"/>
      <c r="BQ50" s="1"/>
      <c r="BR50" s="1"/>
      <c r="BS50" s="1"/>
      <c r="BT50" s="1"/>
      <c r="BU50" s="1"/>
      <c r="BV50" s="1"/>
      <c r="BW50" s="1"/>
      <c r="BX50" s="1"/>
      <c r="BY50" s="1"/>
      <c r="BZ50" s="1"/>
      <c r="CA50" s="1"/>
      <c r="CB50" s="1"/>
      <c r="CC50" s="1"/>
      <c r="CD50" s="1"/>
      <c r="CE50" s="1"/>
      <c r="CF50" s="1" t="s">
        <v>187</v>
      </c>
      <c r="CG50" s="1">
        <v>1.0304</v>
      </c>
      <c r="CH50" s="1"/>
      <c r="CI50" s="1">
        <f>CK26+CL26+CM26</f>
        <v>15208786</v>
      </c>
      <c r="CJ50" s="1">
        <f t="shared" ref="CJ50:CJ52" si="87">CI50*CG50</f>
        <v>15671133.0944</v>
      </c>
      <c r="CK50" s="1">
        <f t="shared" ref="CK50:CK52" si="88">CJ50*0.005807</f>
        <v>91002.269879180792</v>
      </c>
      <c r="CL50" s="1"/>
      <c r="CM50" s="1"/>
      <c r="CN50" s="1"/>
      <c r="CO50" s="1"/>
      <c r="CP50" s="1"/>
      <c r="CQ50" s="1"/>
      <c r="CR50" s="1"/>
      <c r="CS50" s="1"/>
      <c r="CT50" s="1" t="s">
        <v>188</v>
      </c>
      <c r="CU50" s="54">
        <v>2.9999999999999997E-4</v>
      </c>
      <c r="CV50" s="54">
        <v>5.0000000000000001E-3</v>
      </c>
      <c r="CW50" s="54">
        <v>0.01</v>
      </c>
      <c r="CX50" s="65">
        <v>0.02</v>
      </c>
      <c r="CY50" s="54">
        <v>2.8000000000000001E-2</v>
      </c>
      <c r="CZ50" s="54">
        <v>3.5000000000000003E-2</v>
      </c>
      <c r="DA50" s="54">
        <v>4.5999999999999999E-2</v>
      </c>
      <c r="DB50" s="54">
        <v>5.8000000000000003E-2</v>
      </c>
      <c r="DC50" s="65">
        <v>7.4999999999999997E-2</v>
      </c>
      <c r="DD50" s="25">
        <v>0.1</v>
      </c>
      <c r="DE50" s="25">
        <v>0.14000000000000001</v>
      </c>
      <c r="DF50" s="25">
        <v>0.18</v>
      </c>
      <c r="DG50" s="25">
        <v>0.22</v>
      </c>
      <c r="DH50" s="25">
        <v>0.255</v>
      </c>
      <c r="DI50" s="65">
        <v>0.28499999999999998</v>
      </c>
      <c r="DJ50" s="25">
        <v>0.31</v>
      </c>
      <c r="DK50" s="25">
        <v>0.33</v>
      </c>
      <c r="DL50" s="54">
        <v>0.34499999999999997</v>
      </c>
      <c r="DM50" s="65">
        <v>0.35</v>
      </c>
      <c r="DN50" s="1"/>
      <c r="DO50" s="1"/>
    </row>
    <row r="51" spans="1:119" ht="14.25" customHeight="1">
      <c r="A51" s="1"/>
      <c r="B51" s="28" t="s">
        <v>145</v>
      </c>
      <c r="C51" s="1" t="s">
        <v>176</v>
      </c>
      <c r="D51" s="1" t="s">
        <v>189</v>
      </c>
      <c r="E51" s="1"/>
      <c r="F51" s="1" t="s">
        <v>184</v>
      </c>
      <c r="G51" s="1"/>
      <c r="H51" s="35"/>
      <c r="I51" s="25">
        <v>0</v>
      </c>
      <c r="J51" s="65">
        <v>0</v>
      </c>
      <c r="K51" s="65">
        <f>AVERAGE(J51,L51)</f>
        <v>4.7999999999999996E-3</v>
      </c>
      <c r="L51" s="65">
        <f>0.12*0.08</f>
        <v>9.5999999999999992E-3</v>
      </c>
      <c r="M51" s="65">
        <f t="shared" ref="M51:AJ51" si="89">L51+($AK51-$L51)/($AK$1-$L$1)</f>
        <v>9.5999999999999992E-3</v>
      </c>
      <c r="N51" s="65">
        <f t="shared" si="89"/>
        <v>9.5999999999999992E-3</v>
      </c>
      <c r="O51" s="65">
        <f t="shared" si="89"/>
        <v>9.5999999999999992E-3</v>
      </c>
      <c r="P51" s="65">
        <f t="shared" si="89"/>
        <v>9.5999999999999992E-3</v>
      </c>
      <c r="Q51" s="65">
        <f t="shared" si="89"/>
        <v>9.5999999999999992E-3</v>
      </c>
      <c r="R51" s="65">
        <f t="shared" si="89"/>
        <v>9.5999999999999992E-3</v>
      </c>
      <c r="S51" s="65">
        <f t="shared" si="89"/>
        <v>9.5999999999999992E-3</v>
      </c>
      <c r="T51" s="65">
        <f t="shared" si="89"/>
        <v>9.5999999999999992E-3</v>
      </c>
      <c r="U51" s="65">
        <f t="shared" si="89"/>
        <v>9.5999999999999992E-3</v>
      </c>
      <c r="V51" s="65">
        <f t="shared" si="89"/>
        <v>9.5999999999999992E-3</v>
      </c>
      <c r="W51" s="65">
        <f t="shared" si="89"/>
        <v>9.5999999999999992E-3</v>
      </c>
      <c r="X51" s="65">
        <f t="shared" si="89"/>
        <v>9.5999999999999992E-3</v>
      </c>
      <c r="Y51" s="65">
        <f t="shared" si="89"/>
        <v>9.5999999999999992E-3</v>
      </c>
      <c r="Z51" s="65">
        <f t="shared" si="89"/>
        <v>9.5999999999999992E-3</v>
      </c>
      <c r="AA51" s="65">
        <f t="shared" si="89"/>
        <v>9.5999999999999992E-3</v>
      </c>
      <c r="AB51" s="65">
        <f t="shared" si="89"/>
        <v>9.5999999999999992E-3</v>
      </c>
      <c r="AC51" s="65">
        <f t="shared" si="89"/>
        <v>9.5999999999999992E-3</v>
      </c>
      <c r="AD51" s="65">
        <f t="shared" si="89"/>
        <v>9.5999999999999992E-3</v>
      </c>
      <c r="AE51" s="65">
        <f t="shared" si="89"/>
        <v>9.5999999999999992E-3</v>
      </c>
      <c r="AF51" s="65">
        <f t="shared" si="89"/>
        <v>9.5999999999999992E-3</v>
      </c>
      <c r="AG51" s="65">
        <f t="shared" si="89"/>
        <v>9.5999999999999992E-3</v>
      </c>
      <c r="AH51" s="65">
        <f t="shared" si="89"/>
        <v>9.5999999999999992E-3</v>
      </c>
      <c r="AI51" s="65">
        <f t="shared" si="89"/>
        <v>9.5999999999999992E-3</v>
      </c>
      <c r="AJ51" s="65">
        <f t="shared" si="89"/>
        <v>9.5999999999999992E-3</v>
      </c>
      <c r="AK51" s="65">
        <f>0.12*0.08</f>
        <v>9.5999999999999992E-3</v>
      </c>
      <c r="AL51" s="54">
        <f t="shared" ref="AL51:BE51" si="90">AK51</f>
        <v>9.5999999999999992E-3</v>
      </c>
      <c r="AM51" s="54">
        <f t="shared" si="90"/>
        <v>9.5999999999999992E-3</v>
      </c>
      <c r="AN51" s="54">
        <f t="shared" si="90"/>
        <v>9.5999999999999992E-3</v>
      </c>
      <c r="AO51" s="54">
        <f t="shared" si="90"/>
        <v>9.5999999999999992E-3</v>
      </c>
      <c r="AP51" s="54">
        <f t="shared" si="90"/>
        <v>9.5999999999999992E-3</v>
      </c>
      <c r="AQ51" s="54">
        <f t="shared" si="90"/>
        <v>9.5999999999999992E-3</v>
      </c>
      <c r="AR51" s="54">
        <f t="shared" si="90"/>
        <v>9.5999999999999992E-3</v>
      </c>
      <c r="AS51" s="54">
        <f t="shared" si="90"/>
        <v>9.5999999999999992E-3</v>
      </c>
      <c r="AT51" s="54">
        <f t="shared" si="90"/>
        <v>9.5999999999999992E-3</v>
      </c>
      <c r="AU51" s="54">
        <f t="shared" si="90"/>
        <v>9.5999999999999992E-3</v>
      </c>
      <c r="AV51" s="54">
        <f t="shared" si="90"/>
        <v>9.5999999999999992E-3</v>
      </c>
      <c r="AW51" s="54">
        <f t="shared" si="90"/>
        <v>9.5999999999999992E-3</v>
      </c>
      <c r="AX51" s="54">
        <f t="shared" si="90"/>
        <v>9.5999999999999992E-3</v>
      </c>
      <c r="AY51" s="54">
        <f t="shared" si="90"/>
        <v>9.5999999999999992E-3</v>
      </c>
      <c r="AZ51" s="54">
        <f t="shared" si="90"/>
        <v>9.5999999999999992E-3</v>
      </c>
      <c r="BA51" s="54">
        <f t="shared" si="90"/>
        <v>9.5999999999999992E-3</v>
      </c>
      <c r="BB51" s="54">
        <f t="shared" si="90"/>
        <v>9.5999999999999992E-3</v>
      </c>
      <c r="BC51" s="54">
        <f t="shared" si="90"/>
        <v>9.5999999999999992E-3</v>
      </c>
      <c r="BD51" s="54">
        <f t="shared" si="90"/>
        <v>9.5999999999999992E-3</v>
      </c>
      <c r="BE51" s="54">
        <f t="shared" si="90"/>
        <v>9.5999999999999992E-3</v>
      </c>
      <c r="BF51" s="65"/>
      <c r="BG51" s="65"/>
      <c r="BH51" s="65"/>
      <c r="BI51" s="65"/>
      <c r="BJ51" s="65"/>
      <c r="BK51" s="65"/>
      <c r="BL51" s="1" t="s">
        <v>190</v>
      </c>
      <c r="BM51" s="1"/>
      <c r="BN51" s="25"/>
      <c r="BO51" s="25"/>
      <c r="BP51" s="1"/>
      <c r="BQ51" s="1"/>
      <c r="BR51" s="1"/>
      <c r="BS51" s="1"/>
      <c r="BT51" s="1"/>
      <c r="BU51" s="1"/>
      <c r="BV51" s="1"/>
      <c r="BW51" s="1"/>
      <c r="BX51" s="1"/>
      <c r="BY51" s="1"/>
      <c r="BZ51" s="1"/>
      <c r="CA51" s="1"/>
      <c r="CB51" s="1"/>
      <c r="CC51" s="1"/>
      <c r="CD51" s="1"/>
      <c r="CE51" s="1"/>
      <c r="CF51" s="1" t="s">
        <v>58</v>
      </c>
      <c r="CG51" s="1">
        <v>0.67010000000000003</v>
      </c>
      <c r="CH51" s="1"/>
      <c r="CI51" s="1">
        <f>CO26</f>
        <v>1465138</v>
      </c>
      <c r="CJ51" s="1">
        <f t="shared" si="87"/>
        <v>981788.97380000004</v>
      </c>
      <c r="CK51" s="1">
        <f t="shared" si="88"/>
        <v>5701.2485708566001</v>
      </c>
      <c r="CL51" s="1"/>
      <c r="CM51" s="1"/>
      <c r="CN51" s="1"/>
      <c r="CO51" s="1"/>
      <c r="CP51" s="1"/>
      <c r="CQ51" s="1"/>
      <c r="CR51" s="1"/>
      <c r="CS51" s="1"/>
      <c r="CT51" s="1" t="s">
        <v>179</v>
      </c>
      <c r="CU51" s="54">
        <v>2.0000000000000001E-4</v>
      </c>
      <c r="CV51" s="54">
        <v>5.0000000000000001E-3</v>
      </c>
      <c r="CW51" s="65">
        <v>8.9999999999999993E-3</v>
      </c>
      <c r="CX51" s="65">
        <v>1.4999999999999999E-2</v>
      </c>
      <c r="CY51" s="65">
        <v>0.02</v>
      </c>
      <c r="CZ51" s="65">
        <v>2.5000000000000001E-2</v>
      </c>
      <c r="DA51" s="65">
        <v>0.03</v>
      </c>
      <c r="DB51" s="65">
        <v>3.7999999999999999E-2</v>
      </c>
      <c r="DC51" s="65">
        <v>4.4999999999999998E-2</v>
      </c>
      <c r="DD51" s="65">
        <f t="shared" ref="DD51:DM51" si="91">DD50*DD44</f>
        <v>5.6000000000000008E-2</v>
      </c>
      <c r="DE51" s="65">
        <f t="shared" si="91"/>
        <v>7.2800000000000004E-2</v>
      </c>
      <c r="DF51" s="65">
        <f t="shared" si="91"/>
        <v>0.09</v>
      </c>
      <c r="DG51" s="65">
        <f t="shared" si="91"/>
        <v>0.1012</v>
      </c>
      <c r="DH51" s="65">
        <f t="shared" si="91"/>
        <v>0.11220000000000001</v>
      </c>
      <c r="DI51" s="65">
        <f t="shared" si="91"/>
        <v>0.11969999999999999</v>
      </c>
      <c r="DJ51" s="65">
        <f t="shared" si="91"/>
        <v>0.12554999999999999</v>
      </c>
      <c r="DK51" s="65">
        <f t="shared" si="91"/>
        <v>0.12705</v>
      </c>
      <c r="DL51" s="65">
        <f t="shared" si="91"/>
        <v>0.12592499999999998</v>
      </c>
      <c r="DM51" s="65">
        <f t="shared" si="91"/>
        <v>0.12249999999999998</v>
      </c>
      <c r="DN51" s="1"/>
      <c r="DO51" s="1"/>
    </row>
    <row r="52" spans="1:119" ht="14.25" customHeight="1">
      <c r="A52" s="1"/>
      <c r="B52" s="28" t="s">
        <v>145</v>
      </c>
      <c r="C52" s="1" t="s">
        <v>176</v>
      </c>
      <c r="D52" s="1" t="s">
        <v>191</v>
      </c>
      <c r="E52" s="1"/>
      <c r="F52" s="1" t="s">
        <v>184</v>
      </c>
      <c r="G52" s="1"/>
      <c r="H52" s="35"/>
      <c r="I52" s="65">
        <f>0.11*0.12*0.5</f>
        <v>6.6E-3</v>
      </c>
      <c r="J52" s="65">
        <f t="shared" ref="J52:AJ52" si="92">I52+($AK$52-$I$52)/($AK$1-$I$1)</f>
        <v>6.7214285714285718E-3</v>
      </c>
      <c r="K52" s="65">
        <f t="shared" si="92"/>
        <v>6.8428571428571436E-3</v>
      </c>
      <c r="L52" s="65">
        <f t="shared" si="92"/>
        <v>6.9642857142857154E-3</v>
      </c>
      <c r="M52" s="65">
        <f t="shared" si="92"/>
        <v>7.0857142857142872E-3</v>
      </c>
      <c r="N52" s="65">
        <f t="shared" si="92"/>
        <v>7.207142857142859E-3</v>
      </c>
      <c r="O52" s="65">
        <f t="shared" si="92"/>
        <v>7.3285714285714308E-3</v>
      </c>
      <c r="P52" s="65">
        <f t="shared" si="92"/>
        <v>7.4500000000000026E-3</v>
      </c>
      <c r="Q52" s="65">
        <f t="shared" si="92"/>
        <v>7.5714285714285744E-3</v>
      </c>
      <c r="R52" s="65">
        <f t="shared" si="92"/>
        <v>7.6928571428571462E-3</v>
      </c>
      <c r="S52" s="65">
        <f t="shared" si="92"/>
        <v>7.8142857142857181E-3</v>
      </c>
      <c r="T52" s="65">
        <f t="shared" si="92"/>
        <v>7.935714285714289E-3</v>
      </c>
      <c r="U52" s="65">
        <f t="shared" si="92"/>
        <v>8.0571428571428599E-3</v>
      </c>
      <c r="V52" s="65">
        <f t="shared" si="92"/>
        <v>8.1785714285714309E-3</v>
      </c>
      <c r="W52" s="65">
        <f t="shared" si="92"/>
        <v>8.3000000000000018E-3</v>
      </c>
      <c r="X52" s="65">
        <f t="shared" si="92"/>
        <v>8.4214285714285728E-3</v>
      </c>
      <c r="Y52" s="65">
        <f t="shared" si="92"/>
        <v>8.5428571428571437E-3</v>
      </c>
      <c r="Z52" s="65">
        <f t="shared" si="92"/>
        <v>8.6642857142857146E-3</v>
      </c>
      <c r="AA52" s="65">
        <f t="shared" si="92"/>
        <v>8.7857142857142856E-3</v>
      </c>
      <c r="AB52" s="65">
        <f t="shared" si="92"/>
        <v>8.9071428571428565E-3</v>
      </c>
      <c r="AC52" s="65">
        <f t="shared" si="92"/>
        <v>9.0285714285714275E-3</v>
      </c>
      <c r="AD52" s="65">
        <f t="shared" si="92"/>
        <v>9.1499999999999984E-3</v>
      </c>
      <c r="AE52" s="65">
        <f t="shared" si="92"/>
        <v>9.2714285714285694E-3</v>
      </c>
      <c r="AF52" s="65">
        <f t="shared" si="92"/>
        <v>9.3928571428571403E-3</v>
      </c>
      <c r="AG52" s="65">
        <f t="shared" si="92"/>
        <v>9.5142857142857112E-3</v>
      </c>
      <c r="AH52" s="65">
        <f t="shared" si="92"/>
        <v>9.6357142857142822E-3</v>
      </c>
      <c r="AI52" s="65">
        <f t="shared" si="92"/>
        <v>9.7571428571428531E-3</v>
      </c>
      <c r="AJ52" s="65">
        <f t="shared" si="92"/>
        <v>9.8785714285714241E-3</v>
      </c>
      <c r="AK52" s="65">
        <v>0.01</v>
      </c>
      <c r="AL52" s="54">
        <f t="shared" ref="AL52:BE52" si="93">AK52</f>
        <v>0.01</v>
      </c>
      <c r="AM52" s="54">
        <f t="shared" si="93"/>
        <v>0.01</v>
      </c>
      <c r="AN52" s="54">
        <f t="shared" si="93"/>
        <v>0.01</v>
      </c>
      <c r="AO52" s="54">
        <f t="shared" si="93"/>
        <v>0.01</v>
      </c>
      <c r="AP52" s="54">
        <f t="shared" si="93"/>
        <v>0.01</v>
      </c>
      <c r="AQ52" s="54">
        <f t="shared" si="93"/>
        <v>0.01</v>
      </c>
      <c r="AR52" s="54">
        <f t="shared" si="93"/>
        <v>0.01</v>
      </c>
      <c r="AS52" s="54">
        <f t="shared" si="93"/>
        <v>0.01</v>
      </c>
      <c r="AT52" s="54">
        <f t="shared" si="93"/>
        <v>0.01</v>
      </c>
      <c r="AU52" s="54">
        <f t="shared" si="93"/>
        <v>0.01</v>
      </c>
      <c r="AV52" s="54">
        <f t="shared" si="93"/>
        <v>0.01</v>
      </c>
      <c r="AW52" s="54">
        <f t="shared" si="93"/>
        <v>0.01</v>
      </c>
      <c r="AX52" s="54">
        <f t="shared" si="93"/>
        <v>0.01</v>
      </c>
      <c r="AY52" s="54">
        <f t="shared" si="93"/>
        <v>0.01</v>
      </c>
      <c r="AZ52" s="54">
        <f t="shared" si="93"/>
        <v>0.01</v>
      </c>
      <c r="BA52" s="54">
        <f t="shared" si="93"/>
        <v>0.01</v>
      </c>
      <c r="BB52" s="54">
        <f t="shared" si="93"/>
        <v>0.01</v>
      </c>
      <c r="BC52" s="54">
        <f t="shared" si="93"/>
        <v>0.01</v>
      </c>
      <c r="BD52" s="54">
        <f t="shared" si="93"/>
        <v>0.01</v>
      </c>
      <c r="BE52" s="54">
        <f t="shared" si="93"/>
        <v>0.01</v>
      </c>
      <c r="BF52" s="65"/>
      <c r="BG52" s="65"/>
      <c r="BH52" s="65"/>
      <c r="BI52" s="65"/>
      <c r="BJ52" s="65"/>
      <c r="BK52" s="65"/>
      <c r="BL52" s="1" t="s">
        <v>192</v>
      </c>
      <c r="BM52" s="1"/>
      <c r="BN52" s="25"/>
      <c r="BO52" s="25"/>
      <c r="BP52" s="1"/>
      <c r="BQ52" s="1"/>
      <c r="BR52" s="1"/>
      <c r="BS52" s="1"/>
      <c r="BT52" s="1"/>
      <c r="BU52" s="1"/>
      <c r="BV52" s="1"/>
      <c r="BW52" s="1"/>
      <c r="BX52" s="1"/>
      <c r="BY52" s="1"/>
      <c r="BZ52" s="1"/>
      <c r="CA52" s="1"/>
      <c r="CB52" s="1"/>
      <c r="CC52" s="1"/>
      <c r="CD52" s="1"/>
      <c r="CE52" s="1"/>
      <c r="CF52" s="1" t="s">
        <v>193</v>
      </c>
      <c r="CG52" s="1">
        <v>0.95830000000000004</v>
      </c>
      <c r="CH52" s="1"/>
      <c r="CI52" s="1">
        <f>CN26</f>
        <v>2361870</v>
      </c>
      <c r="CJ52" s="1">
        <f t="shared" si="87"/>
        <v>2263380.0210000002</v>
      </c>
      <c r="CK52" s="1">
        <f t="shared" si="88"/>
        <v>13143.447781947001</v>
      </c>
      <c r="CL52" s="1"/>
      <c r="CM52" s="1"/>
      <c r="CN52" s="1"/>
      <c r="CO52" s="1"/>
      <c r="CP52" s="1"/>
      <c r="CQ52" s="1"/>
      <c r="CR52" s="1"/>
      <c r="CS52" s="1"/>
      <c r="CT52" s="1" t="s">
        <v>180</v>
      </c>
      <c r="CU52" s="54">
        <f>CU50-CU51</f>
        <v>9.9999999999999964E-5</v>
      </c>
      <c r="CV52" s="65">
        <v>1E-3</v>
      </c>
      <c r="CW52" s="65">
        <v>2E-3</v>
      </c>
      <c r="CX52" s="65">
        <f t="shared" ref="CX52:DM52" si="94">CX50-CX51</f>
        <v>5.000000000000001E-3</v>
      </c>
      <c r="CY52" s="65">
        <f t="shared" si="94"/>
        <v>8.0000000000000002E-3</v>
      </c>
      <c r="CZ52" s="65">
        <f t="shared" si="94"/>
        <v>1.0000000000000002E-2</v>
      </c>
      <c r="DA52" s="65">
        <f t="shared" si="94"/>
        <v>1.6E-2</v>
      </c>
      <c r="DB52" s="65">
        <f t="shared" si="94"/>
        <v>2.0000000000000004E-2</v>
      </c>
      <c r="DC52" s="65">
        <f t="shared" si="94"/>
        <v>0.03</v>
      </c>
      <c r="DD52" s="65">
        <f t="shared" si="94"/>
        <v>4.3999999999999997E-2</v>
      </c>
      <c r="DE52" s="65">
        <f t="shared" si="94"/>
        <v>6.720000000000001E-2</v>
      </c>
      <c r="DF52" s="65">
        <f t="shared" si="94"/>
        <v>0.09</v>
      </c>
      <c r="DG52" s="65">
        <f t="shared" si="94"/>
        <v>0.1188</v>
      </c>
      <c r="DH52" s="65">
        <f t="shared" si="94"/>
        <v>0.14279999999999998</v>
      </c>
      <c r="DI52" s="65">
        <f t="shared" si="94"/>
        <v>0.1653</v>
      </c>
      <c r="DJ52" s="65">
        <f t="shared" si="94"/>
        <v>0.18445</v>
      </c>
      <c r="DK52" s="65">
        <f t="shared" si="94"/>
        <v>0.20295000000000002</v>
      </c>
      <c r="DL52" s="65">
        <f t="shared" si="94"/>
        <v>0.21907499999999999</v>
      </c>
      <c r="DM52" s="65">
        <f t="shared" si="94"/>
        <v>0.22749999999999998</v>
      </c>
      <c r="DN52" s="1"/>
      <c r="DO52" s="1"/>
    </row>
    <row r="53" spans="1:119" ht="14.25" customHeight="1">
      <c r="A53" s="1"/>
      <c r="B53" s="28" t="s">
        <v>194</v>
      </c>
      <c r="C53" s="1" t="s">
        <v>154</v>
      </c>
      <c r="D53" s="1"/>
      <c r="E53" s="1"/>
      <c r="F53" s="1" t="s">
        <v>156</v>
      </c>
      <c r="G53" s="1" t="s">
        <v>153</v>
      </c>
      <c r="H53" s="35"/>
      <c r="I53" s="65">
        <f t="shared" ref="I53:AK53" si="95">I38</f>
        <v>9.9999999999999964E-5</v>
      </c>
      <c r="J53" s="65">
        <f t="shared" si="95"/>
        <v>1E-3</v>
      </c>
      <c r="K53" s="65">
        <f t="shared" si="95"/>
        <v>2E-3</v>
      </c>
      <c r="L53" s="65">
        <f t="shared" si="95"/>
        <v>5.000000000000001E-3</v>
      </c>
      <c r="M53" s="65">
        <f t="shared" si="95"/>
        <v>8.0000000000000002E-3</v>
      </c>
      <c r="N53" s="65">
        <f t="shared" si="95"/>
        <v>1.0000000000000002E-2</v>
      </c>
      <c r="O53" s="65">
        <f t="shared" si="95"/>
        <v>1.6E-2</v>
      </c>
      <c r="P53" s="65">
        <f t="shared" si="95"/>
        <v>2.0000000000000004E-2</v>
      </c>
      <c r="Q53" s="65">
        <f t="shared" si="95"/>
        <v>0.03</v>
      </c>
      <c r="R53" s="65">
        <f t="shared" si="95"/>
        <v>4.3999999999999997E-2</v>
      </c>
      <c r="S53" s="65">
        <f t="shared" si="95"/>
        <v>6.720000000000001E-2</v>
      </c>
      <c r="T53" s="65">
        <f t="shared" si="95"/>
        <v>0.09</v>
      </c>
      <c r="U53" s="65">
        <f t="shared" si="95"/>
        <v>0.1188</v>
      </c>
      <c r="V53" s="65">
        <f t="shared" si="95"/>
        <v>0.14279999999999998</v>
      </c>
      <c r="W53" s="65">
        <f t="shared" si="95"/>
        <v>0.1653</v>
      </c>
      <c r="X53" s="65">
        <f t="shared" si="95"/>
        <v>0.18445</v>
      </c>
      <c r="Y53" s="65">
        <f t="shared" si="95"/>
        <v>0.20295000000000002</v>
      </c>
      <c r="Z53" s="65">
        <f t="shared" si="95"/>
        <v>0.21907499999999999</v>
      </c>
      <c r="AA53" s="65">
        <f t="shared" si="95"/>
        <v>0.22749999999999998</v>
      </c>
      <c r="AB53" s="65">
        <f t="shared" si="95"/>
        <v>0.22749999999999998</v>
      </c>
      <c r="AC53" s="65">
        <f t="shared" si="95"/>
        <v>0.22749999999999998</v>
      </c>
      <c r="AD53" s="65">
        <f t="shared" si="95"/>
        <v>0.22749999999999998</v>
      </c>
      <c r="AE53" s="65">
        <f t="shared" si="95"/>
        <v>0.22749999999999998</v>
      </c>
      <c r="AF53" s="65">
        <f t="shared" si="95"/>
        <v>0.22749999999999998</v>
      </c>
      <c r="AG53" s="65">
        <f t="shared" si="95"/>
        <v>0.22749999999999998</v>
      </c>
      <c r="AH53" s="65">
        <f t="shared" si="95"/>
        <v>0.22749999999999998</v>
      </c>
      <c r="AI53" s="65">
        <f t="shared" si="95"/>
        <v>0.22749999999999998</v>
      </c>
      <c r="AJ53" s="65">
        <f t="shared" si="95"/>
        <v>0.22749999999999998</v>
      </c>
      <c r="AK53" s="65">
        <f t="shared" si="95"/>
        <v>0.22749999999999998</v>
      </c>
      <c r="AL53" s="54">
        <f t="shared" ref="AL53:BE53" si="96">AK53</f>
        <v>0.22749999999999998</v>
      </c>
      <c r="AM53" s="54">
        <f t="shared" si="96"/>
        <v>0.22749999999999998</v>
      </c>
      <c r="AN53" s="54">
        <f t="shared" si="96"/>
        <v>0.22749999999999998</v>
      </c>
      <c r="AO53" s="54">
        <f t="shared" si="96"/>
        <v>0.22749999999999998</v>
      </c>
      <c r="AP53" s="54">
        <f t="shared" si="96"/>
        <v>0.22749999999999998</v>
      </c>
      <c r="AQ53" s="54">
        <f t="shared" si="96"/>
        <v>0.22749999999999998</v>
      </c>
      <c r="AR53" s="54">
        <f t="shared" si="96"/>
        <v>0.22749999999999998</v>
      </c>
      <c r="AS53" s="54">
        <f t="shared" si="96"/>
        <v>0.22749999999999998</v>
      </c>
      <c r="AT53" s="54">
        <f t="shared" si="96"/>
        <v>0.22749999999999998</v>
      </c>
      <c r="AU53" s="54">
        <f t="shared" si="96"/>
        <v>0.22749999999999998</v>
      </c>
      <c r="AV53" s="54">
        <f t="shared" si="96"/>
        <v>0.22749999999999998</v>
      </c>
      <c r="AW53" s="54">
        <f t="shared" si="96"/>
        <v>0.22749999999999998</v>
      </c>
      <c r="AX53" s="54">
        <f t="shared" si="96"/>
        <v>0.22749999999999998</v>
      </c>
      <c r="AY53" s="54">
        <f t="shared" si="96"/>
        <v>0.22749999999999998</v>
      </c>
      <c r="AZ53" s="54">
        <f t="shared" si="96"/>
        <v>0.22749999999999998</v>
      </c>
      <c r="BA53" s="54">
        <f t="shared" si="96"/>
        <v>0.22749999999999998</v>
      </c>
      <c r="BB53" s="54">
        <f t="shared" si="96"/>
        <v>0.22749999999999998</v>
      </c>
      <c r="BC53" s="54">
        <f t="shared" si="96"/>
        <v>0.22749999999999998</v>
      </c>
      <c r="BD53" s="54">
        <f t="shared" si="96"/>
        <v>0.22749999999999998</v>
      </c>
      <c r="BE53" s="54">
        <f t="shared" si="96"/>
        <v>0.22749999999999998</v>
      </c>
      <c r="BF53" s="22"/>
      <c r="BG53" s="22"/>
      <c r="BH53" s="22"/>
      <c r="BI53" s="22"/>
      <c r="BJ53" s="22"/>
      <c r="BK53" s="22"/>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t="s">
        <v>195</v>
      </c>
      <c r="CM53" s="1"/>
      <c r="CN53" s="1"/>
      <c r="CO53" s="1" t="s">
        <v>196</v>
      </c>
      <c r="CP53" s="1" t="s">
        <v>197</v>
      </c>
      <c r="CQ53" s="1" t="s">
        <v>198</v>
      </c>
      <c r="CR53" s="1"/>
      <c r="CS53" s="1"/>
      <c r="CT53" s="1"/>
      <c r="CU53" s="54">
        <v>0.3</v>
      </c>
      <c r="CV53" s="65">
        <v>0.32</v>
      </c>
      <c r="CW53" s="65">
        <v>0.35</v>
      </c>
      <c r="CX53" s="25">
        <v>0.31</v>
      </c>
      <c r="CY53" s="65">
        <v>0.32</v>
      </c>
      <c r="CZ53" s="65">
        <v>0.31</v>
      </c>
      <c r="DA53" s="65">
        <v>0.3</v>
      </c>
      <c r="DB53" s="65">
        <v>0.28999999999999998</v>
      </c>
      <c r="DC53" s="65">
        <v>0.27</v>
      </c>
      <c r="DD53" s="65">
        <v>0.26</v>
      </c>
      <c r="DE53" s="65">
        <v>0.24</v>
      </c>
      <c r="DF53" s="65">
        <v>0.22</v>
      </c>
      <c r="DG53" s="65">
        <v>0.2</v>
      </c>
      <c r="DH53" s="65">
        <v>0.18</v>
      </c>
      <c r="DI53" s="65">
        <v>0.17</v>
      </c>
      <c r="DJ53" s="65">
        <v>0.155</v>
      </c>
      <c r="DK53" s="65">
        <v>0.14799999999999999</v>
      </c>
      <c r="DL53" s="65">
        <v>0.14199999999999999</v>
      </c>
      <c r="DM53" s="65">
        <v>0.14000000000000001</v>
      </c>
      <c r="DN53" s="1"/>
      <c r="DO53" s="1"/>
    </row>
    <row r="54" spans="1:119" ht="14.25" customHeight="1">
      <c r="A54" s="1"/>
      <c r="B54" s="28" t="s">
        <v>199</v>
      </c>
      <c r="C54" s="1" t="s">
        <v>154</v>
      </c>
      <c r="D54" s="1"/>
      <c r="E54" s="1"/>
      <c r="F54" s="1" t="s">
        <v>156</v>
      </c>
      <c r="G54" s="1" t="s">
        <v>153</v>
      </c>
      <c r="H54" s="35"/>
      <c r="I54" s="65">
        <f t="shared" ref="I54:AK54" si="97">I53/2</f>
        <v>4.9999999999999982E-5</v>
      </c>
      <c r="J54" s="65">
        <f t="shared" si="97"/>
        <v>5.0000000000000001E-4</v>
      </c>
      <c r="K54" s="65">
        <f t="shared" si="97"/>
        <v>1E-3</v>
      </c>
      <c r="L54" s="65">
        <f t="shared" si="97"/>
        <v>2.5000000000000005E-3</v>
      </c>
      <c r="M54" s="65">
        <f t="shared" si="97"/>
        <v>4.0000000000000001E-3</v>
      </c>
      <c r="N54" s="65">
        <f t="shared" si="97"/>
        <v>5.000000000000001E-3</v>
      </c>
      <c r="O54" s="65">
        <f t="shared" si="97"/>
        <v>8.0000000000000002E-3</v>
      </c>
      <c r="P54" s="65">
        <f t="shared" si="97"/>
        <v>1.0000000000000002E-2</v>
      </c>
      <c r="Q54" s="65">
        <f t="shared" si="97"/>
        <v>1.4999999999999999E-2</v>
      </c>
      <c r="R54" s="65">
        <f t="shared" si="97"/>
        <v>2.1999999999999999E-2</v>
      </c>
      <c r="S54" s="65">
        <f t="shared" si="97"/>
        <v>3.3600000000000005E-2</v>
      </c>
      <c r="T54" s="65">
        <f t="shared" si="97"/>
        <v>4.4999999999999998E-2</v>
      </c>
      <c r="U54" s="65">
        <f t="shared" si="97"/>
        <v>5.9400000000000001E-2</v>
      </c>
      <c r="V54" s="65">
        <f t="shared" si="97"/>
        <v>7.1399999999999991E-2</v>
      </c>
      <c r="W54" s="65">
        <f t="shared" si="97"/>
        <v>8.2650000000000001E-2</v>
      </c>
      <c r="X54" s="65">
        <f t="shared" si="97"/>
        <v>9.2225000000000001E-2</v>
      </c>
      <c r="Y54" s="65">
        <f t="shared" si="97"/>
        <v>0.10147500000000001</v>
      </c>
      <c r="Z54" s="65">
        <f t="shared" si="97"/>
        <v>0.1095375</v>
      </c>
      <c r="AA54" s="65">
        <f t="shared" si="97"/>
        <v>0.11374999999999999</v>
      </c>
      <c r="AB54" s="65">
        <f t="shared" si="97"/>
        <v>0.11374999999999999</v>
      </c>
      <c r="AC54" s="65">
        <f t="shared" si="97"/>
        <v>0.11374999999999999</v>
      </c>
      <c r="AD54" s="65">
        <f t="shared" si="97"/>
        <v>0.11374999999999999</v>
      </c>
      <c r="AE54" s="65">
        <f t="shared" si="97"/>
        <v>0.11374999999999999</v>
      </c>
      <c r="AF54" s="65">
        <f t="shared" si="97"/>
        <v>0.11374999999999999</v>
      </c>
      <c r="AG54" s="65">
        <f t="shared" si="97"/>
        <v>0.11374999999999999</v>
      </c>
      <c r="AH54" s="65">
        <f t="shared" si="97"/>
        <v>0.11374999999999999</v>
      </c>
      <c r="AI54" s="65">
        <f t="shared" si="97"/>
        <v>0.11374999999999999</v>
      </c>
      <c r="AJ54" s="65">
        <f t="shared" si="97"/>
        <v>0.11374999999999999</v>
      </c>
      <c r="AK54" s="65">
        <f t="shared" si="97"/>
        <v>0.11374999999999999</v>
      </c>
      <c r="AL54" s="54">
        <f t="shared" ref="AL54:BE54" si="98">AK54</f>
        <v>0.11374999999999999</v>
      </c>
      <c r="AM54" s="54">
        <f t="shared" si="98"/>
        <v>0.11374999999999999</v>
      </c>
      <c r="AN54" s="54">
        <f t="shared" si="98"/>
        <v>0.11374999999999999</v>
      </c>
      <c r="AO54" s="54">
        <f t="shared" si="98"/>
        <v>0.11374999999999999</v>
      </c>
      <c r="AP54" s="54">
        <f t="shared" si="98"/>
        <v>0.11374999999999999</v>
      </c>
      <c r="AQ54" s="54">
        <f t="shared" si="98"/>
        <v>0.11374999999999999</v>
      </c>
      <c r="AR54" s="54">
        <f t="shared" si="98"/>
        <v>0.11374999999999999</v>
      </c>
      <c r="AS54" s="54">
        <f t="shared" si="98"/>
        <v>0.11374999999999999</v>
      </c>
      <c r="AT54" s="54">
        <f t="shared" si="98"/>
        <v>0.11374999999999999</v>
      </c>
      <c r="AU54" s="54">
        <f t="shared" si="98"/>
        <v>0.11374999999999999</v>
      </c>
      <c r="AV54" s="54">
        <f t="shared" si="98"/>
        <v>0.11374999999999999</v>
      </c>
      <c r="AW54" s="54">
        <f t="shared" si="98"/>
        <v>0.11374999999999999</v>
      </c>
      <c r="AX54" s="54">
        <f t="shared" si="98"/>
        <v>0.11374999999999999</v>
      </c>
      <c r="AY54" s="54">
        <f t="shared" si="98"/>
        <v>0.11374999999999999</v>
      </c>
      <c r="AZ54" s="54">
        <f t="shared" si="98"/>
        <v>0.11374999999999999</v>
      </c>
      <c r="BA54" s="54">
        <f t="shared" si="98"/>
        <v>0.11374999999999999</v>
      </c>
      <c r="BB54" s="54">
        <f t="shared" si="98"/>
        <v>0.11374999999999999</v>
      </c>
      <c r="BC54" s="54">
        <f t="shared" si="98"/>
        <v>0.11374999999999999</v>
      </c>
      <c r="BD54" s="54">
        <f t="shared" si="98"/>
        <v>0.11374999999999999</v>
      </c>
      <c r="BE54" s="54">
        <f t="shared" si="98"/>
        <v>0.11374999999999999</v>
      </c>
      <c r="BF54" s="22"/>
      <c r="BG54" s="22"/>
      <c r="BH54" s="22"/>
      <c r="BI54" s="22"/>
      <c r="BJ54" s="22"/>
      <c r="BK54" s="22"/>
      <c r="BL54" s="1"/>
      <c r="BM54" s="1"/>
      <c r="BN54" s="1"/>
      <c r="BO54" s="1"/>
      <c r="BP54" s="1"/>
      <c r="BQ54" s="1"/>
      <c r="BR54" s="1"/>
      <c r="BS54" s="1"/>
      <c r="BT54" s="1"/>
      <c r="BU54" s="1"/>
      <c r="BV54" s="1"/>
      <c r="BW54" s="1"/>
      <c r="BX54" s="1"/>
      <c r="BY54" s="1"/>
      <c r="BZ54" s="1"/>
      <c r="CA54" s="1"/>
      <c r="CB54" s="1"/>
      <c r="CC54" s="1"/>
      <c r="CD54" s="1"/>
      <c r="CE54" s="1" t="s">
        <v>200</v>
      </c>
      <c r="CF54" s="58" t="s">
        <v>201</v>
      </c>
      <c r="CG54" s="58">
        <f>SUM(CG55:CG57)</f>
        <v>35445</v>
      </c>
      <c r="CH54" s="1"/>
      <c r="CI54" s="1"/>
      <c r="CJ54" s="1"/>
      <c r="CK54" s="1"/>
      <c r="CL54" s="58" t="s">
        <v>201</v>
      </c>
      <c r="CM54" s="56">
        <f t="shared" ref="CM54:CM58" si="99">CG54*0.005807</f>
        <v>205.829115</v>
      </c>
      <c r="CN54" s="1"/>
      <c r="CO54" s="58" t="s">
        <v>201</v>
      </c>
      <c r="CP54" s="56">
        <f t="shared" ref="CP54:CP66" si="100">CM54*(77/110)</f>
        <v>144.08038049999999</v>
      </c>
      <c r="CQ54" s="1">
        <v>259.2</v>
      </c>
      <c r="CR54" s="1"/>
      <c r="CS54" s="1"/>
      <c r="CT54" s="1" t="s">
        <v>166</v>
      </c>
      <c r="CU54" s="54">
        <v>6.9999999999999999E-4</v>
      </c>
      <c r="CV54" s="54">
        <v>1.4999999999999999E-2</v>
      </c>
      <c r="CW54" s="25">
        <v>2.5000000000000001E-2</v>
      </c>
      <c r="CX54" s="80">
        <v>0.04</v>
      </c>
      <c r="CY54" s="25">
        <v>0.06</v>
      </c>
      <c r="CZ54" s="25">
        <v>0.1</v>
      </c>
      <c r="DA54" s="25">
        <v>0.14000000000000001</v>
      </c>
      <c r="DB54" s="25">
        <v>0.19</v>
      </c>
      <c r="DC54" s="80">
        <v>0.25</v>
      </c>
      <c r="DD54" s="25">
        <v>0.3</v>
      </c>
      <c r="DE54" s="25">
        <v>0.35</v>
      </c>
      <c r="DF54" s="25">
        <v>0.41</v>
      </c>
      <c r="DG54" s="25">
        <v>0.47</v>
      </c>
      <c r="DH54" s="25">
        <v>0.53</v>
      </c>
      <c r="DI54" s="25">
        <v>0.56999999999999995</v>
      </c>
      <c r="DJ54" s="25">
        <v>0.60499999999999998</v>
      </c>
      <c r="DK54" s="25">
        <v>0.63</v>
      </c>
      <c r="DL54" s="25">
        <v>0.64500000000000002</v>
      </c>
      <c r="DM54" s="80">
        <v>0.65</v>
      </c>
      <c r="DN54" s="1"/>
      <c r="DO54" s="1"/>
    </row>
    <row r="55" spans="1:119" ht="14.25" customHeight="1">
      <c r="A55" s="1"/>
      <c r="B55" s="28" t="s">
        <v>202</v>
      </c>
      <c r="C55" s="1" t="s">
        <v>154</v>
      </c>
      <c r="D55" s="1"/>
      <c r="E55" s="1"/>
      <c r="F55" s="1" t="s">
        <v>156</v>
      </c>
      <c r="G55" s="1" t="s">
        <v>153</v>
      </c>
      <c r="H55" s="35"/>
      <c r="I55" s="65">
        <f t="shared" ref="I55:AK55" si="101">I54/2</f>
        <v>2.4999999999999991E-5</v>
      </c>
      <c r="J55" s="65">
        <f t="shared" si="101"/>
        <v>2.5000000000000001E-4</v>
      </c>
      <c r="K55" s="65">
        <f t="shared" si="101"/>
        <v>5.0000000000000001E-4</v>
      </c>
      <c r="L55" s="65">
        <f t="shared" si="101"/>
        <v>1.2500000000000002E-3</v>
      </c>
      <c r="M55" s="65">
        <f t="shared" si="101"/>
        <v>2E-3</v>
      </c>
      <c r="N55" s="65">
        <f t="shared" si="101"/>
        <v>2.5000000000000005E-3</v>
      </c>
      <c r="O55" s="65">
        <f t="shared" si="101"/>
        <v>4.0000000000000001E-3</v>
      </c>
      <c r="P55" s="65">
        <f t="shared" si="101"/>
        <v>5.000000000000001E-3</v>
      </c>
      <c r="Q55" s="65">
        <f t="shared" si="101"/>
        <v>7.4999999999999997E-3</v>
      </c>
      <c r="R55" s="65">
        <f t="shared" si="101"/>
        <v>1.0999999999999999E-2</v>
      </c>
      <c r="S55" s="65">
        <f t="shared" si="101"/>
        <v>1.6800000000000002E-2</v>
      </c>
      <c r="T55" s="65">
        <f t="shared" si="101"/>
        <v>2.2499999999999999E-2</v>
      </c>
      <c r="U55" s="65">
        <f t="shared" si="101"/>
        <v>2.9700000000000001E-2</v>
      </c>
      <c r="V55" s="65">
        <f t="shared" si="101"/>
        <v>3.5699999999999996E-2</v>
      </c>
      <c r="W55" s="65">
        <f t="shared" si="101"/>
        <v>4.1325000000000001E-2</v>
      </c>
      <c r="X55" s="65">
        <f t="shared" si="101"/>
        <v>4.6112500000000001E-2</v>
      </c>
      <c r="Y55" s="65">
        <f t="shared" si="101"/>
        <v>5.0737500000000005E-2</v>
      </c>
      <c r="Z55" s="65">
        <f t="shared" si="101"/>
        <v>5.4768749999999998E-2</v>
      </c>
      <c r="AA55" s="65">
        <f t="shared" si="101"/>
        <v>5.6874999999999995E-2</v>
      </c>
      <c r="AB55" s="65">
        <f t="shared" si="101"/>
        <v>5.6874999999999995E-2</v>
      </c>
      <c r="AC55" s="65">
        <f t="shared" si="101"/>
        <v>5.6874999999999995E-2</v>
      </c>
      <c r="AD55" s="65">
        <f t="shared" si="101"/>
        <v>5.6874999999999995E-2</v>
      </c>
      <c r="AE55" s="65">
        <f t="shared" si="101"/>
        <v>5.6874999999999995E-2</v>
      </c>
      <c r="AF55" s="65">
        <f t="shared" si="101"/>
        <v>5.6874999999999995E-2</v>
      </c>
      <c r="AG55" s="65">
        <f t="shared" si="101"/>
        <v>5.6874999999999995E-2</v>
      </c>
      <c r="AH55" s="65">
        <f t="shared" si="101"/>
        <v>5.6874999999999995E-2</v>
      </c>
      <c r="AI55" s="65">
        <f t="shared" si="101"/>
        <v>5.6874999999999995E-2</v>
      </c>
      <c r="AJ55" s="65">
        <f t="shared" si="101"/>
        <v>5.6874999999999995E-2</v>
      </c>
      <c r="AK55" s="65">
        <f t="shared" si="101"/>
        <v>5.6874999999999995E-2</v>
      </c>
      <c r="AL55" s="54">
        <f t="shared" ref="AL55:BE55" si="102">AK55</f>
        <v>5.6874999999999995E-2</v>
      </c>
      <c r="AM55" s="54">
        <f t="shared" si="102"/>
        <v>5.6874999999999995E-2</v>
      </c>
      <c r="AN55" s="54">
        <f t="shared" si="102"/>
        <v>5.6874999999999995E-2</v>
      </c>
      <c r="AO55" s="54">
        <f t="shared" si="102"/>
        <v>5.6874999999999995E-2</v>
      </c>
      <c r="AP55" s="54">
        <f t="shared" si="102"/>
        <v>5.6874999999999995E-2</v>
      </c>
      <c r="AQ55" s="54">
        <f t="shared" si="102"/>
        <v>5.6874999999999995E-2</v>
      </c>
      <c r="AR55" s="54">
        <f t="shared" si="102"/>
        <v>5.6874999999999995E-2</v>
      </c>
      <c r="AS55" s="54">
        <f t="shared" si="102"/>
        <v>5.6874999999999995E-2</v>
      </c>
      <c r="AT55" s="54">
        <f t="shared" si="102"/>
        <v>5.6874999999999995E-2</v>
      </c>
      <c r="AU55" s="54">
        <f t="shared" si="102"/>
        <v>5.6874999999999995E-2</v>
      </c>
      <c r="AV55" s="54">
        <f t="shared" si="102"/>
        <v>5.6874999999999995E-2</v>
      </c>
      <c r="AW55" s="54">
        <f t="shared" si="102"/>
        <v>5.6874999999999995E-2</v>
      </c>
      <c r="AX55" s="54">
        <f t="shared" si="102"/>
        <v>5.6874999999999995E-2</v>
      </c>
      <c r="AY55" s="54">
        <f t="shared" si="102"/>
        <v>5.6874999999999995E-2</v>
      </c>
      <c r="AZ55" s="54">
        <f t="shared" si="102"/>
        <v>5.6874999999999995E-2</v>
      </c>
      <c r="BA55" s="54">
        <f t="shared" si="102"/>
        <v>5.6874999999999995E-2</v>
      </c>
      <c r="BB55" s="54">
        <f t="shared" si="102"/>
        <v>5.6874999999999995E-2</v>
      </c>
      <c r="BC55" s="54">
        <f t="shared" si="102"/>
        <v>5.6874999999999995E-2</v>
      </c>
      <c r="BD55" s="54">
        <f t="shared" si="102"/>
        <v>5.6874999999999995E-2</v>
      </c>
      <c r="BE55" s="54">
        <f t="shared" si="102"/>
        <v>5.6874999999999995E-2</v>
      </c>
      <c r="BF55" s="22"/>
      <c r="BG55" s="22"/>
      <c r="BH55" s="22"/>
      <c r="BI55" s="22"/>
      <c r="BJ55" s="22"/>
      <c r="BK55" s="22"/>
      <c r="BL55" s="1"/>
      <c r="BM55" s="1"/>
      <c r="BN55" s="1"/>
      <c r="BO55" s="1"/>
      <c r="BP55" s="1"/>
      <c r="BQ55" s="1"/>
      <c r="BR55" s="1"/>
      <c r="BS55" s="1"/>
      <c r="BT55" s="1"/>
      <c r="BU55" s="1"/>
      <c r="BV55" s="1"/>
      <c r="BW55" s="1"/>
      <c r="BX55" s="1"/>
      <c r="BY55" s="1"/>
      <c r="BZ55" s="1"/>
      <c r="CA55" s="1"/>
      <c r="CB55" s="1"/>
      <c r="CC55" s="1"/>
      <c r="CD55" s="1"/>
      <c r="CE55" s="1"/>
      <c r="CF55" s="1" t="s">
        <v>203</v>
      </c>
      <c r="CG55" s="1">
        <v>35445</v>
      </c>
      <c r="CH55" s="1"/>
      <c r="CI55" s="1"/>
      <c r="CJ55" s="1"/>
      <c r="CK55" s="1"/>
      <c r="CL55" s="1" t="s">
        <v>203</v>
      </c>
      <c r="CM55" s="56">
        <f t="shared" si="99"/>
        <v>205.829115</v>
      </c>
      <c r="CN55" s="1"/>
      <c r="CO55" s="1" t="s">
        <v>203</v>
      </c>
      <c r="CP55" s="56">
        <f t="shared" si="100"/>
        <v>144.08038049999999</v>
      </c>
      <c r="CQ55" s="1">
        <v>250.8</v>
      </c>
      <c r="CR55" s="1"/>
      <c r="CS55" s="1"/>
      <c r="CT55" s="1" t="s">
        <v>179</v>
      </c>
      <c r="CU55" s="54">
        <f>CU54*CU53</f>
        <v>2.0999999999999998E-4</v>
      </c>
      <c r="CV55" s="54">
        <v>5.0000000000000001E-4</v>
      </c>
      <c r="CW55" s="54">
        <v>6.0000000000000001E-3</v>
      </c>
      <c r="CX55" s="65">
        <v>1.6E-2</v>
      </c>
      <c r="CY55" s="65">
        <v>2.1999999999999999E-2</v>
      </c>
      <c r="CZ55" s="65">
        <f t="shared" ref="CZ55:DM55" si="103">CZ54*CZ53</f>
        <v>3.1E-2</v>
      </c>
      <c r="DA55" s="65">
        <f t="shared" si="103"/>
        <v>4.2000000000000003E-2</v>
      </c>
      <c r="DB55" s="65">
        <f t="shared" si="103"/>
        <v>5.5099999999999996E-2</v>
      </c>
      <c r="DC55" s="65">
        <f t="shared" si="103"/>
        <v>6.7500000000000004E-2</v>
      </c>
      <c r="DD55" s="65">
        <f t="shared" si="103"/>
        <v>7.8E-2</v>
      </c>
      <c r="DE55" s="65">
        <f t="shared" si="103"/>
        <v>8.3999999999999991E-2</v>
      </c>
      <c r="DF55" s="65">
        <f t="shared" si="103"/>
        <v>9.0199999999999989E-2</v>
      </c>
      <c r="DG55" s="65">
        <f t="shared" si="103"/>
        <v>9.4E-2</v>
      </c>
      <c r="DH55" s="65">
        <f t="shared" si="103"/>
        <v>9.5399999999999999E-2</v>
      </c>
      <c r="DI55" s="65">
        <f t="shared" si="103"/>
        <v>9.69E-2</v>
      </c>
      <c r="DJ55" s="65">
        <f t="shared" si="103"/>
        <v>9.3774999999999997E-2</v>
      </c>
      <c r="DK55" s="65">
        <f t="shared" si="103"/>
        <v>9.323999999999999E-2</v>
      </c>
      <c r="DL55" s="65">
        <f t="shared" si="103"/>
        <v>9.1589999999999991E-2</v>
      </c>
      <c r="DM55" s="65">
        <f t="shared" si="103"/>
        <v>9.1000000000000011E-2</v>
      </c>
      <c r="DN55" s="1"/>
      <c r="DO55" s="1"/>
    </row>
    <row r="56" spans="1:119" ht="14.25" customHeight="1">
      <c r="A56" s="1"/>
      <c r="B56" s="28"/>
      <c r="C56" s="1" t="s">
        <v>204</v>
      </c>
      <c r="D56" s="1"/>
      <c r="E56" s="1"/>
      <c r="F56" s="20" t="s">
        <v>205</v>
      </c>
      <c r="G56" s="1"/>
      <c r="H56" s="35"/>
      <c r="I56" s="54">
        <v>5.0000000000000001E-4</v>
      </c>
      <c r="J56" s="54">
        <v>1E-3</v>
      </c>
      <c r="K56" s="54">
        <v>4.0000000000000001E-3</v>
      </c>
      <c r="L56" s="54">
        <v>6.0000000000000001E-3</v>
      </c>
      <c r="M56" s="25">
        <v>0.01</v>
      </c>
      <c r="N56" s="54">
        <v>1.7999999999999999E-2</v>
      </c>
      <c r="O56" s="54">
        <v>2.5000000000000001E-2</v>
      </c>
      <c r="P56" s="54">
        <v>3.2000000000000001E-2</v>
      </c>
      <c r="Q56" s="54">
        <v>3.7999999999999999E-2</v>
      </c>
      <c r="R56" s="54">
        <v>4.2000000000000003E-2</v>
      </c>
      <c r="S56" s="54">
        <v>4.5999999999999999E-2</v>
      </c>
      <c r="T56" s="54">
        <v>5.0999999999999997E-2</v>
      </c>
      <c r="U56" s="54">
        <v>5.3999999999999999E-2</v>
      </c>
      <c r="V56" s="25">
        <v>5.8000000000000003E-2</v>
      </c>
      <c r="W56" s="25">
        <v>6.0999999999999999E-2</v>
      </c>
      <c r="X56" s="54">
        <v>6.4000000000000001E-2</v>
      </c>
      <c r="Y56" s="54">
        <v>6.7000000000000004E-2</v>
      </c>
      <c r="Z56" s="54">
        <v>6.9000000000000006E-2</v>
      </c>
      <c r="AA56" s="25">
        <v>7.0000000000000007E-2</v>
      </c>
      <c r="AB56" s="54">
        <v>7.0999999999999994E-2</v>
      </c>
      <c r="AC56" s="54">
        <v>7.1499999999999994E-2</v>
      </c>
      <c r="AD56" s="54">
        <v>7.2000000000000008E-2</v>
      </c>
      <c r="AE56" s="54">
        <v>7.2499999999999995E-2</v>
      </c>
      <c r="AF56" s="54">
        <v>7.2800000000000004E-2</v>
      </c>
      <c r="AG56" s="54">
        <v>7.2999999999999995E-2</v>
      </c>
      <c r="AH56" s="54">
        <v>7.3200000000000001E-2</v>
      </c>
      <c r="AI56" s="54">
        <v>7.3499999999999996E-2</v>
      </c>
      <c r="AJ56" s="54">
        <v>7.4499999999999997E-2</v>
      </c>
      <c r="AK56" s="54">
        <v>7.4999999999999997E-2</v>
      </c>
      <c r="AL56" s="54">
        <f t="shared" ref="AL56:BE56" si="104">AK56</f>
        <v>7.4999999999999997E-2</v>
      </c>
      <c r="AM56" s="54">
        <f t="shared" si="104"/>
        <v>7.4999999999999997E-2</v>
      </c>
      <c r="AN56" s="54">
        <f t="shared" si="104"/>
        <v>7.4999999999999997E-2</v>
      </c>
      <c r="AO56" s="54">
        <f t="shared" si="104"/>
        <v>7.4999999999999997E-2</v>
      </c>
      <c r="AP56" s="54">
        <f t="shared" si="104"/>
        <v>7.4999999999999997E-2</v>
      </c>
      <c r="AQ56" s="54">
        <f t="shared" si="104"/>
        <v>7.4999999999999997E-2</v>
      </c>
      <c r="AR56" s="54">
        <f t="shared" si="104"/>
        <v>7.4999999999999997E-2</v>
      </c>
      <c r="AS56" s="54">
        <f t="shared" si="104"/>
        <v>7.4999999999999997E-2</v>
      </c>
      <c r="AT56" s="54">
        <f t="shared" si="104"/>
        <v>7.4999999999999997E-2</v>
      </c>
      <c r="AU56" s="54">
        <f t="shared" si="104"/>
        <v>7.4999999999999997E-2</v>
      </c>
      <c r="AV56" s="54">
        <f t="shared" si="104"/>
        <v>7.4999999999999997E-2</v>
      </c>
      <c r="AW56" s="54">
        <f t="shared" si="104"/>
        <v>7.4999999999999997E-2</v>
      </c>
      <c r="AX56" s="54">
        <f t="shared" si="104"/>
        <v>7.4999999999999997E-2</v>
      </c>
      <c r="AY56" s="54">
        <f t="shared" si="104"/>
        <v>7.4999999999999997E-2</v>
      </c>
      <c r="AZ56" s="54">
        <f t="shared" si="104"/>
        <v>7.4999999999999997E-2</v>
      </c>
      <c r="BA56" s="54">
        <f t="shared" si="104"/>
        <v>7.4999999999999997E-2</v>
      </c>
      <c r="BB56" s="54">
        <f t="shared" si="104"/>
        <v>7.4999999999999997E-2</v>
      </c>
      <c r="BC56" s="54">
        <f t="shared" si="104"/>
        <v>7.4999999999999997E-2</v>
      </c>
      <c r="BD56" s="54">
        <f t="shared" si="104"/>
        <v>7.4999999999999997E-2</v>
      </c>
      <c r="BE56" s="54">
        <f t="shared" si="104"/>
        <v>7.4999999999999997E-2</v>
      </c>
      <c r="BF56" s="1"/>
      <c r="BG56" s="1"/>
      <c r="BH56" s="1"/>
      <c r="BI56" s="1"/>
      <c r="BJ56" s="1"/>
      <c r="BK56" s="1"/>
      <c r="BL56" s="1" t="s">
        <v>206</v>
      </c>
      <c r="BM56" s="1"/>
      <c r="BN56" s="1"/>
      <c r="BO56" s="1"/>
      <c r="BP56" s="1"/>
      <c r="BQ56" s="1"/>
      <c r="BR56" s="1"/>
      <c r="BS56" s="1"/>
      <c r="BT56" s="1"/>
      <c r="BU56" s="1"/>
      <c r="BV56" s="1"/>
      <c r="BW56" s="1"/>
      <c r="BX56" s="1"/>
      <c r="BY56" s="1"/>
      <c r="BZ56" s="1"/>
      <c r="CA56" s="1"/>
      <c r="CB56" s="1"/>
      <c r="CC56" s="1"/>
      <c r="CD56" s="1"/>
      <c r="CE56" s="1"/>
      <c r="CF56" s="1" t="s">
        <v>207</v>
      </c>
      <c r="CG56" s="1">
        <v>0</v>
      </c>
      <c r="CH56" s="1"/>
      <c r="CI56" s="1"/>
      <c r="CJ56" s="1"/>
      <c r="CK56" s="1"/>
      <c r="CL56" s="1" t="s">
        <v>207</v>
      </c>
      <c r="CM56" s="56">
        <f t="shared" si="99"/>
        <v>0</v>
      </c>
      <c r="CN56" s="1"/>
      <c r="CO56" s="1" t="s">
        <v>207</v>
      </c>
      <c r="CP56" s="56">
        <f t="shared" si="100"/>
        <v>0</v>
      </c>
      <c r="CQ56" s="1">
        <v>4.4000000000000004</v>
      </c>
      <c r="CR56" s="1"/>
      <c r="CS56" s="1"/>
      <c r="CT56" s="1" t="s">
        <v>180</v>
      </c>
      <c r="CU56" s="54">
        <f>CU54-CU55</f>
        <v>4.8999999999999998E-4</v>
      </c>
      <c r="CV56" s="54">
        <v>1E-3</v>
      </c>
      <c r="CW56" s="54">
        <v>7.0000000000000001E-3</v>
      </c>
      <c r="CX56" s="65">
        <f t="shared" ref="CX56:DM56" si="105">CX54-CX55</f>
        <v>2.4E-2</v>
      </c>
      <c r="CY56" s="65">
        <f t="shared" si="105"/>
        <v>3.7999999999999999E-2</v>
      </c>
      <c r="CZ56" s="65">
        <f t="shared" si="105"/>
        <v>6.9000000000000006E-2</v>
      </c>
      <c r="DA56" s="65">
        <f t="shared" si="105"/>
        <v>9.8000000000000004E-2</v>
      </c>
      <c r="DB56" s="65">
        <f t="shared" si="105"/>
        <v>0.13490000000000002</v>
      </c>
      <c r="DC56" s="65">
        <f t="shared" si="105"/>
        <v>0.1825</v>
      </c>
      <c r="DD56" s="65">
        <f t="shared" si="105"/>
        <v>0.22199999999999998</v>
      </c>
      <c r="DE56" s="65">
        <f t="shared" si="105"/>
        <v>0.26600000000000001</v>
      </c>
      <c r="DF56" s="65">
        <f t="shared" si="105"/>
        <v>0.31979999999999997</v>
      </c>
      <c r="DG56" s="65">
        <f t="shared" si="105"/>
        <v>0.376</v>
      </c>
      <c r="DH56" s="65">
        <f t="shared" si="105"/>
        <v>0.43460000000000004</v>
      </c>
      <c r="DI56" s="65">
        <f t="shared" si="105"/>
        <v>0.47309999999999997</v>
      </c>
      <c r="DJ56" s="65">
        <f t="shared" si="105"/>
        <v>0.51122500000000004</v>
      </c>
      <c r="DK56" s="65">
        <f t="shared" si="105"/>
        <v>0.53676000000000001</v>
      </c>
      <c r="DL56" s="65">
        <f t="shared" si="105"/>
        <v>0.55341000000000007</v>
      </c>
      <c r="DM56" s="65">
        <f t="shared" si="105"/>
        <v>0.55900000000000005</v>
      </c>
      <c r="DN56" s="1"/>
      <c r="DO56" s="1"/>
    </row>
    <row r="57" spans="1:119" ht="14.25" customHeight="1">
      <c r="A57" s="1"/>
      <c r="B57" s="28"/>
      <c r="C57" s="1"/>
      <c r="D57" s="1" t="s">
        <v>208</v>
      </c>
      <c r="E57" s="1"/>
      <c r="F57" s="20"/>
      <c r="G57" s="1"/>
      <c r="H57" s="35"/>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t="s">
        <v>209</v>
      </c>
      <c r="CG57" s="1">
        <v>0</v>
      </c>
      <c r="CH57" s="1"/>
      <c r="CI57" s="1" t="s">
        <v>12</v>
      </c>
      <c r="CJ57" s="1"/>
      <c r="CK57" s="1"/>
      <c r="CL57" s="1" t="s">
        <v>209</v>
      </c>
      <c r="CM57" s="56">
        <f t="shared" si="99"/>
        <v>0</v>
      </c>
      <c r="CN57" s="1"/>
      <c r="CO57" s="1" t="s">
        <v>209</v>
      </c>
      <c r="CP57" s="56">
        <f t="shared" si="100"/>
        <v>0</v>
      </c>
      <c r="CQ57" s="1">
        <v>4</v>
      </c>
      <c r="CR57" s="1"/>
      <c r="CS57" s="1"/>
      <c r="CT57" s="1"/>
      <c r="CU57" s="1"/>
      <c r="CV57" s="1"/>
      <c r="CW57" s="1"/>
      <c r="CX57" s="1"/>
      <c r="CY57" s="1"/>
      <c r="CZ57" s="1"/>
      <c r="DA57" s="1"/>
      <c r="DB57" s="1"/>
      <c r="DC57" s="1"/>
      <c r="DD57" s="1"/>
      <c r="DE57" s="1"/>
      <c r="DF57" s="1"/>
      <c r="DG57" s="1"/>
      <c r="DH57" s="1"/>
      <c r="DI57" s="1"/>
      <c r="DJ57" s="1"/>
      <c r="DK57" s="1"/>
      <c r="DL57" s="1"/>
      <c r="DM57" s="1"/>
      <c r="DN57" s="1"/>
      <c r="DO57" s="1"/>
    </row>
    <row r="58" spans="1:119" ht="14.25" customHeight="1">
      <c r="A58" s="81"/>
      <c r="B58" s="82"/>
      <c r="C58" s="81"/>
      <c r="D58" s="81"/>
      <c r="E58" s="81"/>
      <c r="F58" s="81"/>
      <c r="G58" s="81"/>
      <c r="H58" s="83"/>
      <c r="I58" s="84"/>
      <c r="J58" s="84"/>
      <c r="K58" s="84"/>
      <c r="L58" s="84"/>
      <c r="M58" s="84"/>
      <c r="N58" s="84"/>
      <c r="O58" s="84"/>
      <c r="P58" s="84"/>
      <c r="Q58" s="84"/>
      <c r="R58" s="84"/>
      <c r="S58" s="84"/>
      <c r="T58" s="84"/>
      <c r="U58" s="84"/>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5" t="s">
        <v>210</v>
      </c>
      <c r="CG58" s="85">
        <f>SUM(CG59:CG66)</f>
        <v>34796</v>
      </c>
      <c r="CH58" s="84">
        <f>CG58/CG54</f>
        <v>0.98168994216391592</v>
      </c>
      <c r="CI58" s="81"/>
      <c r="CJ58" s="81"/>
      <c r="CK58" s="81"/>
      <c r="CL58" s="85" t="s">
        <v>210</v>
      </c>
      <c r="CM58" s="86">
        <f t="shared" si="99"/>
        <v>202.060372</v>
      </c>
      <c r="CN58" s="81"/>
      <c r="CO58" s="85" t="s">
        <v>210</v>
      </c>
      <c r="CP58" s="86">
        <f t="shared" si="100"/>
        <v>141.44226039999998</v>
      </c>
      <c r="CQ58" s="81">
        <v>263.5</v>
      </c>
      <c r="CR58" s="81"/>
      <c r="CS58" s="81"/>
      <c r="CT58" s="81" t="s">
        <v>211</v>
      </c>
      <c r="CU58" s="87">
        <v>5.0000000000000001E-4</v>
      </c>
      <c r="CV58" s="87">
        <v>1.0999999999999999E-2</v>
      </c>
      <c r="CW58" s="84">
        <v>0.02</v>
      </c>
      <c r="CX58" s="88">
        <v>0.03</v>
      </c>
      <c r="CY58" s="89">
        <v>0.05</v>
      </c>
      <c r="CZ58" s="89">
        <v>7.0000000000000007E-2</v>
      </c>
      <c r="DA58" s="89">
        <v>0.1</v>
      </c>
      <c r="DB58" s="89">
        <v>0.13500000000000001</v>
      </c>
      <c r="DC58" s="88">
        <v>0.17499999999999999</v>
      </c>
      <c r="DD58" s="89">
        <v>0.23</v>
      </c>
      <c r="DE58" s="89">
        <v>0.3</v>
      </c>
      <c r="DF58" s="89">
        <v>0.38</v>
      </c>
      <c r="DG58" s="89">
        <v>0.45</v>
      </c>
      <c r="DH58" s="89">
        <v>0.5</v>
      </c>
      <c r="DI58" s="89">
        <v>0.53</v>
      </c>
      <c r="DJ58" s="89">
        <v>0.54500000000000004</v>
      </c>
      <c r="DK58" s="89">
        <v>0.56000000000000005</v>
      </c>
      <c r="DL58" s="89">
        <v>0.56999999999999995</v>
      </c>
      <c r="DM58" s="88">
        <f>(55%+60%)/2</f>
        <v>0.57499999999999996</v>
      </c>
      <c r="DN58" s="81"/>
      <c r="DO58" s="81"/>
    </row>
    <row r="59" spans="1:119" ht="14.25" customHeight="1">
      <c r="A59" s="90" t="s">
        <v>212</v>
      </c>
      <c r="B59" s="1"/>
      <c r="C59" s="27" t="s">
        <v>213</v>
      </c>
      <c r="D59" s="1" t="s">
        <v>214</v>
      </c>
      <c r="E59" s="1"/>
      <c r="F59" s="20" t="s">
        <v>215</v>
      </c>
      <c r="G59" s="1"/>
      <c r="H59" s="35"/>
      <c r="I59" s="65">
        <v>0.14000000000000001</v>
      </c>
      <c r="J59" s="65">
        <f>I59+(L59-I59)/(L1-I1)</f>
        <v>0.16333333333333333</v>
      </c>
      <c r="K59" s="65">
        <f>J59+(L59-I59)/(M1-J1)</f>
        <v>0.18666666666666665</v>
      </c>
      <c r="L59" s="65">
        <v>0.21</v>
      </c>
      <c r="M59" s="65">
        <f t="shared" ref="M59:P59" si="106">L59+($Q59-$L59)/($Q$1-$L$1)</f>
        <v>0.21199999999999999</v>
      </c>
      <c r="N59" s="65">
        <f t="shared" si="106"/>
        <v>0.214</v>
      </c>
      <c r="O59" s="65">
        <f t="shared" si="106"/>
        <v>0.216</v>
      </c>
      <c r="P59" s="65">
        <f t="shared" si="106"/>
        <v>0.218</v>
      </c>
      <c r="Q59" s="65">
        <v>0.22</v>
      </c>
      <c r="R59" s="65">
        <f t="shared" ref="R59:U59" si="107">Q59+($V59-$Q59)/($V$1-$Q$1)</f>
        <v>0.224</v>
      </c>
      <c r="S59" s="65">
        <f t="shared" si="107"/>
        <v>0.22800000000000001</v>
      </c>
      <c r="T59" s="65">
        <f t="shared" si="107"/>
        <v>0.23200000000000001</v>
      </c>
      <c r="U59" s="65">
        <f t="shared" si="107"/>
        <v>0.23600000000000002</v>
      </c>
      <c r="V59" s="65">
        <v>0.24</v>
      </c>
      <c r="W59" s="65">
        <f t="shared" ref="W59:BE59" si="108">V59</f>
        <v>0.24</v>
      </c>
      <c r="X59" s="65">
        <f t="shared" si="108"/>
        <v>0.24</v>
      </c>
      <c r="Y59" s="65">
        <f t="shared" si="108"/>
        <v>0.24</v>
      </c>
      <c r="Z59" s="65">
        <f t="shared" si="108"/>
        <v>0.24</v>
      </c>
      <c r="AA59" s="65">
        <f t="shared" si="108"/>
        <v>0.24</v>
      </c>
      <c r="AB59" s="65">
        <f t="shared" si="108"/>
        <v>0.24</v>
      </c>
      <c r="AC59" s="65">
        <f t="shared" si="108"/>
        <v>0.24</v>
      </c>
      <c r="AD59" s="65">
        <f t="shared" si="108"/>
        <v>0.24</v>
      </c>
      <c r="AE59" s="65">
        <f t="shared" si="108"/>
        <v>0.24</v>
      </c>
      <c r="AF59" s="65">
        <f t="shared" si="108"/>
        <v>0.24</v>
      </c>
      <c r="AG59" s="65">
        <f t="shared" si="108"/>
        <v>0.24</v>
      </c>
      <c r="AH59" s="65">
        <f t="shared" si="108"/>
        <v>0.24</v>
      </c>
      <c r="AI59" s="65">
        <f t="shared" si="108"/>
        <v>0.24</v>
      </c>
      <c r="AJ59" s="65">
        <f t="shared" si="108"/>
        <v>0.24</v>
      </c>
      <c r="AK59" s="65">
        <f t="shared" si="108"/>
        <v>0.24</v>
      </c>
      <c r="AL59" s="25">
        <f t="shared" si="108"/>
        <v>0.24</v>
      </c>
      <c r="AM59" s="25">
        <f t="shared" si="108"/>
        <v>0.24</v>
      </c>
      <c r="AN59" s="25">
        <f t="shared" si="108"/>
        <v>0.24</v>
      </c>
      <c r="AO59" s="25">
        <f t="shared" si="108"/>
        <v>0.24</v>
      </c>
      <c r="AP59" s="25">
        <f t="shared" si="108"/>
        <v>0.24</v>
      </c>
      <c r="AQ59" s="25">
        <f t="shared" si="108"/>
        <v>0.24</v>
      </c>
      <c r="AR59" s="25">
        <f t="shared" si="108"/>
        <v>0.24</v>
      </c>
      <c r="AS59" s="25">
        <f t="shared" si="108"/>
        <v>0.24</v>
      </c>
      <c r="AT59" s="25">
        <f t="shared" si="108"/>
        <v>0.24</v>
      </c>
      <c r="AU59" s="25">
        <f t="shared" si="108"/>
        <v>0.24</v>
      </c>
      <c r="AV59" s="25">
        <f t="shared" si="108"/>
        <v>0.24</v>
      </c>
      <c r="AW59" s="25">
        <f t="shared" si="108"/>
        <v>0.24</v>
      </c>
      <c r="AX59" s="25">
        <f t="shared" si="108"/>
        <v>0.24</v>
      </c>
      <c r="AY59" s="25">
        <f t="shared" si="108"/>
        <v>0.24</v>
      </c>
      <c r="AZ59" s="25">
        <f t="shared" si="108"/>
        <v>0.24</v>
      </c>
      <c r="BA59" s="25">
        <f t="shared" si="108"/>
        <v>0.24</v>
      </c>
      <c r="BB59" s="25">
        <f t="shared" si="108"/>
        <v>0.24</v>
      </c>
      <c r="BC59" s="25">
        <f t="shared" si="108"/>
        <v>0.24</v>
      </c>
      <c r="BD59" s="25">
        <f t="shared" si="108"/>
        <v>0.24</v>
      </c>
      <c r="BE59" s="25">
        <f t="shared" si="108"/>
        <v>0.24</v>
      </c>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t="s">
        <v>58</v>
      </c>
      <c r="CG59" s="1">
        <v>982</v>
      </c>
      <c r="CH59" s="65">
        <f t="shared" ref="CH59:CH66" si="109">CG59/$CG$58</f>
        <v>2.82216346706518E-2</v>
      </c>
      <c r="CI59" s="1"/>
      <c r="CJ59" s="1"/>
      <c r="CK59" s="91">
        <f t="shared" ref="CK59:CK62" si="110">CH59*$CJ$62/$CI$62</f>
        <v>4.5640104538041161E-2</v>
      </c>
      <c r="CL59" s="1" t="s">
        <v>58</v>
      </c>
      <c r="CM59" s="56">
        <f t="shared" ref="CM59:CM65" si="111">$CM$58*CK59</f>
        <v>9.2220565010754854</v>
      </c>
      <c r="CN59" s="1"/>
      <c r="CO59" s="1" t="s">
        <v>58</v>
      </c>
      <c r="CP59" s="56">
        <f t="shared" si="100"/>
        <v>6.455439550752839</v>
      </c>
      <c r="CQ59" s="1">
        <v>14.4</v>
      </c>
      <c r="CR59" s="1"/>
      <c r="CS59" s="1"/>
      <c r="CT59" s="1" t="s">
        <v>179</v>
      </c>
      <c r="CU59" s="54">
        <v>2.9999999999999997E-4</v>
      </c>
      <c r="CV59" s="54">
        <v>5.0000000000000001E-3</v>
      </c>
      <c r="CW59" s="54">
        <v>1.2E-2</v>
      </c>
      <c r="CX59" s="54">
        <v>2.1000000000000001E-2</v>
      </c>
      <c r="CY59" s="65">
        <v>3.5000000000000003E-2</v>
      </c>
      <c r="CZ59" s="65">
        <v>0.05</v>
      </c>
      <c r="DA59" s="65">
        <v>6.5000000000000002E-2</v>
      </c>
      <c r="DB59" s="65">
        <v>8.5000000000000006E-2</v>
      </c>
      <c r="DC59" s="65">
        <v>0.105</v>
      </c>
      <c r="DD59" s="65">
        <f t="shared" ref="DD59:DM59" si="112">DD58*DD44</f>
        <v>0.12880000000000003</v>
      </c>
      <c r="DE59" s="65">
        <f t="shared" si="112"/>
        <v>0.156</v>
      </c>
      <c r="DF59" s="65">
        <f t="shared" si="112"/>
        <v>0.19</v>
      </c>
      <c r="DG59" s="65">
        <f t="shared" si="112"/>
        <v>0.20700000000000002</v>
      </c>
      <c r="DH59" s="65">
        <f t="shared" si="112"/>
        <v>0.22</v>
      </c>
      <c r="DI59" s="65">
        <f t="shared" si="112"/>
        <v>0.22259999999999999</v>
      </c>
      <c r="DJ59" s="65">
        <f t="shared" si="112"/>
        <v>0.22072500000000003</v>
      </c>
      <c r="DK59" s="65">
        <f t="shared" si="112"/>
        <v>0.21560000000000001</v>
      </c>
      <c r="DL59" s="65">
        <f t="shared" si="112"/>
        <v>0.20804999999999998</v>
      </c>
      <c r="DM59" s="65">
        <f t="shared" si="112"/>
        <v>0.20124999999999998</v>
      </c>
      <c r="DN59" s="1"/>
      <c r="DO59" s="1"/>
    </row>
    <row r="60" spans="1:119" ht="14.25" customHeight="1">
      <c r="A60" s="1"/>
      <c r="B60" s="1"/>
      <c r="C60" s="92" t="s">
        <v>216</v>
      </c>
      <c r="D60" s="1" t="s">
        <v>217</v>
      </c>
      <c r="E60" s="1"/>
      <c r="F60" s="1" t="s">
        <v>218</v>
      </c>
      <c r="G60" s="1"/>
      <c r="H60" s="35"/>
      <c r="I60" s="54">
        <v>1E-3</v>
      </c>
      <c r="J60" s="54">
        <v>1E-3</v>
      </c>
      <c r="K60" s="54">
        <v>1E-3</v>
      </c>
      <c r="L60" s="54">
        <v>1E-3</v>
      </c>
      <c r="M60" s="54">
        <v>1E-3</v>
      </c>
      <c r="N60" s="54">
        <v>1E-3</v>
      </c>
      <c r="O60" s="54">
        <v>1E-3</v>
      </c>
      <c r="P60" s="54">
        <v>1E-3</v>
      </c>
      <c r="Q60" s="54">
        <v>1E-3</v>
      </c>
      <c r="R60" s="54">
        <v>1E-3</v>
      </c>
      <c r="S60" s="54">
        <v>1E-3</v>
      </c>
      <c r="T60" s="54">
        <v>1E-3</v>
      </c>
      <c r="U60" s="54">
        <v>1E-3</v>
      </c>
      <c r="V60" s="54">
        <v>1E-3</v>
      </c>
      <c r="W60" s="54">
        <v>1E-3</v>
      </c>
      <c r="X60" s="54">
        <v>1E-3</v>
      </c>
      <c r="Y60" s="54">
        <v>1E-3</v>
      </c>
      <c r="Z60" s="54">
        <v>1E-3</v>
      </c>
      <c r="AA60" s="54">
        <v>1E-3</v>
      </c>
      <c r="AB60" s="54">
        <v>1E-3</v>
      </c>
      <c r="AC60" s="54">
        <v>1E-3</v>
      </c>
      <c r="AD60" s="54">
        <v>1E-3</v>
      </c>
      <c r="AE60" s="54">
        <v>1E-3</v>
      </c>
      <c r="AF60" s="54">
        <v>1E-3</v>
      </c>
      <c r="AG60" s="54">
        <v>1E-3</v>
      </c>
      <c r="AH60" s="54">
        <v>1E-3</v>
      </c>
      <c r="AI60" s="54">
        <v>1E-3</v>
      </c>
      <c r="AJ60" s="54">
        <v>1E-3</v>
      </c>
      <c r="AK60" s="54">
        <v>1E-3</v>
      </c>
      <c r="AL60" s="54">
        <v>1E-3</v>
      </c>
      <c r="AM60" s="54">
        <v>1E-3</v>
      </c>
      <c r="AN60" s="54">
        <v>1E-3</v>
      </c>
      <c r="AO60" s="54">
        <v>1E-3</v>
      </c>
      <c r="AP60" s="54">
        <v>1E-3</v>
      </c>
      <c r="AQ60" s="54">
        <v>1E-3</v>
      </c>
      <c r="AR60" s="54">
        <v>1E-3</v>
      </c>
      <c r="AS60" s="54">
        <v>1E-3</v>
      </c>
      <c r="AT60" s="54">
        <v>1E-3</v>
      </c>
      <c r="AU60" s="54">
        <v>1E-3</v>
      </c>
      <c r="AV60" s="54">
        <v>1E-3</v>
      </c>
      <c r="AW60" s="54">
        <v>1E-3</v>
      </c>
      <c r="AX60" s="54">
        <v>1E-3</v>
      </c>
      <c r="AY60" s="54">
        <v>1E-3</v>
      </c>
      <c r="AZ60" s="54">
        <v>1E-3</v>
      </c>
      <c r="BA60" s="54">
        <v>1E-3</v>
      </c>
      <c r="BB60" s="54">
        <v>1E-3</v>
      </c>
      <c r="BC60" s="54">
        <v>1E-3</v>
      </c>
      <c r="BD60" s="54">
        <v>1E-3</v>
      </c>
      <c r="BE60" s="54">
        <v>1E-3</v>
      </c>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t="s">
        <v>59</v>
      </c>
      <c r="CG60" s="1">
        <v>8189</v>
      </c>
      <c r="CH60" s="65">
        <f t="shared" si="109"/>
        <v>0.23534314288998737</v>
      </c>
      <c r="CI60" s="1"/>
      <c r="CJ60" s="1"/>
      <c r="CK60" s="91">
        <f t="shared" si="110"/>
        <v>0.38059757236458153</v>
      </c>
      <c r="CL60" s="1" t="s">
        <v>59</v>
      </c>
      <c r="CM60" s="56">
        <f t="shared" si="111"/>
        <v>76.903687054284262</v>
      </c>
      <c r="CN60" s="1"/>
      <c r="CO60" s="1" t="s">
        <v>59</v>
      </c>
      <c r="CP60" s="56">
        <f t="shared" si="100"/>
        <v>53.832580937998983</v>
      </c>
      <c r="CQ60" s="1">
        <v>90.3</v>
      </c>
      <c r="CR60" s="1"/>
      <c r="CS60" s="1"/>
      <c r="CT60" s="1" t="s">
        <v>180</v>
      </c>
      <c r="CU60" s="54">
        <f>CU58-CU59</f>
        <v>2.0000000000000004E-4</v>
      </c>
      <c r="CV60" s="54">
        <v>1E-3</v>
      </c>
      <c r="CW60" s="54">
        <v>7.0000000000000001E-3</v>
      </c>
      <c r="CX60" s="65">
        <f t="shared" ref="CX60:DM60" si="113">CX58-CX59</f>
        <v>8.9999999999999976E-3</v>
      </c>
      <c r="CY60" s="65">
        <f t="shared" si="113"/>
        <v>1.4999999999999999E-2</v>
      </c>
      <c r="CZ60" s="65">
        <f t="shared" si="113"/>
        <v>2.0000000000000004E-2</v>
      </c>
      <c r="DA60" s="65">
        <f t="shared" si="113"/>
        <v>3.5000000000000003E-2</v>
      </c>
      <c r="DB60" s="65">
        <f t="shared" si="113"/>
        <v>0.05</v>
      </c>
      <c r="DC60" s="65">
        <f t="shared" si="113"/>
        <v>6.9999999999999993E-2</v>
      </c>
      <c r="DD60" s="65">
        <f t="shared" si="113"/>
        <v>0.10119999999999998</v>
      </c>
      <c r="DE60" s="65">
        <f t="shared" si="113"/>
        <v>0.14399999999999999</v>
      </c>
      <c r="DF60" s="65">
        <f t="shared" si="113"/>
        <v>0.19</v>
      </c>
      <c r="DG60" s="65">
        <f t="shared" si="113"/>
        <v>0.24299999999999999</v>
      </c>
      <c r="DH60" s="65">
        <f t="shared" si="113"/>
        <v>0.28000000000000003</v>
      </c>
      <c r="DI60" s="65">
        <f t="shared" si="113"/>
        <v>0.30740000000000001</v>
      </c>
      <c r="DJ60" s="65">
        <f t="shared" si="113"/>
        <v>0.32427499999999998</v>
      </c>
      <c r="DK60" s="65">
        <f t="shared" si="113"/>
        <v>0.34440000000000004</v>
      </c>
      <c r="DL60" s="65">
        <f t="shared" si="113"/>
        <v>0.36194999999999999</v>
      </c>
      <c r="DM60" s="65">
        <f t="shared" si="113"/>
        <v>0.37374999999999997</v>
      </c>
      <c r="DN60" s="1"/>
      <c r="DO60" s="1"/>
    </row>
    <row r="61" spans="1:119" ht="14.25" customHeight="1">
      <c r="A61" s="1"/>
      <c r="B61" s="1"/>
      <c r="C61" s="27" t="s">
        <v>219</v>
      </c>
      <c r="D61" s="1" t="s">
        <v>220</v>
      </c>
      <c r="E61" s="1"/>
      <c r="F61" s="27" t="s">
        <v>221</v>
      </c>
      <c r="G61" s="1"/>
      <c r="H61" s="72"/>
      <c r="I61" s="54">
        <f>-0.007991*12+0.17549</f>
        <v>7.9598000000000002E-2</v>
      </c>
      <c r="J61" s="54">
        <f>-0.007991*13+0.17549</f>
        <v>7.1607000000000004E-2</v>
      </c>
      <c r="K61" s="54">
        <f>-0.007991*14+0.17549</f>
        <v>6.3616000000000006E-2</v>
      </c>
      <c r="L61" s="54">
        <f>-0.007991*15+0.17549</f>
        <v>5.5625000000000008E-2</v>
      </c>
      <c r="M61" s="54">
        <f>-0.007991*16+0.17549</f>
        <v>4.763400000000001E-2</v>
      </c>
      <c r="N61" s="54">
        <f>-0.007991*17+0.17549</f>
        <v>3.9643000000000012E-2</v>
      </c>
      <c r="O61" s="54">
        <f>-0.007991*18+0.17549</f>
        <v>3.1652000000000013E-2</v>
      </c>
      <c r="P61" s="54">
        <f>-0.007991*19+0.17549</f>
        <v>2.3661000000000015E-2</v>
      </c>
      <c r="Q61" s="54">
        <v>0.02</v>
      </c>
      <c r="R61" s="54">
        <f t="shared" ref="R61:BE61" si="114">Q61</f>
        <v>0.02</v>
      </c>
      <c r="S61" s="54">
        <f t="shared" si="114"/>
        <v>0.02</v>
      </c>
      <c r="T61" s="54">
        <f t="shared" si="114"/>
        <v>0.02</v>
      </c>
      <c r="U61" s="54">
        <f t="shared" si="114"/>
        <v>0.02</v>
      </c>
      <c r="V61" s="54">
        <f t="shared" si="114"/>
        <v>0.02</v>
      </c>
      <c r="W61" s="54">
        <f t="shared" si="114"/>
        <v>0.02</v>
      </c>
      <c r="X61" s="54">
        <f t="shared" si="114"/>
        <v>0.02</v>
      </c>
      <c r="Y61" s="54">
        <f t="shared" si="114"/>
        <v>0.02</v>
      </c>
      <c r="Z61" s="54">
        <f t="shared" si="114"/>
        <v>0.02</v>
      </c>
      <c r="AA61" s="54">
        <f t="shared" si="114"/>
        <v>0.02</v>
      </c>
      <c r="AB61" s="54">
        <f t="shared" si="114"/>
        <v>0.02</v>
      </c>
      <c r="AC61" s="54">
        <f t="shared" si="114"/>
        <v>0.02</v>
      </c>
      <c r="AD61" s="54">
        <f t="shared" si="114"/>
        <v>0.02</v>
      </c>
      <c r="AE61" s="54">
        <f t="shared" si="114"/>
        <v>0.02</v>
      </c>
      <c r="AF61" s="54">
        <f t="shared" si="114"/>
        <v>0.02</v>
      </c>
      <c r="AG61" s="54">
        <f t="shared" si="114"/>
        <v>0.02</v>
      </c>
      <c r="AH61" s="54">
        <f t="shared" si="114"/>
        <v>0.02</v>
      </c>
      <c r="AI61" s="54">
        <f t="shared" si="114"/>
        <v>0.02</v>
      </c>
      <c r="AJ61" s="54">
        <f t="shared" si="114"/>
        <v>0.02</v>
      </c>
      <c r="AK61" s="54">
        <f t="shared" si="114"/>
        <v>0.02</v>
      </c>
      <c r="AL61" s="54">
        <f t="shared" si="114"/>
        <v>0.02</v>
      </c>
      <c r="AM61" s="54">
        <f t="shared" si="114"/>
        <v>0.02</v>
      </c>
      <c r="AN61" s="54">
        <f t="shared" si="114"/>
        <v>0.02</v>
      </c>
      <c r="AO61" s="54">
        <f t="shared" si="114"/>
        <v>0.02</v>
      </c>
      <c r="AP61" s="54">
        <f t="shared" si="114"/>
        <v>0.02</v>
      </c>
      <c r="AQ61" s="54">
        <f t="shared" si="114"/>
        <v>0.02</v>
      </c>
      <c r="AR61" s="54">
        <f t="shared" si="114"/>
        <v>0.02</v>
      </c>
      <c r="AS61" s="54">
        <f t="shared" si="114"/>
        <v>0.02</v>
      </c>
      <c r="AT61" s="54">
        <f t="shared" si="114"/>
        <v>0.02</v>
      </c>
      <c r="AU61" s="54">
        <f t="shared" si="114"/>
        <v>0.02</v>
      </c>
      <c r="AV61" s="54">
        <f t="shared" si="114"/>
        <v>0.02</v>
      </c>
      <c r="AW61" s="54">
        <f t="shared" si="114"/>
        <v>0.02</v>
      </c>
      <c r="AX61" s="54">
        <f t="shared" si="114"/>
        <v>0.02</v>
      </c>
      <c r="AY61" s="54">
        <f t="shared" si="114"/>
        <v>0.02</v>
      </c>
      <c r="AZ61" s="54">
        <f t="shared" si="114"/>
        <v>0.02</v>
      </c>
      <c r="BA61" s="54">
        <f t="shared" si="114"/>
        <v>0.02</v>
      </c>
      <c r="BB61" s="54">
        <f t="shared" si="114"/>
        <v>0.02</v>
      </c>
      <c r="BC61" s="54">
        <f t="shared" si="114"/>
        <v>0.02</v>
      </c>
      <c r="BD61" s="54">
        <f t="shared" si="114"/>
        <v>0.02</v>
      </c>
      <c r="BE61" s="54">
        <f t="shared" si="114"/>
        <v>0.02</v>
      </c>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t="s">
        <v>222</v>
      </c>
      <c r="CG61" s="1">
        <v>2263</v>
      </c>
      <c r="CH61" s="65">
        <f t="shared" si="109"/>
        <v>6.5036211058742383E-2</v>
      </c>
      <c r="CI61" s="1" t="s">
        <v>223</v>
      </c>
      <c r="CJ61" s="1"/>
      <c r="CK61" s="91">
        <f t="shared" si="110"/>
        <v>0.1051767378509034</v>
      </c>
      <c r="CL61" s="1" t="s">
        <v>222</v>
      </c>
      <c r="CM61" s="56">
        <f t="shared" si="111"/>
        <v>21.25205077590002</v>
      </c>
      <c r="CN61" s="1"/>
      <c r="CO61" s="1" t="s">
        <v>222</v>
      </c>
      <c r="CP61" s="56">
        <f t="shared" si="100"/>
        <v>14.876435543130013</v>
      </c>
      <c r="CQ61" s="1">
        <v>21.5</v>
      </c>
      <c r="CR61" s="1"/>
      <c r="CS61" s="1"/>
      <c r="CT61" s="1"/>
      <c r="CU61" s="1"/>
      <c r="CV61" s="1"/>
      <c r="CW61" s="1"/>
      <c r="CX61" s="1"/>
      <c r="CY61" s="1"/>
      <c r="CZ61" s="1"/>
      <c r="DA61" s="1"/>
      <c r="DB61" s="1"/>
      <c r="DC61" s="1"/>
      <c r="DD61" s="1"/>
      <c r="DE61" s="1"/>
      <c r="DF61" s="1"/>
      <c r="DG61" s="1"/>
      <c r="DH61" s="1"/>
      <c r="DI61" s="1"/>
      <c r="DJ61" s="1"/>
      <c r="DK61" s="1"/>
      <c r="DL61" s="1"/>
      <c r="DM61" s="1"/>
      <c r="DN61" s="1"/>
      <c r="DO61" s="1"/>
    </row>
    <row r="62" spans="1:119" ht="14.25" customHeight="1">
      <c r="A62" s="81"/>
      <c r="B62" s="81"/>
      <c r="C62" s="81"/>
      <c r="D62" s="81"/>
      <c r="E62" s="81"/>
      <c r="F62" s="81"/>
      <c r="G62" s="81"/>
      <c r="H62" s="83"/>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t="s">
        <v>224</v>
      </c>
      <c r="CG62" s="81">
        <v>7968</v>
      </c>
      <c r="CH62" s="84">
        <f t="shared" si="109"/>
        <v>0.22899183814231522</v>
      </c>
      <c r="CI62" s="84">
        <f>CH59+CH60+CH61+CH62+CH65</f>
        <v>0.56917461777215772</v>
      </c>
      <c r="CJ62" s="84">
        <f>0.95-(CH66*0.75)</f>
        <v>0.9204707437636509</v>
      </c>
      <c r="CK62" s="93">
        <f t="shared" si="110"/>
        <v>0.37032622500927898</v>
      </c>
      <c r="CL62" s="81" t="s">
        <v>224</v>
      </c>
      <c r="CM62" s="86">
        <f t="shared" si="111"/>
        <v>74.828254786730611</v>
      </c>
      <c r="CN62" s="81"/>
      <c r="CO62" s="81" t="s">
        <v>224</v>
      </c>
      <c r="CP62" s="86">
        <f t="shared" si="100"/>
        <v>52.379778350711426</v>
      </c>
      <c r="CQ62" s="81">
        <v>103.1</v>
      </c>
      <c r="CR62" s="81"/>
      <c r="CS62" s="81"/>
      <c r="CT62" s="81"/>
      <c r="CU62" s="81"/>
      <c r="CV62" s="81"/>
      <c r="CW62" s="81"/>
      <c r="CX62" s="81"/>
      <c r="CY62" s="81"/>
      <c r="CZ62" s="81"/>
      <c r="DA62" s="81"/>
      <c r="DB62" s="81"/>
      <c r="DC62" s="81"/>
      <c r="DD62" s="81"/>
      <c r="DE62" s="81"/>
      <c r="DF62" s="81"/>
      <c r="DG62" s="81"/>
      <c r="DH62" s="81"/>
      <c r="DI62" s="81"/>
      <c r="DJ62" s="81"/>
      <c r="DK62" s="81"/>
      <c r="DL62" s="81"/>
      <c r="DM62" s="81"/>
      <c r="DN62" s="81"/>
      <c r="DO62" s="81"/>
    </row>
    <row r="63" spans="1:119" ht="14.25" customHeight="1">
      <c r="A63" s="90" t="s">
        <v>225</v>
      </c>
      <c r="B63" s="1"/>
      <c r="C63" s="27" t="s">
        <v>226</v>
      </c>
      <c r="D63" s="1" t="s">
        <v>214</v>
      </c>
      <c r="E63" s="1"/>
      <c r="F63" s="1" t="s">
        <v>215</v>
      </c>
      <c r="G63" s="1"/>
      <c r="H63" s="35"/>
      <c r="I63" s="65">
        <v>0.04</v>
      </c>
      <c r="J63" s="65">
        <f t="shared" ref="J63:K63" si="115">I63+($L63-$I63)/($L$1-$I$1)</f>
        <v>4.3333333333333335E-2</v>
      </c>
      <c r="K63" s="65">
        <f t="shared" si="115"/>
        <v>4.6666666666666669E-2</v>
      </c>
      <c r="L63" s="65">
        <v>0.05</v>
      </c>
      <c r="M63" s="65">
        <f t="shared" ref="M63:P63" si="116">L63+($Q63-$L63)/($Q$1-$L$1)</f>
        <v>5.2000000000000005E-2</v>
      </c>
      <c r="N63" s="65">
        <f t="shared" si="116"/>
        <v>5.4000000000000006E-2</v>
      </c>
      <c r="O63" s="65">
        <f t="shared" si="116"/>
        <v>5.6000000000000008E-2</v>
      </c>
      <c r="P63" s="65">
        <f t="shared" si="116"/>
        <v>5.800000000000001E-2</v>
      </c>
      <c r="Q63" s="65">
        <v>0.06</v>
      </c>
      <c r="R63" s="65">
        <f t="shared" ref="R63:U63" si="117">Q63+($V63-$Q63)/($V$1-$Q$1)</f>
        <v>6.1800000000000001E-2</v>
      </c>
      <c r="S63" s="65">
        <f t="shared" si="117"/>
        <v>6.3600000000000004E-2</v>
      </c>
      <c r="T63" s="65">
        <f t="shared" si="117"/>
        <v>6.54E-2</v>
      </c>
      <c r="U63" s="65">
        <f t="shared" si="117"/>
        <v>6.7199999999999996E-2</v>
      </c>
      <c r="V63" s="65">
        <v>6.9000000000000006E-2</v>
      </c>
      <c r="W63" s="65">
        <f t="shared" ref="W63:BE63" si="118">V63</f>
        <v>6.9000000000000006E-2</v>
      </c>
      <c r="X63" s="65">
        <f t="shared" si="118"/>
        <v>6.9000000000000006E-2</v>
      </c>
      <c r="Y63" s="65">
        <f t="shared" si="118"/>
        <v>6.9000000000000006E-2</v>
      </c>
      <c r="Z63" s="65">
        <f t="shared" si="118"/>
        <v>6.9000000000000006E-2</v>
      </c>
      <c r="AA63" s="65">
        <f t="shared" si="118"/>
        <v>6.9000000000000006E-2</v>
      </c>
      <c r="AB63" s="65">
        <f t="shared" si="118"/>
        <v>6.9000000000000006E-2</v>
      </c>
      <c r="AC63" s="65">
        <f t="shared" si="118"/>
        <v>6.9000000000000006E-2</v>
      </c>
      <c r="AD63" s="65">
        <f t="shared" si="118"/>
        <v>6.9000000000000006E-2</v>
      </c>
      <c r="AE63" s="65">
        <f t="shared" si="118"/>
        <v>6.9000000000000006E-2</v>
      </c>
      <c r="AF63" s="65">
        <f t="shared" si="118"/>
        <v>6.9000000000000006E-2</v>
      </c>
      <c r="AG63" s="65">
        <f t="shared" si="118"/>
        <v>6.9000000000000006E-2</v>
      </c>
      <c r="AH63" s="65">
        <f t="shared" si="118"/>
        <v>6.9000000000000006E-2</v>
      </c>
      <c r="AI63" s="65">
        <f t="shared" si="118"/>
        <v>6.9000000000000006E-2</v>
      </c>
      <c r="AJ63" s="65">
        <f t="shared" si="118"/>
        <v>6.9000000000000006E-2</v>
      </c>
      <c r="AK63" s="65">
        <f t="shared" si="118"/>
        <v>6.9000000000000006E-2</v>
      </c>
      <c r="AL63" s="65">
        <f t="shared" si="118"/>
        <v>6.9000000000000006E-2</v>
      </c>
      <c r="AM63" s="65">
        <f t="shared" si="118"/>
        <v>6.9000000000000006E-2</v>
      </c>
      <c r="AN63" s="65">
        <f t="shared" si="118"/>
        <v>6.9000000000000006E-2</v>
      </c>
      <c r="AO63" s="65">
        <f t="shared" si="118"/>
        <v>6.9000000000000006E-2</v>
      </c>
      <c r="AP63" s="65">
        <f t="shared" si="118"/>
        <v>6.9000000000000006E-2</v>
      </c>
      <c r="AQ63" s="65">
        <f t="shared" si="118"/>
        <v>6.9000000000000006E-2</v>
      </c>
      <c r="AR63" s="65">
        <f t="shared" si="118"/>
        <v>6.9000000000000006E-2</v>
      </c>
      <c r="AS63" s="65">
        <f t="shared" si="118"/>
        <v>6.9000000000000006E-2</v>
      </c>
      <c r="AT63" s="65">
        <f t="shared" si="118"/>
        <v>6.9000000000000006E-2</v>
      </c>
      <c r="AU63" s="65">
        <f t="shared" si="118"/>
        <v>6.9000000000000006E-2</v>
      </c>
      <c r="AV63" s="65">
        <f t="shared" si="118"/>
        <v>6.9000000000000006E-2</v>
      </c>
      <c r="AW63" s="65">
        <f t="shared" si="118"/>
        <v>6.9000000000000006E-2</v>
      </c>
      <c r="AX63" s="65">
        <f t="shared" si="118"/>
        <v>6.9000000000000006E-2</v>
      </c>
      <c r="AY63" s="65">
        <f t="shared" si="118"/>
        <v>6.9000000000000006E-2</v>
      </c>
      <c r="AZ63" s="65">
        <f t="shared" si="118"/>
        <v>6.9000000000000006E-2</v>
      </c>
      <c r="BA63" s="65">
        <f t="shared" si="118"/>
        <v>6.9000000000000006E-2</v>
      </c>
      <c r="BB63" s="65">
        <f t="shared" si="118"/>
        <v>6.9000000000000006E-2</v>
      </c>
      <c r="BC63" s="65">
        <f t="shared" si="118"/>
        <v>6.9000000000000006E-2</v>
      </c>
      <c r="BD63" s="65">
        <f t="shared" si="118"/>
        <v>6.9000000000000006E-2</v>
      </c>
      <c r="BE63" s="65">
        <f t="shared" si="118"/>
        <v>6.9000000000000006E-2</v>
      </c>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t="s">
        <v>227</v>
      </c>
      <c r="CG63" s="1">
        <v>13621</v>
      </c>
      <c r="CH63" s="65">
        <f t="shared" si="109"/>
        <v>0.39145304057937697</v>
      </c>
      <c r="CI63" s="1" t="s">
        <v>228</v>
      </c>
      <c r="CJ63" s="1"/>
      <c r="CK63" s="91">
        <f>CH63*CJ64/CI64</f>
        <v>5.000000000000001E-2</v>
      </c>
      <c r="CL63" s="1" t="s">
        <v>227</v>
      </c>
      <c r="CM63" s="56">
        <f t="shared" si="111"/>
        <v>10.103018600000002</v>
      </c>
      <c r="CN63" s="1"/>
      <c r="CO63" s="1" t="s">
        <v>227</v>
      </c>
      <c r="CP63" s="56">
        <f t="shared" si="100"/>
        <v>7.0721130200000006</v>
      </c>
      <c r="CQ63" s="1">
        <v>10.1</v>
      </c>
      <c r="CR63" s="1"/>
      <c r="CS63" s="1"/>
      <c r="CT63" s="1"/>
      <c r="CU63" s="1"/>
      <c r="CV63" s="1"/>
      <c r="CW63" s="1"/>
      <c r="CX63" s="1"/>
      <c r="CY63" s="1"/>
      <c r="CZ63" s="1"/>
      <c r="DA63" s="1"/>
      <c r="DB63" s="1"/>
      <c r="DC63" s="1"/>
      <c r="DD63" s="1"/>
      <c r="DE63" s="1"/>
      <c r="DF63" s="1"/>
      <c r="DG63" s="1"/>
      <c r="DH63" s="1"/>
      <c r="DI63" s="1"/>
      <c r="DJ63" s="1"/>
      <c r="DK63" s="1"/>
      <c r="DL63" s="1"/>
      <c r="DM63" s="1"/>
      <c r="DN63" s="1"/>
      <c r="DO63" s="1"/>
    </row>
    <row r="64" spans="1:119" ht="14.25" customHeight="1">
      <c r="A64" s="81"/>
      <c r="B64" s="81"/>
      <c r="C64" s="81" t="s">
        <v>229</v>
      </c>
      <c r="D64" s="81" t="s">
        <v>214</v>
      </c>
      <c r="E64" s="81"/>
      <c r="F64" s="81" t="s">
        <v>230</v>
      </c>
      <c r="G64" s="81"/>
      <c r="H64" s="83"/>
      <c r="I64" s="81">
        <v>140</v>
      </c>
      <c r="J64" s="81">
        <v>140</v>
      </c>
      <c r="K64" s="81">
        <v>140</v>
      </c>
      <c r="L64" s="81">
        <v>600</v>
      </c>
      <c r="M64" s="81">
        <v>600</v>
      </c>
      <c r="N64" s="81">
        <v>600</v>
      </c>
      <c r="O64" s="81">
        <v>600</v>
      </c>
      <c r="P64" s="81">
        <v>600</v>
      </c>
      <c r="Q64" s="81">
        <v>600</v>
      </c>
      <c r="R64" s="81">
        <v>600</v>
      </c>
      <c r="S64" s="81">
        <v>600</v>
      </c>
      <c r="T64" s="81">
        <v>600</v>
      </c>
      <c r="U64" s="81">
        <v>600</v>
      </c>
      <c r="V64" s="81">
        <v>600</v>
      </c>
      <c r="W64" s="81">
        <v>600</v>
      </c>
      <c r="X64" s="81">
        <v>600</v>
      </c>
      <c r="Y64" s="81">
        <v>600</v>
      </c>
      <c r="Z64" s="81">
        <v>600</v>
      </c>
      <c r="AA64" s="81">
        <v>600</v>
      </c>
      <c r="AB64" s="81">
        <v>600</v>
      </c>
      <c r="AC64" s="81">
        <v>600</v>
      </c>
      <c r="AD64" s="81">
        <v>600</v>
      </c>
      <c r="AE64" s="81">
        <v>600</v>
      </c>
      <c r="AF64" s="81">
        <v>600</v>
      </c>
      <c r="AG64" s="81">
        <v>600</v>
      </c>
      <c r="AH64" s="81">
        <v>600</v>
      </c>
      <c r="AI64" s="81">
        <v>600</v>
      </c>
      <c r="AJ64" s="81">
        <v>600</v>
      </c>
      <c r="AK64" s="81">
        <v>600</v>
      </c>
      <c r="AL64" s="81">
        <v>600</v>
      </c>
      <c r="AM64" s="81">
        <v>600</v>
      </c>
      <c r="AN64" s="81">
        <v>600</v>
      </c>
      <c r="AO64" s="81">
        <v>600</v>
      </c>
      <c r="AP64" s="81">
        <v>600</v>
      </c>
      <c r="AQ64" s="81">
        <v>600</v>
      </c>
      <c r="AR64" s="81">
        <v>600</v>
      </c>
      <c r="AS64" s="81">
        <v>600</v>
      </c>
      <c r="AT64" s="81">
        <v>600</v>
      </c>
      <c r="AU64" s="81">
        <v>600</v>
      </c>
      <c r="AV64" s="81">
        <v>600</v>
      </c>
      <c r="AW64" s="81">
        <v>600</v>
      </c>
      <c r="AX64" s="81">
        <v>600</v>
      </c>
      <c r="AY64" s="81">
        <v>600</v>
      </c>
      <c r="AZ64" s="81">
        <v>600</v>
      </c>
      <c r="BA64" s="81">
        <v>600</v>
      </c>
      <c r="BB64" s="81">
        <v>600</v>
      </c>
      <c r="BC64" s="81">
        <v>600</v>
      </c>
      <c r="BD64" s="81">
        <v>600</v>
      </c>
      <c r="BE64" s="81">
        <v>600</v>
      </c>
      <c r="BF64" s="81"/>
      <c r="BG64" s="81"/>
      <c r="BH64" s="81"/>
      <c r="BI64" s="81"/>
      <c r="BJ64" s="81"/>
      <c r="BK64" s="81"/>
      <c r="BL64" s="81" t="s">
        <v>231</v>
      </c>
      <c r="BM64" s="81"/>
      <c r="BN64" s="81"/>
      <c r="BO64" s="81"/>
      <c r="BP64" s="81"/>
      <c r="BQ64" s="81"/>
      <c r="BR64" s="81"/>
      <c r="BS64" s="81"/>
      <c r="BT64" s="81"/>
      <c r="BU64" s="81"/>
      <c r="BV64" s="81"/>
      <c r="BW64" s="81"/>
      <c r="BX64" s="81"/>
      <c r="BY64" s="81"/>
      <c r="BZ64" s="81"/>
      <c r="CA64" s="81"/>
      <c r="CB64" s="81"/>
      <c r="CC64" s="81"/>
      <c r="CD64" s="81"/>
      <c r="CE64" s="81"/>
      <c r="CF64" s="81" t="s">
        <v>63</v>
      </c>
      <c r="CG64" s="81">
        <v>0</v>
      </c>
      <c r="CH64" s="84">
        <f t="shared" si="109"/>
        <v>0</v>
      </c>
      <c r="CI64" s="84">
        <f>CH63+CH64</f>
        <v>0.39145304057937697</v>
      </c>
      <c r="CJ64" s="89">
        <v>0.05</v>
      </c>
      <c r="CK64" s="93">
        <f>CH64*CJ64/CI64</f>
        <v>0</v>
      </c>
      <c r="CL64" s="81" t="s">
        <v>63</v>
      </c>
      <c r="CM64" s="86">
        <f t="shared" si="111"/>
        <v>0</v>
      </c>
      <c r="CN64" s="81"/>
      <c r="CO64" s="81" t="s">
        <v>63</v>
      </c>
      <c r="CP64" s="86">
        <f t="shared" si="100"/>
        <v>0</v>
      </c>
      <c r="CQ64" s="81">
        <v>2.6</v>
      </c>
      <c r="CR64" s="81"/>
      <c r="CS64" s="81"/>
      <c r="CT64" s="81"/>
      <c r="CU64" s="81"/>
      <c r="CV64" s="81"/>
      <c r="CW64" s="81"/>
      <c r="CX64" s="81"/>
      <c r="CY64" s="81"/>
      <c r="CZ64" s="81"/>
      <c r="DA64" s="81"/>
      <c r="DB64" s="81"/>
      <c r="DC64" s="81"/>
      <c r="DD64" s="81"/>
      <c r="DE64" s="81"/>
      <c r="DF64" s="81"/>
      <c r="DG64" s="81"/>
      <c r="DH64" s="81"/>
      <c r="DI64" s="81"/>
      <c r="DJ64" s="81"/>
      <c r="DK64" s="81"/>
      <c r="DL64" s="81"/>
      <c r="DM64" s="81"/>
      <c r="DN64" s="81"/>
      <c r="DO64" s="81"/>
    </row>
    <row r="65" spans="1:119" ht="14.25" customHeight="1">
      <c r="A65" s="90" t="s">
        <v>232</v>
      </c>
      <c r="B65" s="1"/>
      <c r="C65" s="1"/>
      <c r="D65" s="1"/>
      <c r="E65" s="1"/>
      <c r="F65" s="1"/>
      <c r="G65" s="1"/>
      <c r="H65" s="35"/>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t="s">
        <v>233</v>
      </c>
      <c r="CG65" s="1">
        <v>403</v>
      </c>
      <c r="CH65" s="65">
        <f t="shared" si="109"/>
        <v>1.1581791010460973E-2</v>
      </c>
      <c r="CI65" s="1"/>
      <c r="CJ65" s="1"/>
      <c r="CK65" s="91">
        <f>CH65*$CJ$62/$CI$62</f>
        <v>1.8730104000845814E-2</v>
      </c>
      <c r="CL65" s="1" t="s">
        <v>233</v>
      </c>
      <c r="CM65" s="56">
        <f t="shared" si="111"/>
        <v>3.7846117820095935</v>
      </c>
      <c r="CN65" s="1"/>
      <c r="CO65" s="1" t="s">
        <v>233</v>
      </c>
      <c r="CP65" s="56">
        <f t="shared" si="100"/>
        <v>2.6492282474067155</v>
      </c>
      <c r="CQ65" s="1">
        <v>5.2</v>
      </c>
      <c r="CR65" s="1"/>
      <c r="CS65" s="1"/>
      <c r="CT65" s="1"/>
      <c r="CU65" s="1"/>
      <c r="CV65" s="1"/>
      <c r="CW65" s="1"/>
      <c r="CX65" s="1"/>
      <c r="CY65" s="1"/>
      <c r="CZ65" s="1"/>
      <c r="DA65" s="1"/>
      <c r="DB65" s="1"/>
      <c r="DC65" s="1"/>
      <c r="DD65" s="1"/>
      <c r="DE65" s="1"/>
      <c r="DF65" s="1"/>
      <c r="DG65" s="1"/>
      <c r="DH65" s="1"/>
      <c r="DI65" s="1"/>
      <c r="DJ65" s="1"/>
      <c r="DK65" s="1"/>
      <c r="DL65" s="1"/>
      <c r="DM65" s="1"/>
      <c r="DN65" s="1"/>
      <c r="DO65" s="1"/>
    </row>
    <row r="66" spans="1:119" ht="14.25" customHeight="1">
      <c r="A66" s="1"/>
      <c r="B66" s="1"/>
      <c r="C66" s="27" t="s">
        <v>234</v>
      </c>
      <c r="D66" s="1"/>
      <c r="E66" s="1"/>
      <c r="F66" s="1" t="s">
        <v>235</v>
      </c>
      <c r="G66" s="1"/>
      <c r="H66" s="35"/>
      <c r="I66" s="65">
        <v>0</v>
      </c>
      <c r="J66" s="65">
        <v>2.957142857142857E-3</v>
      </c>
      <c r="K66" s="65">
        <v>5.9964285714285718E-3</v>
      </c>
      <c r="L66" s="65">
        <v>8.9535714285714288E-3</v>
      </c>
      <c r="M66" s="65">
        <v>1.4292857142857142E-2</v>
      </c>
      <c r="N66" s="65">
        <v>1.9550000000000001E-2</v>
      </c>
      <c r="O66" s="65">
        <v>2.4807142857142857E-2</v>
      </c>
      <c r="P66" s="65">
        <v>3.0064285714285714E-2</v>
      </c>
      <c r="Q66" s="65">
        <v>3.540357142857143E-2</v>
      </c>
      <c r="R66" s="65">
        <v>4.1235714285714285E-2</v>
      </c>
      <c r="S66" s="65">
        <v>4.706785714285714E-2</v>
      </c>
      <c r="T66" s="65">
        <v>5.2899999999999996E-2</v>
      </c>
      <c r="U66" s="65">
        <v>5.8814285714285715E-2</v>
      </c>
      <c r="V66" s="65">
        <v>6.4646428571428577E-2</v>
      </c>
      <c r="W66" s="65">
        <v>6.9410714285714284E-2</v>
      </c>
      <c r="X66" s="65">
        <v>7.4175000000000005E-2</v>
      </c>
      <c r="Y66" s="65">
        <v>7.8939285714285726E-2</v>
      </c>
      <c r="Z66" s="65">
        <v>8.3703571428571433E-2</v>
      </c>
      <c r="AA66" s="65">
        <v>8.846785714285714E-2</v>
      </c>
      <c r="AB66" s="65">
        <v>9.175357142857142E-2</v>
      </c>
      <c r="AC66" s="65">
        <v>9.5121428571428565E-2</v>
      </c>
      <c r="AD66" s="65">
        <v>9.840714285714286E-2</v>
      </c>
      <c r="AE66" s="65">
        <v>0.10177499999999999</v>
      </c>
      <c r="AF66" s="65">
        <v>0.10514285714285715</v>
      </c>
      <c r="AG66" s="65">
        <v>0.10719642857142857</v>
      </c>
      <c r="AH66" s="65">
        <v>0.10925000000000001</v>
      </c>
      <c r="AI66" s="65">
        <v>0.11130357142857143</v>
      </c>
      <c r="AJ66" s="65">
        <v>0.11335714285714286</v>
      </c>
      <c r="AK66" s="65">
        <f t="shared" ref="AK66:BE66" si="119">AJ66</f>
        <v>0.11335714285714286</v>
      </c>
      <c r="AL66" s="65">
        <f t="shared" si="119"/>
        <v>0.11335714285714286</v>
      </c>
      <c r="AM66" s="65">
        <f t="shared" si="119"/>
        <v>0.11335714285714286</v>
      </c>
      <c r="AN66" s="65">
        <f t="shared" si="119"/>
        <v>0.11335714285714286</v>
      </c>
      <c r="AO66" s="65">
        <f t="shared" si="119"/>
        <v>0.11335714285714286</v>
      </c>
      <c r="AP66" s="65">
        <f t="shared" si="119"/>
        <v>0.11335714285714286</v>
      </c>
      <c r="AQ66" s="65">
        <f t="shared" si="119"/>
        <v>0.11335714285714286</v>
      </c>
      <c r="AR66" s="65">
        <f t="shared" si="119"/>
        <v>0.11335714285714286</v>
      </c>
      <c r="AS66" s="65">
        <f t="shared" si="119"/>
        <v>0.11335714285714286</v>
      </c>
      <c r="AT66" s="65">
        <f t="shared" si="119"/>
        <v>0.11335714285714286</v>
      </c>
      <c r="AU66" s="65">
        <f t="shared" si="119"/>
        <v>0.11335714285714286</v>
      </c>
      <c r="AV66" s="65">
        <f t="shared" si="119"/>
        <v>0.11335714285714286</v>
      </c>
      <c r="AW66" s="65">
        <f t="shared" si="119"/>
        <v>0.11335714285714286</v>
      </c>
      <c r="AX66" s="65">
        <f t="shared" si="119"/>
        <v>0.11335714285714286</v>
      </c>
      <c r="AY66" s="65">
        <f t="shared" si="119"/>
        <v>0.11335714285714286</v>
      </c>
      <c r="AZ66" s="65">
        <f t="shared" si="119"/>
        <v>0.11335714285714286</v>
      </c>
      <c r="BA66" s="65">
        <f t="shared" si="119"/>
        <v>0.11335714285714286</v>
      </c>
      <c r="BB66" s="65">
        <f t="shared" si="119"/>
        <v>0.11335714285714286</v>
      </c>
      <c r="BC66" s="65">
        <f t="shared" si="119"/>
        <v>0.11335714285714286</v>
      </c>
      <c r="BD66" s="65">
        <f t="shared" si="119"/>
        <v>0.11335714285714286</v>
      </c>
      <c r="BE66" s="65">
        <f t="shared" si="119"/>
        <v>0.11335714285714286</v>
      </c>
      <c r="BF66" s="1"/>
      <c r="BG66" s="1"/>
      <c r="BH66" s="1"/>
      <c r="BI66" s="1"/>
      <c r="BJ66" s="1"/>
      <c r="BK66" s="1"/>
      <c r="BL66" s="1" t="s">
        <v>236</v>
      </c>
      <c r="BM66" s="1"/>
      <c r="BN66" s="1"/>
      <c r="BO66" s="1"/>
      <c r="BP66" s="1"/>
      <c r="BQ66" s="1"/>
      <c r="BR66" s="1"/>
      <c r="BS66" s="1"/>
      <c r="BT66" s="1"/>
      <c r="BU66" s="1"/>
      <c r="BV66" s="1"/>
      <c r="BW66" s="1"/>
      <c r="BX66" s="1"/>
      <c r="BY66" s="1"/>
      <c r="BZ66" s="1"/>
      <c r="CA66" s="1"/>
      <c r="CB66" s="1"/>
      <c r="CC66" s="1"/>
      <c r="CD66" s="1"/>
      <c r="CE66" s="1"/>
      <c r="CF66" s="1" t="s">
        <v>237</v>
      </c>
      <c r="CG66" s="1">
        <v>1370</v>
      </c>
      <c r="CH66" s="65">
        <f t="shared" si="109"/>
        <v>3.9372341648465342E-2</v>
      </c>
      <c r="CI66" s="1"/>
      <c r="CJ66" s="1"/>
      <c r="CK66" s="91">
        <f>1-CJ62-CJ64</f>
        <v>2.9529256236349097E-2</v>
      </c>
      <c r="CL66" s="1" t="s">
        <v>237</v>
      </c>
      <c r="CM66" s="56">
        <f>CG66*0.005807</f>
        <v>7.9555899999999999</v>
      </c>
      <c r="CN66" s="1"/>
      <c r="CO66" s="1" t="s">
        <v>237</v>
      </c>
      <c r="CP66" s="56">
        <f t="shared" si="100"/>
        <v>5.5689129999999993</v>
      </c>
      <c r="CQ66" s="1">
        <v>6.3</v>
      </c>
      <c r="CR66" s="1"/>
      <c r="CS66" s="1"/>
      <c r="CT66" s="1"/>
      <c r="CU66" s="1"/>
      <c r="CV66" s="1"/>
      <c r="CW66" s="1"/>
      <c r="CX66" s="1"/>
      <c r="CY66" s="1"/>
      <c r="CZ66" s="1"/>
      <c r="DA66" s="1"/>
      <c r="DB66" s="1"/>
      <c r="DC66" s="1"/>
      <c r="DD66" s="1"/>
      <c r="DE66" s="1"/>
      <c r="DF66" s="1"/>
      <c r="DG66" s="1"/>
      <c r="DH66" s="1"/>
      <c r="DI66" s="1"/>
      <c r="DJ66" s="1"/>
      <c r="DK66" s="1"/>
      <c r="DL66" s="1"/>
      <c r="DM66" s="1"/>
      <c r="DN66" s="1"/>
      <c r="DO66" s="1"/>
    </row>
    <row r="67" spans="1:119" ht="14.25" customHeight="1">
      <c r="A67" s="81"/>
      <c r="B67" s="81"/>
      <c r="C67" s="94"/>
      <c r="D67" s="81"/>
      <c r="E67" s="81"/>
      <c r="F67" s="94"/>
      <c r="G67" s="81"/>
      <c r="H67" s="83"/>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4"/>
      <c r="CI67" s="81"/>
      <c r="CJ67" s="81"/>
      <c r="CK67" s="84"/>
      <c r="CL67" s="84"/>
      <c r="CM67" s="84"/>
      <c r="CN67" s="81"/>
      <c r="CO67" s="81"/>
      <c r="CP67" s="81"/>
      <c r="CQ67" s="81"/>
      <c r="CR67" s="81"/>
      <c r="CS67" s="81"/>
      <c r="CT67" s="81"/>
      <c r="CU67" s="81"/>
      <c r="CV67" s="81"/>
      <c r="CW67" s="81"/>
      <c r="CX67" s="81"/>
      <c r="CY67" s="81"/>
      <c r="CZ67" s="81"/>
      <c r="DA67" s="81"/>
      <c r="DB67" s="81"/>
      <c r="DC67" s="81"/>
      <c r="DD67" s="81"/>
      <c r="DE67" s="81"/>
      <c r="DF67" s="81"/>
      <c r="DG67" s="81"/>
      <c r="DH67" s="81"/>
      <c r="DI67" s="81"/>
      <c r="DJ67" s="81"/>
      <c r="DK67" s="81"/>
      <c r="DL67" s="81"/>
      <c r="DM67" s="81"/>
      <c r="DN67" s="81"/>
      <c r="DO67" s="81"/>
    </row>
    <row r="68" spans="1:119" ht="14.25" customHeight="1">
      <c r="A68" s="90" t="s">
        <v>238</v>
      </c>
      <c r="B68" s="1"/>
      <c r="C68" s="27" t="s">
        <v>226</v>
      </c>
      <c r="D68" s="1" t="s">
        <v>214</v>
      </c>
      <c r="E68" s="1"/>
      <c r="F68" s="20" t="s">
        <v>215</v>
      </c>
      <c r="G68" s="1"/>
      <c r="H68" s="35"/>
      <c r="I68" s="65">
        <v>0.14000000000000001</v>
      </c>
      <c r="J68" s="65">
        <f>I68+(L68-I68)/(L1-I1)</f>
        <v>0.16333333333333333</v>
      </c>
      <c r="K68" s="65">
        <f>J68+(L68-I68)/(L1-I1)</f>
        <v>0.18666666666666665</v>
      </c>
      <c r="L68" s="65">
        <v>0.21</v>
      </c>
      <c r="M68" s="65">
        <f t="shared" ref="M68:P68" si="120">L68+($Q68-$L68)/($Q$1-$L$1)</f>
        <v>0.21199999999999999</v>
      </c>
      <c r="N68" s="65">
        <f t="shared" si="120"/>
        <v>0.214</v>
      </c>
      <c r="O68" s="65">
        <f t="shared" si="120"/>
        <v>0.216</v>
      </c>
      <c r="P68" s="65">
        <f t="shared" si="120"/>
        <v>0.218</v>
      </c>
      <c r="Q68" s="65">
        <v>0.22</v>
      </c>
      <c r="R68" s="65">
        <f t="shared" ref="R68:U68" si="121">Q68+($V68-$Q68)/($V$1-$Q$1)</f>
        <v>0.224</v>
      </c>
      <c r="S68" s="65">
        <f t="shared" si="121"/>
        <v>0.22800000000000001</v>
      </c>
      <c r="T68" s="65">
        <f t="shared" si="121"/>
        <v>0.23200000000000001</v>
      </c>
      <c r="U68" s="65">
        <f t="shared" si="121"/>
        <v>0.23600000000000002</v>
      </c>
      <c r="V68" s="65">
        <v>0.24</v>
      </c>
      <c r="W68" s="65">
        <f t="shared" ref="W68:BE68" si="122">V68</f>
        <v>0.24</v>
      </c>
      <c r="X68" s="65">
        <f t="shared" si="122"/>
        <v>0.24</v>
      </c>
      <c r="Y68" s="65">
        <f t="shared" si="122"/>
        <v>0.24</v>
      </c>
      <c r="Z68" s="65">
        <f t="shared" si="122"/>
        <v>0.24</v>
      </c>
      <c r="AA68" s="65">
        <f t="shared" si="122"/>
        <v>0.24</v>
      </c>
      <c r="AB68" s="65">
        <f t="shared" si="122"/>
        <v>0.24</v>
      </c>
      <c r="AC68" s="65">
        <f t="shared" si="122"/>
        <v>0.24</v>
      </c>
      <c r="AD68" s="65">
        <f t="shared" si="122"/>
        <v>0.24</v>
      </c>
      <c r="AE68" s="65">
        <f t="shared" si="122"/>
        <v>0.24</v>
      </c>
      <c r="AF68" s="65">
        <f t="shared" si="122"/>
        <v>0.24</v>
      </c>
      <c r="AG68" s="65">
        <f t="shared" si="122"/>
        <v>0.24</v>
      </c>
      <c r="AH68" s="65">
        <f t="shared" si="122"/>
        <v>0.24</v>
      </c>
      <c r="AI68" s="65">
        <f t="shared" si="122"/>
        <v>0.24</v>
      </c>
      <c r="AJ68" s="65">
        <f t="shared" si="122"/>
        <v>0.24</v>
      </c>
      <c r="AK68" s="65">
        <f t="shared" si="122"/>
        <v>0.24</v>
      </c>
      <c r="AL68" s="25">
        <f t="shared" si="122"/>
        <v>0.24</v>
      </c>
      <c r="AM68" s="25">
        <f t="shared" si="122"/>
        <v>0.24</v>
      </c>
      <c r="AN68" s="25">
        <f t="shared" si="122"/>
        <v>0.24</v>
      </c>
      <c r="AO68" s="25">
        <f t="shared" si="122"/>
        <v>0.24</v>
      </c>
      <c r="AP68" s="25">
        <f t="shared" si="122"/>
        <v>0.24</v>
      </c>
      <c r="AQ68" s="25">
        <f t="shared" si="122"/>
        <v>0.24</v>
      </c>
      <c r="AR68" s="25">
        <f t="shared" si="122"/>
        <v>0.24</v>
      </c>
      <c r="AS68" s="25">
        <f t="shared" si="122"/>
        <v>0.24</v>
      </c>
      <c r="AT68" s="25">
        <f t="shared" si="122"/>
        <v>0.24</v>
      </c>
      <c r="AU68" s="25">
        <f t="shared" si="122"/>
        <v>0.24</v>
      </c>
      <c r="AV68" s="25">
        <f t="shared" si="122"/>
        <v>0.24</v>
      </c>
      <c r="AW68" s="25">
        <f t="shared" si="122"/>
        <v>0.24</v>
      </c>
      <c r="AX68" s="25">
        <f t="shared" si="122"/>
        <v>0.24</v>
      </c>
      <c r="AY68" s="25">
        <f t="shared" si="122"/>
        <v>0.24</v>
      </c>
      <c r="AZ68" s="25">
        <f t="shared" si="122"/>
        <v>0.24</v>
      </c>
      <c r="BA68" s="25">
        <f t="shared" si="122"/>
        <v>0.24</v>
      </c>
      <c r="BB68" s="25">
        <f t="shared" si="122"/>
        <v>0.24</v>
      </c>
      <c r="BC68" s="25">
        <f t="shared" si="122"/>
        <v>0.24</v>
      </c>
      <c r="BD68" s="25">
        <f t="shared" si="122"/>
        <v>0.24</v>
      </c>
      <c r="BE68" s="25">
        <f t="shared" si="122"/>
        <v>0.24</v>
      </c>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t="s">
        <v>239</v>
      </c>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row>
    <row r="69" spans="1:119" ht="14.25" customHeight="1">
      <c r="A69" s="81"/>
      <c r="B69" s="81"/>
      <c r="C69" s="81"/>
      <c r="D69" s="81"/>
      <c r="E69" s="81"/>
      <c r="F69" s="81"/>
      <c r="G69" s="81"/>
      <c r="H69" s="83"/>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9"/>
      <c r="AM69" s="89"/>
      <c r="AN69" s="89"/>
      <c r="AO69" s="89"/>
      <c r="AP69" s="89"/>
      <c r="AQ69" s="89"/>
      <c r="AR69" s="89"/>
      <c r="AS69" s="89"/>
      <c r="AT69" s="89"/>
      <c r="AU69" s="89"/>
      <c r="AV69" s="89"/>
      <c r="AW69" s="89"/>
      <c r="AX69" s="89"/>
      <c r="AY69" s="89"/>
      <c r="AZ69" s="89"/>
      <c r="BA69" s="89"/>
      <c r="BB69" s="89"/>
      <c r="BC69" s="89"/>
      <c r="BD69" s="89"/>
      <c r="BE69" s="89"/>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c r="CU69" s="81"/>
      <c r="CV69" s="81"/>
      <c r="CW69" s="81"/>
      <c r="CX69" s="81"/>
      <c r="CY69" s="81"/>
      <c r="CZ69" s="81"/>
      <c r="DA69" s="81"/>
      <c r="DB69" s="81"/>
      <c r="DC69" s="81"/>
      <c r="DD69" s="81"/>
      <c r="DE69" s="81"/>
      <c r="DF69" s="81"/>
      <c r="DG69" s="81"/>
      <c r="DH69" s="81"/>
      <c r="DI69" s="81"/>
      <c r="DJ69" s="81"/>
      <c r="DK69" s="81"/>
      <c r="DL69" s="81"/>
      <c r="DM69" s="81"/>
      <c r="DN69" s="81"/>
      <c r="DO69" s="81"/>
    </row>
    <row r="70" spans="1:119" ht="14.25" customHeight="1">
      <c r="A70" s="90" t="s">
        <v>240</v>
      </c>
      <c r="B70" s="27"/>
      <c r="C70" s="27" t="s">
        <v>226</v>
      </c>
      <c r="D70" s="1" t="s">
        <v>214</v>
      </c>
      <c r="E70" s="27"/>
      <c r="F70" s="27" t="s">
        <v>215</v>
      </c>
      <c r="G70" s="27"/>
      <c r="H70" s="27"/>
      <c r="I70" s="95">
        <v>0.14000000000000001</v>
      </c>
      <c r="J70" s="95">
        <f>I70+(L70-I70)/(L1-I1)</f>
        <v>0.16333333333333333</v>
      </c>
      <c r="K70" s="95">
        <f>J70+(L70-I70)/(M1-J1)</f>
        <v>0.18666666666666665</v>
      </c>
      <c r="L70" s="95">
        <v>0.21</v>
      </c>
      <c r="M70" s="95">
        <f t="shared" ref="M70:P70" si="123">L70+($Q70-$L70)/($Q$1-$L$1)</f>
        <v>0.21199999999999999</v>
      </c>
      <c r="N70" s="95">
        <f t="shared" si="123"/>
        <v>0.214</v>
      </c>
      <c r="O70" s="95">
        <f t="shared" si="123"/>
        <v>0.216</v>
      </c>
      <c r="P70" s="95">
        <f t="shared" si="123"/>
        <v>0.218</v>
      </c>
      <c r="Q70" s="95">
        <v>0.22</v>
      </c>
      <c r="R70" s="95">
        <f t="shared" ref="R70:U70" si="124">Q70+($V70-$Q70)/($V$1-$Q$1)</f>
        <v>0.224</v>
      </c>
      <c r="S70" s="95">
        <f t="shared" si="124"/>
        <v>0.22800000000000001</v>
      </c>
      <c r="T70" s="95">
        <f t="shared" si="124"/>
        <v>0.23200000000000001</v>
      </c>
      <c r="U70" s="95">
        <f t="shared" si="124"/>
        <v>0.23600000000000002</v>
      </c>
      <c r="V70" s="95">
        <v>0.24</v>
      </c>
      <c r="W70" s="95">
        <f t="shared" ref="W70:BE70" si="125">V70</f>
        <v>0.24</v>
      </c>
      <c r="X70" s="95">
        <f t="shared" si="125"/>
        <v>0.24</v>
      </c>
      <c r="Y70" s="95">
        <f t="shared" si="125"/>
        <v>0.24</v>
      </c>
      <c r="Z70" s="95">
        <f t="shared" si="125"/>
        <v>0.24</v>
      </c>
      <c r="AA70" s="95">
        <f t="shared" si="125"/>
        <v>0.24</v>
      </c>
      <c r="AB70" s="95">
        <f t="shared" si="125"/>
        <v>0.24</v>
      </c>
      <c r="AC70" s="95">
        <f t="shared" si="125"/>
        <v>0.24</v>
      </c>
      <c r="AD70" s="95">
        <f t="shared" si="125"/>
        <v>0.24</v>
      </c>
      <c r="AE70" s="95">
        <f t="shared" si="125"/>
        <v>0.24</v>
      </c>
      <c r="AF70" s="95">
        <f t="shared" si="125"/>
        <v>0.24</v>
      </c>
      <c r="AG70" s="95">
        <f t="shared" si="125"/>
        <v>0.24</v>
      </c>
      <c r="AH70" s="95">
        <f t="shared" si="125"/>
        <v>0.24</v>
      </c>
      <c r="AI70" s="95">
        <f t="shared" si="125"/>
        <v>0.24</v>
      </c>
      <c r="AJ70" s="95">
        <f t="shared" si="125"/>
        <v>0.24</v>
      </c>
      <c r="AK70" s="95">
        <f t="shared" si="125"/>
        <v>0.24</v>
      </c>
      <c r="AL70" s="96">
        <f t="shared" si="125"/>
        <v>0.24</v>
      </c>
      <c r="AM70" s="96">
        <f t="shared" si="125"/>
        <v>0.24</v>
      </c>
      <c r="AN70" s="96">
        <f t="shared" si="125"/>
        <v>0.24</v>
      </c>
      <c r="AO70" s="96">
        <f t="shared" si="125"/>
        <v>0.24</v>
      </c>
      <c r="AP70" s="96">
        <f t="shared" si="125"/>
        <v>0.24</v>
      </c>
      <c r="AQ70" s="96">
        <f t="shared" si="125"/>
        <v>0.24</v>
      </c>
      <c r="AR70" s="96">
        <f t="shared" si="125"/>
        <v>0.24</v>
      </c>
      <c r="AS70" s="96">
        <f t="shared" si="125"/>
        <v>0.24</v>
      </c>
      <c r="AT70" s="96">
        <f t="shared" si="125"/>
        <v>0.24</v>
      </c>
      <c r="AU70" s="96">
        <f t="shared" si="125"/>
        <v>0.24</v>
      </c>
      <c r="AV70" s="96">
        <f t="shared" si="125"/>
        <v>0.24</v>
      </c>
      <c r="AW70" s="96">
        <f t="shared" si="125"/>
        <v>0.24</v>
      </c>
      <c r="AX70" s="96">
        <f t="shared" si="125"/>
        <v>0.24</v>
      </c>
      <c r="AY70" s="96">
        <f t="shared" si="125"/>
        <v>0.24</v>
      </c>
      <c r="AZ70" s="96">
        <f t="shared" si="125"/>
        <v>0.24</v>
      </c>
      <c r="BA70" s="96">
        <f t="shared" si="125"/>
        <v>0.24</v>
      </c>
      <c r="BB70" s="96">
        <f t="shared" si="125"/>
        <v>0.24</v>
      </c>
      <c r="BC70" s="96">
        <f t="shared" si="125"/>
        <v>0.24</v>
      </c>
      <c r="BD70" s="96">
        <f t="shared" si="125"/>
        <v>0.24</v>
      </c>
      <c r="BE70" s="96">
        <f t="shared" si="125"/>
        <v>0.24</v>
      </c>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row>
    <row r="71" spans="1:119" ht="14.25" customHeight="1">
      <c r="A71" s="1"/>
      <c r="B71" s="1"/>
      <c r="C71" s="1"/>
      <c r="D71" s="1"/>
      <c r="E71" s="1"/>
      <c r="F71" s="1"/>
      <c r="G71" s="1"/>
      <c r="H71" s="35"/>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row>
    <row r="72" spans="1:119" ht="14.25" customHeight="1">
      <c r="A72" s="1"/>
      <c r="B72" s="1"/>
      <c r="C72" s="1"/>
      <c r="D72" s="1"/>
      <c r="E72" s="1"/>
      <c r="F72" s="97"/>
      <c r="G72" s="1"/>
      <c r="H72" s="35"/>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row>
    <row r="73" spans="1:119" ht="14.25" customHeight="1">
      <c r="A73" s="1"/>
      <c r="B73" s="1"/>
      <c r="C73" s="1"/>
      <c r="D73" s="1"/>
      <c r="E73" s="1"/>
      <c r="F73" s="1"/>
      <c r="G73" s="1"/>
      <c r="H73" s="35"/>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t="s">
        <v>231</v>
      </c>
      <c r="BM73" s="1"/>
      <c r="BN73" s="1"/>
      <c r="BO73" s="1"/>
      <c r="BP73" s="1"/>
      <c r="BQ73" s="1"/>
      <c r="BR73" s="1"/>
      <c r="BS73" s="1" t="s">
        <v>241</v>
      </c>
      <c r="BT73" s="1"/>
      <c r="BU73" s="1" t="s">
        <v>242</v>
      </c>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row>
    <row r="74" spans="1:119" ht="14.25" customHeight="1">
      <c r="A74" s="1" t="s">
        <v>243</v>
      </c>
      <c r="B74" s="1"/>
      <c r="C74" s="1"/>
      <c r="D74" s="1"/>
      <c r="E74" s="1"/>
      <c r="F74" s="1"/>
      <c r="G74" s="1"/>
      <c r="H74" s="35"/>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row>
    <row r="75" spans="1:119" ht="14.25" customHeight="1">
      <c r="A75" s="97" t="s">
        <v>244</v>
      </c>
      <c r="B75" s="1"/>
      <c r="C75" s="1"/>
      <c r="D75" s="1"/>
      <c r="E75" s="1"/>
      <c r="F75" s="1"/>
      <c r="G75" s="1"/>
      <c r="H75" s="35"/>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t="s">
        <v>231</v>
      </c>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row>
    <row r="76" spans="1:119" ht="14.25" customHeight="1">
      <c r="A76" s="97" t="s">
        <v>245</v>
      </c>
      <c r="B76" s="1"/>
      <c r="C76" s="1"/>
      <c r="D76" s="1"/>
      <c r="E76" s="1"/>
      <c r="F76" s="1"/>
      <c r="G76" s="1"/>
      <c r="H76" s="35"/>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row>
    <row r="77" spans="1:119" ht="14.25" customHeight="1">
      <c r="A77" s="97" t="s">
        <v>246</v>
      </c>
      <c r="B77" s="1"/>
      <c r="C77" s="1"/>
      <c r="D77" s="1"/>
      <c r="E77" s="1"/>
      <c r="F77" s="1"/>
      <c r="G77" s="1"/>
      <c r="H77" s="35"/>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row>
    <row r="78" spans="1:119" ht="14.25" customHeight="1">
      <c r="A78" s="97" t="s">
        <v>247</v>
      </c>
      <c r="B78" s="1"/>
      <c r="C78" s="1"/>
      <c r="D78" s="1"/>
      <c r="E78" s="1"/>
      <c r="F78" s="1"/>
      <c r="G78" s="1"/>
      <c r="H78" s="35"/>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row>
    <row r="79" spans="1:119" ht="14.25" customHeight="1">
      <c r="A79" s="97" t="s">
        <v>248</v>
      </c>
      <c r="B79" s="1"/>
      <c r="C79" s="1"/>
      <c r="D79" s="1"/>
      <c r="E79" s="1"/>
      <c r="F79" s="1"/>
      <c r="G79" s="1"/>
      <c r="H79" s="35"/>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row>
    <row r="80" spans="1:119" ht="14.25" customHeight="1">
      <c r="A80" s="97" t="s">
        <v>249</v>
      </c>
      <c r="B80" s="1"/>
      <c r="C80" s="1"/>
      <c r="D80" s="1"/>
      <c r="E80" s="1"/>
      <c r="F80" s="1"/>
      <c r="G80" s="1"/>
      <c r="H80" s="35"/>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row>
    <row r="81" spans="1:119" ht="14.25" customHeight="1">
      <c r="A81" s="97" t="s">
        <v>250</v>
      </c>
      <c r="B81" s="1"/>
      <c r="C81" s="97"/>
      <c r="D81" s="1"/>
      <c r="E81" s="1"/>
      <c r="F81" s="1"/>
      <c r="G81" s="1"/>
      <c r="H81" s="35"/>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row>
    <row r="82" spans="1:119" ht="14.25" customHeight="1">
      <c r="A82" s="97" t="s">
        <v>251</v>
      </c>
      <c r="B82" s="1"/>
      <c r="C82" s="97"/>
      <c r="D82" s="1"/>
      <c r="E82" s="1"/>
      <c r="F82" s="1"/>
      <c r="G82" s="1"/>
      <c r="H82" s="35"/>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row>
    <row r="83" spans="1:119" ht="14.25" customHeight="1">
      <c r="A83" s="97" t="s">
        <v>252</v>
      </c>
      <c r="B83" s="1"/>
      <c r="C83" s="97"/>
      <c r="D83" s="1"/>
      <c r="E83" s="1"/>
      <c r="F83" s="1"/>
      <c r="G83" s="1"/>
      <c r="H83" s="35"/>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row>
    <row r="84" spans="1:119" ht="14.25" customHeight="1">
      <c r="A84" s="97" t="s">
        <v>253</v>
      </c>
      <c r="B84" s="1"/>
      <c r="C84" s="1"/>
      <c r="D84" s="1"/>
      <c r="E84" s="1"/>
      <c r="F84" s="1"/>
      <c r="G84" s="1"/>
      <c r="H84" s="35"/>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row>
    <row r="85" spans="1:119" ht="14.25" customHeight="1">
      <c r="A85" s="97" t="s">
        <v>254</v>
      </c>
      <c r="B85" s="1"/>
      <c r="C85" s="97"/>
      <c r="D85" s="1"/>
      <c r="E85" s="1"/>
      <c r="F85" s="1"/>
      <c r="G85" s="1"/>
      <c r="H85" s="35"/>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row>
    <row r="86" spans="1:119" ht="14.25" customHeight="1">
      <c r="A86" s="97" t="s">
        <v>255</v>
      </c>
      <c r="B86" s="1"/>
      <c r="C86" s="97"/>
      <c r="D86" s="1"/>
      <c r="E86" s="1"/>
      <c r="F86" s="1"/>
      <c r="G86" s="1"/>
      <c r="H86" s="35"/>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row>
    <row r="87" spans="1:119" ht="14.25" customHeight="1">
      <c r="A87" s="97" t="s">
        <v>256</v>
      </c>
      <c r="B87" s="1"/>
      <c r="C87" s="1"/>
      <c r="D87" s="1"/>
      <c r="E87" s="1"/>
      <c r="F87" s="1"/>
      <c r="G87" s="1"/>
      <c r="H87" s="35"/>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row>
    <row r="88" spans="1:119" ht="14.25" customHeight="1">
      <c r="A88" s="97" t="s">
        <v>257</v>
      </c>
      <c r="B88" s="1"/>
      <c r="C88" s="1"/>
      <c r="D88" s="1"/>
      <c r="E88" s="1"/>
      <c r="F88" s="1"/>
      <c r="G88" s="1"/>
      <c r="H88" s="35"/>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row>
    <row r="89" spans="1:119" ht="14.25" customHeight="1">
      <c r="A89" s="1"/>
      <c r="B89" s="1"/>
      <c r="C89" s="1"/>
      <c r="D89" s="1"/>
      <c r="E89" s="1"/>
      <c r="F89" s="1"/>
      <c r="G89" s="1"/>
      <c r="H89" s="35"/>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row>
    <row r="90" spans="1:119" ht="14.25" customHeight="1">
      <c r="A90" s="1"/>
      <c r="B90" s="1"/>
      <c r="C90" s="1"/>
      <c r="D90" s="1"/>
      <c r="E90" s="1"/>
      <c r="F90" s="1"/>
      <c r="G90" s="1"/>
      <c r="H90" s="35"/>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row>
    <row r="91" spans="1:119" ht="14.25" customHeight="1">
      <c r="A91" s="1"/>
      <c r="B91" s="1"/>
      <c r="C91" s="1"/>
      <c r="D91" s="58" t="s">
        <v>258</v>
      </c>
      <c r="E91" s="1"/>
      <c r="F91" s="1"/>
      <c r="G91" s="1"/>
      <c r="H91" s="35"/>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row>
    <row r="92" spans="1:119" ht="14.25" customHeight="1">
      <c r="A92" s="1"/>
      <c r="B92" s="1"/>
      <c r="C92" s="1"/>
      <c r="D92" s="1"/>
      <c r="E92" s="1"/>
      <c r="F92" s="1"/>
      <c r="G92" s="1"/>
      <c r="H92" s="35"/>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row>
    <row r="93" spans="1:119" ht="14.25" customHeight="1">
      <c r="A93" s="1"/>
      <c r="B93" s="1"/>
      <c r="C93" s="1"/>
      <c r="D93" s="1"/>
      <c r="E93" s="1"/>
      <c r="F93" s="1"/>
      <c r="G93" s="1"/>
      <c r="H93" s="35"/>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row>
    <row r="94" spans="1:119" ht="14.25" customHeight="1">
      <c r="A94" s="1"/>
      <c r="B94" s="1"/>
      <c r="C94" s="97"/>
      <c r="D94" s="1"/>
      <c r="E94" s="1"/>
      <c r="F94" s="1"/>
      <c r="G94" s="1"/>
      <c r="H94" s="35"/>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row>
    <row r="95" spans="1:119" ht="14.25" customHeight="1">
      <c r="A95" s="1"/>
      <c r="B95" s="1"/>
      <c r="C95" s="1"/>
      <c r="D95" s="1"/>
      <c r="E95" s="1"/>
      <c r="F95" s="1"/>
      <c r="G95" s="1"/>
      <c r="H95" s="35"/>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row>
    <row r="96" spans="1:119" ht="14.25" customHeight="1">
      <c r="A96" s="1"/>
      <c r="B96" s="1"/>
      <c r="C96" s="1"/>
      <c r="D96" s="1"/>
      <c r="E96" s="1"/>
      <c r="F96" s="1"/>
      <c r="G96" s="1"/>
      <c r="H96" s="35"/>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row>
    <row r="97" spans="1:119" ht="14.25" customHeight="1">
      <c r="A97" s="1"/>
      <c r="B97" s="1"/>
      <c r="C97" s="97"/>
      <c r="D97" s="1"/>
      <c r="E97" s="1"/>
      <c r="F97" s="1"/>
      <c r="G97" s="1"/>
      <c r="H97" s="35"/>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row>
    <row r="98" spans="1:119" ht="14.25" customHeight="1">
      <c r="A98" s="1"/>
      <c r="B98" s="1"/>
      <c r="C98" s="97"/>
      <c r="D98" s="1"/>
      <c r="E98" s="1"/>
      <c r="F98" s="1"/>
      <c r="G98" s="1"/>
      <c r="H98" s="35"/>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row>
    <row r="99" spans="1:119" ht="14.25" customHeight="1">
      <c r="A99" s="1"/>
      <c r="B99" s="1"/>
      <c r="C99" s="97"/>
      <c r="D99" s="1"/>
      <c r="E99" s="1"/>
      <c r="F99" s="1"/>
      <c r="G99" s="1"/>
      <c r="H99" s="35"/>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row>
    <row r="100" spans="1:119" ht="14.25" customHeight="1">
      <c r="A100" s="1"/>
      <c r="B100" s="1"/>
      <c r="C100" s="1"/>
      <c r="D100" s="1"/>
      <c r="E100" s="1"/>
      <c r="F100" s="1"/>
      <c r="G100" s="1"/>
      <c r="H100" s="35"/>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row>
    <row r="101" spans="1:119" ht="14.25" customHeight="1">
      <c r="A101" s="1"/>
      <c r="B101" s="1"/>
      <c r="C101" s="1"/>
      <c r="D101" s="1"/>
      <c r="E101" s="1"/>
      <c r="F101" s="1"/>
      <c r="G101" s="1"/>
      <c r="H101" s="35"/>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row>
    <row r="102" spans="1:119" ht="14.25" customHeight="1">
      <c r="A102" s="1"/>
      <c r="B102" s="1"/>
      <c r="C102" s="1"/>
      <c r="D102" s="1"/>
      <c r="E102" s="1"/>
      <c r="F102" s="1"/>
      <c r="G102" s="1"/>
      <c r="H102" s="35"/>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row>
    <row r="103" spans="1:119" ht="14.25" customHeight="1">
      <c r="A103" s="1"/>
      <c r="B103" s="1"/>
      <c r="C103" s="1"/>
      <c r="D103" s="1"/>
      <c r="E103" s="1"/>
      <c r="F103" s="1"/>
      <c r="G103" s="1"/>
      <c r="H103" s="35"/>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row>
    <row r="104" spans="1:119" ht="14.25" customHeight="1">
      <c r="A104" s="1"/>
      <c r="B104" s="1"/>
      <c r="C104" s="1"/>
      <c r="D104" s="1"/>
      <c r="E104" s="1"/>
      <c r="F104" s="1"/>
      <c r="G104" s="1"/>
      <c r="H104" s="35"/>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row>
    <row r="105" spans="1:119" ht="14.25" customHeight="1">
      <c r="A105" s="1"/>
      <c r="B105" s="1"/>
      <c r="C105" s="1"/>
      <c r="D105" s="1"/>
      <c r="E105" s="1"/>
      <c r="F105" s="1"/>
      <c r="G105" s="1"/>
      <c r="H105" s="35"/>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row>
    <row r="106" spans="1:119" ht="14.25" customHeight="1">
      <c r="A106" s="1"/>
      <c r="B106" s="1"/>
      <c r="C106" s="1"/>
      <c r="D106" s="1"/>
      <c r="E106" s="1"/>
      <c r="F106" s="1"/>
      <c r="G106" s="1"/>
      <c r="H106" s="35"/>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row>
    <row r="107" spans="1:119" ht="14.25" customHeight="1">
      <c r="A107" s="1"/>
      <c r="B107" s="1"/>
      <c r="C107" s="1"/>
      <c r="D107" s="1"/>
      <c r="E107" s="1"/>
      <c r="F107" s="1"/>
      <c r="G107" s="1"/>
      <c r="H107" s="35"/>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row>
    <row r="108" spans="1:119" ht="14.25" customHeight="1">
      <c r="A108" s="1"/>
      <c r="B108" s="1"/>
      <c r="C108" s="1"/>
      <c r="D108" s="1"/>
      <c r="E108" s="1"/>
      <c r="F108" s="1"/>
      <c r="G108" s="1"/>
      <c r="H108" s="35"/>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row>
    <row r="109" spans="1:119" ht="14.25" customHeight="1">
      <c r="A109" s="1"/>
      <c r="B109" s="1"/>
      <c r="C109" s="1"/>
      <c r="D109" s="1"/>
      <c r="E109" s="1"/>
      <c r="F109" s="1"/>
      <c r="G109" s="1"/>
      <c r="H109" s="35"/>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row>
    <row r="110" spans="1:119" ht="14.25" customHeight="1">
      <c r="A110" s="1"/>
      <c r="B110" s="1"/>
      <c r="C110" s="1"/>
      <c r="D110" s="1"/>
      <c r="E110" s="1"/>
      <c r="F110" s="1"/>
      <c r="G110" s="1"/>
      <c r="H110" s="35"/>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row>
    <row r="111" spans="1:119" ht="14.25" customHeight="1">
      <c r="A111" s="1"/>
      <c r="B111" s="1"/>
      <c r="C111" s="1"/>
      <c r="D111" s="1"/>
      <c r="E111" s="1"/>
      <c r="F111" s="1"/>
      <c r="G111" s="1"/>
      <c r="H111" s="35"/>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row>
    <row r="112" spans="1:119" ht="14.25" customHeight="1">
      <c r="A112" s="1"/>
      <c r="B112" s="1"/>
      <c r="C112" s="1"/>
      <c r="D112" s="1"/>
      <c r="E112" s="1"/>
      <c r="F112" s="1"/>
      <c r="G112" s="1"/>
      <c r="H112" s="35"/>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row>
    <row r="113" spans="1:119" ht="14.25" customHeight="1">
      <c r="A113" s="1"/>
      <c r="B113" s="1"/>
      <c r="C113" s="1"/>
      <c r="D113" s="1"/>
      <c r="E113" s="1"/>
      <c r="F113" s="1"/>
      <c r="G113" s="1"/>
      <c r="H113" s="35"/>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row>
    <row r="114" spans="1:119" ht="14.25" customHeight="1">
      <c r="A114" s="1"/>
      <c r="B114" s="1"/>
      <c r="C114" s="1"/>
      <c r="D114" s="1"/>
      <c r="E114" s="1"/>
      <c r="F114" s="1"/>
      <c r="G114" s="1"/>
      <c r="H114" s="35"/>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row>
    <row r="115" spans="1:119" ht="14.25" customHeight="1">
      <c r="A115" s="1"/>
      <c r="B115" s="1"/>
      <c r="C115" s="1"/>
      <c r="D115" s="1"/>
      <c r="E115" s="1"/>
      <c r="F115" s="1"/>
      <c r="G115" s="1"/>
      <c r="H115" s="35"/>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row>
    <row r="116" spans="1:119" ht="14.25" customHeight="1">
      <c r="A116" s="1"/>
      <c r="B116" s="1"/>
      <c r="C116" s="1"/>
      <c r="D116" s="1"/>
      <c r="E116" s="1"/>
      <c r="F116" s="1"/>
      <c r="G116" s="1"/>
      <c r="H116" s="35"/>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row>
    <row r="117" spans="1:119" ht="14.25" customHeight="1">
      <c r="A117" s="1"/>
      <c r="B117" s="1"/>
      <c r="C117" s="1"/>
      <c r="D117" s="1"/>
      <c r="E117" s="1"/>
      <c r="F117" s="1"/>
      <c r="G117" s="1"/>
      <c r="H117" s="35"/>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row>
    <row r="118" spans="1:119" ht="14.25" customHeight="1">
      <c r="A118" s="1"/>
      <c r="B118" s="1"/>
      <c r="C118" s="1"/>
      <c r="D118" s="1"/>
      <c r="E118" s="1"/>
      <c r="F118" s="1"/>
      <c r="G118" s="1"/>
      <c r="H118" s="35"/>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row>
    <row r="119" spans="1:119" ht="14.25" customHeight="1">
      <c r="A119" s="1"/>
      <c r="B119" s="1"/>
      <c r="C119" s="1"/>
      <c r="D119" s="1"/>
      <c r="E119" s="1"/>
      <c r="F119" s="1"/>
      <c r="G119" s="1"/>
      <c r="H119" s="35"/>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row>
    <row r="120" spans="1:119" ht="14.25" customHeight="1">
      <c r="A120" s="1"/>
      <c r="B120" s="1"/>
      <c r="C120" s="1"/>
      <c r="D120" s="1"/>
      <c r="E120" s="1"/>
      <c r="F120" s="1"/>
      <c r="G120" s="1"/>
      <c r="H120" s="35"/>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row>
    <row r="121" spans="1:119" ht="14.25" customHeight="1">
      <c r="A121" s="1"/>
      <c r="B121" s="1"/>
      <c r="C121" s="1"/>
      <c r="D121" s="1"/>
      <c r="E121" s="1"/>
      <c r="F121" s="1"/>
      <c r="G121" s="1"/>
      <c r="H121" s="35"/>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row>
    <row r="122" spans="1:119" ht="14.25" customHeight="1">
      <c r="A122" s="1"/>
      <c r="B122" s="1"/>
      <c r="C122" s="1"/>
      <c r="D122" s="1"/>
      <c r="E122" s="1"/>
      <c r="F122" s="1"/>
      <c r="G122" s="1"/>
      <c r="H122" s="35"/>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row>
    <row r="123" spans="1:119" ht="14.25" customHeight="1">
      <c r="A123" s="1"/>
      <c r="B123" s="1"/>
      <c r="C123" s="1"/>
      <c r="D123" s="1"/>
      <c r="E123" s="1"/>
      <c r="F123" s="1"/>
      <c r="G123" s="1"/>
      <c r="H123" s="35"/>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row>
    <row r="124" spans="1:119" ht="14.25" customHeight="1">
      <c r="A124" s="1"/>
      <c r="B124" s="1"/>
      <c r="C124" s="1"/>
      <c r="D124" s="1"/>
      <c r="E124" s="1"/>
      <c r="F124" s="1"/>
      <c r="G124" s="1"/>
      <c r="H124" s="35"/>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row>
    <row r="125" spans="1:119" ht="14.25" customHeight="1">
      <c r="A125" s="1"/>
      <c r="B125" s="1"/>
      <c r="C125" s="1"/>
      <c r="D125" s="1"/>
      <c r="E125" s="1"/>
      <c r="F125" s="1"/>
      <c r="G125" s="1"/>
      <c r="H125" s="35"/>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row>
    <row r="126" spans="1:119" ht="14.25" customHeight="1">
      <c r="A126" s="1"/>
      <c r="B126" s="1"/>
      <c r="C126" s="1"/>
      <c r="D126" s="1"/>
      <c r="E126" s="1"/>
      <c r="F126" s="1"/>
      <c r="G126" s="1"/>
      <c r="H126" s="35"/>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row>
    <row r="127" spans="1:119" ht="14.25" customHeight="1">
      <c r="A127" s="1"/>
      <c r="B127" s="1"/>
      <c r="C127" s="1"/>
      <c r="D127" s="1"/>
      <c r="E127" s="1"/>
      <c r="F127" s="1"/>
      <c r="G127" s="1"/>
      <c r="H127" s="35"/>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row>
    <row r="128" spans="1:119" ht="14.25" customHeight="1">
      <c r="A128" s="1"/>
      <c r="B128" s="1"/>
      <c r="C128" s="1"/>
      <c r="D128" s="1"/>
      <c r="E128" s="1"/>
      <c r="F128" s="1"/>
      <c r="G128" s="1"/>
      <c r="H128" s="35"/>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row>
    <row r="129" spans="1:119" ht="14.25" customHeight="1">
      <c r="A129" s="1"/>
      <c r="B129" s="1"/>
      <c r="C129" s="1"/>
      <c r="D129" s="1"/>
      <c r="E129" s="1"/>
      <c r="F129" s="1"/>
      <c r="G129" s="1"/>
      <c r="H129" s="35"/>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row>
    <row r="130" spans="1:119" ht="14.25" customHeight="1">
      <c r="A130" s="1"/>
      <c r="B130" s="1"/>
      <c r="C130" s="1"/>
      <c r="D130" s="1"/>
      <c r="E130" s="1"/>
      <c r="F130" s="1"/>
      <c r="G130" s="1"/>
      <c r="H130" s="35"/>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row>
    <row r="131" spans="1:119" ht="14.25" customHeight="1">
      <c r="A131" s="1"/>
      <c r="B131" s="1"/>
      <c r="C131" s="1"/>
      <c r="D131" s="1"/>
      <c r="E131" s="1"/>
      <c r="F131" s="1"/>
      <c r="G131" s="1"/>
      <c r="H131" s="35"/>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row>
    <row r="132" spans="1:119" ht="14.25" customHeight="1">
      <c r="A132" s="1"/>
      <c r="B132" s="1"/>
      <c r="C132" s="1"/>
      <c r="D132" s="1"/>
      <c r="E132" s="1"/>
      <c r="F132" s="1"/>
      <c r="G132" s="1"/>
      <c r="H132" s="35"/>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row>
    <row r="133" spans="1:119" ht="14.25" customHeight="1">
      <c r="A133" s="1"/>
      <c r="B133" s="1"/>
      <c r="C133" s="1"/>
      <c r="D133" s="1"/>
      <c r="E133" s="1"/>
      <c r="F133" s="1"/>
      <c r="G133" s="1"/>
      <c r="H133" s="35"/>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row>
    <row r="134" spans="1:119" ht="14.25" customHeight="1">
      <c r="A134" s="1"/>
      <c r="B134" s="1"/>
      <c r="C134" s="1"/>
      <c r="D134" s="1"/>
      <c r="E134" s="1"/>
      <c r="F134" s="1"/>
      <c r="G134" s="1"/>
      <c r="H134" s="35"/>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row>
    <row r="135" spans="1:119" ht="14.25" customHeight="1">
      <c r="A135" s="1"/>
      <c r="B135" s="1"/>
      <c r="C135" s="1"/>
      <c r="D135" s="1"/>
      <c r="E135" s="1"/>
      <c r="F135" s="1"/>
      <c r="G135" s="1"/>
      <c r="H135" s="35"/>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row>
    <row r="136" spans="1:119" ht="14.25" customHeight="1">
      <c r="A136" s="1"/>
      <c r="B136" s="1"/>
      <c r="C136" s="1"/>
      <c r="D136" s="1"/>
      <c r="E136" s="1"/>
      <c r="F136" s="1"/>
      <c r="G136" s="1"/>
      <c r="H136" s="35"/>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row>
    <row r="137" spans="1:119" ht="14.25" customHeight="1">
      <c r="A137" s="1"/>
      <c r="B137" s="1"/>
      <c r="C137" s="1"/>
      <c r="D137" s="1"/>
      <c r="E137" s="1"/>
      <c r="F137" s="1"/>
      <c r="G137" s="1"/>
      <c r="H137" s="35"/>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row>
    <row r="138" spans="1:119" ht="14.25" customHeight="1">
      <c r="A138" s="1"/>
      <c r="B138" s="1"/>
      <c r="C138" s="1"/>
      <c r="D138" s="1"/>
      <c r="E138" s="1"/>
      <c r="F138" s="1"/>
      <c r="G138" s="1"/>
      <c r="H138" s="35"/>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row>
    <row r="139" spans="1:119" ht="14.25" customHeight="1">
      <c r="A139" s="1"/>
      <c r="B139" s="1"/>
      <c r="C139" s="1"/>
      <c r="D139" s="1"/>
      <c r="E139" s="1"/>
      <c r="F139" s="1"/>
      <c r="G139" s="1"/>
      <c r="H139" s="35"/>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row>
    <row r="140" spans="1:119" ht="14.25" customHeight="1">
      <c r="A140" s="1"/>
      <c r="B140" s="1"/>
      <c r="C140" s="1"/>
      <c r="D140" s="1"/>
      <c r="E140" s="1"/>
      <c r="F140" s="1"/>
      <c r="G140" s="1"/>
      <c r="H140" s="35"/>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row>
    <row r="141" spans="1:119" ht="14.25" customHeight="1">
      <c r="A141" s="1"/>
      <c r="B141" s="1"/>
      <c r="C141" s="1"/>
      <c r="D141" s="1"/>
      <c r="E141" s="1"/>
      <c r="F141" s="1"/>
      <c r="G141" s="1"/>
      <c r="H141" s="35"/>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row>
    <row r="142" spans="1:119" ht="14.25" customHeight="1">
      <c r="A142" s="1"/>
      <c r="B142" s="1"/>
      <c r="C142" s="1"/>
      <c r="D142" s="1"/>
      <c r="E142" s="1"/>
      <c r="F142" s="1"/>
      <c r="G142" s="1"/>
      <c r="H142" s="35"/>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row>
    <row r="143" spans="1:119" ht="14.25" customHeight="1">
      <c r="A143" s="1"/>
      <c r="B143" s="1"/>
      <c r="C143" s="1"/>
      <c r="D143" s="1"/>
      <c r="E143" s="1"/>
      <c r="F143" s="1"/>
      <c r="G143" s="1"/>
      <c r="H143" s="35"/>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row>
    <row r="144" spans="1:119" ht="14.25" customHeight="1">
      <c r="A144" s="1"/>
      <c r="B144" s="1"/>
      <c r="C144" s="1"/>
      <c r="D144" s="1"/>
      <c r="E144" s="1"/>
      <c r="F144" s="1"/>
      <c r="G144" s="1"/>
      <c r="H144" s="35"/>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row>
    <row r="145" spans="1:119" ht="14.25" customHeight="1">
      <c r="A145" s="1"/>
      <c r="B145" s="1"/>
      <c r="C145" s="1"/>
      <c r="D145" s="1"/>
      <c r="E145" s="1"/>
      <c r="F145" s="1"/>
      <c r="G145" s="1"/>
      <c r="H145" s="35"/>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row>
    <row r="146" spans="1:119" ht="14.25" customHeight="1">
      <c r="A146" s="1"/>
      <c r="B146" s="1"/>
      <c r="C146" s="1"/>
      <c r="D146" s="1"/>
      <c r="E146" s="1"/>
      <c r="F146" s="1"/>
      <c r="G146" s="1"/>
      <c r="H146" s="35"/>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row>
    <row r="147" spans="1:119" ht="14.25" customHeight="1">
      <c r="A147" s="1"/>
      <c r="B147" s="1"/>
      <c r="C147" s="1"/>
      <c r="D147" s="1"/>
      <c r="E147" s="1"/>
      <c r="F147" s="1"/>
      <c r="G147" s="1"/>
      <c r="H147" s="35"/>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row>
    <row r="148" spans="1:119" ht="14.25" customHeight="1">
      <c r="A148" s="1"/>
      <c r="B148" s="1"/>
      <c r="C148" s="1"/>
      <c r="D148" s="1"/>
      <c r="E148" s="1"/>
      <c r="F148" s="1"/>
      <c r="G148" s="1"/>
      <c r="H148" s="35"/>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row>
    <row r="149" spans="1:119" ht="14.25" customHeight="1">
      <c r="A149" s="1"/>
      <c r="B149" s="1"/>
      <c r="C149" s="1"/>
      <c r="D149" s="1"/>
      <c r="E149" s="1"/>
      <c r="F149" s="1"/>
      <c r="G149" s="1"/>
      <c r="H149" s="35"/>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row>
    <row r="150" spans="1:119" ht="14.25" customHeight="1">
      <c r="A150" s="1"/>
      <c r="B150" s="1"/>
      <c r="C150" s="1"/>
      <c r="D150" s="1"/>
      <c r="E150" s="1"/>
      <c r="F150" s="1"/>
      <c r="G150" s="1"/>
      <c r="H150" s="35"/>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row>
    <row r="151" spans="1:119" ht="14.25" customHeight="1">
      <c r="A151" s="1"/>
      <c r="B151" s="1"/>
      <c r="C151" s="1"/>
      <c r="D151" s="1"/>
      <c r="E151" s="1"/>
      <c r="F151" s="1"/>
      <c r="G151" s="1"/>
      <c r="H151" s="35"/>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row>
    <row r="152" spans="1:119" ht="14.25" customHeight="1">
      <c r="A152" s="1"/>
      <c r="B152" s="1"/>
      <c r="C152" s="1"/>
      <c r="D152" s="1"/>
      <c r="E152" s="1"/>
      <c r="F152" s="1"/>
      <c r="G152" s="1"/>
      <c r="H152" s="35"/>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row>
    <row r="153" spans="1:119" ht="14.25" customHeight="1">
      <c r="A153" s="1"/>
      <c r="B153" s="1"/>
      <c r="C153" s="1"/>
      <c r="D153" s="1"/>
      <c r="E153" s="1"/>
      <c r="F153" s="1"/>
      <c r="G153" s="1"/>
      <c r="H153" s="35"/>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row>
    <row r="154" spans="1:119" ht="14.25" customHeight="1">
      <c r="A154" s="1"/>
      <c r="B154" s="1"/>
      <c r="C154" s="1"/>
      <c r="D154" s="1"/>
      <c r="E154" s="1"/>
      <c r="F154" s="1"/>
      <c r="G154" s="1"/>
      <c r="H154" s="35"/>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row>
    <row r="155" spans="1:119" ht="14.25" customHeight="1">
      <c r="A155" s="1"/>
      <c r="B155" s="1"/>
      <c r="C155" s="1"/>
      <c r="D155" s="1"/>
      <c r="E155" s="1"/>
      <c r="F155" s="1"/>
      <c r="G155" s="1"/>
      <c r="H155" s="35"/>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row>
    <row r="156" spans="1:119" ht="14.25" customHeight="1">
      <c r="A156" s="1"/>
      <c r="B156" s="1"/>
      <c r="C156" s="1"/>
      <c r="D156" s="1"/>
      <c r="E156" s="1"/>
      <c r="F156" s="1"/>
      <c r="G156" s="1"/>
      <c r="H156" s="35"/>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row>
    <row r="157" spans="1:119" ht="14.25" customHeight="1">
      <c r="A157" s="1"/>
      <c r="B157" s="1"/>
      <c r="C157" s="1"/>
      <c r="D157" s="1"/>
      <c r="E157" s="1"/>
      <c r="F157" s="1"/>
      <c r="G157" s="1"/>
      <c r="H157" s="35"/>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row>
    <row r="158" spans="1:119" ht="14.25" customHeight="1">
      <c r="A158" s="1"/>
      <c r="B158" s="1"/>
      <c r="C158" s="1"/>
      <c r="D158" s="1"/>
      <c r="E158" s="1"/>
      <c r="F158" s="1"/>
      <c r="G158" s="1"/>
      <c r="H158" s="35"/>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row>
    <row r="159" spans="1:119" ht="14.25" customHeight="1">
      <c r="A159" s="1"/>
      <c r="B159" s="1"/>
      <c r="C159" s="1"/>
      <c r="D159" s="1"/>
      <c r="E159" s="1"/>
      <c r="F159" s="1"/>
      <c r="G159" s="1"/>
      <c r="H159" s="35"/>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row>
    <row r="160" spans="1:119" ht="14.25" customHeight="1">
      <c r="A160" s="1"/>
      <c r="B160" s="1"/>
      <c r="C160" s="1"/>
      <c r="D160" s="1"/>
      <c r="E160" s="1"/>
      <c r="F160" s="1"/>
      <c r="G160" s="1"/>
      <c r="H160" s="35"/>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row>
    <row r="161" spans="1:119" ht="14.25" customHeight="1">
      <c r="A161" s="1"/>
      <c r="B161" s="1"/>
      <c r="C161" s="1"/>
      <c r="D161" s="1"/>
      <c r="E161" s="1"/>
      <c r="F161" s="1"/>
      <c r="G161" s="1"/>
      <c r="H161" s="35"/>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row>
    <row r="162" spans="1:119" ht="14.25" customHeight="1">
      <c r="A162" s="1"/>
      <c r="B162" s="1"/>
      <c r="C162" s="1"/>
      <c r="D162" s="1"/>
      <c r="E162" s="1"/>
      <c r="F162" s="1"/>
      <c r="G162" s="1"/>
      <c r="H162" s="35"/>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row>
    <row r="163" spans="1:119" ht="14.25" customHeight="1">
      <c r="A163" s="1"/>
      <c r="B163" s="1"/>
      <c r="C163" s="1"/>
      <c r="D163" s="1"/>
      <c r="E163" s="1"/>
      <c r="F163" s="1"/>
      <c r="G163" s="1"/>
      <c r="H163" s="35"/>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row>
    <row r="164" spans="1:119" ht="14.25" customHeight="1">
      <c r="A164" s="1"/>
      <c r="B164" s="1"/>
      <c r="C164" s="1"/>
      <c r="D164" s="1"/>
      <c r="E164" s="1"/>
      <c r="F164" s="1"/>
      <c r="G164" s="1"/>
      <c r="H164" s="35"/>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row>
    <row r="165" spans="1:119" ht="14.25" customHeight="1">
      <c r="A165" s="1"/>
      <c r="B165" s="1"/>
      <c r="C165" s="1"/>
      <c r="D165" s="1"/>
      <c r="E165" s="1"/>
      <c r="F165" s="1"/>
      <c r="G165" s="1"/>
      <c r="H165" s="35"/>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row>
    <row r="166" spans="1:119" ht="14.25" customHeight="1">
      <c r="A166" s="1"/>
      <c r="B166" s="1"/>
      <c r="C166" s="1"/>
      <c r="D166" s="1"/>
      <c r="E166" s="1"/>
      <c r="F166" s="1"/>
      <c r="G166" s="1"/>
      <c r="H166" s="35"/>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row>
    <row r="167" spans="1:119" ht="14.25" customHeight="1">
      <c r="A167" s="1"/>
      <c r="B167" s="1"/>
      <c r="C167" s="1"/>
      <c r="D167" s="1"/>
      <c r="E167" s="1"/>
      <c r="F167" s="1"/>
      <c r="G167" s="1"/>
      <c r="H167" s="35"/>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row>
    <row r="168" spans="1:119" ht="14.25" customHeight="1">
      <c r="A168" s="1"/>
      <c r="B168" s="1"/>
      <c r="C168" s="1"/>
      <c r="D168" s="1"/>
      <c r="E168" s="1"/>
      <c r="F168" s="1"/>
      <c r="G168" s="1"/>
      <c r="H168" s="35"/>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row>
    <row r="169" spans="1:119" ht="14.25" customHeight="1">
      <c r="A169" s="1"/>
      <c r="B169" s="1"/>
      <c r="C169" s="1"/>
      <c r="D169" s="1"/>
      <c r="E169" s="1"/>
      <c r="F169" s="1"/>
      <c r="G169" s="1"/>
      <c r="H169" s="35"/>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row>
    <row r="170" spans="1:119" ht="14.25" customHeight="1">
      <c r="A170" s="1"/>
      <c r="B170" s="1"/>
      <c r="C170" s="1"/>
      <c r="D170" s="1"/>
      <c r="E170" s="1"/>
      <c r="F170" s="1"/>
      <c r="G170" s="1"/>
      <c r="H170" s="35"/>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row>
    <row r="171" spans="1:119" ht="14.25" customHeight="1">
      <c r="A171" s="1"/>
      <c r="B171" s="1"/>
      <c r="C171" s="1"/>
      <c r="D171" s="1"/>
      <c r="E171" s="1"/>
      <c r="F171" s="1"/>
      <c r="G171" s="1"/>
      <c r="H171" s="35"/>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row>
    <row r="172" spans="1:119" ht="14.25" customHeight="1">
      <c r="A172" s="1"/>
      <c r="B172" s="1"/>
      <c r="C172" s="1"/>
      <c r="D172" s="1"/>
      <c r="E172" s="1"/>
      <c r="F172" s="1"/>
      <c r="G172" s="1"/>
      <c r="H172" s="35"/>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row>
    <row r="173" spans="1:119" ht="14.25" customHeight="1">
      <c r="A173" s="1"/>
      <c r="B173" s="1"/>
      <c r="C173" s="1"/>
      <c r="D173" s="1"/>
      <c r="E173" s="1"/>
      <c r="F173" s="1"/>
      <c r="G173" s="1"/>
      <c r="H173" s="35"/>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row>
    <row r="174" spans="1:119" ht="14.25" customHeight="1">
      <c r="A174" s="1"/>
      <c r="B174" s="1"/>
      <c r="C174" s="1"/>
      <c r="D174" s="1"/>
      <c r="E174" s="1"/>
      <c r="F174" s="1"/>
      <c r="G174" s="1"/>
      <c r="H174" s="35"/>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row>
    <row r="175" spans="1:119" ht="14.25" customHeight="1">
      <c r="A175" s="1"/>
      <c r="B175" s="1"/>
      <c r="C175" s="1"/>
      <c r="D175" s="1"/>
      <c r="E175" s="1"/>
      <c r="F175" s="1"/>
      <c r="G175" s="1"/>
      <c r="H175" s="35"/>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row>
    <row r="176" spans="1:119" ht="14.25" customHeight="1">
      <c r="A176" s="1"/>
      <c r="B176" s="1"/>
      <c r="C176" s="1"/>
      <c r="D176" s="1"/>
      <c r="E176" s="1"/>
      <c r="F176" s="1"/>
      <c r="G176" s="1"/>
      <c r="H176" s="35"/>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row>
    <row r="177" spans="1:119" ht="14.25" customHeight="1">
      <c r="A177" s="1"/>
      <c r="B177" s="1"/>
      <c r="C177" s="1"/>
      <c r="D177" s="1"/>
      <c r="E177" s="1"/>
      <c r="F177" s="1"/>
      <c r="G177" s="1"/>
      <c r="H177" s="35"/>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row>
    <row r="178" spans="1:119" ht="14.25" customHeight="1">
      <c r="A178" s="1"/>
      <c r="B178" s="1"/>
      <c r="C178" s="1"/>
      <c r="D178" s="1"/>
      <c r="E178" s="1"/>
      <c r="F178" s="1"/>
      <c r="G178" s="1"/>
      <c r="H178" s="35"/>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row>
    <row r="179" spans="1:119" ht="14.25" customHeight="1">
      <c r="A179" s="1"/>
      <c r="B179" s="1"/>
      <c r="C179" s="1"/>
      <c r="D179" s="1"/>
      <c r="E179" s="1"/>
      <c r="F179" s="1"/>
      <c r="G179" s="1"/>
      <c r="H179" s="35"/>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row>
    <row r="180" spans="1:119" ht="14.25" customHeight="1">
      <c r="A180" s="1"/>
      <c r="B180" s="1"/>
      <c r="C180" s="1"/>
      <c r="D180" s="1"/>
      <c r="E180" s="1"/>
      <c r="F180" s="1"/>
      <c r="G180" s="1"/>
      <c r="H180" s="35"/>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row>
    <row r="181" spans="1:119" ht="14.25" customHeight="1">
      <c r="A181" s="1"/>
      <c r="B181" s="1"/>
      <c r="C181" s="1"/>
      <c r="D181" s="1"/>
      <c r="E181" s="1"/>
      <c r="F181" s="1"/>
      <c r="G181" s="1"/>
      <c r="H181" s="35"/>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row>
    <row r="182" spans="1:119" ht="14.25" customHeight="1">
      <c r="A182" s="1"/>
      <c r="B182" s="1"/>
      <c r="C182" s="1"/>
      <c r="D182" s="1"/>
      <c r="E182" s="1"/>
      <c r="F182" s="1"/>
      <c r="G182" s="1"/>
      <c r="H182" s="35"/>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row>
    <row r="183" spans="1:119" ht="14.25" customHeight="1">
      <c r="A183" s="1"/>
      <c r="B183" s="1"/>
      <c r="C183" s="1"/>
      <c r="D183" s="1"/>
      <c r="E183" s="1"/>
      <c r="F183" s="1"/>
      <c r="G183" s="1"/>
      <c r="H183" s="35"/>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row>
    <row r="184" spans="1:119" ht="14.25" customHeight="1">
      <c r="A184" s="1"/>
      <c r="B184" s="1"/>
      <c r="C184" s="1"/>
      <c r="D184" s="1"/>
      <c r="E184" s="1"/>
      <c r="F184" s="1"/>
      <c r="G184" s="1"/>
      <c r="H184" s="35"/>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row>
    <row r="185" spans="1:119" ht="14.25" customHeight="1">
      <c r="A185" s="1"/>
      <c r="B185" s="1"/>
      <c r="C185" s="1"/>
      <c r="D185" s="1"/>
      <c r="E185" s="1"/>
      <c r="F185" s="1"/>
      <c r="G185" s="1"/>
      <c r="H185" s="35"/>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row>
    <row r="186" spans="1:119" ht="14.25" customHeight="1">
      <c r="A186" s="1"/>
      <c r="B186" s="1"/>
      <c r="C186" s="1"/>
      <c r="D186" s="1"/>
      <c r="E186" s="1"/>
      <c r="F186" s="1"/>
      <c r="G186" s="1"/>
      <c r="H186" s="35"/>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row>
    <row r="187" spans="1:119" ht="14.25" customHeight="1">
      <c r="A187" s="1"/>
      <c r="B187" s="1"/>
      <c r="C187" s="1"/>
      <c r="D187" s="1"/>
      <c r="E187" s="1"/>
      <c r="F187" s="1"/>
      <c r="G187" s="1"/>
      <c r="H187" s="35"/>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row>
    <row r="188" spans="1:119" ht="14.25" customHeight="1">
      <c r="A188" s="1"/>
      <c r="B188" s="1"/>
      <c r="C188" s="1"/>
      <c r="D188" s="1"/>
      <c r="E188" s="1"/>
      <c r="F188" s="1"/>
      <c r="G188" s="1"/>
      <c r="H188" s="35"/>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row>
    <row r="189" spans="1:119" ht="14.25" customHeight="1">
      <c r="A189" s="1"/>
      <c r="B189" s="1"/>
      <c r="C189" s="1"/>
      <c r="D189" s="1"/>
      <c r="E189" s="1"/>
      <c r="F189" s="1"/>
      <c r="G189" s="1"/>
      <c r="H189" s="35"/>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row>
    <row r="190" spans="1:119" ht="14.25" customHeight="1">
      <c r="A190" s="1"/>
      <c r="B190" s="1"/>
      <c r="C190" s="1"/>
      <c r="D190" s="1"/>
      <c r="E190" s="1"/>
      <c r="F190" s="1"/>
      <c r="G190" s="1"/>
      <c r="H190" s="35"/>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row>
    <row r="191" spans="1:119" ht="14.25" customHeight="1">
      <c r="A191" s="1"/>
      <c r="B191" s="1"/>
      <c r="C191" s="1"/>
      <c r="D191" s="1"/>
      <c r="E191" s="1"/>
      <c r="F191" s="1"/>
      <c r="G191" s="1"/>
      <c r="H191" s="35"/>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row>
    <row r="192" spans="1:119" ht="14.25" customHeight="1">
      <c r="A192" s="1"/>
      <c r="B192" s="1"/>
      <c r="C192" s="1"/>
      <c r="D192" s="1"/>
      <c r="E192" s="1"/>
      <c r="F192" s="1"/>
      <c r="G192" s="1"/>
      <c r="H192" s="35"/>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row>
    <row r="193" spans="1:119" ht="14.25" customHeight="1">
      <c r="A193" s="1"/>
      <c r="B193" s="1"/>
      <c r="C193" s="1"/>
      <c r="D193" s="1"/>
      <c r="E193" s="1"/>
      <c r="F193" s="1"/>
      <c r="G193" s="1"/>
      <c r="H193" s="35"/>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row>
    <row r="194" spans="1:119" ht="14.25" customHeight="1">
      <c r="A194" s="1"/>
      <c r="B194" s="1"/>
      <c r="C194" s="1"/>
      <c r="D194" s="1"/>
      <c r="E194" s="1"/>
      <c r="F194" s="1"/>
      <c r="G194" s="1"/>
      <c r="H194" s="35"/>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row>
    <row r="195" spans="1:119" ht="14.25" customHeight="1">
      <c r="A195" s="1"/>
      <c r="B195" s="1"/>
      <c r="C195" s="1"/>
      <c r="D195" s="1"/>
      <c r="E195" s="1"/>
      <c r="F195" s="1"/>
      <c r="G195" s="1"/>
      <c r="H195" s="35"/>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row>
    <row r="196" spans="1:119" ht="14.25" customHeight="1">
      <c r="A196" s="1"/>
      <c r="B196" s="1"/>
      <c r="C196" s="1"/>
      <c r="D196" s="1"/>
      <c r="E196" s="1"/>
      <c r="F196" s="1"/>
      <c r="G196" s="1"/>
      <c r="H196" s="35"/>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row>
    <row r="197" spans="1:119" ht="14.25" customHeight="1">
      <c r="A197" s="1"/>
      <c r="B197" s="1"/>
      <c r="C197" s="1"/>
      <c r="D197" s="1"/>
      <c r="E197" s="1"/>
      <c r="F197" s="1"/>
      <c r="G197" s="1"/>
      <c r="H197" s="35"/>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row>
    <row r="198" spans="1:119" ht="14.25" customHeight="1">
      <c r="A198" s="1"/>
      <c r="B198" s="1"/>
      <c r="C198" s="1"/>
      <c r="D198" s="1"/>
      <c r="E198" s="1"/>
      <c r="F198" s="1"/>
      <c r="G198" s="1"/>
      <c r="H198" s="35"/>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row>
    <row r="199" spans="1:119" ht="14.25" customHeight="1">
      <c r="A199" s="1"/>
      <c r="B199" s="1"/>
      <c r="C199" s="1"/>
      <c r="D199" s="1"/>
      <c r="E199" s="1"/>
      <c r="F199" s="1"/>
      <c r="G199" s="1"/>
      <c r="H199" s="35"/>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row>
    <row r="200" spans="1:119" ht="14.25" customHeight="1">
      <c r="A200" s="1"/>
      <c r="B200" s="1"/>
      <c r="C200" s="1"/>
      <c r="D200" s="1"/>
      <c r="E200" s="1"/>
      <c r="F200" s="1"/>
      <c r="G200" s="1"/>
      <c r="H200" s="35"/>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row>
    <row r="201" spans="1:119" ht="14.25" customHeight="1">
      <c r="A201" s="1"/>
      <c r="B201" s="1"/>
      <c r="C201" s="1"/>
      <c r="D201" s="1"/>
      <c r="E201" s="1"/>
      <c r="F201" s="1"/>
      <c r="G201" s="1"/>
      <c r="H201" s="35"/>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row>
    <row r="202" spans="1:119" ht="14.25" customHeight="1">
      <c r="A202" s="1"/>
      <c r="B202" s="1"/>
      <c r="C202" s="1"/>
      <c r="D202" s="1"/>
      <c r="E202" s="1"/>
      <c r="F202" s="1"/>
      <c r="G202" s="1"/>
      <c r="H202" s="35"/>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row>
    <row r="203" spans="1:119" ht="14.25" customHeight="1">
      <c r="A203" s="1"/>
      <c r="B203" s="1"/>
      <c r="C203" s="1"/>
      <c r="D203" s="1"/>
      <c r="E203" s="1"/>
      <c r="F203" s="1"/>
      <c r="G203" s="1"/>
      <c r="H203" s="35"/>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row>
    <row r="204" spans="1:119" ht="14.25" customHeight="1">
      <c r="A204" s="1"/>
      <c r="B204" s="1"/>
      <c r="C204" s="1"/>
      <c r="D204" s="1"/>
      <c r="E204" s="1"/>
      <c r="F204" s="1"/>
      <c r="G204" s="1"/>
      <c r="H204" s="35"/>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row>
    <row r="205" spans="1:119" ht="14.25" customHeight="1">
      <c r="A205" s="1"/>
      <c r="B205" s="1"/>
      <c r="C205" s="1"/>
      <c r="D205" s="1"/>
      <c r="E205" s="1"/>
      <c r="F205" s="1"/>
      <c r="G205" s="1"/>
      <c r="H205" s="35"/>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row>
    <row r="206" spans="1:119" ht="14.25" customHeight="1">
      <c r="A206" s="1"/>
      <c r="B206" s="1"/>
      <c r="C206" s="1"/>
      <c r="D206" s="1"/>
      <c r="E206" s="1"/>
      <c r="F206" s="1"/>
      <c r="G206" s="1"/>
      <c r="H206" s="35"/>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row>
    <row r="207" spans="1:119" ht="14.25" customHeight="1">
      <c r="A207" s="1"/>
      <c r="B207" s="1"/>
      <c r="C207" s="1"/>
      <c r="D207" s="1"/>
      <c r="E207" s="1"/>
      <c r="F207" s="1"/>
      <c r="G207" s="1"/>
      <c r="H207" s="35"/>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row>
    <row r="208" spans="1:119" ht="14.25" customHeight="1">
      <c r="A208" s="1"/>
      <c r="B208" s="1"/>
      <c r="C208" s="1"/>
      <c r="D208" s="1"/>
      <c r="E208" s="1"/>
      <c r="F208" s="1"/>
      <c r="G208" s="1"/>
      <c r="H208" s="35"/>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row>
    <row r="209" spans="1:119" ht="14.25" customHeight="1">
      <c r="A209" s="1"/>
      <c r="B209" s="1"/>
      <c r="C209" s="1"/>
      <c r="D209" s="1"/>
      <c r="E209" s="1"/>
      <c r="F209" s="1"/>
      <c r="G209" s="1"/>
      <c r="H209" s="35"/>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row>
    <row r="210" spans="1:119" ht="14.25" customHeight="1">
      <c r="A210" s="1"/>
      <c r="B210" s="1"/>
      <c r="C210" s="1"/>
      <c r="D210" s="1"/>
      <c r="E210" s="1"/>
      <c r="F210" s="1"/>
      <c r="G210" s="1"/>
      <c r="H210" s="35"/>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row>
    <row r="211" spans="1:119" ht="14.25" customHeight="1">
      <c r="A211" s="1"/>
      <c r="B211" s="1"/>
      <c r="C211" s="1"/>
      <c r="D211" s="1"/>
      <c r="E211" s="1"/>
      <c r="F211" s="1"/>
      <c r="G211" s="1"/>
      <c r="H211" s="35"/>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row>
    <row r="212" spans="1:119" ht="14.25" customHeight="1">
      <c r="A212" s="1"/>
      <c r="B212" s="1"/>
      <c r="C212" s="1"/>
      <c r="D212" s="1"/>
      <c r="E212" s="1"/>
      <c r="F212" s="1"/>
      <c r="G212" s="1"/>
      <c r="H212" s="35"/>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row>
    <row r="213" spans="1:119" ht="14.25" customHeight="1">
      <c r="A213" s="1"/>
      <c r="B213" s="1"/>
      <c r="C213" s="1"/>
      <c r="D213" s="1"/>
      <c r="E213" s="1"/>
      <c r="F213" s="1"/>
      <c r="G213" s="1"/>
      <c r="H213" s="35"/>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row>
    <row r="214" spans="1:119" ht="14.25" customHeight="1">
      <c r="A214" s="1"/>
      <c r="B214" s="1"/>
      <c r="C214" s="1"/>
      <c r="D214" s="1"/>
      <c r="E214" s="1"/>
      <c r="F214" s="1"/>
      <c r="G214" s="1"/>
      <c r="H214" s="35"/>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row>
    <row r="215" spans="1:119" ht="14.25" customHeight="1">
      <c r="A215" s="1"/>
      <c r="B215" s="1"/>
      <c r="C215" s="1"/>
      <c r="D215" s="1"/>
      <c r="E215" s="1"/>
      <c r="F215" s="1"/>
      <c r="G215" s="1"/>
      <c r="H215" s="35"/>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row>
    <row r="216" spans="1:119" ht="14.25" customHeight="1">
      <c r="A216" s="1"/>
      <c r="B216" s="1"/>
      <c r="C216" s="1"/>
      <c r="D216" s="1"/>
      <c r="E216" s="1"/>
      <c r="F216" s="1"/>
      <c r="G216" s="1"/>
      <c r="H216" s="35"/>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row>
    <row r="217" spans="1:119" ht="14.25" customHeight="1">
      <c r="A217" s="1"/>
      <c r="B217" s="1"/>
      <c r="C217" s="1"/>
      <c r="D217" s="1"/>
      <c r="E217" s="1"/>
      <c r="F217" s="1"/>
      <c r="G217" s="1"/>
      <c r="H217" s="35"/>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row>
    <row r="218" spans="1:119" ht="14.25" customHeight="1">
      <c r="A218" s="1"/>
      <c r="B218" s="1"/>
      <c r="C218" s="1"/>
      <c r="D218" s="1"/>
      <c r="E218" s="1"/>
      <c r="F218" s="1"/>
      <c r="G218" s="1"/>
      <c r="H218" s="35"/>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row>
    <row r="219" spans="1:119" ht="14.25" customHeight="1">
      <c r="A219" s="1"/>
      <c r="B219" s="1"/>
      <c r="C219" s="1"/>
      <c r="D219" s="1"/>
      <c r="E219" s="1"/>
      <c r="F219" s="1"/>
      <c r="G219" s="1"/>
      <c r="H219" s="35"/>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row>
    <row r="220" spans="1:119" ht="14.25" customHeight="1">
      <c r="A220" s="1"/>
      <c r="B220" s="1"/>
      <c r="C220" s="1"/>
      <c r="D220" s="1"/>
      <c r="E220" s="1"/>
      <c r="F220" s="1"/>
      <c r="G220" s="1"/>
      <c r="H220" s="35"/>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row>
    <row r="221" spans="1:119" ht="14.25" customHeight="1">
      <c r="A221" s="1"/>
      <c r="B221" s="1"/>
      <c r="C221" s="1"/>
      <c r="D221" s="1"/>
      <c r="E221" s="1"/>
      <c r="F221" s="1"/>
      <c r="G221" s="1"/>
      <c r="H221" s="35"/>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row>
    <row r="222" spans="1:119" ht="14.25" customHeight="1">
      <c r="A222" s="1"/>
      <c r="B222" s="1"/>
      <c r="C222" s="1"/>
      <c r="D222" s="1"/>
      <c r="E222" s="1"/>
      <c r="F222" s="1"/>
      <c r="G222" s="1"/>
      <c r="H222" s="35"/>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row>
    <row r="223" spans="1:119" ht="14.25" customHeight="1">
      <c r="A223" s="1"/>
      <c r="B223" s="1"/>
      <c r="C223" s="1"/>
      <c r="D223" s="1"/>
      <c r="E223" s="1"/>
      <c r="F223" s="1"/>
      <c r="G223" s="1"/>
      <c r="H223" s="35"/>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row>
    <row r="224" spans="1:119" ht="14.25" customHeight="1">
      <c r="A224" s="1"/>
      <c r="B224" s="1"/>
      <c r="C224" s="1"/>
      <c r="D224" s="1"/>
      <c r="E224" s="1"/>
      <c r="F224" s="1"/>
      <c r="G224" s="1"/>
      <c r="H224" s="35"/>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row>
    <row r="225" spans="1:119" ht="14.25" customHeight="1">
      <c r="A225" s="1"/>
      <c r="B225" s="1"/>
      <c r="C225" s="1"/>
      <c r="D225" s="1"/>
      <c r="E225" s="1"/>
      <c r="F225" s="1"/>
      <c r="G225" s="1"/>
      <c r="H225" s="35"/>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row>
    <row r="226" spans="1:119" ht="14.25" customHeight="1">
      <c r="A226" s="1"/>
      <c r="B226" s="1"/>
      <c r="C226" s="1"/>
      <c r="D226" s="1"/>
      <c r="E226" s="1"/>
      <c r="F226" s="1"/>
      <c r="G226" s="1"/>
      <c r="H226" s="35"/>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row>
    <row r="227" spans="1:119" ht="14.25" customHeight="1">
      <c r="A227" s="1"/>
      <c r="B227" s="1"/>
      <c r="C227" s="1"/>
      <c r="D227" s="1"/>
      <c r="E227" s="1"/>
      <c r="F227" s="1"/>
      <c r="G227" s="1"/>
      <c r="H227" s="35"/>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row>
    <row r="228" spans="1:119" ht="14.25" customHeight="1">
      <c r="A228" s="1"/>
      <c r="B228" s="1"/>
      <c r="C228" s="1"/>
      <c r="D228" s="1"/>
      <c r="E228" s="1"/>
      <c r="F228" s="1"/>
      <c r="G228" s="1"/>
      <c r="H228" s="35"/>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row>
    <row r="229" spans="1:119" ht="14.25" customHeight="1">
      <c r="A229" s="1"/>
      <c r="B229" s="1"/>
      <c r="C229" s="1"/>
      <c r="D229" s="1"/>
      <c r="E229" s="1"/>
      <c r="F229" s="1"/>
      <c r="G229" s="1"/>
      <c r="H229" s="35"/>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row>
    <row r="230" spans="1:119" ht="14.25" customHeight="1">
      <c r="A230" s="1"/>
      <c r="B230" s="1"/>
      <c r="C230" s="1"/>
      <c r="D230" s="1"/>
      <c r="E230" s="1"/>
      <c r="F230" s="1"/>
      <c r="G230" s="1"/>
      <c r="H230" s="35"/>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row>
    <row r="231" spans="1:119" ht="14.25" customHeight="1">
      <c r="A231" s="1"/>
      <c r="B231" s="1"/>
      <c r="C231" s="1"/>
      <c r="D231" s="1"/>
      <c r="E231" s="1"/>
      <c r="F231" s="1"/>
      <c r="G231" s="1"/>
      <c r="H231" s="35"/>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row>
    <row r="232" spans="1:119" ht="14.25" customHeight="1">
      <c r="A232" s="1"/>
      <c r="B232" s="1"/>
      <c r="C232" s="1"/>
      <c r="D232" s="1"/>
      <c r="E232" s="1"/>
      <c r="F232" s="1"/>
      <c r="G232" s="1"/>
      <c r="H232" s="35"/>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row>
    <row r="233" spans="1:119" ht="14.25" customHeight="1">
      <c r="A233" s="1"/>
      <c r="B233" s="1"/>
      <c r="C233" s="1"/>
      <c r="D233" s="1"/>
      <c r="E233" s="1"/>
      <c r="F233" s="1"/>
      <c r="G233" s="1"/>
      <c r="H233" s="35"/>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row>
    <row r="234" spans="1:119" ht="14.25" customHeight="1">
      <c r="A234" s="1"/>
      <c r="B234" s="1"/>
      <c r="C234" s="1"/>
      <c r="D234" s="1"/>
      <c r="E234" s="1"/>
      <c r="F234" s="1"/>
      <c r="G234" s="1"/>
      <c r="H234" s="35"/>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row>
    <row r="235" spans="1:119" ht="14.25" customHeight="1">
      <c r="A235" s="1"/>
      <c r="B235" s="1"/>
      <c r="C235" s="1"/>
      <c r="D235" s="1"/>
      <c r="E235" s="1"/>
      <c r="F235" s="1"/>
      <c r="G235" s="1"/>
      <c r="H235" s="35"/>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row>
    <row r="236" spans="1:119" ht="14.25" customHeight="1">
      <c r="A236" s="1"/>
      <c r="B236" s="1"/>
      <c r="C236" s="1"/>
      <c r="D236" s="1"/>
      <c r="E236" s="1"/>
      <c r="F236" s="1"/>
      <c r="G236" s="1"/>
      <c r="H236" s="35"/>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row>
    <row r="237" spans="1:119" ht="14.25" customHeight="1">
      <c r="A237" s="1"/>
      <c r="B237" s="1"/>
      <c r="C237" s="1"/>
      <c r="D237" s="1"/>
      <c r="E237" s="1"/>
      <c r="F237" s="1"/>
      <c r="G237" s="1"/>
      <c r="H237" s="35"/>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row>
    <row r="238" spans="1:119" ht="14.25" customHeight="1">
      <c r="A238" s="1"/>
      <c r="B238" s="1"/>
      <c r="C238" s="1"/>
      <c r="D238" s="1"/>
      <c r="E238" s="1"/>
      <c r="F238" s="1"/>
      <c r="G238" s="1"/>
      <c r="H238" s="35"/>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row>
    <row r="239" spans="1:119" ht="14.25" customHeight="1">
      <c r="A239" s="1"/>
      <c r="B239" s="1"/>
      <c r="C239" s="1"/>
      <c r="D239" s="1"/>
      <c r="E239" s="1"/>
      <c r="F239" s="1"/>
      <c r="G239" s="1"/>
      <c r="H239" s="35"/>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row>
    <row r="240" spans="1:119" ht="14.25" customHeight="1">
      <c r="A240" s="1"/>
      <c r="B240" s="1"/>
      <c r="C240" s="1"/>
      <c r="D240" s="1"/>
      <c r="E240" s="1"/>
      <c r="F240" s="1"/>
      <c r="G240" s="1"/>
      <c r="H240" s="35"/>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row>
    <row r="241" spans="1:119" ht="14.25" customHeight="1">
      <c r="A241" s="1"/>
      <c r="B241" s="1"/>
      <c r="C241" s="1"/>
      <c r="D241" s="1"/>
      <c r="E241" s="1"/>
      <c r="F241" s="1"/>
      <c r="G241" s="1"/>
      <c r="H241" s="35"/>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row>
    <row r="242" spans="1:119" ht="14.25" customHeight="1">
      <c r="A242" s="1"/>
      <c r="B242" s="1"/>
      <c r="C242" s="1"/>
      <c r="D242" s="1"/>
      <c r="E242" s="1"/>
      <c r="F242" s="1"/>
      <c r="G242" s="1"/>
      <c r="H242" s="35"/>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row>
    <row r="243" spans="1:119" ht="14.25" customHeight="1">
      <c r="A243" s="1"/>
      <c r="B243" s="1"/>
      <c r="C243" s="1"/>
      <c r="D243" s="1"/>
      <c r="E243" s="1"/>
      <c r="F243" s="1"/>
      <c r="G243" s="1"/>
      <c r="H243" s="35"/>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row>
    <row r="244" spans="1:119" ht="14.25" customHeight="1">
      <c r="A244" s="1"/>
      <c r="B244" s="1"/>
      <c r="C244" s="1"/>
      <c r="D244" s="1"/>
      <c r="E244" s="1"/>
      <c r="F244" s="1"/>
      <c r="G244" s="1"/>
      <c r="H244" s="35"/>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row>
    <row r="245" spans="1:119" ht="14.25" customHeight="1">
      <c r="A245" s="1"/>
      <c r="B245" s="1"/>
      <c r="C245" s="1"/>
      <c r="D245" s="1"/>
      <c r="E245" s="1"/>
      <c r="F245" s="1"/>
      <c r="G245" s="1"/>
      <c r="H245" s="35"/>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row>
    <row r="246" spans="1:119" ht="14.25" customHeight="1">
      <c r="A246" s="1"/>
      <c r="B246" s="1"/>
      <c r="C246" s="1"/>
      <c r="D246" s="1"/>
      <c r="E246" s="1"/>
      <c r="F246" s="1"/>
      <c r="G246" s="1"/>
      <c r="H246" s="35"/>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row>
    <row r="247" spans="1:119" ht="14.25" customHeight="1">
      <c r="A247" s="1"/>
      <c r="B247" s="1"/>
      <c r="C247" s="1"/>
      <c r="D247" s="1"/>
      <c r="E247" s="1"/>
      <c r="F247" s="1"/>
      <c r="G247" s="1"/>
      <c r="H247" s="35"/>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row>
    <row r="248" spans="1:119" ht="14.25" customHeight="1">
      <c r="A248" s="1"/>
      <c r="B248" s="1"/>
      <c r="C248" s="1"/>
      <c r="D248" s="1"/>
      <c r="E248" s="1"/>
      <c r="F248" s="1"/>
      <c r="G248" s="1"/>
      <c r="H248" s="35"/>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row>
    <row r="249" spans="1:119" ht="14.25" customHeight="1">
      <c r="A249" s="1"/>
      <c r="B249" s="1"/>
      <c r="C249" s="1"/>
      <c r="D249" s="1"/>
      <c r="E249" s="1"/>
      <c r="F249" s="1"/>
      <c r="G249" s="1"/>
      <c r="H249" s="35"/>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row>
    <row r="250" spans="1:119" ht="14.25" customHeight="1">
      <c r="A250" s="1"/>
      <c r="B250" s="1"/>
      <c r="C250" s="1"/>
      <c r="D250" s="1"/>
      <c r="E250" s="1"/>
      <c r="F250" s="1"/>
      <c r="G250" s="1"/>
      <c r="H250" s="35"/>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row>
    <row r="251" spans="1:119" ht="14.25" customHeight="1">
      <c r="A251" s="1"/>
      <c r="B251" s="1"/>
      <c r="C251" s="1"/>
      <c r="D251" s="1"/>
      <c r="E251" s="1"/>
      <c r="F251" s="1"/>
      <c r="G251" s="1"/>
      <c r="H251" s="35"/>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row>
    <row r="252" spans="1:119" ht="14.25" customHeight="1">
      <c r="A252" s="1"/>
      <c r="B252" s="1"/>
      <c r="C252" s="1"/>
      <c r="D252" s="1"/>
      <c r="E252" s="1"/>
      <c r="F252" s="1"/>
      <c r="G252" s="1"/>
      <c r="H252" s="35"/>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row>
    <row r="253" spans="1:119" ht="14.25" customHeight="1">
      <c r="A253" s="1"/>
      <c r="B253" s="1"/>
      <c r="C253" s="1"/>
      <c r="D253" s="1"/>
      <c r="E253" s="1"/>
      <c r="F253" s="1"/>
      <c r="G253" s="1"/>
      <c r="H253" s="35"/>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row>
    <row r="254" spans="1:119" ht="14.25" customHeight="1">
      <c r="A254" s="1"/>
      <c r="B254" s="1"/>
      <c r="C254" s="1"/>
      <c r="D254" s="1"/>
      <c r="E254" s="1"/>
      <c r="F254" s="1"/>
      <c r="G254" s="1"/>
      <c r="H254" s="35"/>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row>
    <row r="255" spans="1:119" ht="14.25" customHeight="1">
      <c r="A255" s="1"/>
      <c r="B255" s="1"/>
      <c r="C255" s="1"/>
      <c r="D255" s="1"/>
      <c r="E255" s="1"/>
      <c r="F255" s="1"/>
      <c r="G255" s="1"/>
      <c r="H255" s="35"/>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row>
    <row r="256" spans="1:119" ht="14.25" customHeight="1">
      <c r="A256" s="1"/>
      <c r="B256" s="1"/>
      <c r="C256" s="1"/>
      <c r="D256" s="1"/>
      <c r="E256" s="1"/>
      <c r="F256" s="1"/>
      <c r="G256" s="1"/>
      <c r="H256" s="35"/>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row>
    <row r="257" spans="1:119" ht="14.25" customHeight="1">
      <c r="A257" s="1"/>
      <c r="B257" s="1"/>
      <c r="C257" s="1"/>
      <c r="D257" s="1"/>
      <c r="E257" s="1"/>
      <c r="F257" s="1"/>
      <c r="G257" s="1"/>
      <c r="H257" s="35"/>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row>
    <row r="258" spans="1:119" ht="14.25" customHeight="1">
      <c r="A258" s="1"/>
      <c r="B258" s="1"/>
      <c r="C258" s="1"/>
      <c r="D258" s="1"/>
      <c r="E258" s="1"/>
      <c r="F258" s="1"/>
      <c r="G258" s="1"/>
      <c r="H258" s="35"/>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row>
    <row r="259" spans="1:119" ht="14.25" customHeight="1">
      <c r="A259" s="1"/>
      <c r="B259" s="1"/>
      <c r="C259" s="1"/>
      <c r="D259" s="1"/>
      <c r="E259" s="1"/>
      <c r="F259" s="1"/>
      <c r="G259" s="1"/>
      <c r="H259" s="35"/>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row>
    <row r="260" spans="1:119" ht="14.25" customHeight="1">
      <c r="A260" s="1"/>
      <c r="B260" s="1"/>
      <c r="C260" s="1"/>
      <c r="D260" s="1"/>
      <c r="E260" s="1"/>
      <c r="F260" s="1"/>
      <c r="G260" s="1"/>
      <c r="H260" s="35"/>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row>
    <row r="261" spans="1:119" ht="14.25" customHeight="1">
      <c r="A261" s="1"/>
      <c r="B261" s="1"/>
      <c r="C261" s="1"/>
      <c r="D261" s="1"/>
      <c r="E261" s="1"/>
      <c r="F261" s="1"/>
      <c r="G261" s="1"/>
      <c r="H261" s="35"/>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row>
    <row r="262" spans="1:119" ht="14.25" customHeight="1">
      <c r="A262" s="1"/>
      <c r="B262" s="1"/>
      <c r="C262" s="1"/>
      <c r="D262" s="1"/>
      <c r="E262" s="1"/>
      <c r="F262" s="1"/>
      <c r="G262" s="1"/>
      <c r="H262" s="35"/>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row>
    <row r="263" spans="1:119" ht="14.25" customHeight="1">
      <c r="A263" s="1"/>
      <c r="B263" s="1"/>
      <c r="C263" s="1"/>
      <c r="D263" s="1"/>
      <c r="E263" s="1"/>
      <c r="F263" s="1"/>
      <c r="G263" s="1"/>
      <c r="H263" s="35"/>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row>
    <row r="264" spans="1:119" ht="14.25" customHeight="1">
      <c r="A264" s="1"/>
      <c r="B264" s="1"/>
      <c r="C264" s="1"/>
      <c r="D264" s="1"/>
      <c r="E264" s="1"/>
      <c r="F264" s="1"/>
      <c r="G264" s="1"/>
      <c r="H264" s="35"/>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row>
    <row r="265" spans="1:119" ht="14.25" customHeight="1">
      <c r="A265" s="1"/>
      <c r="B265" s="1"/>
      <c r="C265" s="1"/>
      <c r="D265" s="1"/>
      <c r="E265" s="1"/>
      <c r="F265" s="1"/>
      <c r="G265" s="1"/>
      <c r="H265" s="35"/>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row>
    <row r="266" spans="1:119" ht="14.25" customHeight="1">
      <c r="A266" s="1"/>
      <c r="B266" s="1"/>
      <c r="C266" s="1"/>
      <c r="D266" s="1"/>
      <c r="E266" s="1"/>
      <c r="F266" s="1"/>
      <c r="G266" s="1"/>
      <c r="H266" s="35"/>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row>
    <row r="267" spans="1:119" ht="14.25" customHeight="1">
      <c r="A267" s="1"/>
      <c r="B267" s="1"/>
      <c r="C267" s="1"/>
      <c r="D267" s="1"/>
      <c r="E267" s="1"/>
      <c r="F267" s="1"/>
      <c r="G267" s="1"/>
      <c r="H267" s="35"/>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row>
    <row r="268" spans="1:119" ht="14.25" customHeight="1">
      <c r="A268" s="1"/>
      <c r="B268" s="1"/>
      <c r="C268" s="1"/>
      <c r="D268" s="1"/>
      <c r="E268" s="1"/>
      <c r="F268" s="1"/>
      <c r="G268" s="1"/>
      <c r="H268" s="35"/>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row>
    <row r="269" spans="1:119" ht="14.25" customHeight="1">
      <c r="A269" s="1"/>
      <c r="B269" s="1"/>
      <c r="C269" s="1"/>
      <c r="D269" s="1"/>
      <c r="E269" s="1"/>
      <c r="F269" s="1"/>
      <c r="G269" s="1"/>
      <c r="H269" s="35"/>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row>
    <row r="270" spans="1:119" ht="14.25" customHeight="1">
      <c r="A270" s="1"/>
      <c r="B270" s="1"/>
      <c r="C270" s="1"/>
      <c r="D270" s="1"/>
      <c r="E270" s="1"/>
      <c r="F270" s="1"/>
      <c r="G270" s="1"/>
      <c r="H270" s="35"/>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row>
    <row r="271" spans="1:119" ht="14.25" customHeight="1">
      <c r="A271" s="1"/>
      <c r="B271" s="1"/>
      <c r="C271" s="1"/>
      <c r="D271" s="1"/>
      <c r="E271" s="1"/>
      <c r="F271" s="1"/>
      <c r="G271" s="1"/>
      <c r="H271" s="35"/>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row>
    <row r="272" spans="1:119" ht="14.25" customHeight="1">
      <c r="A272" s="1"/>
      <c r="B272" s="1"/>
      <c r="C272" s="1"/>
      <c r="D272" s="1"/>
      <c r="E272" s="1"/>
      <c r="F272" s="1"/>
      <c r="G272" s="1"/>
      <c r="H272" s="35"/>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row>
    <row r="273" spans="1:119" ht="14.25" customHeight="1">
      <c r="A273" s="1"/>
      <c r="B273" s="1"/>
      <c r="C273" s="1"/>
      <c r="D273" s="1"/>
      <c r="E273" s="1"/>
      <c r="F273" s="1"/>
      <c r="G273" s="1"/>
      <c r="H273" s="35"/>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row>
    <row r="274" spans="1:119" ht="14.25" customHeight="1">
      <c r="A274" s="1"/>
      <c r="B274" s="1"/>
      <c r="C274" s="1"/>
      <c r="D274" s="1"/>
      <c r="E274" s="1"/>
      <c r="F274" s="1"/>
      <c r="G274" s="1"/>
      <c r="H274" s="35"/>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row>
    <row r="275" spans="1:119" ht="14.25" customHeight="1">
      <c r="A275" s="1"/>
      <c r="B275" s="1"/>
      <c r="C275" s="1"/>
      <c r="D275" s="1"/>
      <c r="E275" s="1"/>
      <c r="F275" s="1"/>
      <c r="G275" s="1"/>
      <c r="H275" s="35"/>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row>
    <row r="276" spans="1:119" ht="14.25" customHeight="1">
      <c r="A276" s="1"/>
      <c r="B276" s="1"/>
      <c r="C276" s="1"/>
      <c r="D276" s="1"/>
      <c r="E276" s="1"/>
      <c r="F276" s="1"/>
      <c r="G276" s="1"/>
      <c r="H276" s="35"/>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row>
    <row r="277" spans="1:119" ht="14.25" customHeight="1">
      <c r="A277" s="1"/>
      <c r="B277" s="1"/>
      <c r="C277" s="1"/>
      <c r="D277" s="1"/>
      <c r="E277" s="1"/>
      <c r="F277" s="1"/>
      <c r="G277" s="1"/>
      <c r="H277" s="35"/>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row>
    <row r="278" spans="1:119" ht="14.25" customHeight="1">
      <c r="A278" s="1"/>
      <c r="B278" s="1"/>
      <c r="C278" s="1"/>
      <c r="D278" s="1"/>
      <c r="E278" s="1"/>
      <c r="F278" s="1"/>
      <c r="G278" s="1"/>
      <c r="H278" s="35"/>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row>
    <row r="279" spans="1:119" ht="14.25" customHeight="1">
      <c r="A279" s="1"/>
      <c r="B279" s="1"/>
      <c r="C279" s="1"/>
      <c r="D279" s="1"/>
      <c r="E279" s="1"/>
      <c r="F279" s="1"/>
      <c r="G279" s="1"/>
      <c r="H279" s="35"/>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row>
    <row r="280" spans="1:119" ht="14.25" customHeight="1">
      <c r="A280" s="1"/>
      <c r="B280" s="1"/>
      <c r="C280" s="1"/>
      <c r="D280" s="1"/>
      <c r="E280" s="1"/>
      <c r="F280" s="1"/>
      <c r="G280" s="1"/>
      <c r="H280" s="35"/>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row>
    <row r="281" spans="1:119" ht="14.25" customHeight="1">
      <c r="A281" s="1"/>
      <c r="B281" s="1"/>
      <c r="C281" s="1"/>
      <c r="D281" s="1"/>
      <c r="E281" s="1"/>
      <c r="F281" s="1"/>
      <c r="G281" s="1"/>
      <c r="H281" s="35"/>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row>
    <row r="282" spans="1:119" ht="14.25" customHeight="1">
      <c r="A282" s="1"/>
      <c r="B282" s="1"/>
      <c r="C282" s="1"/>
      <c r="D282" s="1"/>
      <c r="E282" s="1"/>
      <c r="F282" s="1"/>
      <c r="G282" s="1"/>
      <c r="H282" s="35"/>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row>
    <row r="283" spans="1:119" ht="14.25" customHeight="1">
      <c r="A283" s="1"/>
      <c r="B283" s="1"/>
      <c r="C283" s="1"/>
      <c r="D283" s="1"/>
      <c r="E283" s="1"/>
      <c r="F283" s="1"/>
      <c r="G283" s="1"/>
      <c r="H283" s="35"/>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row>
    <row r="284" spans="1:119" ht="14.25" customHeight="1">
      <c r="A284" s="1"/>
      <c r="B284" s="1"/>
      <c r="C284" s="1"/>
      <c r="D284" s="1"/>
      <c r="E284" s="1"/>
      <c r="F284" s="1"/>
      <c r="G284" s="1"/>
      <c r="H284" s="35"/>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row>
    <row r="285" spans="1:119" ht="14.25" customHeight="1">
      <c r="A285" s="1"/>
      <c r="B285" s="1"/>
      <c r="C285" s="1"/>
      <c r="D285" s="1"/>
      <c r="E285" s="1"/>
      <c r="F285" s="1"/>
      <c r="G285" s="1"/>
      <c r="H285" s="35"/>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row>
    <row r="286" spans="1:119" ht="14.25" customHeight="1">
      <c r="A286" s="1"/>
      <c r="B286" s="1"/>
      <c r="C286" s="1"/>
      <c r="D286" s="1"/>
      <c r="E286" s="1"/>
      <c r="F286" s="1"/>
      <c r="G286" s="1"/>
      <c r="H286" s="35"/>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row>
    <row r="287" spans="1:119" ht="14.25" customHeight="1">
      <c r="A287" s="1"/>
      <c r="B287" s="1"/>
      <c r="C287" s="1"/>
      <c r="D287" s="1"/>
      <c r="E287" s="1"/>
      <c r="F287" s="1"/>
      <c r="G287" s="1"/>
      <c r="H287" s="35"/>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row>
    <row r="288" spans="1:119" ht="14.25" customHeight="1">
      <c r="A288" s="1"/>
      <c r="B288" s="1"/>
      <c r="C288" s="1"/>
      <c r="D288" s="1"/>
      <c r="E288" s="1"/>
      <c r="F288" s="1"/>
      <c r="G288" s="1"/>
      <c r="H288" s="35"/>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row>
    <row r="289" spans="1:119" ht="14.25" customHeight="1">
      <c r="A289" s="1"/>
      <c r="B289" s="1"/>
      <c r="C289" s="1"/>
      <c r="D289" s="1"/>
      <c r="E289" s="1"/>
      <c r="F289" s="1"/>
      <c r="G289" s="1"/>
      <c r="H289" s="35"/>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row>
    <row r="290" spans="1:119" ht="14.25" customHeight="1">
      <c r="A290" s="1"/>
      <c r="B290" s="1"/>
      <c r="C290" s="1"/>
      <c r="D290" s="1"/>
      <c r="E290" s="1"/>
      <c r="F290" s="1"/>
      <c r="G290" s="1"/>
      <c r="H290" s="35"/>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row>
    <row r="291" spans="1:119" ht="14.25" customHeight="1">
      <c r="A291" s="1"/>
      <c r="B291" s="1"/>
      <c r="C291" s="1"/>
      <c r="D291" s="1"/>
      <c r="E291" s="1"/>
      <c r="F291" s="1"/>
      <c r="G291" s="1"/>
      <c r="H291" s="35"/>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row>
    <row r="292" spans="1:119" ht="14.25" customHeight="1">
      <c r="A292" s="1"/>
      <c r="B292" s="1"/>
      <c r="C292" s="1"/>
      <c r="D292" s="1"/>
      <c r="E292" s="1"/>
      <c r="F292" s="1"/>
      <c r="G292" s="1"/>
      <c r="H292" s="35"/>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row>
    <row r="293" spans="1:119" ht="14.25" customHeight="1">
      <c r="A293" s="1"/>
      <c r="B293" s="1"/>
      <c r="C293" s="1"/>
      <c r="D293" s="1"/>
      <c r="E293" s="1"/>
      <c r="F293" s="1"/>
      <c r="G293" s="1"/>
      <c r="H293" s="35"/>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row>
    <row r="294" spans="1:119" ht="14.25" customHeight="1">
      <c r="A294" s="1"/>
      <c r="B294" s="1"/>
      <c r="C294" s="1"/>
      <c r="D294" s="1"/>
      <c r="E294" s="1"/>
      <c r="F294" s="1"/>
      <c r="G294" s="1"/>
      <c r="H294" s="35"/>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row>
    <row r="295" spans="1:119" ht="14.25" customHeight="1">
      <c r="A295" s="1"/>
      <c r="B295" s="1"/>
      <c r="C295" s="1"/>
      <c r="D295" s="1"/>
      <c r="E295" s="1"/>
      <c r="F295" s="1"/>
      <c r="G295" s="1"/>
      <c r="H295" s="35"/>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row>
    <row r="296" spans="1:119" ht="14.25" customHeight="1">
      <c r="A296" s="1"/>
      <c r="B296" s="1"/>
      <c r="C296" s="1"/>
      <c r="D296" s="1"/>
      <c r="E296" s="1"/>
      <c r="F296" s="1"/>
      <c r="G296" s="1"/>
      <c r="H296" s="35"/>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row>
    <row r="297" spans="1:119" ht="14.25" customHeight="1">
      <c r="A297" s="1"/>
      <c r="B297" s="1"/>
      <c r="C297" s="1"/>
      <c r="D297" s="1"/>
      <c r="E297" s="1"/>
      <c r="F297" s="1"/>
      <c r="G297" s="1"/>
      <c r="H297" s="35"/>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row>
    <row r="298" spans="1:119" ht="14.25" customHeight="1">
      <c r="A298" s="1"/>
      <c r="B298" s="1"/>
      <c r="C298" s="1"/>
      <c r="D298" s="1"/>
      <c r="E298" s="1"/>
      <c r="F298" s="1"/>
      <c r="G298" s="1"/>
      <c r="H298" s="35"/>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row>
    <row r="299" spans="1:119" ht="14.25" customHeight="1">
      <c r="A299" s="1"/>
      <c r="B299" s="1"/>
      <c r="C299" s="1"/>
      <c r="D299" s="1"/>
      <c r="E299" s="1"/>
      <c r="F299" s="1"/>
      <c r="G299" s="1"/>
      <c r="H299" s="35"/>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row>
    <row r="300" spans="1:119" ht="14.25" customHeight="1">
      <c r="A300" s="1"/>
      <c r="B300" s="1"/>
      <c r="C300" s="1"/>
      <c r="D300" s="1"/>
      <c r="E300" s="1"/>
      <c r="F300" s="1"/>
      <c r="G300" s="1"/>
      <c r="H300" s="35"/>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row>
    <row r="301" spans="1:119" ht="14.25" customHeight="1">
      <c r="A301" s="1"/>
      <c r="B301" s="1"/>
      <c r="C301" s="1"/>
      <c r="D301" s="1"/>
      <c r="E301" s="1"/>
      <c r="F301" s="1"/>
      <c r="G301" s="1"/>
      <c r="H301" s="35"/>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row>
    <row r="302" spans="1:119" ht="14.25" customHeight="1">
      <c r="A302" s="1"/>
      <c r="B302" s="1"/>
      <c r="C302" s="1"/>
      <c r="D302" s="1"/>
      <c r="E302" s="1"/>
      <c r="F302" s="1"/>
      <c r="G302" s="1"/>
      <c r="H302" s="35"/>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row>
    <row r="303" spans="1:119" ht="14.25" customHeight="1">
      <c r="A303" s="1"/>
      <c r="B303" s="1"/>
      <c r="C303" s="1"/>
      <c r="D303" s="1"/>
      <c r="E303" s="1"/>
      <c r="F303" s="1"/>
      <c r="G303" s="1"/>
      <c r="H303" s="35"/>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row>
    <row r="304" spans="1:119" ht="14.25" customHeight="1">
      <c r="A304" s="1"/>
      <c r="B304" s="1"/>
      <c r="C304" s="1"/>
      <c r="D304" s="1"/>
      <c r="E304" s="1"/>
      <c r="F304" s="1"/>
      <c r="G304" s="1"/>
      <c r="H304" s="35"/>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row>
    <row r="305" spans="1:119" ht="14.25" customHeight="1">
      <c r="A305" s="1"/>
      <c r="B305" s="1"/>
      <c r="C305" s="1"/>
      <c r="D305" s="1"/>
      <c r="E305" s="1"/>
      <c r="F305" s="1"/>
      <c r="G305" s="1"/>
      <c r="H305" s="35"/>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row>
    <row r="306" spans="1:119" ht="14.25" customHeight="1">
      <c r="A306" s="1"/>
      <c r="B306" s="1"/>
      <c r="C306" s="1"/>
      <c r="D306" s="1"/>
      <c r="E306" s="1"/>
      <c r="F306" s="1"/>
      <c r="G306" s="1"/>
      <c r="H306" s="35"/>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row>
    <row r="307" spans="1:119" ht="14.25" customHeight="1">
      <c r="A307" s="1"/>
      <c r="B307" s="1"/>
      <c r="C307" s="1"/>
      <c r="D307" s="1"/>
      <c r="E307" s="1"/>
      <c r="F307" s="1"/>
      <c r="G307" s="1"/>
      <c r="H307" s="35"/>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row>
    <row r="308" spans="1:119" ht="14.25" customHeight="1">
      <c r="A308" s="1"/>
      <c r="B308" s="1"/>
      <c r="C308" s="1"/>
      <c r="D308" s="1"/>
      <c r="E308" s="1"/>
      <c r="F308" s="1"/>
      <c r="G308" s="1"/>
      <c r="H308" s="35"/>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row>
    <row r="309" spans="1:119" ht="14.25" customHeight="1">
      <c r="A309" s="1"/>
      <c r="B309" s="1"/>
      <c r="C309" s="1"/>
      <c r="D309" s="1"/>
      <c r="E309" s="1"/>
      <c r="F309" s="1"/>
      <c r="G309" s="1"/>
      <c r="H309" s="35"/>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row>
    <row r="310" spans="1:119" ht="14.25" customHeight="1">
      <c r="A310" s="1"/>
      <c r="B310" s="1"/>
      <c r="C310" s="1"/>
      <c r="D310" s="1"/>
      <c r="E310" s="1"/>
      <c r="F310" s="1"/>
      <c r="G310" s="1"/>
      <c r="H310" s="35"/>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row>
    <row r="311" spans="1:119" ht="14.25" customHeight="1">
      <c r="A311" s="1"/>
      <c r="B311" s="1"/>
      <c r="C311" s="1"/>
      <c r="D311" s="1"/>
      <c r="E311" s="1"/>
      <c r="F311" s="1"/>
      <c r="G311" s="1"/>
      <c r="H311" s="35"/>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row>
    <row r="312" spans="1:119" ht="14.25" customHeight="1">
      <c r="A312" s="1"/>
      <c r="B312" s="1"/>
      <c r="C312" s="1"/>
      <c r="D312" s="1"/>
      <c r="E312" s="1"/>
      <c r="F312" s="1"/>
      <c r="G312" s="1"/>
      <c r="H312" s="35"/>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row>
    <row r="313" spans="1:119" ht="14.25" customHeight="1">
      <c r="A313" s="1"/>
      <c r="B313" s="1"/>
      <c r="C313" s="1"/>
      <c r="D313" s="1"/>
      <c r="E313" s="1"/>
      <c r="F313" s="1"/>
      <c r="G313" s="1"/>
      <c r="H313" s="35"/>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row>
    <row r="314" spans="1:119" ht="14.25" customHeight="1">
      <c r="A314" s="1"/>
      <c r="B314" s="1"/>
      <c r="C314" s="1"/>
      <c r="D314" s="1"/>
      <c r="E314" s="1"/>
      <c r="F314" s="1"/>
      <c r="G314" s="1"/>
      <c r="H314" s="35"/>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row>
    <row r="315" spans="1:119" ht="14.25" customHeight="1">
      <c r="A315" s="1"/>
      <c r="B315" s="1"/>
      <c r="C315" s="1"/>
      <c r="D315" s="1"/>
      <c r="E315" s="1"/>
      <c r="F315" s="1"/>
      <c r="G315" s="1"/>
      <c r="H315" s="35"/>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row>
    <row r="316" spans="1:119" ht="14.25" customHeight="1">
      <c r="A316" s="1"/>
      <c r="B316" s="1"/>
      <c r="C316" s="1"/>
      <c r="D316" s="1"/>
      <c r="E316" s="1"/>
      <c r="F316" s="1"/>
      <c r="G316" s="1"/>
      <c r="H316" s="35"/>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row>
    <row r="317" spans="1:119" ht="14.25" customHeight="1">
      <c r="A317" s="1"/>
      <c r="B317" s="1"/>
      <c r="C317" s="1"/>
      <c r="D317" s="1"/>
      <c r="E317" s="1"/>
      <c r="F317" s="1"/>
      <c r="G317" s="1"/>
      <c r="H317" s="35"/>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row>
    <row r="318" spans="1:119" ht="14.25" customHeight="1">
      <c r="A318" s="1"/>
      <c r="B318" s="1"/>
      <c r="C318" s="1"/>
      <c r="D318" s="1"/>
      <c r="E318" s="1"/>
      <c r="F318" s="1"/>
      <c r="G318" s="1"/>
      <c r="H318" s="35"/>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row>
    <row r="319" spans="1:119" ht="14.25" customHeight="1">
      <c r="A319" s="1"/>
      <c r="B319" s="1"/>
      <c r="C319" s="1"/>
      <c r="D319" s="1"/>
      <c r="E319" s="1"/>
      <c r="F319" s="1"/>
      <c r="G319" s="1"/>
      <c r="H319" s="35"/>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row>
    <row r="320" spans="1:119" ht="14.25" customHeight="1">
      <c r="A320" s="1"/>
      <c r="B320" s="1"/>
      <c r="C320" s="1"/>
      <c r="D320" s="1"/>
      <c r="E320" s="1"/>
      <c r="F320" s="1"/>
      <c r="G320" s="1"/>
      <c r="H320" s="35"/>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row>
    <row r="321" spans="1:119" ht="14.25" customHeight="1">
      <c r="A321" s="1"/>
      <c r="B321" s="1"/>
      <c r="C321" s="1"/>
      <c r="D321" s="1"/>
      <c r="E321" s="1"/>
      <c r="F321" s="1"/>
      <c r="G321" s="1"/>
      <c r="H321" s="35"/>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row>
    <row r="322" spans="1:119" ht="14.25" customHeight="1">
      <c r="A322" s="1"/>
      <c r="B322" s="1"/>
      <c r="C322" s="1"/>
      <c r="D322" s="1"/>
      <c r="E322" s="1"/>
      <c r="F322" s="1"/>
      <c r="G322" s="1"/>
      <c r="H322" s="35"/>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row>
    <row r="323" spans="1:119" ht="14.25" customHeight="1">
      <c r="A323" s="1"/>
      <c r="B323" s="1"/>
      <c r="C323" s="1"/>
      <c r="D323" s="1"/>
      <c r="E323" s="1"/>
      <c r="F323" s="1"/>
      <c r="G323" s="1"/>
      <c r="H323" s="35"/>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row>
    <row r="324" spans="1:119" ht="14.25" customHeight="1">
      <c r="A324" s="1"/>
      <c r="B324" s="1"/>
      <c r="C324" s="1"/>
      <c r="D324" s="1"/>
      <c r="E324" s="1"/>
      <c r="F324" s="1"/>
      <c r="G324" s="1"/>
      <c r="H324" s="35"/>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row>
    <row r="325" spans="1:119" ht="14.25" customHeight="1">
      <c r="A325" s="1"/>
      <c r="B325" s="1"/>
      <c r="C325" s="1"/>
      <c r="D325" s="1"/>
      <c r="E325" s="1"/>
      <c r="F325" s="1"/>
      <c r="G325" s="1"/>
      <c r="H325" s="35"/>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row>
    <row r="326" spans="1:119" ht="14.25" customHeight="1">
      <c r="A326" s="1"/>
      <c r="B326" s="1"/>
      <c r="C326" s="1"/>
      <c r="D326" s="1"/>
      <c r="E326" s="1"/>
      <c r="F326" s="1"/>
      <c r="G326" s="1"/>
      <c r="H326" s="35"/>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row>
    <row r="327" spans="1:119" ht="14.25" customHeight="1">
      <c r="A327" s="1"/>
      <c r="B327" s="1"/>
      <c r="C327" s="1"/>
      <c r="D327" s="1"/>
      <c r="E327" s="1"/>
      <c r="F327" s="1"/>
      <c r="G327" s="1"/>
      <c r="H327" s="35"/>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row>
    <row r="328" spans="1:119" ht="14.25" customHeight="1">
      <c r="A328" s="1"/>
      <c r="B328" s="1"/>
      <c r="C328" s="1"/>
      <c r="D328" s="1"/>
      <c r="E328" s="1"/>
      <c r="F328" s="1"/>
      <c r="G328" s="1"/>
      <c r="H328" s="35"/>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row>
    <row r="329" spans="1:119" ht="14.25" customHeight="1">
      <c r="A329" s="1"/>
      <c r="B329" s="1"/>
      <c r="C329" s="1"/>
      <c r="D329" s="1"/>
      <c r="E329" s="1"/>
      <c r="F329" s="1"/>
      <c r="G329" s="1"/>
      <c r="H329" s="35"/>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row>
    <row r="330" spans="1:119" ht="14.25" customHeight="1">
      <c r="A330" s="1"/>
      <c r="B330" s="1"/>
      <c r="C330" s="1"/>
      <c r="D330" s="1"/>
      <c r="E330" s="1"/>
      <c r="F330" s="1"/>
      <c r="G330" s="1"/>
      <c r="H330" s="35"/>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row>
    <row r="331" spans="1:119" ht="14.25" customHeight="1">
      <c r="A331" s="1"/>
      <c r="B331" s="1"/>
      <c r="C331" s="1"/>
      <c r="D331" s="1"/>
      <c r="E331" s="1"/>
      <c r="F331" s="1"/>
      <c r="G331" s="1"/>
      <c r="H331" s="35"/>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row>
    <row r="332" spans="1:119" ht="14.25" customHeight="1">
      <c r="A332" s="1"/>
      <c r="B332" s="1"/>
      <c r="C332" s="1"/>
      <c r="D332" s="1"/>
      <c r="E332" s="1"/>
      <c r="F332" s="1"/>
      <c r="G332" s="1"/>
      <c r="H332" s="35"/>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row>
    <row r="333" spans="1:119" ht="14.25" customHeight="1">
      <c r="A333" s="1"/>
      <c r="B333" s="1"/>
      <c r="C333" s="1"/>
      <c r="D333" s="1"/>
      <c r="E333" s="1"/>
      <c r="F333" s="1"/>
      <c r="G333" s="1"/>
      <c r="H333" s="35"/>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row>
    <row r="334" spans="1:119" ht="14.25" customHeight="1">
      <c r="A334" s="1"/>
      <c r="B334" s="1"/>
      <c r="C334" s="1"/>
      <c r="D334" s="1"/>
      <c r="E334" s="1"/>
      <c r="F334" s="1"/>
      <c r="G334" s="1"/>
      <c r="H334" s="35"/>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row>
    <row r="335" spans="1:119" ht="14.25" customHeight="1">
      <c r="A335" s="1"/>
      <c r="B335" s="1"/>
      <c r="C335" s="1"/>
      <c r="D335" s="1"/>
      <c r="E335" s="1"/>
      <c r="F335" s="1"/>
      <c r="G335" s="1"/>
      <c r="H335" s="35"/>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row>
    <row r="336" spans="1:119" ht="14.25" customHeight="1">
      <c r="A336" s="1"/>
      <c r="B336" s="1"/>
      <c r="C336" s="1"/>
      <c r="D336" s="1"/>
      <c r="E336" s="1"/>
      <c r="F336" s="1"/>
      <c r="G336" s="1"/>
      <c r="H336" s="35"/>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row>
    <row r="337" spans="1:119" ht="14.25" customHeight="1">
      <c r="A337" s="1"/>
      <c r="B337" s="1"/>
      <c r="C337" s="1"/>
      <c r="D337" s="1"/>
      <c r="E337" s="1"/>
      <c r="F337" s="1"/>
      <c r="G337" s="1"/>
      <c r="H337" s="35"/>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row>
    <row r="338" spans="1:119" ht="14.25" customHeight="1">
      <c r="A338" s="1"/>
      <c r="B338" s="1"/>
      <c r="C338" s="1"/>
      <c r="D338" s="1"/>
      <c r="E338" s="1"/>
      <c r="F338" s="1"/>
      <c r="G338" s="1"/>
      <c r="H338" s="35"/>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row>
    <row r="339" spans="1:119" ht="14.25" customHeight="1">
      <c r="A339" s="1"/>
      <c r="B339" s="1"/>
      <c r="C339" s="1"/>
      <c r="D339" s="1"/>
      <c r="E339" s="1"/>
      <c r="F339" s="1"/>
      <c r="G339" s="1"/>
      <c r="H339" s="35"/>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row>
    <row r="340" spans="1:119" ht="14.25" customHeight="1">
      <c r="A340" s="1"/>
      <c r="B340" s="1"/>
      <c r="C340" s="1"/>
      <c r="D340" s="1"/>
      <c r="E340" s="1"/>
      <c r="F340" s="1"/>
      <c r="G340" s="1"/>
      <c r="H340" s="35"/>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row>
    <row r="341" spans="1:119" ht="14.25" customHeight="1">
      <c r="A341" s="1"/>
      <c r="B341" s="1"/>
      <c r="C341" s="1"/>
      <c r="D341" s="1"/>
      <c r="E341" s="1"/>
      <c r="F341" s="1"/>
      <c r="G341" s="1"/>
      <c r="H341" s="35"/>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row>
    <row r="342" spans="1:119" ht="14.25" customHeight="1">
      <c r="A342" s="1"/>
      <c r="B342" s="1"/>
      <c r="C342" s="1"/>
      <c r="D342" s="1"/>
      <c r="E342" s="1"/>
      <c r="F342" s="1"/>
      <c r="G342" s="1"/>
      <c r="H342" s="35"/>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row>
    <row r="343" spans="1:119" ht="14.25" customHeight="1">
      <c r="A343" s="1"/>
      <c r="B343" s="1"/>
      <c r="C343" s="1"/>
      <c r="D343" s="1"/>
      <c r="E343" s="1"/>
      <c r="F343" s="1"/>
      <c r="G343" s="1"/>
      <c r="H343" s="35"/>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row>
    <row r="344" spans="1:119" ht="14.25" customHeight="1">
      <c r="A344" s="1"/>
      <c r="B344" s="1"/>
      <c r="C344" s="1"/>
      <c r="D344" s="1"/>
      <c r="E344" s="1"/>
      <c r="F344" s="1"/>
      <c r="G344" s="1"/>
      <c r="H344" s="35"/>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row>
    <row r="345" spans="1:119" ht="14.25" customHeight="1">
      <c r="A345" s="1"/>
      <c r="B345" s="1"/>
      <c r="C345" s="1"/>
      <c r="D345" s="1"/>
      <c r="E345" s="1"/>
      <c r="F345" s="1"/>
      <c r="G345" s="1"/>
      <c r="H345" s="35"/>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row>
    <row r="346" spans="1:119" ht="14.25" customHeight="1">
      <c r="A346" s="1"/>
      <c r="B346" s="1"/>
      <c r="C346" s="1"/>
      <c r="D346" s="1"/>
      <c r="E346" s="1"/>
      <c r="F346" s="1"/>
      <c r="G346" s="1"/>
      <c r="H346" s="35"/>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row>
    <row r="347" spans="1:119" ht="14.25" customHeight="1">
      <c r="A347" s="1"/>
      <c r="B347" s="1"/>
      <c r="C347" s="1"/>
      <c r="D347" s="1"/>
      <c r="E347" s="1"/>
      <c r="F347" s="1"/>
      <c r="G347" s="1"/>
      <c r="H347" s="35"/>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row>
    <row r="348" spans="1:119" ht="14.25" customHeight="1">
      <c r="A348" s="1"/>
      <c r="B348" s="1"/>
      <c r="C348" s="1"/>
      <c r="D348" s="1"/>
      <c r="E348" s="1"/>
      <c r="F348" s="1"/>
      <c r="G348" s="1"/>
      <c r="H348" s="35"/>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row>
    <row r="349" spans="1:119" ht="14.25" customHeight="1">
      <c r="A349" s="1"/>
      <c r="B349" s="1"/>
      <c r="C349" s="1"/>
      <c r="D349" s="1"/>
      <c r="E349" s="1"/>
      <c r="F349" s="1"/>
      <c r="G349" s="1"/>
      <c r="H349" s="35"/>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row>
    <row r="350" spans="1:119" ht="14.25" customHeight="1">
      <c r="A350" s="1"/>
      <c r="B350" s="1"/>
      <c r="C350" s="1"/>
      <c r="D350" s="1"/>
      <c r="E350" s="1"/>
      <c r="F350" s="1"/>
      <c r="G350" s="1"/>
      <c r="H350" s="35"/>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row>
    <row r="351" spans="1:119" ht="14.25" customHeight="1">
      <c r="A351" s="1"/>
      <c r="B351" s="1"/>
      <c r="C351" s="1"/>
      <c r="D351" s="1"/>
      <c r="E351" s="1"/>
      <c r="F351" s="1"/>
      <c r="G351" s="1"/>
      <c r="H351" s="35"/>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row>
    <row r="352" spans="1:119" ht="14.25" customHeight="1">
      <c r="A352" s="1"/>
      <c r="B352" s="1"/>
      <c r="C352" s="1"/>
      <c r="D352" s="1"/>
      <c r="E352" s="1"/>
      <c r="F352" s="1"/>
      <c r="G352" s="1"/>
      <c r="H352" s="35"/>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row>
    <row r="353" spans="1:119" ht="14.25" customHeight="1">
      <c r="A353" s="1"/>
      <c r="B353" s="1"/>
      <c r="C353" s="1"/>
      <c r="D353" s="1"/>
      <c r="E353" s="1"/>
      <c r="F353" s="1"/>
      <c r="G353" s="1"/>
      <c r="H353" s="35"/>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row>
    <row r="354" spans="1:119" ht="14.25" customHeight="1">
      <c r="A354" s="1"/>
      <c r="B354" s="1"/>
      <c r="C354" s="1"/>
      <c r="D354" s="1"/>
      <c r="E354" s="1"/>
      <c r="F354" s="1"/>
      <c r="G354" s="1"/>
      <c r="H354" s="35"/>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row>
    <row r="355" spans="1:119" ht="14.25" customHeight="1">
      <c r="A355" s="1"/>
      <c r="B355" s="1"/>
      <c r="C355" s="1"/>
      <c r="D355" s="1"/>
      <c r="E355" s="1"/>
      <c r="F355" s="1"/>
      <c r="G355" s="1"/>
      <c r="H355" s="35"/>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row>
    <row r="356" spans="1:119" ht="14.25" customHeight="1">
      <c r="A356" s="1"/>
      <c r="B356" s="1"/>
      <c r="C356" s="1"/>
      <c r="D356" s="1"/>
      <c r="E356" s="1"/>
      <c r="F356" s="1"/>
      <c r="G356" s="1"/>
      <c r="H356" s="35"/>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row>
    <row r="357" spans="1:119" ht="14.25" customHeight="1">
      <c r="A357" s="1"/>
      <c r="B357" s="1"/>
      <c r="C357" s="1"/>
      <c r="D357" s="1"/>
      <c r="E357" s="1"/>
      <c r="F357" s="1"/>
      <c r="G357" s="1"/>
      <c r="H357" s="35"/>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row>
    <row r="358" spans="1:119" ht="14.25" customHeight="1">
      <c r="A358" s="1"/>
      <c r="B358" s="1"/>
      <c r="C358" s="1"/>
      <c r="D358" s="1"/>
      <c r="E358" s="1"/>
      <c r="F358" s="1"/>
      <c r="G358" s="1"/>
      <c r="H358" s="35"/>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row>
    <row r="359" spans="1:119" ht="14.25" customHeight="1">
      <c r="A359" s="1"/>
      <c r="B359" s="1"/>
      <c r="C359" s="1"/>
      <c r="D359" s="1"/>
      <c r="E359" s="1"/>
      <c r="F359" s="1"/>
      <c r="G359" s="1"/>
      <c r="H359" s="35"/>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row>
    <row r="360" spans="1:119" ht="14.25" customHeight="1">
      <c r="A360" s="1"/>
      <c r="B360" s="1"/>
      <c r="C360" s="1"/>
      <c r="D360" s="1"/>
      <c r="E360" s="1"/>
      <c r="F360" s="1"/>
      <c r="G360" s="1"/>
      <c r="H360" s="35"/>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row>
    <row r="361" spans="1:119" ht="14.25" customHeight="1">
      <c r="A361" s="1"/>
      <c r="B361" s="1"/>
      <c r="C361" s="1"/>
      <c r="D361" s="1"/>
      <c r="E361" s="1"/>
      <c r="F361" s="1"/>
      <c r="G361" s="1"/>
      <c r="H361" s="35"/>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row>
    <row r="362" spans="1:119" ht="14.25" customHeight="1">
      <c r="A362" s="1"/>
      <c r="B362" s="1"/>
      <c r="C362" s="1"/>
      <c r="D362" s="1"/>
      <c r="E362" s="1"/>
      <c r="F362" s="1"/>
      <c r="G362" s="1"/>
      <c r="H362" s="35"/>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row>
    <row r="363" spans="1:119" ht="14.25" customHeight="1">
      <c r="A363" s="1"/>
      <c r="B363" s="1"/>
      <c r="C363" s="1"/>
      <c r="D363" s="1"/>
      <c r="E363" s="1"/>
      <c r="F363" s="1"/>
      <c r="G363" s="1"/>
      <c r="H363" s="35"/>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row>
    <row r="364" spans="1:119" ht="14.25" customHeight="1">
      <c r="A364" s="1"/>
      <c r="B364" s="1"/>
      <c r="C364" s="1"/>
      <c r="D364" s="1"/>
      <c r="E364" s="1"/>
      <c r="F364" s="1"/>
      <c r="G364" s="1"/>
      <c r="H364" s="35"/>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row>
    <row r="365" spans="1:119" ht="14.25" customHeight="1">
      <c r="A365" s="1"/>
      <c r="B365" s="1"/>
      <c r="C365" s="1"/>
      <c r="D365" s="1"/>
      <c r="E365" s="1"/>
      <c r="F365" s="1"/>
      <c r="G365" s="1"/>
      <c r="H365" s="35"/>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row>
    <row r="366" spans="1:119" ht="14.25" customHeight="1">
      <c r="A366" s="1"/>
      <c r="B366" s="1"/>
      <c r="C366" s="1"/>
      <c r="D366" s="1"/>
      <c r="E366" s="1"/>
      <c r="F366" s="1"/>
      <c r="G366" s="1"/>
      <c r="H366" s="35"/>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row>
    <row r="367" spans="1:119" ht="14.25" customHeight="1">
      <c r="A367" s="1"/>
      <c r="B367" s="1"/>
      <c r="C367" s="1"/>
      <c r="D367" s="1"/>
      <c r="E367" s="1"/>
      <c r="F367" s="1"/>
      <c r="G367" s="1"/>
      <c r="H367" s="35"/>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row>
    <row r="368" spans="1:119" ht="14.25" customHeight="1">
      <c r="A368" s="1"/>
      <c r="B368" s="1"/>
      <c r="C368" s="1"/>
      <c r="D368" s="1"/>
      <c r="E368" s="1"/>
      <c r="F368" s="1"/>
      <c r="G368" s="1"/>
      <c r="H368" s="35"/>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row>
    <row r="369" spans="1:119" ht="14.25" customHeight="1">
      <c r="A369" s="1"/>
      <c r="B369" s="1"/>
      <c r="C369" s="1"/>
      <c r="D369" s="1"/>
      <c r="E369" s="1"/>
      <c r="F369" s="1"/>
      <c r="G369" s="1"/>
      <c r="H369" s="35"/>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row>
    <row r="370" spans="1:119" ht="14.25" customHeight="1">
      <c r="A370" s="1"/>
      <c r="B370" s="1"/>
      <c r="C370" s="1"/>
      <c r="D370" s="1"/>
      <c r="E370" s="1"/>
      <c r="F370" s="1"/>
      <c r="G370" s="1"/>
      <c r="H370" s="35"/>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row>
    <row r="371" spans="1:119" ht="14.25" customHeight="1">
      <c r="A371" s="1"/>
      <c r="B371" s="1"/>
      <c r="C371" s="1"/>
      <c r="D371" s="1"/>
      <c r="E371" s="1"/>
      <c r="F371" s="1"/>
      <c r="G371" s="1"/>
      <c r="H371" s="35"/>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row>
    <row r="372" spans="1:119" ht="14.25" customHeight="1">
      <c r="A372" s="1"/>
      <c r="B372" s="1"/>
      <c r="C372" s="1"/>
      <c r="D372" s="1"/>
      <c r="E372" s="1"/>
      <c r="F372" s="1"/>
      <c r="G372" s="1"/>
      <c r="H372" s="35"/>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row>
    <row r="373" spans="1:119" ht="14.25" customHeight="1">
      <c r="A373" s="1"/>
      <c r="B373" s="1"/>
      <c r="C373" s="1"/>
      <c r="D373" s="1"/>
      <c r="E373" s="1"/>
      <c r="F373" s="1"/>
      <c r="G373" s="1"/>
      <c r="H373" s="35"/>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row>
    <row r="374" spans="1:119" ht="14.25" customHeight="1">
      <c r="A374" s="1"/>
      <c r="B374" s="1"/>
      <c r="C374" s="1"/>
      <c r="D374" s="1"/>
      <c r="E374" s="1"/>
      <c r="F374" s="1"/>
      <c r="G374" s="1"/>
      <c r="H374" s="35"/>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row>
    <row r="375" spans="1:119" ht="14.25" customHeight="1">
      <c r="A375" s="1"/>
      <c r="B375" s="1"/>
      <c r="C375" s="1"/>
      <c r="D375" s="1"/>
      <c r="E375" s="1"/>
      <c r="F375" s="1"/>
      <c r="G375" s="1"/>
      <c r="H375" s="35"/>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row>
    <row r="376" spans="1:119" ht="14.25" customHeight="1">
      <c r="A376" s="1"/>
      <c r="B376" s="1"/>
      <c r="C376" s="1"/>
      <c r="D376" s="1"/>
      <c r="E376" s="1"/>
      <c r="F376" s="1"/>
      <c r="G376" s="1"/>
      <c r="H376" s="35"/>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row>
    <row r="377" spans="1:119" ht="14.25" customHeight="1">
      <c r="A377" s="1"/>
      <c r="B377" s="1"/>
      <c r="C377" s="1"/>
      <c r="D377" s="1"/>
      <c r="E377" s="1"/>
      <c r="F377" s="1"/>
      <c r="G377" s="1"/>
      <c r="H377" s="35"/>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row>
    <row r="378" spans="1:119" ht="14.25" customHeight="1">
      <c r="A378" s="1"/>
      <c r="B378" s="1"/>
      <c r="C378" s="1"/>
      <c r="D378" s="1"/>
      <c r="E378" s="1"/>
      <c r="F378" s="1"/>
      <c r="G378" s="1"/>
      <c r="H378" s="35"/>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row>
    <row r="379" spans="1:119" ht="14.25" customHeight="1">
      <c r="A379" s="1"/>
      <c r="B379" s="1"/>
      <c r="C379" s="1"/>
      <c r="D379" s="1"/>
      <c r="E379" s="1"/>
      <c r="F379" s="1"/>
      <c r="G379" s="1"/>
      <c r="H379" s="35"/>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row>
    <row r="380" spans="1:119" ht="14.25" customHeight="1">
      <c r="A380" s="1"/>
      <c r="B380" s="1"/>
      <c r="C380" s="1"/>
      <c r="D380" s="1"/>
      <c r="E380" s="1"/>
      <c r="F380" s="1"/>
      <c r="G380" s="1"/>
      <c r="H380" s="35"/>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row>
    <row r="381" spans="1:119" ht="14.25" customHeight="1">
      <c r="A381" s="1"/>
      <c r="B381" s="1"/>
      <c r="C381" s="1"/>
      <c r="D381" s="1"/>
      <c r="E381" s="1"/>
      <c r="F381" s="1"/>
      <c r="G381" s="1"/>
      <c r="H381" s="35"/>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row>
    <row r="382" spans="1:119" ht="14.25" customHeight="1">
      <c r="A382" s="1"/>
      <c r="B382" s="1"/>
      <c r="C382" s="1"/>
      <c r="D382" s="1"/>
      <c r="E382" s="1"/>
      <c r="F382" s="1"/>
      <c r="G382" s="1"/>
      <c r="H382" s="35"/>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row>
    <row r="383" spans="1:119" ht="14.25" customHeight="1">
      <c r="A383" s="1"/>
      <c r="B383" s="1"/>
      <c r="C383" s="1"/>
      <c r="D383" s="1"/>
      <c r="E383" s="1"/>
      <c r="F383" s="1"/>
      <c r="G383" s="1"/>
      <c r="H383" s="35"/>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row>
    <row r="384" spans="1:119" ht="14.25" customHeight="1">
      <c r="A384" s="1"/>
      <c r="B384" s="1"/>
      <c r="C384" s="1"/>
      <c r="D384" s="1"/>
      <c r="E384" s="1"/>
      <c r="F384" s="1"/>
      <c r="G384" s="1"/>
      <c r="H384" s="35"/>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row>
    <row r="385" spans="1:119" ht="14.25" customHeight="1">
      <c r="A385" s="1"/>
      <c r="B385" s="1"/>
      <c r="C385" s="1"/>
      <c r="D385" s="1"/>
      <c r="E385" s="1"/>
      <c r="F385" s="1"/>
      <c r="G385" s="1"/>
      <c r="H385" s="35"/>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row>
    <row r="386" spans="1:119" ht="14.25" customHeight="1">
      <c r="A386" s="1"/>
      <c r="B386" s="1"/>
      <c r="C386" s="1"/>
      <c r="D386" s="1"/>
      <c r="E386" s="1"/>
      <c r="F386" s="1"/>
      <c r="G386" s="1"/>
      <c r="H386" s="35"/>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row>
    <row r="387" spans="1:119" ht="14.25" customHeight="1">
      <c r="A387" s="1"/>
      <c r="B387" s="1"/>
      <c r="C387" s="1"/>
      <c r="D387" s="1"/>
      <c r="E387" s="1"/>
      <c r="F387" s="1"/>
      <c r="G387" s="1"/>
      <c r="H387" s="35"/>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row>
    <row r="388" spans="1:119" ht="14.25" customHeight="1">
      <c r="A388" s="1"/>
      <c r="B388" s="1"/>
      <c r="C388" s="1"/>
      <c r="D388" s="1"/>
      <c r="E388" s="1"/>
      <c r="F388" s="1"/>
      <c r="G388" s="1"/>
      <c r="H388" s="35"/>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row>
    <row r="389" spans="1:119" ht="14.25" customHeight="1">
      <c r="A389" s="1"/>
      <c r="B389" s="1"/>
      <c r="C389" s="1"/>
      <c r="D389" s="1"/>
      <c r="E389" s="1"/>
      <c r="F389" s="1"/>
      <c r="G389" s="1"/>
      <c r="H389" s="35"/>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row>
    <row r="390" spans="1:119" ht="14.25" customHeight="1">
      <c r="A390" s="1"/>
      <c r="B390" s="1"/>
      <c r="C390" s="1"/>
      <c r="D390" s="1"/>
      <c r="E390" s="1"/>
      <c r="F390" s="1"/>
      <c r="G390" s="1"/>
      <c r="H390" s="35"/>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row>
    <row r="391" spans="1:119" ht="14.25" customHeight="1">
      <c r="A391" s="1"/>
      <c r="B391" s="1"/>
      <c r="C391" s="1"/>
      <c r="D391" s="1"/>
      <c r="E391" s="1"/>
      <c r="F391" s="1"/>
      <c r="G391" s="1"/>
      <c r="H391" s="35"/>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row>
    <row r="392" spans="1:119" ht="14.25" customHeight="1">
      <c r="A392" s="1"/>
      <c r="B392" s="1"/>
      <c r="C392" s="1"/>
      <c r="D392" s="1"/>
      <c r="E392" s="1"/>
      <c r="F392" s="1"/>
      <c r="G392" s="1"/>
      <c r="H392" s="35"/>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row>
    <row r="393" spans="1:119" ht="14.25" customHeight="1">
      <c r="A393" s="1"/>
      <c r="B393" s="1"/>
      <c r="C393" s="1"/>
      <c r="D393" s="1"/>
      <c r="E393" s="1"/>
      <c r="F393" s="1"/>
      <c r="G393" s="1"/>
      <c r="H393" s="35"/>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row>
    <row r="394" spans="1:119" ht="14.25" customHeight="1">
      <c r="A394" s="1"/>
      <c r="B394" s="1"/>
      <c r="C394" s="1"/>
      <c r="D394" s="1"/>
      <c r="E394" s="1"/>
      <c r="F394" s="1"/>
      <c r="G394" s="1"/>
      <c r="H394" s="35"/>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row>
    <row r="395" spans="1:119" ht="14.25" customHeight="1">
      <c r="A395" s="1"/>
      <c r="B395" s="1"/>
      <c r="C395" s="1"/>
      <c r="D395" s="1"/>
      <c r="E395" s="1"/>
      <c r="F395" s="1"/>
      <c r="G395" s="1"/>
      <c r="H395" s="35"/>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row>
    <row r="396" spans="1:119" ht="14.25" customHeight="1">
      <c r="A396" s="1"/>
      <c r="B396" s="1"/>
      <c r="C396" s="1"/>
      <c r="D396" s="1"/>
      <c r="E396" s="1"/>
      <c r="F396" s="1"/>
      <c r="G396" s="1"/>
      <c r="H396" s="35"/>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row>
    <row r="397" spans="1:119" ht="14.25" customHeight="1">
      <c r="A397" s="1"/>
      <c r="B397" s="1"/>
      <c r="C397" s="1"/>
      <c r="D397" s="1"/>
      <c r="E397" s="1"/>
      <c r="F397" s="1"/>
      <c r="G397" s="1"/>
      <c r="H397" s="35"/>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row>
    <row r="398" spans="1:119" ht="14.25" customHeight="1">
      <c r="A398" s="1"/>
      <c r="B398" s="1"/>
      <c r="C398" s="1"/>
      <c r="D398" s="1"/>
      <c r="E398" s="1"/>
      <c r="F398" s="1"/>
      <c r="G398" s="1"/>
      <c r="H398" s="35"/>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row>
    <row r="399" spans="1:119" ht="14.25" customHeight="1">
      <c r="A399" s="1"/>
      <c r="B399" s="1"/>
      <c r="C399" s="1"/>
      <c r="D399" s="1"/>
      <c r="E399" s="1"/>
      <c r="F399" s="1"/>
      <c r="G399" s="1"/>
      <c r="H399" s="35"/>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row>
    <row r="400" spans="1:119" ht="14.25" customHeight="1">
      <c r="A400" s="1"/>
      <c r="B400" s="1"/>
      <c r="C400" s="1"/>
      <c r="D400" s="1"/>
      <c r="E400" s="1"/>
      <c r="F400" s="1"/>
      <c r="G400" s="1"/>
      <c r="H400" s="35"/>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row>
    <row r="401" spans="1:119" ht="14.25" customHeight="1">
      <c r="A401" s="1"/>
      <c r="B401" s="1"/>
      <c r="C401" s="1"/>
      <c r="D401" s="1"/>
      <c r="E401" s="1"/>
      <c r="F401" s="1"/>
      <c r="G401" s="1"/>
      <c r="H401" s="35"/>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row>
    <row r="402" spans="1:119" ht="14.25" customHeight="1">
      <c r="A402" s="1"/>
      <c r="B402" s="1"/>
      <c r="C402" s="1"/>
      <c r="D402" s="1"/>
      <c r="E402" s="1"/>
      <c r="F402" s="1"/>
      <c r="G402" s="1"/>
      <c r="H402" s="35"/>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row>
    <row r="403" spans="1:119" ht="14.25" customHeight="1">
      <c r="A403" s="1"/>
      <c r="B403" s="1"/>
      <c r="C403" s="1"/>
      <c r="D403" s="1"/>
      <c r="E403" s="1"/>
      <c r="F403" s="1"/>
      <c r="G403" s="1"/>
      <c r="H403" s="35"/>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row>
    <row r="404" spans="1:119" ht="14.25" customHeight="1">
      <c r="A404" s="1"/>
      <c r="B404" s="1"/>
      <c r="C404" s="1"/>
      <c r="D404" s="1"/>
      <c r="E404" s="1"/>
      <c r="F404" s="1"/>
      <c r="G404" s="1"/>
      <c r="H404" s="35"/>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row>
    <row r="405" spans="1:119" ht="14.25" customHeight="1">
      <c r="A405" s="1"/>
      <c r="B405" s="1"/>
      <c r="C405" s="1"/>
      <c r="D405" s="1"/>
      <c r="E405" s="1"/>
      <c r="F405" s="1"/>
      <c r="G405" s="1"/>
      <c r="H405" s="35"/>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row>
    <row r="406" spans="1:119" ht="14.25" customHeight="1">
      <c r="A406" s="1"/>
      <c r="B406" s="1"/>
      <c r="C406" s="1"/>
      <c r="D406" s="1"/>
      <c r="E406" s="1"/>
      <c r="F406" s="1"/>
      <c r="G406" s="1"/>
      <c r="H406" s="35"/>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row>
    <row r="407" spans="1:119" ht="14.25" customHeight="1">
      <c r="A407" s="1"/>
      <c r="B407" s="1"/>
      <c r="C407" s="1"/>
      <c r="D407" s="1"/>
      <c r="E407" s="1"/>
      <c r="F407" s="1"/>
      <c r="G407" s="1"/>
      <c r="H407" s="35"/>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row>
    <row r="408" spans="1:119" ht="14.25" customHeight="1">
      <c r="A408" s="1"/>
      <c r="B408" s="1"/>
      <c r="C408" s="1"/>
      <c r="D408" s="1"/>
      <c r="E408" s="1"/>
      <c r="F408" s="1"/>
      <c r="G408" s="1"/>
      <c r="H408" s="35"/>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row>
    <row r="409" spans="1:119" ht="14.25" customHeight="1">
      <c r="A409" s="1"/>
      <c r="B409" s="1"/>
      <c r="C409" s="1"/>
      <c r="D409" s="1"/>
      <c r="E409" s="1"/>
      <c r="F409" s="1"/>
      <c r="G409" s="1"/>
      <c r="H409" s="35"/>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row>
    <row r="410" spans="1:119" ht="14.25" customHeight="1">
      <c r="A410" s="1"/>
      <c r="B410" s="1"/>
      <c r="C410" s="1"/>
      <c r="D410" s="1"/>
      <c r="E410" s="1"/>
      <c r="F410" s="1"/>
      <c r="G410" s="1"/>
      <c r="H410" s="35"/>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row>
    <row r="411" spans="1:119" ht="14.25" customHeight="1">
      <c r="A411" s="1"/>
      <c r="B411" s="1"/>
      <c r="C411" s="1"/>
      <c r="D411" s="1"/>
      <c r="E411" s="1"/>
      <c r="F411" s="1"/>
      <c r="G411" s="1"/>
      <c r="H411" s="35"/>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row>
    <row r="412" spans="1:119" ht="14.25" customHeight="1">
      <c r="A412" s="1"/>
      <c r="B412" s="1"/>
      <c r="C412" s="1"/>
      <c r="D412" s="1"/>
      <c r="E412" s="1"/>
      <c r="F412" s="1"/>
      <c r="G412" s="1"/>
      <c r="H412" s="35"/>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row>
    <row r="413" spans="1:119" ht="14.25" customHeight="1">
      <c r="A413" s="1"/>
      <c r="B413" s="1"/>
      <c r="C413" s="1"/>
      <c r="D413" s="1"/>
      <c r="E413" s="1"/>
      <c r="F413" s="1"/>
      <c r="G413" s="1"/>
      <c r="H413" s="35"/>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row>
    <row r="414" spans="1:119" ht="14.25" customHeight="1">
      <c r="A414" s="1"/>
      <c r="B414" s="1"/>
      <c r="C414" s="1"/>
      <c r="D414" s="1"/>
      <c r="E414" s="1"/>
      <c r="F414" s="1"/>
      <c r="G414" s="1"/>
      <c r="H414" s="35"/>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row>
    <row r="415" spans="1:119" ht="14.25" customHeight="1">
      <c r="A415" s="1"/>
      <c r="B415" s="1"/>
      <c r="C415" s="1"/>
      <c r="D415" s="1"/>
      <c r="E415" s="1"/>
      <c r="F415" s="1"/>
      <c r="G415" s="1"/>
      <c r="H415" s="35"/>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row>
    <row r="416" spans="1:119" ht="14.25" customHeight="1">
      <c r="A416" s="1"/>
      <c r="B416" s="1"/>
      <c r="C416" s="1"/>
      <c r="D416" s="1"/>
      <c r="E416" s="1"/>
      <c r="F416" s="1"/>
      <c r="G416" s="1"/>
      <c r="H416" s="35"/>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row>
    <row r="417" spans="1:119" ht="14.25" customHeight="1">
      <c r="A417" s="1"/>
      <c r="B417" s="1"/>
      <c r="C417" s="1"/>
      <c r="D417" s="1"/>
      <c r="E417" s="1"/>
      <c r="F417" s="1"/>
      <c r="G417" s="1"/>
      <c r="H417" s="35"/>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row>
    <row r="418" spans="1:119" ht="14.25" customHeight="1">
      <c r="A418" s="1"/>
      <c r="B418" s="1"/>
      <c r="C418" s="1"/>
      <c r="D418" s="1"/>
      <c r="E418" s="1"/>
      <c r="F418" s="1"/>
      <c r="G418" s="1"/>
      <c r="H418" s="35"/>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row>
    <row r="419" spans="1:119" ht="14.25" customHeight="1">
      <c r="A419" s="1"/>
      <c r="B419" s="1"/>
      <c r="C419" s="1"/>
      <c r="D419" s="1"/>
      <c r="E419" s="1"/>
      <c r="F419" s="1"/>
      <c r="G419" s="1"/>
      <c r="H419" s="35"/>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row>
    <row r="420" spans="1:119" ht="14.25" customHeight="1">
      <c r="A420" s="1"/>
      <c r="B420" s="1"/>
      <c r="C420" s="1"/>
      <c r="D420" s="1"/>
      <c r="E420" s="1"/>
      <c r="F420" s="1"/>
      <c r="G420" s="1"/>
      <c r="H420" s="35"/>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row>
    <row r="421" spans="1:119" ht="14.25" customHeight="1">
      <c r="A421" s="1"/>
      <c r="B421" s="1"/>
      <c r="C421" s="1"/>
      <c r="D421" s="1"/>
      <c r="E421" s="1"/>
      <c r="F421" s="1"/>
      <c r="G421" s="1"/>
      <c r="H421" s="35"/>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row>
    <row r="422" spans="1:119" ht="14.25" customHeight="1">
      <c r="A422" s="1"/>
      <c r="B422" s="1"/>
      <c r="C422" s="1"/>
      <c r="D422" s="1"/>
      <c r="E422" s="1"/>
      <c r="F422" s="1"/>
      <c r="G422" s="1"/>
      <c r="H422" s="35"/>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row>
    <row r="423" spans="1:119" ht="14.25" customHeight="1">
      <c r="A423" s="1"/>
      <c r="B423" s="1"/>
      <c r="C423" s="1"/>
      <c r="D423" s="1"/>
      <c r="E423" s="1"/>
      <c r="F423" s="1"/>
      <c r="G423" s="1"/>
      <c r="H423" s="35"/>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row>
    <row r="424" spans="1:119" ht="14.25" customHeight="1">
      <c r="A424" s="1"/>
      <c r="B424" s="1"/>
      <c r="C424" s="1"/>
      <c r="D424" s="1"/>
      <c r="E424" s="1"/>
      <c r="F424" s="1"/>
      <c r="G424" s="1"/>
      <c r="H424" s="35"/>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row>
    <row r="425" spans="1:119" ht="14.25" customHeight="1">
      <c r="A425" s="1"/>
      <c r="B425" s="1"/>
      <c r="C425" s="1"/>
      <c r="D425" s="1"/>
      <c r="E425" s="1"/>
      <c r="F425" s="1"/>
      <c r="G425" s="1"/>
      <c r="H425" s="35"/>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row>
    <row r="426" spans="1:119" ht="14.25" customHeight="1">
      <c r="A426" s="1"/>
      <c r="B426" s="1"/>
      <c r="C426" s="1"/>
      <c r="D426" s="1"/>
      <c r="E426" s="1"/>
      <c r="F426" s="1"/>
      <c r="G426" s="1"/>
      <c r="H426" s="35"/>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row>
    <row r="427" spans="1:119" ht="14.25" customHeight="1">
      <c r="A427" s="1"/>
      <c r="B427" s="1"/>
      <c r="C427" s="1"/>
      <c r="D427" s="1"/>
      <c r="E427" s="1"/>
      <c r="F427" s="1"/>
      <c r="G427" s="1"/>
      <c r="H427" s="35"/>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row>
    <row r="428" spans="1:119" ht="14.25" customHeight="1">
      <c r="A428" s="1"/>
      <c r="B428" s="1"/>
      <c r="C428" s="1"/>
      <c r="D428" s="1"/>
      <c r="E428" s="1"/>
      <c r="F428" s="1"/>
      <c r="G428" s="1"/>
      <c r="H428" s="35"/>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row>
    <row r="429" spans="1:119" ht="14.25" customHeight="1">
      <c r="A429" s="1"/>
      <c r="B429" s="1"/>
      <c r="C429" s="1"/>
      <c r="D429" s="1"/>
      <c r="E429" s="1"/>
      <c r="F429" s="1"/>
      <c r="G429" s="1"/>
      <c r="H429" s="35"/>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row>
    <row r="430" spans="1:119" ht="14.25" customHeight="1">
      <c r="A430" s="1"/>
      <c r="B430" s="1"/>
      <c r="C430" s="1"/>
      <c r="D430" s="1"/>
      <c r="E430" s="1"/>
      <c r="F430" s="1"/>
      <c r="G430" s="1"/>
      <c r="H430" s="35"/>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row>
    <row r="431" spans="1:119" ht="14.25" customHeight="1">
      <c r="A431" s="1"/>
      <c r="B431" s="1"/>
      <c r="C431" s="1"/>
      <c r="D431" s="1"/>
      <c r="E431" s="1"/>
      <c r="F431" s="1"/>
      <c r="G431" s="1"/>
      <c r="H431" s="35"/>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row>
    <row r="432" spans="1:119" ht="14.25" customHeight="1">
      <c r="A432" s="1"/>
      <c r="B432" s="1"/>
      <c r="C432" s="1"/>
      <c r="D432" s="1"/>
      <c r="E432" s="1"/>
      <c r="F432" s="1"/>
      <c r="G432" s="1"/>
      <c r="H432" s="35"/>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row>
    <row r="433" spans="1:119" ht="14.25" customHeight="1">
      <c r="A433" s="1"/>
      <c r="B433" s="1"/>
      <c r="C433" s="1"/>
      <c r="D433" s="1"/>
      <c r="E433" s="1"/>
      <c r="F433" s="1"/>
      <c r="G433" s="1"/>
      <c r="H433" s="35"/>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row>
    <row r="434" spans="1:119" ht="14.25" customHeight="1">
      <c r="A434" s="1"/>
      <c r="B434" s="1"/>
      <c r="C434" s="1"/>
      <c r="D434" s="1"/>
      <c r="E434" s="1"/>
      <c r="F434" s="1"/>
      <c r="G434" s="1"/>
      <c r="H434" s="35"/>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row>
    <row r="435" spans="1:119" ht="14.25" customHeight="1">
      <c r="A435" s="1"/>
      <c r="B435" s="1"/>
      <c r="C435" s="1"/>
      <c r="D435" s="1"/>
      <c r="E435" s="1"/>
      <c r="F435" s="1"/>
      <c r="G435" s="1"/>
      <c r="H435" s="35"/>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row>
    <row r="436" spans="1:119" ht="14.25" customHeight="1">
      <c r="A436" s="1"/>
      <c r="B436" s="1"/>
      <c r="C436" s="1"/>
      <c r="D436" s="1"/>
      <c r="E436" s="1"/>
      <c r="F436" s="1"/>
      <c r="G436" s="1"/>
      <c r="H436" s="35"/>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row>
    <row r="437" spans="1:119" ht="14.25" customHeight="1">
      <c r="A437" s="1"/>
      <c r="B437" s="1"/>
      <c r="C437" s="1"/>
      <c r="D437" s="1"/>
      <c r="E437" s="1"/>
      <c r="F437" s="1"/>
      <c r="G437" s="1"/>
      <c r="H437" s="35"/>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row>
    <row r="438" spans="1:119" ht="14.25" customHeight="1">
      <c r="A438" s="1"/>
      <c r="B438" s="1"/>
      <c r="C438" s="1"/>
      <c r="D438" s="1"/>
      <c r="E438" s="1"/>
      <c r="F438" s="1"/>
      <c r="G438" s="1"/>
      <c r="H438" s="35"/>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row>
    <row r="439" spans="1:119" ht="14.25" customHeight="1">
      <c r="A439" s="1"/>
      <c r="B439" s="1"/>
      <c r="C439" s="1"/>
      <c r="D439" s="1"/>
      <c r="E439" s="1"/>
      <c r="F439" s="1"/>
      <c r="G439" s="1"/>
      <c r="H439" s="35"/>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row>
    <row r="440" spans="1:119" ht="14.25" customHeight="1">
      <c r="A440" s="1"/>
      <c r="B440" s="1"/>
      <c r="C440" s="1"/>
      <c r="D440" s="1"/>
      <c r="E440" s="1"/>
      <c r="F440" s="1"/>
      <c r="G440" s="1"/>
      <c r="H440" s="35"/>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row>
    <row r="441" spans="1:119" ht="14.25" customHeight="1">
      <c r="A441" s="1"/>
      <c r="B441" s="1"/>
      <c r="C441" s="1"/>
      <c r="D441" s="1"/>
      <c r="E441" s="1"/>
      <c r="F441" s="1"/>
      <c r="G441" s="1"/>
      <c r="H441" s="35"/>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row>
    <row r="442" spans="1:119" ht="14.25" customHeight="1">
      <c r="A442" s="1"/>
      <c r="B442" s="1"/>
      <c r="C442" s="1"/>
      <c r="D442" s="1"/>
      <c r="E442" s="1"/>
      <c r="F442" s="1"/>
      <c r="G442" s="1"/>
      <c r="H442" s="35"/>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row>
    <row r="443" spans="1:119" ht="14.25" customHeight="1">
      <c r="A443" s="1"/>
      <c r="B443" s="1"/>
      <c r="C443" s="1"/>
      <c r="D443" s="1"/>
      <c r="E443" s="1"/>
      <c r="F443" s="1"/>
      <c r="G443" s="1"/>
      <c r="H443" s="35"/>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row>
    <row r="444" spans="1:119" ht="14.25" customHeight="1">
      <c r="A444" s="1"/>
      <c r="B444" s="1"/>
      <c r="C444" s="1"/>
      <c r="D444" s="1"/>
      <c r="E444" s="1"/>
      <c r="F444" s="1"/>
      <c r="G444" s="1"/>
      <c r="H444" s="35"/>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row>
    <row r="445" spans="1:119" ht="14.25" customHeight="1">
      <c r="A445" s="1"/>
      <c r="B445" s="1"/>
      <c r="C445" s="1"/>
      <c r="D445" s="1"/>
      <c r="E445" s="1"/>
      <c r="F445" s="1"/>
      <c r="G445" s="1"/>
      <c r="H445" s="35"/>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row>
    <row r="446" spans="1:119" ht="14.25" customHeight="1">
      <c r="A446" s="1"/>
      <c r="B446" s="1"/>
      <c r="C446" s="1"/>
      <c r="D446" s="1"/>
      <c r="E446" s="1"/>
      <c r="F446" s="1"/>
      <c r="G446" s="1"/>
      <c r="H446" s="35"/>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row>
    <row r="447" spans="1:119" ht="14.25" customHeight="1">
      <c r="A447" s="1"/>
      <c r="B447" s="1"/>
      <c r="C447" s="1"/>
      <c r="D447" s="1"/>
      <c r="E447" s="1"/>
      <c r="F447" s="1"/>
      <c r="G447" s="1"/>
      <c r="H447" s="35"/>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row>
    <row r="448" spans="1:119" ht="14.25" customHeight="1">
      <c r="A448" s="1"/>
      <c r="B448" s="1"/>
      <c r="C448" s="1"/>
      <c r="D448" s="1"/>
      <c r="E448" s="1"/>
      <c r="F448" s="1"/>
      <c r="G448" s="1"/>
      <c r="H448" s="35"/>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row>
    <row r="449" spans="1:119" ht="14.25" customHeight="1">
      <c r="A449" s="1"/>
      <c r="B449" s="1"/>
      <c r="C449" s="1"/>
      <c r="D449" s="1"/>
      <c r="E449" s="1"/>
      <c r="F449" s="1"/>
      <c r="G449" s="1"/>
      <c r="H449" s="35"/>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row>
    <row r="450" spans="1:119" ht="14.25" customHeight="1">
      <c r="A450" s="1"/>
      <c r="B450" s="1"/>
      <c r="C450" s="1"/>
      <c r="D450" s="1"/>
      <c r="E450" s="1"/>
      <c r="F450" s="1"/>
      <c r="G450" s="1"/>
      <c r="H450" s="35"/>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row>
    <row r="451" spans="1:119" ht="14.25" customHeight="1">
      <c r="A451" s="1"/>
      <c r="B451" s="1"/>
      <c r="C451" s="1"/>
      <c r="D451" s="1"/>
      <c r="E451" s="1"/>
      <c r="F451" s="1"/>
      <c r="G451" s="1"/>
      <c r="H451" s="35"/>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row>
    <row r="452" spans="1:119" ht="14.25" customHeight="1">
      <c r="A452" s="1"/>
      <c r="B452" s="1"/>
      <c r="C452" s="1"/>
      <c r="D452" s="1"/>
      <c r="E452" s="1"/>
      <c r="F452" s="1"/>
      <c r="G452" s="1"/>
      <c r="H452" s="35"/>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row>
    <row r="453" spans="1:119" ht="14.25" customHeight="1">
      <c r="A453" s="1"/>
      <c r="B453" s="1"/>
      <c r="C453" s="1"/>
      <c r="D453" s="1"/>
      <c r="E453" s="1"/>
      <c r="F453" s="1"/>
      <c r="G453" s="1"/>
      <c r="H453" s="35"/>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row>
    <row r="454" spans="1:119" ht="14.25" customHeight="1">
      <c r="A454" s="1"/>
      <c r="B454" s="1"/>
      <c r="C454" s="1"/>
      <c r="D454" s="1"/>
      <c r="E454" s="1"/>
      <c r="F454" s="1"/>
      <c r="G454" s="1"/>
      <c r="H454" s="35"/>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row>
    <row r="455" spans="1:119" ht="14.25" customHeight="1">
      <c r="A455" s="1"/>
      <c r="B455" s="1"/>
      <c r="C455" s="1"/>
      <c r="D455" s="1"/>
      <c r="E455" s="1"/>
      <c r="F455" s="1"/>
      <c r="G455" s="1"/>
      <c r="H455" s="35"/>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row>
    <row r="456" spans="1:119" ht="14.25" customHeight="1">
      <c r="A456" s="1"/>
      <c r="B456" s="1"/>
      <c r="C456" s="1"/>
      <c r="D456" s="1"/>
      <c r="E456" s="1"/>
      <c r="F456" s="1"/>
      <c r="G456" s="1"/>
      <c r="H456" s="35"/>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row>
    <row r="457" spans="1:119" ht="14.25" customHeight="1">
      <c r="A457" s="1"/>
      <c r="B457" s="1"/>
      <c r="C457" s="1"/>
      <c r="D457" s="1"/>
      <c r="E457" s="1"/>
      <c r="F457" s="1"/>
      <c r="G457" s="1"/>
      <c r="H457" s="35"/>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row>
    <row r="458" spans="1:119" ht="14.25" customHeight="1">
      <c r="A458" s="1"/>
      <c r="B458" s="1"/>
      <c r="C458" s="1"/>
      <c r="D458" s="1"/>
      <c r="E458" s="1"/>
      <c r="F458" s="1"/>
      <c r="G458" s="1"/>
      <c r="H458" s="35"/>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row>
    <row r="459" spans="1:119" ht="14.25" customHeight="1">
      <c r="A459" s="1"/>
      <c r="B459" s="1"/>
      <c r="C459" s="1"/>
      <c r="D459" s="1"/>
      <c r="E459" s="1"/>
      <c r="F459" s="1"/>
      <c r="G459" s="1"/>
      <c r="H459" s="35"/>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row>
    <row r="460" spans="1:119" ht="14.25" customHeight="1">
      <c r="A460" s="1"/>
      <c r="B460" s="1"/>
      <c r="C460" s="1"/>
      <c r="D460" s="1"/>
      <c r="E460" s="1"/>
      <c r="F460" s="1"/>
      <c r="G460" s="1"/>
      <c r="H460" s="35"/>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row>
    <row r="461" spans="1:119" ht="14.25" customHeight="1">
      <c r="A461" s="1"/>
      <c r="B461" s="1"/>
      <c r="C461" s="1"/>
      <c r="D461" s="1"/>
      <c r="E461" s="1"/>
      <c r="F461" s="1"/>
      <c r="G461" s="1"/>
      <c r="H461" s="35"/>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row>
    <row r="462" spans="1:119" ht="14.25" customHeight="1">
      <c r="A462" s="1"/>
      <c r="B462" s="1"/>
      <c r="C462" s="1"/>
      <c r="D462" s="1"/>
      <c r="E462" s="1"/>
      <c r="F462" s="1"/>
      <c r="G462" s="1"/>
      <c r="H462" s="35"/>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row>
    <row r="463" spans="1:119" ht="14.25" customHeight="1">
      <c r="A463" s="1"/>
      <c r="B463" s="1"/>
      <c r="C463" s="1"/>
      <c r="D463" s="1"/>
      <c r="E463" s="1"/>
      <c r="F463" s="1"/>
      <c r="G463" s="1"/>
      <c r="H463" s="35"/>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row>
    <row r="464" spans="1:119" ht="14.25" customHeight="1">
      <c r="A464" s="1"/>
      <c r="B464" s="1"/>
      <c r="C464" s="1"/>
      <c r="D464" s="1"/>
      <c r="E464" s="1"/>
      <c r="F464" s="1"/>
      <c r="G464" s="1"/>
      <c r="H464" s="35"/>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row>
    <row r="465" spans="1:119" ht="14.25" customHeight="1">
      <c r="A465" s="1"/>
      <c r="B465" s="1"/>
      <c r="C465" s="1"/>
      <c r="D465" s="1"/>
      <c r="E465" s="1"/>
      <c r="F465" s="1"/>
      <c r="G465" s="1"/>
      <c r="H465" s="35"/>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row>
    <row r="466" spans="1:119" ht="14.25" customHeight="1">
      <c r="A466" s="1"/>
      <c r="B466" s="1"/>
      <c r="C466" s="1"/>
      <c r="D466" s="1"/>
      <c r="E466" s="1"/>
      <c r="F466" s="1"/>
      <c r="G466" s="1"/>
      <c r="H466" s="35"/>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row>
    <row r="467" spans="1:119" ht="14.25" customHeight="1">
      <c r="A467" s="1"/>
      <c r="B467" s="1"/>
      <c r="C467" s="1"/>
      <c r="D467" s="1"/>
      <c r="E467" s="1"/>
      <c r="F467" s="1"/>
      <c r="G467" s="1"/>
      <c r="H467" s="35"/>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row>
    <row r="468" spans="1:119" ht="14.25" customHeight="1">
      <c r="A468" s="1"/>
      <c r="B468" s="1"/>
      <c r="C468" s="1"/>
      <c r="D468" s="1"/>
      <c r="E468" s="1"/>
      <c r="F468" s="1"/>
      <c r="G468" s="1"/>
      <c r="H468" s="35"/>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row>
    <row r="469" spans="1:119" ht="14.25" customHeight="1">
      <c r="A469" s="1"/>
      <c r="B469" s="1"/>
      <c r="C469" s="1"/>
      <c r="D469" s="1"/>
      <c r="E469" s="1"/>
      <c r="F469" s="1"/>
      <c r="G469" s="1"/>
      <c r="H469" s="35"/>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row>
    <row r="470" spans="1:119" ht="14.25" customHeight="1">
      <c r="A470" s="1"/>
      <c r="B470" s="1"/>
      <c r="C470" s="1"/>
      <c r="D470" s="1"/>
      <c r="E470" s="1"/>
      <c r="F470" s="1"/>
      <c r="G470" s="1"/>
      <c r="H470" s="35"/>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row>
    <row r="471" spans="1:119" ht="14.25" customHeight="1">
      <c r="A471" s="1"/>
      <c r="B471" s="1"/>
      <c r="C471" s="1"/>
      <c r="D471" s="1"/>
      <c r="E471" s="1"/>
      <c r="F471" s="1"/>
      <c r="G471" s="1"/>
      <c r="H471" s="35"/>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row>
    <row r="472" spans="1:119" ht="14.25" customHeight="1">
      <c r="A472" s="1"/>
      <c r="B472" s="1"/>
      <c r="C472" s="1"/>
      <c r="D472" s="1"/>
      <c r="E472" s="1"/>
      <c r="F472" s="1"/>
      <c r="G472" s="1"/>
      <c r="H472" s="35"/>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row>
    <row r="473" spans="1:119" ht="14.25" customHeight="1">
      <c r="A473" s="1"/>
      <c r="B473" s="1"/>
      <c r="C473" s="1"/>
      <c r="D473" s="1"/>
      <c r="E473" s="1"/>
      <c r="F473" s="1"/>
      <c r="G473" s="1"/>
      <c r="H473" s="35"/>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row>
    <row r="474" spans="1:119" ht="14.25" customHeight="1">
      <c r="A474" s="1"/>
      <c r="B474" s="1"/>
      <c r="C474" s="1"/>
      <c r="D474" s="1"/>
      <c r="E474" s="1"/>
      <c r="F474" s="1"/>
      <c r="G474" s="1"/>
      <c r="H474" s="35"/>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row>
    <row r="475" spans="1:119" ht="14.25" customHeight="1">
      <c r="A475" s="1"/>
      <c r="B475" s="1"/>
      <c r="C475" s="1"/>
      <c r="D475" s="1"/>
      <c r="E475" s="1"/>
      <c r="F475" s="1"/>
      <c r="G475" s="1"/>
      <c r="H475" s="35"/>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row>
    <row r="476" spans="1:119" ht="14.25" customHeight="1">
      <c r="A476" s="1"/>
      <c r="B476" s="1"/>
      <c r="C476" s="1"/>
      <c r="D476" s="1"/>
      <c r="E476" s="1"/>
      <c r="F476" s="1"/>
      <c r="G476" s="1"/>
      <c r="H476" s="35"/>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row>
    <row r="477" spans="1:119" ht="14.25" customHeight="1">
      <c r="A477" s="1"/>
      <c r="B477" s="1"/>
      <c r="C477" s="1"/>
      <c r="D477" s="1"/>
      <c r="E477" s="1"/>
      <c r="F477" s="1"/>
      <c r="G477" s="1"/>
      <c r="H477" s="35"/>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row>
    <row r="478" spans="1:119" ht="14.25" customHeight="1">
      <c r="A478" s="1"/>
      <c r="B478" s="1"/>
      <c r="C478" s="1"/>
      <c r="D478" s="1"/>
      <c r="E478" s="1"/>
      <c r="F478" s="1"/>
      <c r="G478" s="1"/>
      <c r="H478" s="35"/>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row>
    <row r="479" spans="1:119" ht="14.25" customHeight="1">
      <c r="A479" s="1"/>
      <c r="B479" s="1"/>
      <c r="C479" s="1"/>
      <c r="D479" s="1"/>
      <c r="E479" s="1"/>
      <c r="F479" s="1"/>
      <c r="G479" s="1"/>
      <c r="H479" s="35"/>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row>
    <row r="480" spans="1:119" ht="14.25" customHeight="1">
      <c r="A480" s="1"/>
      <c r="B480" s="1"/>
      <c r="C480" s="1"/>
      <c r="D480" s="1"/>
      <c r="E480" s="1"/>
      <c r="F480" s="1"/>
      <c r="G480" s="1"/>
      <c r="H480" s="35"/>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row>
    <row r="481" spans="1:119" ht="14.25" customHeight="1">
      <c r="A481" s="1"/>
      <c r="B481" s="1"/>
      <c r="C481" s="1"/>
      <c r="D481" s="1"/>
      <c r="E481" s="1"/>
      <c r="F481" s="1"/>
      <c r="G481" s="1"/>
      <c r="H481" s="35"/>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row>
    <row r="482" spans="1:119" ht="14.25" customHeight="1">
      <c r="A482" s="1"/>
      <c r="B482" s="1"/>
      <c r="C482" s="1"/>
      <c r="D482" s="1"/>
      <c r="E482" s="1"/>
      <c r="F482" s="1"/>
      <c r="G482" s="1"/>
      <c r="H482" s="35"/>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row>
    <row r="483" spans="1:119" ht="14.25" customHeight="1">
      <c r="A483" s="1"/>
      <c r="B483" s="1"/>
      <c r="C483" s="1"/>
      <c r="D483" s="1"/>
      <c r="E483" s="1"/>
      <c r="F483" s="1"/>
      <c r="G483" s="1"/>
      <c r="H483" s="35"/>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row>
    <row r="484" spans="1:119" ht="14.25" customHeight="1">
      <c r="A484" s="1"/>
      <c r="B484" s="1"/>
      <c r="C484" s="1"/>
      <c r="D484" s="1"/>
      <c r="E484" s="1"/>
      <c r="F484" s="1"/>
      <c r="G484" s="1"/>
      <c r="H484" s="35"/>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row>
    <row r="485" spans="1:119" ht="14.25" customHeight="1">
      <c r="A485" s="1"/>
      <c r="B485" s="1"/>
      <c r="C485" s="1"/>
      <c r="D485" s="1"/>
      <c r="E485" s="1"/>
      <c r="F485" s="1"/>
      <c r="G485" s="1"/>
      <c r="H485" s="35"/>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row>
    <row r="486" spans="1:119" ht="14.25" customHeight="1">
      <c r="A486" s="1"/>
      <c r="B486" s="1"/>
      <c r="C486" s="1"/>
      <c r="D486" s="1"/>
      <c r="E486" s="1"/>
      <c r="F486" s="1"/>
      <c r="G486" s="1"/>
      <c r="H486" s="35"/>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row>
    <row r="487" spans="1:119" ht="14.25" customHeight="1">
      <c r="A487" s="1"/>
      <c r="B487" s="1"/>
      <c r="C487" s="1"/>
      <c r="D487" s="1"/>
      <c r="E487" s="1"/>
      <c r="F487" s="1"/>
      <c r="G487" s="1"/>
      <c r="H487" s="35"/>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row>
    <row r="488" spans="1:119" ht="14.25" customHeight="1">
      <c r="A488" s="1"/>
      <c r="B488" s="1"/>
      <c r="C488" s="1"/>
      <c r="D488" s="1"/>
      <c r="E488" s="1"/>
      <c r="F488" s="1"/>
      <c r="G488" s="1"/>
      <c r="H488" s="35"/>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row>
    <row r="489" spans="1:119" ht="14.25" customHeight="1">
      <c r="A489" s="1"/>
      <c r="B489" s="1"/>
      <c r="C489" s="1"/>
      <c r="D489" s="1"/>
      <c r="E489" s="1"/>
      <c r="F489" s="1"/>
      <c r="G489" s="1"/>
      <c r="H489" s="35"/>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row>
    <row r="490" spans="1:119" ht="14.25" customHeight="1">
      <c r="A490" s="1"/>
      <c r="B490" s="1"/>
      <c r="C490" s="1"/>
      <c r="D490" s="1"/>
      <c r="E490" s="1"/>
      <c r="F490" s="1"/>
      <c r="G490" s="1"/>
      <c r="H490" s="35"/>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row>
    <row r="491" spans="1:119" ht="14.25" customHeight="1">
      <c r="A491" s="1"/>
      <c r="B491" s="1"/>
      <c r="C491" s="1"/>
      <c r="D491" s="1"/>
      <c r="E491" s="1"/>
      <c r="F491" s="1"/>
      <c r="G491" s="1"/>
      <c r="H491" s="35"/>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row>
    <row r="492" spans="1:119" ht="14.25" customHeight="1">
      <c r="A492" s="1"/>
      <c r="B492" s="1"/>
      <c r="C492" s="1"/>
      <c r="D492" s="1"/>
      <c r="E492" s="1"/>
      <c r="F492" s="1"/>
      <c r="G492" s="1"/>
      <c r="H492" s="35"/>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row>
    <row r="493" spans="1:119" ht="14.25" customHeight="1">
      <c r="A493" s="1"/>
      <c r="B493" s="1"/>
      <c r="C493" s="1"/>
      <c r="D493" s="1"/>
      <c r="E493" s="1"/>
      <c r="F493" s="1"/>
      <c r="G493" s="1"/>
      <c r="H493" s="35"/>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row>
    <row r="494" spans="1:119" ht="14.25" customHeight="1">
      <c r="A494" s="1"/>
      <c r="B494" s="1"/>
      <c r="C494" s="1"/>
      <c r="D494" s="1"/>
      <c r="E494" s="1"/>
      <c r="F494" s="1"/>
      <c r="G494" s="1"/>
      <c r="H494" s="35"/>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row>
    <row r="495" spans="1:119" ht="14.25" customHeight="1">
      <c r="A495" s="1"/>
      <c r="B495" s="1"/>
      <c r="C495" s="1"/>
      <c r="D495" s="1"/>
      <c r="E495" s="1"/>
      <c r="F495" s="1"/>
      <c r="G495" s="1"/>
      <c r="H495" s="35"/>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row>
    <row r="496" spans="1:119" ht="14.25" customHeight="1">
      <c r="A496" s="1"/>
      <c r="B496" s="1"/>
      <c r="C496" s="1"/>
      <c r="D496" s="1"/>
      <c r="E496" s="1"/>
      <c r="F496" s="1"/>
      <c r="G496" s="1"/>
      <c r="H496" s="35"/>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row>
    <row r="497" spans="1:119" ht="14.25" customHeight="1">
      <c r="A497" s="1"/>
      <c r="B497" s="1"/>
      <c r="C497" s="1"/>
      <c r="D497" s="1"/>
      <c r="E497" s="1"/>
      <c r="F497" s="1"/>
      <c r="G497" s="1"/>
      <c r="H497" s="35"/>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row>
    <row r="498" spans="1:119" ht="14.25" customHeight="1">
      <c r="A498" s="1"/>
      <c r="B498" s="1"/>
      <c r="C498" s="1"/>
      <c r="D498" s="1"/>
      <c r="E498" s="1"/>
      <c r="F498" s="1"/>
      <c r="G498" s="1"/>
      <c r="H498" s="35"/>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row>
    <row r="499" spans="1:119" ht="14.25" customHeight="1">
      <c r="A499" s="1"/>
      <c r="B499" s="1"/>
      <c r="C499" s="1"/>
      <c r="D499" s="1"/>
      <c r="E499" s="1"/>
      <c r="F499" s="1"/>
      <c r="G499" s="1"/>
      <c r="H499" s="35"/>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row>
    <row r="500" spans="1:119" ht="14.25" customHeight="1">
      <c r="A500" s="1"/>
      <c r="B500" s="1"/>
      <c r="C500" s="1"/>
      <c r="D500" s="1"/>
      <c r="E500" s="1"/>
      <c r="F500" s="1"/>
      <c r="G500" s="1"/>
      <c r="H500" s="35"/>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row>
    <row r="501" spans="1:119" ht="14.25" customHeight="1">
      <c r="A501" s="1"/>
      <c r="B501" s="1"/>
      <c r="C501" s="1"/>
      <c r="D501" s="1"/>
      <c r="E501" s="1"/>
      <c r="F501" s="1"/>
      <c r="G501" s="1"/>
      <c r="H501" s="35"/>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row>
    <row r="502" spans="1:119" ht="14.25" customHeight="1">
      <c r="A502" s="1"/>
      <c r="B502" s="1"/>
      <c r="C502" s="1"/>
      <c r="D502" s="1"/>
      <c r="E502" s="1"/>
      <c r="F502" s="1"/>
      <c r="G502" s="1"/>
      <c r="H502" s="35"/>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row>
    <row r="503" spans="1:119" ht="14.25" customHeight="1">
      <c r="A503" s="1"/>
      <c r="B503" s="1"/>
      <c r="C503" s="1"/>
      <c r="D503" s="1"/>
      <c r="E503" s="1"/>
      <c r="F503" s="1"/>
      <c r="G503" s="1"/>
      <c r="H503" s="35"/>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row>
    <row r="504" spans="1:119" ht="14.25" customHeight="1">
      <c r="A504" s="1"/>
      <c r="B504" s="1"/>
      <c r="C504" s="1"/>
      <c r="D504" s="1"/>
      <c r="E504" s="1"/>
      <c r="F504" s="1"/>
      <c r="G504" s="1"/>
      <c r="H504" s="35"/>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row>
    <row r="505" spans="1:119" ht="14.25" customHeight="1">
      <c r="A505" s="1"/>
      <c r="B505" s="1"/>
      <c r="C505" s="1"/>
      <c r="D505" s="1"/>
      <c r="E505" s="1"/>
      <c r="F505" s="1"/>
      <c r="G505" s="1"/>
      <c r="H505" s="35"/>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row>
    <row r="506" spans="1:119" ht="14.25" customHeight="1">
      <c r="A506" s="1"/>
      <c r="B506" s="1"/>
      <c r="C506" s="1"/>
      <c r="D506" s="1"/>
      <c r="E506" s="1"/>
      <c r="F506" s="1"/>
      <c r="G506" s="1"/>
      <c r="H506" s="35"/>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row>
    <row r="507" spans="1:119" ht="14.25" customHeight="1">
      <c r="A507" s="1"/>
      <c r="B507" s="1"/>
      <c r="C507" s="1"/>
      <c r="D507" s="1"/>
      <c r="E507" s="1"/>
      <c r="F507" s="1"/>
      <c r="G507" s="1"/>
      <c r="H507" s="35"/>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row>
    <row r="508" spans="1:119" ht="14.25" customHeight="1">
      <c r="A508" s="1"/>
      <c r="B508" s="1"/>
      <c r="C508" s="1"/>
      <c r="D508" s="1"/>
      <c r="E508" s="1"/>
      <c r="F508" s="1"/>
      <c r="G508" s="1"/>
      <c r="H508" s="35"/>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row>
    <row r="509" spans="1:119" ht="14.25" customHeight="1">
      <c r="A509" s="1"/>
      <c r="B509" s="1"/>
      <c r="C509" s="1"/>
      <c r="D509" s="1"/>
      <c r="E509" s="1"/>
      <c r="F509" s="1"/>
      <c r="G509" s="1"/>
      <c r="H509" s="35"/>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row>
    <row r="510" spans="1:119" ht="14.25" customHeight="1">
      <c r="A510" s="1"/>
      <c r="B510" s="1"/>
      <c r="C510" s="1"/>
      <c r="D510" s="1"/>
      <c r="E510" s="1"/>
      <c r="F510" s="1"/>
      <c r="G510" s="1"/>
      <c r="H510" s="35"/>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row>
    <row r="511" spans="1:119" ht="14.25" customHeight="1">
      <c r="A511" s="1"/>
      <c r="B511" s="1"/>
      <c r="C511" s="1"/>
      <c r="D511" s="1"/>
      <c r="E511" s="1"/>
      <c r="F511" s="1"/>
      <c r="G511" s="1"/>
      <c r="H511" s="35"/>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row>
    <row r="512" spans="1:119" ht="14.25" customHeight="1">
      <c r="A512" s="1"/>
      <c r="B512" s="1"/>
      <c r="C512" s="1"/>
      <c r="D512" s="1"/>
      <c r="E512" s="1"/>
      <c r="F512" s="1"/>
      <c r="G512" s="1"/>
      <c r="H512" s="35"/>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row>
    <row r="513" spans="1:119" ht="14.25" customHeight="1">
      <c r="A513" s="1"/>
      <c r="B513" s="1"/>
      <c r="C513" s="1"/>
      <c r="D513" s="1"/>
      <c r="E513" s="1"/>
      <c r="F513" s="1"/>
      <c r="G513" s="1"/>
      <c r="H513" s="35"/>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row>
    <row r="514" spans="1:119" ht="14.25" customHeight="1">
      <c r="A514" s="1"/>
      <c r="B514" s="1"/>
      <c r="C514" s="1"/>
      <c r="D514" s="1"/>
      <c r="E514" s="1"/>
      <c r="F514" s="1"/>
      <c r="G514" s="1"/>
      <c r="H514" s="35"/>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row>
    <row r="515" spans="1:119" ht="14.25" customHeight="1">
      <c r="A515" s="1"/>
      <c r="B515" s="1"/>
      <c r="C515" s="1"/>
      <c r="D515" s="1"/>
      <c r="E515" s="1"/>
      <c r="F515" s="1"/>
      <c r="G515" s="1"/>
      <c r="H515" s="35"/>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row>
    <row r="516" spans="1:119" ht="14.25" customHeight="1">
      <c r="A516" s="1"/>
      <c r="B516" s="1"/>
      <c r="C516" s="1"/>
      <c r="D516" s="1"/>
      <c r="E516" s="1"/>
      <c r="F516" s="1"/>
      <c r="G516" s="1"/>
      <c r="H516" s="35"/>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row>
    <row r="517" spans="1:119" ht="14.25" customHeight="1">
      <c r="A517" s="1"/>
      <c r="B517" s="1"/>
      <c r="C517" s="1"/>
      <c r="D517" s="1"/>
      <c r="E517" s="1"/>
      <c r="F517" s="1"/>
      <c r="G517" s="1"/>
      <c r="H517" s="35"/>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row>
    <row r="518" spans="1:119" ht="14.25" customHeight="1">
      <c r="A518" s="1"/>
      <c r="B518" s="1"/>
      <c r="C518" s="1"/>
      <c r="D518" s="1"/>
      <c r="E518" s="1"/>
      <c r="F518" s="1"/>
      <c r="G518" s="1"/>
      <c r="H518" s="35"/>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row>
    <row r="519" spans="1:119" ht="14.25" customHeight="1">
      <c r="A519" s="1"/>
      <c r="B519" s="1"/>
      <c r="C519" s="1"/>
      <c r="D519" s="1"/>
      <c r="E519" s="1"/>
      <c r="F519" s="1"/>
      <c r="G519" s="1"/>
      <c r="H519" s="35"/>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row>
    <row r="520" spans="1:119" ht="14.25" customHeight="1">
      <c r="A520" s="1"/>
      <c r="B520" s="1"/>
      <c r="C520" s="1"/>
      <c r="D520" s="1"/>
      <c r="E520" s="1"/>
      <c r="F520" s="1"/>
      <c r="G520" s="1"/>
      <c r="H520" s="35"/>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row>
    <row r="521" spans="1:119" ht="14.25" customHeight="1">
      <c r="A521" s="1"/>
      <c r="B521" s="1"/>
      <c r="C521" s="1"/>
      <c r="D521" s="1"/>
      <c r="E521" s="1"/>
      <c r="F521" s="1"/>
      <c r="G521" s="1"/>
      <c r="H521" s="35"/>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row>
    <row r="522" spans="1:119" ht="14.25" customHeight="1">
      <c r="A522" s="1"/>
      <c r="B522" s="1"/>
      <c r="C522" s="1"/>
      <c r="D522" s="1"/>
      <c r="E522" s="1"/>
      <c r="F522" s="1"/>
      <c r="G522" s="1"/>
      <c r="H522" s="35"/>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row>
    <row r="523" spans="1:119" ht="14.25" customHeight="1">
      <c r="A523" s="1"/>
      <c r="B523" s="1"/>
      <c r="C523" s="1"/>
      <c r="D523" s="1"/>
      <c r="E523" s="1"/>
      <c r="F523" s="1"/>
      <c r="G523" s="1"/>
      <c r="H523" s="35"/>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row>
    <row r="524" spans="1:119" ht="14.25" customHeight="1">
      <c r="A524" s="1"/>
      <c r="B524" s="1"/>
      <c r="C524" s="1"/>
      <c r="D524" s="1"/>
      <c r="E524" s="1"/>
      <c r="F524" s="1"/>
      <c r="G524" s="1"/>
      <c r="H524" s="35"/>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row>
    <row r="525" spans="1:119" ht="14.25" customHeight="1">
      <c r="A525" s="1"/>
      <c r="B525" s="1"/>
      <c r="C525" s="1"/>
      <c r="D525" s="1"/>
      <c r="E525" s="1"/>
      <c r="F525" s="1"/>
      <c r="G525" s="1"/>
      <c r="H525" s="35"/>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row>
    <row r="526" spans="1:119" ht="14.25" customHeight="1">
      <c r="A526" s="1"/>
      <c r="B526" s="1"/>
      <c r="C526" s="1"/>
      <c r="D526" s="1"/>
      <c r="E526" s="1"/>
      <c r="F526" s="1"/>
      <c r="G526" s="1"/>
      <c r="H526" s="35"/>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row>
    <row r="527" spans="1:119" ht="14.25" customHeight="1">
      <c r="A527" s="1"/>
      <c r="B527" s="1"/>
      <c r="C527" s="1"/>
      <c r="D527" s="1"/>
      <c r="E527" s="1"/>
      <c r="F527" s="1"/>
      <c r="G527" s="1"/>
      <c r="H527" s="35"/>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row>
    <row r="528" spans="1:119" ht="14.25" customHeight="1">
      <c r="A528" s="1"/>
      <c r="B528" s="1"/>
      <c r="C528" s="1"/>
      <c r="D528" s="1"/>
      <c r="E528" s="1"/>
      <c r="F528" s="1"/>
      <c r="G528" s="1"/>
      <c r="H528" s="35"/>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row>
    <row r="529" spans="1:119" ht="14.25" customHeight="1">
      <c r="A529" s="1"/>
      <c r="B529" s="1"/>
      <c r="C529" s="1"/>
      <c r="D529" s="1"/>
      <c r="E529" s="1"/>
      <c r="F529" s="1"/>
      <c r="G529" s="1"/>
      <c r="H529" s="35"/>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row>
    <row r="530" spans="1:119" ht="14.25" customHeight="1">
      <c r="A530" s="1"/>
      <c r="B530" s="1"/>
      <c r="C530" s="1"/>
      <c r="D530" s="1"/>
      <c r="E530" s="1"/>
      <c r="F530" s="1"/>
      <c r="G530" s="1"/>
      <c r="H530" s="35"/>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row>
    <row r="531" spans="1:119" ht="14.25" customHeight="1">
      <c r="A531" s="1"/>
      <c r="B531" s="1"/>
      <c r="C531" s="1"/>
      <c r="D531" s="1"/>
      <c r="E531" s="1"/>
      <c r="F531" s="1"/>
      <c r="G531" s="1"/>
      <c r="H531" s="35"/>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row>
    <row r="532" spans="1:119" ht="14.25" customHeight="1">
      <c r="A532" s="1"/>
      <c r="B532" s="1"/>
      <c r="C532" s="1"/>
      <c r="D532" s="1"/>
      <c r="E532" s="1"/>
      <c r="F532" s="1"/>
      <c r="G532" s="1"/>
      <c r="H532" s="35"/>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row>
    <row r="533" spans="1:119" ht="14.25" customHeight="1">
      <c r="A533" s="1"/>
      <c r="B533" s="1"/>
      <c r="C533" s="1"/>
      <c r="D533" s="1"/>
      <c r="E533" s="1"/>
      <c r="F533" s="1"/>
      <c r="G533" s="1"/>
      <c r="H533" s="35"/>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row>
    <row r="534" spans="1:119" ht="14.25" customHeight="1">
      <c r="A534" s="1"/>
      <c r="B534" s="1"/>
      <c r="C534" s="1"/>
      <c r="D534" s="1"/>
      <c r="E534" s="1"/>
      <c r="F534" s="1"/>
      <c r="G534" s="1"/>
      <c r="H534" s="35"/>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row>
    <row r="535" spans="1:119" ht="14.25" customHeight="1">
      <c r="A535" s="1"/>
      <c r="B535" s="1"/>
      <c r="C535" s="1"/>
      <c r="D535" s="1"/>
      <c r="E535" s="1"/>
      <c r="F535" s="1"/>
      <c r="G535" s="1"/>
      <c r="H535" s="35"/>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row>
    <row r="536" spans="1:119" ht="14.25" customHeight="1">
      <c r="A536" s="1"/>
      <c r="B536" s="1"/>
      <c r="C536" s="1"/>
      <c r="D536" s="1"/>
      <c r="E536" s="1"/>
      <c r="F536" s="1"/>
      <c r="G536" s="1"/>
      <c r="H536" s="35"/>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row>
    <row r="537" spans="1:119" ht="14.25" customHeight="1">
      <c r="A537" s="1"/>
      <c r="B537" s="1"/>
      <c r="C537" s="1"/>
      <c r="D537" s="1"/>
      <c r="E537" s="1"/>
      <c r="F537" s="1"/>
      <c r="G537" s="1"/>
      <c r="H537" s="35"/>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row>
    <row r="538" spans="1:119" ht="14.25" customHeight="1">
      <c r="A538" s="1"/>
      <c r="B538" s="1"/>
      <c r="C538" s="1"/>
      <c r="D538" s="1"/>
      <c r="E538" s="1"/>
      <c r="F538" s="1"/>
      <c r="G538" s="1"/>
      <c r="H538" s="35"/>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row>
    <row r="539" spans="1:119" ht="14.25" customHeight="1">
      <c r="A539" s="1"/>
      <c r="B539" s="1"/>
      <c r="C539" s="1"/>
      <c r="D539" s="1"/>
      <c r="E539" s="1"/>
      <c r="F539" s="1"/>
      <c r="G539" s="1"/>
      <c r="H539" s="35"/>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row>
    <row r="540" spans="1:119" ht="14.25" customHeight="1">
      <c r="A540" s="1"/>
      <c r="B540" s="1"/>
      <c r="C540" s="1"/>
      <c r="D540" s="1"/>
      <c r="E540" s="1"/>
      <c r="F540" s="1"/>
      <c r="G540" s="1"/>
      <c r="H540" s="35"/>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row>
    <row r="541" spans="1:119" ht="14.25" customHeight="1">
      <c r="A541" s="1"/>
      <c r="B541" s="1"/>
      <c r="C541" s="1"/>
      <c r="D541" s="1"/>
      <c r="E541" s="1"/>
      <c r="F541" s="1"/>
      <c r="G541" s="1"/>
      <c r="H541" s="35"/>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row>
    <row r="542" spans="1:119" ht="14.25" customHeight="1">
      <c r="A542" s="1"/>
      <c r="B542" s="1"/>
      <c r="C542" s="1"/>
      <c r="D542" s="1"/>
      <c r="E542" s="1"/>
      <c r="F542" s="1"/>
      <c r="G542" s="1"/>
      <c r="H542" s="35"/>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row>
    <row r="543" spans="1:119" ht="14.25" customHeight="1">
      <c r="A543" s="1"/>
      <c r="B543" s="1"/>
      <c r="C543" s="1"/>
      <c r="D543" s="1"/>
      <c r="E543" s="1"/>
      <c r="F543" s="1"/>
      <c r="G543" s="1"/>
      <c r="H543" s="35"/>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row>
    <row r="544" spans="1:119" ht="14.25" customHeight="1">
      <c r="A544" s="1"/>
      <c r="B544" s="1"/>
      <c r="C544" s="1"/>
      <c r="D544" s="1"/>
      <c r="E544" s="1"/>
      <c r="F544" s="1"/>
      <c r="G544" s="1"/>
      <c r="H544" s="35"/>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row>
    <row r="545" spans="1:119" ht="14.25" customHeight="1">
      <c r="A545" s="1"/>
      <c r="B545" s="1"/>
      <c r="C545" s="1"/>
      <c r="D545" s="1"/>
      <c r="E545" s="1"/>
      <c r="F545" s="1"/>
      <c r="G545" s="1"/>
      <c r="H545" s="35"/>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row>
    <row r="546" spans="1:119" ht="14.25" customHeight="1">
      <c r="A546" s="1"/>
      <c r="B546" s="1"/>
      <c r="C546" s="1"/>
      <c r="D546" s="1"/>
      <c r="E546" s="1"/>
      <c r="F546" s="1"/>
      <c r="G546" s="1"/>
      <c r="H546" s="35"/>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row>
    <row r="547" spans="1:119" ht="14.25" customHeight="1">
      <c r="A547" s="1"/>
      <c r="B547" s="1"/>
      <c r="C547" s="1"/>
      <c r="D547" s="1"/>
      <c r="E547" s="1"/>
      <c r="F547" s="1"/>
      <c r="G547" s="1"/>
      <c r="H547" s="35"/>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row>
    <row r="548" spans="1:119" ht="14.25" customHeight="1">
      <c r="A548" s="1"/>
      <c r="B548" s="1"/>
      <c r="C548" s="1"/>
      <c r="D548" s="1"/>
      <c r="E548" s="1"/>
      <c r="F548" s="1"/>
      <c r="G548" s="1"/>
      <c r="H548" s="35"/>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row>
    <row r="549" spans="1:119" ht="14.25" customHeight="1">
      <c r="A549" s="1"/>
      <c r="B549" s="1"/>
      <c r="C549" s="1"/>
      <c r="D549" s="1"/>
      <c r="E549" s="1"/>
      <c r="F549" s="1"/>
      <c r="G549" s="1"/>
      <c r="H549" s="35"/>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row>
    <row r="550" spans="1:119" ht="14.25" customHeight="1">
      <c r="A550" s="1"/>
      <c r="B550" s="1"/>
      <c r="C550" s="1"/>
      <c r="D550" s="1"/>
      <c r="E550" s="1"/>
      <c r="F550" s="1"/>
      <c r="G550" s="1"/>
      <c r="H550" s="35"/>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row>
    <row r="551" spans="1:119" ht="14.25" customHeight="1">
      <c r="A551" s="1"/>
      <c r="B551" s="1"/>
      <c r="C551" s="1"/>
      <c r="D551" s="1"/>
      <c r="E551" s="1"/>
      <c r="F551" s="1"/>
      <c r="G551" s="1"/>
      <c r="H551" s="35"/>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row>
    <row r="552" spans="1:119" ht="14.25" customHeight="1">
      <c r="A552" s="1"/>
      <c r="B552" s="1"/>
      <c r="C552" s="1"/>
      <c r="D552" s="1"/>
      <c r="E552" s="1"/>
      <c r="F552" s="1"/>
      <c r="G552" s="1"/>
      <c r="H552" s="35"/>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row>
    <row r="553" spans="1:119" ht="14.25" customHeight="1">
      <c r="A553" s="1"/>
      <c r="B553" s="1"/>
      <c r="C553" s="1"/>
      <c r="D553" s="1"/>
      <c r="E553" s="1"/>
      <c r="F553" s="1"/>
      <c r="G553" s="1"/>
      <c r="H553" s="35"/>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row>
    <row r="554" spans="1:119" ht="14.25" customHeight="1">
      <c r="A554" s="1"/>
      <c r="B554" s="1"/>
      <c r="C554" s="1"/>
      <c r="D554" s="1"/>
      <c r="E554" s="1"/>
      <c r="F554" s="1"/>
      <c r="G554" s="1"/>
      <c r="H554" s="35"/>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row>
    <row r="555" spans="1:119" ht="14.25" customHeight="1">
      <c r="A555" s="1"/>
      <c r="B555" s="1"/>
      <c r="C555" s="1"/>
      <c r="D555" s="1"/>
      <c r="E555" s="1"/>
      <c r="F555" s="1"/>
      <c r="G555" s="1"/>
      <c r="H555" s="35"/>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row>
    <row r="556" spans="1:119" ht="14.25" customHeight="1">
      <c r="A556" s="1"/>
      <c r="B556" s="1"/>
      <c r="C556" s="1"/>
      <c r="D556" s="1"/>
      <c r="E556" s="1"/>
      <c r="F556" s="1"/>
      <c r="G556" s="1"/>
      <c r="H556" s="35"/>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row>
    <row r="557" spans="1:119" ht="14.25" customHeight="1">
      <c r="A557" s="1"/>
      <c r="B557" s="1"/>
      <c r="C557" s="1"/>
      <c r="D557" s="1"/>
      <c r="E557" s="1"/>
      <c r="F557" s="1"/>
      <c r="G557" s="1"/>
      <c r="H557" s="35"/>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row>
    <row r="558" spans="1:119" ht="14.25" customHeight="1">
      <c r="A558" s="1"/>
      <c r="B558" s="1"/>
      <c r="C558" s="1"/>
      <c r="D558" s="1"/>
      <c r="E558" s="1"/>
      <c r="F558" s="1"/>
      <c r="G558" s="1"/>
      <c r="H558" s="35"/>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row>
    <row r="559" spans="1:119" ht="14.25" customHeight="1">
      <c r="A559" s="1"/>
      <c r="B559" s="1"/>
      <c r="C559" s="1"/>
      <c r="D559" s="1"/>
      <c r="E559" s="1"/>
      <c r="F559" s="1"/>
      <c r="G559" s="1"/>
      <c r="H559" s="35"/>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row>
    <row r="560" spans="1:119" ht="14.25" customHeight="1">
      <c r="A560" s="1"/>
      <c r="B560" s="1"/>
      <c r="C560" s="1"/>
      <c r="D560" s="1"/>
      <c r="E560" s="1"/>
      <c r="F560" s="1"/>
      <c r="G560" s="1"/>
      <c r="H560" s="35"/>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row>
    <row r="561" spans="1:119" ht="14.25" customHeight="1">
      <c r="A561" s="1"/>
      <c r="B561" s="1"/>
      <c r="C561" s="1"/>
      <c r="D561" s="1"/>
      <c r="E561" s="1"/>
      <c r="F561" s="1"/>
      <c r="G561" s="1"/>
      <c r="H561" s="35"/>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row>
    <row r="562" spans="1:119" ht="14.25" customHeight="1">
      <c r="A562" s="1"/>
      <c r="B562" s="1"/>
      <c r="C562" s="1"/>
      <c r="D562" s="1"/>
      <c r="E562" s="1"/>
      <c r="F562" s="1"/>
      <c r="G562" s="1"/>
      <c r="H562" s="35"/>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row>
    <row r="563" spans="1:119" ht="14.25" customHeight="1">
      <c r="A563" s="1"/>
      <c r="B563" s="1"/>
      <c r="C563" s="1"/>
      <c r="D563" s="1"/>
      <c r="E563" s="1"/>
      <c r="F563" s="1"/>
      <c r="G563" s="1"/>
      <c r="H563" s="35"/>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row>
    <row r="564" spans="1:119" ht="14.25" customHeight="1">
      <c r="A564" s="1"/>
      <c r="B564" s="1"/>
      <c r="C564" s="1"/>
      <c r="D564" s="1"/>
      <c r="E564" s="1"/>
      <c r="F564" s="1"/>
      <c r="G564" s="1"/>
      <c r="H564" s="35"/>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row>
    <row r="565" spans="1:119" ht="14.25" customHeight="1">
      <c r="A565" s="1"/>
      <c r="B565" s="1"/>
      <c r="C565" s="1"/>
      <c r="D565" s="1"/>
      <c r="E565" s="1"/>
      <c r="F565" s="1"/>
      <c r="G565" s="1"/>
      <c r="H565" s="35"/>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row>
    <row r="566" spans="1:119" ht="14.25" customHeight="1">
      <c r="A566" s="1"/>
      <c r="B566" s="1"/>
      <c r="C566" s="1"/>
      <c r="D566" s="1"/>
      <c r="E566" s="1"/>
      <c r="F566" s="1"/>
      <c r="G566" s="1"/>
      <c r="H566" s="35"/>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row>
    <row r="567" spans="1:119" ht="14.25" customHeight="1">
      <c r="A567" s="1"/>
      <c r="B567" s="1"/>
      <c r="C567" s="1"/>
      <c r="D567" s="1"/>
      <c r="E567" s="1"/>
      <c r="F567" s="1"/>
      <c r="G567" s="1"/>
      <c r="H567" s="35"/>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row>
    <row r="568" spans="1:119" ht="14.25" customHeight="1">
      <c r="A568" s="1"/>
      <c r="B568" s="1"/>
      <c r="C568" s="1"/>
      <c r="D568" s="1"/>
      <c r="E568" s="1"/>
      <c r="F568" s="1"/>
      <c r="G568" s="1"/>
      <c r="H568" s="35"/>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row>
    <row r="569" spans="1:119" ht="14.25" customHeight="1">
      <c r="A569" s="1"/>
      <c r="B569" s="1"/>
      <c r="C569" s="1"/>
      <c r="D569" s="1"/>
      <c r="E569" s="1"/>
      <c r="F569" s="1"/>
      <c r="G569" s="1"/>
      <c r="H569" s="35"/>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row>
    <row r="570" spans="1:119" ht="14.25" customHeight="1">
      <c r="A570" s="1"/>
      <c r="B570" s="1"/>
      <c r="C570" s="1"/>
      <c r="D570" s="1"/>
      <c r="E570" s="1"/>
      <c r="F570" s="1"/>
      <c r="G570" s="1"/>
      <c r="H570" s="35"/>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row>
    <row r="571" spans="1:119" ht="14.25" customHeight="1">
      <c r="A571" s="1"/>
      <c r="B571" s="1"/>
      <c r="C571" s="1"/>
      <c r="D571" s="1"/>
      <c r="E571" s="1"/>
      <c r="F571" s="1"/>
      <c r="G571" s="1"/>
      <c r="H571" s="35"/>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row>
    <row r="572" spans="1:119" ht="14.25" customHeight="1">
      <c r="A572" s="1"/>
      <c r="B572" s="1"/>
      <c r="C572" s="1"/>
      <c r="D572" s="1"/>
      <c r="E572" s="1"/>
      <c r="F572" s="1"/>
      <c r="G572" s="1"/>
      <c r="H572" s="35"/>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row>
    <row r="573" spans="1:119" ht="14.25" customHeight="1">
      <c r="A573" s="1"/>
      <c r="B573" s="1"/>
      <c r="C573" s="1"/>
      <c r="D573" s="1"/>
      <c r="E573" s="1"/>
      <c r="F573" s="1"/>
      <c r="G573" s="1"/>
      <c r="H573" s="35"/>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row>
    <row r="574" spans="1:119" ht="14.25" customHeight="1">
      <c r="A574" s="1"/>
      <c r="B574" s="1"/>
      <c r="C574" s="1"/>
      <c r="D574" s="1"/>
      <c r="E574" s="1"/>
      <c r="F574" s="1"/>
      <c r="G574" s="1"/>
      <c r="H574" s="35"/>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row>
    <row r="575" spans="1:119" ht="14.25" customHeight="1">
      <c r="A575" s="1"/>
      <c r="B575" s="1"/>
      <c r="C575" s="1"/>
      <c r="D575" s="1"/>
      <c r="E575" s="1"/>
      <c r="F575" s="1"/>
      <c r="G575" s="1"/>
      <c r="H575" s="35"/>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row>
    <row r="576" spans="1:119" ht="14.25" customHeight="1">
      <c r="A576" s="1"/>
      <c r="B576" s="1"/>
      <c r="C576" s="1"/>
      <c r="D576" s="1"/>
      <c r="E576" s="1"/>
      <c r="F576" s="1"/>
      <c r="G576" s="1"/>
      <c r="H576" s="35"/>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row>
    <row r="577" spans="1:119" ht="14.25" customHeight="1">
      <c r="A577" s="1"/>
      <c r="B577" s="1"/>
      <c r="C577" s="1"/>
      <c r="D577" s="1"/>
      <c r="E577" s="1"/>
      <c r="F577" s="1"/>
      <c r="G577" s="1"/>
      <c r="H577" s="35"/>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row>
    <row r="578" spans="1:119" ht="14.25" customHeight="1">
      <c r="A578" s="1"/>
      <c r="B578" s="1"/>
      <c r="C578" s="1"/>
      <c r="D578" s="1"/>
      <c r="E578" s="1"/>
      <c r="F578" s="1"/>
      <c r="G578" s="1"/>
      <c r="H578" s="35"/>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row>
    <row r="579" spans="1:119" ht="14.25" customHeight="1">
      <c r="A579" s="1"/>
      <c r="B579" s="1"/>
      <c r="C579" s="1"/>
      <c r="D579" s="1"/>
      <c r="E579" s="1"/>
      <c r="F579" s="1"/>
      <c r="G579" s="1"/>
      <c r="H579" s="35"/>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row>
    <row r="580" spans="1:119" ht="14.25" customHeight="1">
      <c r="A580" s="1"/>
      <c r="B580" s="1"/>
      <c r="C580" s="1"/>
      <c r="D580" s="1"/>
      <c r="E580" s="1"/>
      <c r="F580" s="1"/>
      <c r="G580" s="1"/>
      <c r="H580" s="35"/>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row>
    <row r="581" spans="1:119" ht="14.25" customHeight="1">
      <c r="A581" s="1"/>
      <c r="B581" s="1"/>
      <c r="C581" s="1"/>
      <c r="D581" s="1"/>
      <c r="E581" s="1"/>
      <c r="F581" s="1"/>
      <c r="G581" s="1"/>
      <c r="H581" s="35"/>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row>
    <row r="582" spans="1:119" ht="14.25" customHeight="1">
      <c r="A582" s="1"/>
      <c r="B582" s="1"/>
      <c r="C582" s="1"/>
      <c r="D582" s="1"/>
      <c r="E582" s="1"/>
      <c r="F582" s="1"/>
      <c r="G582" s="1"/>
      <c r="H582" s="35"/>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row>
    <row r="583" spans="1:119" ht="14.25" customHeight="1">
      <c r="A583" s="1"/>
      <c r="B583" s="1"/>
      <c r="C583" s="1"/>
      <c r="D583" s="1"/>
      <c r="E583" s="1"/>
      <c r="F583" s="1"/>
      <c r="G583" s="1"/>
      <c r="H583" s="35"/>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row>
    <row r="584" spans="1:119" ht="14.25" customHeight="1">
      <c r="A584" s="1"/>
      <c r="B584" s="1"/>
      <c r="C584" s="1"/>
      <c r="D584" s="1"/>
      <c r="E584" s="1"/>
      <c r="F584" s="1"/>
      <c r="G584" s="1"/>
      <c r="H584" s="35"/>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row>
    <row r="585" spans="1:119" ht="14.25" customHeight="1">
      <c r="A585" s="1"/>
      <c r="B585" s="1"/>
      <c r="C585" s="1"/>
      <c r="D585" s="1"/>
      <c r="E585" s="1"/>
      <c r="F585" s="1"/>
      <c r="G585" s="1"/>
      <c r="H585" s="35"/>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row>
    <row r="586" spans="1:119" ht="14.25" customHeight="1">
      <c r="A586" s="1"/>
      <c r="B586" s="1"/>
      <c r="C586" s="1"/>
      <c r="D586" s="1"/>
      <c r="E586" s="1"/>
      <c r="F586" s="1"/>
      <c r="G586" s="1"/>
      <c r="H586" s="35"/>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row>
    <row r="587" spans="1:119" ht="14.25" customHeight="1">
      <c r="A587" s="1"/>
      <c r="B587" s="1"/>
      <c r="C587" s="1"/>
      <c r="D587" s="1"/>
      <c r="E587" s="1"/>
      <c r="F587" s="1"/>
      <c r="G587" s="1"/>
      <c r="H587" s="35"/>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row>
    <row r="588" spans="1:119" ht="14.25" customHeight="1">
      <c r="A588" s="1"/>
      <c r="B588" s="1"/>
      <c r="C588" s="1"/>
      <c r="D588" s="1"/>
      <c r="E588" s="1"/>
      <c r="F588" s="1"/>
      <c r="G588" s="1"/>
      <c r="H588" s="35"/>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row>
    <row r="589" spans="1:119" ht="14.25" customHeight="1">
      <c r="A589" s="1"/>
      <c r="B589" s="1"/>
      <c r="C589" s="1"/>
      <c r="D589" s="1"/>
      <c r="E589" s="1"/>
      <c r="F589" s="1"/>
      <c r="G589" s="1"/>
      <c r="H589" s="35"/>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row>
    <row r="590" spans="1:119" ht="14.25" customHeight="1">
      <c r="A590" s="1"/>
      <c r="B590" s="1"/>
      <c r="C590" s="1"/>
      <c r="D590" s="1"/>
      <c r="E590" s="1"/>
      <c r="F590" s="1"/>
      <c r="G590" s="1"/>
      <c r="H590" s="35"/>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row>
    <row r="591" spans="1:119" ht="14.25" customHeight="1">
      <c r="A591" s="1"/>
      <c r="B591" s="1"/>
      <c r="C591" s="1"/>
      <c r="D591" s="1"/>
      <c r="E591" s="1"/>
      <c r="F591" s="1"/>
      <c r="G591" s="1"/>
      <c r="H591" s="35"/>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row>
    <row r="592" spans="1:119" ht="14.25" customHeight="1">
      <c r="A592" s="1"/>
      <c r="B592" s="1"/>
      <c r="C592" s="1"/>
      <c r="D592" s="1"/>
      <c r="E592" s="1"/>
      <c r="F592" s="1"/>
      <c r="G592" s="1"/>
      <c r="H592" s="35"/>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row>
    <row r="593" spans="1:119" ht="14.25" customHeight="1">
      <c r="A593" s="1"/>
      <c r="B593" s="1"/>
      <c r="C593" s="1"/>
      <c r="D593" s="1"/>
      <c r="E593" s="1"/>
      <c r="F593" s="1"/>
      <c r="G593" s="1"/>
      <c r="H593" s="35"/>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row>
    <row r="594" spans="1:119" ht="14.25" customHeight="1">
      <c r="A594" s="1"/>
      <c r="B594" s="1"/>
      <c r="C594" s="1"/>
      <c r="D594" s="1"/>
      <c r="E594" s="1"/>
      <c r="F594" s="1"/>
      <c r="G594" s="1"/>
      <c r="H594" s="35"/>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row>
    <row r="595" spans="1:119" ht="14.25" customHeight="1">
      <c r="A595" s="1"/>
      <c r="B595" s="1"/>
      <c r="C595" s="1"/>
      <c r="D595" s="1"/>
      <c r="E595" s="1"/>
      <c r="F595" s="1"/>
      <c r="G595" s="1"/>
      <c r="H595" s="35"/>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row>
    <row r="596" spans="1:119" ht="14.25" customHeight="1">
      <c r="A596" s="1"/>
      <c r="B596" s="1"/>
      <c r="C596" s="1"/>
      <c r="D596" s="1"/>
      <c r="E596" s="1"/>
      <c r="F596" s="1"/>
      <c r="G596" s="1"/>
      <c r="H596" s="35"/>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row>
    <row r="597" spans="1:119" ht="14.25" customHeight="1">
      <c r="A597" s="1"/>
      <c r="B597" s="1"/>
      <c r="C597" s="1"/>
      <c r="D597" s="1"/>
      <c r="E597" s="1"/>
      <c r="F597" s="1"/>
      <c r="G597" s="1"/>
      <c r="H597" s="35"/>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row>
    <row r="598" spans="1:119" ht="14.25" customHeight="1">
      <c r="A598" s="1"/>
      <c r="B598" s="1"/>
      <c r="C598" s="1"/>
      <c r="D598" s="1"/>
      <c r="E598" s="1"/>
      <c r="F598" s="1"/>
      <c r="G598" s="1"/>
      <c r="H598" s="35"/>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row>
    <row r="599" spans="1:119" ht="14.25" customHeight="1">
      <c r="A599" s="1"/>
      <c r="B599" s="1"/>
      <c r="C599" s="1"/>
      <c r="D599" s="1"/>
      <c r="E599" s="1"/>
      <c r="F599" s="1"/>
      <c r="G599" s="1"/>
      <c r="H599" s="35"/>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row>
    <row r="600" spans="1:119" ht="14.25" customHeight="1">
      <c r="A600" s="1"/>
      <c r="B600" s="1"/>
      <c r="C600" s="1"/>
      <c r="D600" s="1"/>
      <c r="E600" s="1"/>
      <c r="F600" s="1"/>
      <c r="G600" s="1"/>
      <c r="H600" s="35"/>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row>
    <row r="601" spans="1:119" ht="14.25" customHeight="1">
      <c r="A601" s="1"/>
      <c r="B601" s="1"/>
      <c r="C601" s="1"/>
      <c r="D601" s="1"/>
      <c r="E601" s="1"/>
      <c r="F601" s="1"/>
      <c r="G601" s="1"/>
      <c r="H601" s="35"/>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row>
    <row r="602" spans="1:119" ht="14.25" customHeight="1">
      <c r="A602" s="1"/>
      <c r="B602" s="1"/>
      <c r="C602" s="1"/>
      <c r="D602" s="1"/>
      <c r="E602" s="1"/>
      <c r="F602" s="1"/>
      <c r="G602" s="1"/>
      <c r="H602" s="35"/>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row>
    <row r="603" spans="1:119" ht="14.25" customHeight="1">
      <c r="A603" s="1"/>
      <c r="B603" s="1"/>
      <c r="C603" s="1"/>
      <c r="D603" s="1"/>
      <c r="E603" s="1"/>
      <c r="F603" s="1"/>
      <c r="G603" s="1"/>
      <c r="H603" s="35"/>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row>
    <row r="604" spans="1:119" ht="14.25" customHeight="1">
      <c r="A604" s="1"/>
      <c r="B604" s="1"/>
      <c r="C604" s="1"/>
      <c r="D604" s="1"/>
      <c r="E604" s="1"/>
      <c r="F604" s="1"/>
      <c r="G604" s="1"/>
      <c r="H604" s="35"/>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row>
    <row r="605" spans="1:119" ht="14.25" customHeight="1">
      <c r="A605" s="1"/>
      <c r="B605" s="1"/>
      <c r="C605" s="1"/>
      <c r="D605" s="1"/>
      <c r="E605" s="1"/>
      <c r="F605" s="1"/>
      <c r="G605" s="1"/>
      <c r="H605" s="35"/>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row>
    <row r="606" spans="1:119" ht="14.25" customHeight="1">
      <c r="A606" s="1"/>
      <c r="B606" s="1"/>
      <c r="C606" s="1"/>
      <c r="D606" s="1"/>
      <c r="E606" s="1"/>
      <c r="F606" s="1"/>
      <c r="G606" s="1"/>
      <c r="H606" s="35"/>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row>
    <row r="607" spans="1:119" ht="14.25" customHeight="1">
      <c r="A607" s="1"/>
      <c r="B607" s="1"/>
      <c r="C607" s="1"/>
      <c r="D607" s="1"/>
      <c r="E607" s="1"/>
      <c r="F607" s="1"/>
      <c r="G607" s="1"/>
      <c r="H607" s="35"/>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row>
    <row r="608" spans="1:119" ht="14.25" customHeight="1">
      <c r="A608" s="1"/>
      <c r="B608" s="1"/>
      <c r="C608" s="1"/>
      <c r="D608" s="1"/>
      <c r="E608" s="1"/>
      <c r="F608" s="1"/>
      <c r="G608" s="1"/>
      <c r="H608" s="35"/>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row>
    <row r="609" spans="1:119" ht="14.25" customHeight="1">
      <c r="A609" s="1"/>
      <c r="B609" s="1"/>
      <c r="C609" s="1"/>
      <c r="D609" s="1"/>
      <c r="E609" s="1"/>
      <c r="F609" s="1"/>
      <c r="G609" s="1"/>
      <c r="H609" s="35"/>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row>
    <row r="610" spans="1:119" ht="14.25" customHeight="1">
      <c r="A610" s="1"/>
      <c r="B610" s="1"/>
      <c r="C610" s="1"/>
      <c r="D610" s="1"/>
      <c r="E610" s="1"/>
      <c r="F610" s="1"/>
      <c r="G610" s="1"/>
      <c r="H610" s="35"/>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row>
    <row r="611" spans="1:119" ht="14.25" customHeight="1">
      <c r="A611" s="1"/>
      <c r="B611" s="1"/>
      <c r="C611" s="1"/>
      <c r="D611" s="1"/>
      <c r="E611" s="1"/>
      <c r="F611" s="1"/>
      <c r="G611" s="1"/>
      <c r="H611" s="35"/>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row>
    <row r="612" spans="1:119" ht="14.25" customHeight="1">
      <c r="A612" s="1"/>
      <c r="B612" s="1"/>
      <c r="C612" s="1"/>
      <c r="D612" s="1"/>
      <c r="E612" s="1"/>
      <c r="F612" s="1"/>
      <c r="G612" s="1"/>
      <c r="H612" s="35"/>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row>
    <row r="613" spans="1:119" ht="14.25" customHeight="1">
      <c r="A613" s="1"/>
      <c r="B613" s="1"/>
      <c r="C613" s="1"/>
      <c r="D613" s="1"/>
      <c r="E613" s="1"/>
      <c r="F613" s="1"/>
      <c r="G613" s="1"/>
      <c r="H613" s="35"/>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row>
    <row r="614" spans="1:119" ht="14.25" customHeight="1">
      <c r="A614" s="1"/>
      <c r="B614" s="1"/>
      <c r="C614" s="1"/>
      <c r="D614" s="1"/>
      <c r="E614" s="1"/>
      <c r="F614" s="1"/>
      <c r="G614" s="1"/>
      <c r="H614" s="35"/>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row>
    <row r="615" spans="1:119" ht="14.25" customHeight="1">
      <c r="A615" s="1"/>
      <c r="B615" s="1"/>
      <c r="C615" s="1"/>
      <c r="D615" s="1"/>
      <c r="E615" s="1"/>
      <c r="F615" s="1"/>
      <c r="G615" s="1"/>
      <c r="H615" s="35"/>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row>
    <row r="616" spans="1:119" ht="14.25" customHeight="1">
      <c r="A616" s="1"/>
      <c r="B616" s="1"/>
      <c r="C616" s="1"/>
      <c r="D616" s="1"/>
      <c r="E616" s="1"/>
      <c r="F616" s="1"/>
      <c r="G616" s="1"/>
      <c r="H616" s="35"/>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row>
    <row r="617" spans="1:119" ht="14.25" customHeight="1">
      <c r="A617" s="1"/>
      <c r="B617" s="1"/>
      <c r="C617" s="1"/>
      <c r="D617" s="1"/>
      <c r="E617" s="1"/>
      <c r="F617" s="1"/>
      <c r="G617" s="1"/>
      <c r="H617" s="35"/>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row>
    <row r="618" spans="1:119" ht="14.25" customHeight="1">
      <c r="A618" s="1"/>
      <c r="B618" s="1"/>
      <c r="C618" s="1"/>
      <c r="D618" s="1"/>
      <c r="E618" s="1"/>
      <c r="F618" s="1"/>
      <c r="G618" s="1"/>
      <c r="H618" s="35"/>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row>
    <row r="619" spans="1:119" ht="14.25" customHeight="1">
      <c r="A619" s="1"/>
      <c r="B619" s="1"/>
      <c r="C619" s="1"/>
      <c r="D619" s="1"/>
      <c r="E619" s="1"/>
      <c r="F619" s="1"/>
      <c r="G619" s="1"/>
      <c r="H619" s="35"/>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row>
    <row r="620" spans="1:119" ht="14.25" customHeight="1">
      <c r="A620" s="1"/>
      <c r="B620" s="1"/>
      <c r="C620" s="1"/>
      <c r="D620" s="1"/>
      <c r="E620" s="1"/>
      <c r="F620" s="1"/>
      <c r="G620" s="1"/>
      <c r="H620" s="35"/>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row>
    <row r="621" spans="1:119" ht="14.25" customHeight="1">
      <c r="A621" s="1"/>
      <c r="B621" s="1"/>
      <c r="C621" s="1"/>
      <c r="D621" s="1"/>
      <c r="E621" s="1"/>
      <c r="F621" s="1"/>
      <c r="G621" s="1"/>
      <c r="H621" s="35"/>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row>
    <row r="622" spans="1:119" ht="14.25" customHeight="1">
      <c r="A622" s="1"/>
      <c r="B622" s="1"/>
      <c r="C622" s="1"/>
      <c r="D622" s="1"/>
      <c r="E622" s="1"/>
      <c r="F622" s="1"/>
      <c r="G622" s="1"/>
      <c r="H622" s="35"/>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row>
    <row r="623" spans="1:119" ht="14.25" customHeight="1">
      <c r="A623" s="1"/>
      <c r="B623" s="1"/>
      <c r="C623" s="1"/>
      <c r="D623" s="1"/>
      <c r="E623" s="1"/>
      <c r="F623" s="1"/>
      <c r="G623" s="1"/>
      <c r="H623" s="35"/>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row>
    <row r="624" spans="1:119" ht="14.25" customHeight="1">
      <c r="A624" s="1"/>
      <c r="B624" s="1"/>
      <c r="C624" s="1"/>
      <c r="D624" s="1"/>
      <c r="E624" s="1"/>
      <c r="F624" s="1"/>
      <c r="G624" s="1"/>
      <c r="H624" s="35"/>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row>
    <row r="625" spans="1:119" ht="14.25" customHeight="1">
      <c r="A625" s="1"/>
      <c r="B625" s="1"/>
      <c r="C625" s="1"/>
      <c r="D625" s="1"/>
      <c r="E625" s="1"/>
      <c r="F625" s="1"/>
      <c r="G625" s="1"/>
      <c r="H625" s="35"/>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row>
    <row r="626" spans="1:119" ht="14.25" customHeight="1">
      <c r="A626" s="1"/>
      <c r="B626" s="1"/>
      <c r="C626" s="1"/>
      <c r="D626" s="1"/>
      <c r="E626" s="1"/>
      <c r="F626" s="1"/>
      <c r="G626" s="1"/>
      <c r="H626" s="35"/>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row>
    <row r="627" spans="1:119" ht="14.25" customHeight="1">
      <c r="A627" s="1"/>
      <c r="B627" s="1"/>
      <c r="C627" s="1"/>
      <c r="D627" s="1"/>
      <c r="E627" s="1"/>
      <c r="F627" s="1"/>
      <c r="G627" s="1"/>
      <c r="H627" s="35"/>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row>
    <row r="628" spans="1:119" ht="14.25" customHeight="1">
      <c r="A628" s="1"/>
      <c r="B628" s="1"/>
      <c r="C628" s="1"/>
      <c r="D628" s="1"/>
      <c r="E628" s="1"/>
      <c r="F628" s="1"/>
      <c r="G628" s="1"/>
      <c r="H628" s="35"/>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row>
    <row r="629" spans="1:119" ht="14.25" customHeight="1">
      <c r="A629" s="1"/>
      <c r="B629" s="1"/>
      <c r="C629" s="1"/>
      <c r="D629" s="1"/>
      <c r="E629" s="1"/>
      <c r="F629" s="1"/>
      <c r="G629" s="1"/>
      <c r="H629" s="35"/>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row>
    <row r="630" spans="1:119" ht="14.25" customHeight="1">
      <c r="A630" s="1"/>
      <c r="B630" s="1"/>
      <c r="C630" s="1"/>
      <c r="D630" s="1"/>
      <c r="E630" s="1"/>
      <c r="F630" s="1"/>
      <c r="G630" s="1"/>
      <c r="H630" s="35"/>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row>
    <row r="631" spans="1:119" ht="14.25" customHeight="1">
      <c r="A631" s="1"/>
      <c r="B631" s="1"/>
      <c r="C631" s="1"/>
      <c r="D631" s="1"/>
      <c r="E631" s="1"/>
      <c r="F631" s="1"/>
      <c r="G631" s="1"/>
      <c r="H631" s="35"/>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row>
    <row r="632" spans="1:119" ht="14.25" customHeight="1">
      <c r="A632" s="1"/>
      <c r="B632" s="1"/>
      <c r="C632" s="1"/>
      <c r="D632" s="1"/>
      <c r="E632" s="1"/>
      <c r="F632" s="1"/>
      <c r="G632" s="1"/>
      <c r="H632" s="35"/>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row>
    <row r="633" spans="1:119" ht="14.25" customHeight="1">
      <c r="A633" s="1"/>
      <c r="B633" s="1"/>
      <c r="C633" s="1"/>
      <c r="D633" s="1"/>
      <c r="E633" s="1"/>
      <c r="F633" s="1"/>
      <c r="G633" s="1"/>
      <c r="H633" s="35"/>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row>
    <row r="634" spans="1:119" ht="14.25" customHeight="1">
      <c r="A634" s="1"/>
      <c r="B634" s="1"/>
      <c r="C634" s="1"/>
      <c r="D634" s="1"/>
      <c r="E634" s="1"/>
      <c r="F634" s="1"/>
      <c r="G634" s="1"/>
      <c r="H634" s="35"/>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row>
    <row r="635" spans="1:119" ht="14.25" customHeight="1">
      <c r="A635" s="1"/>
      <c r="B635" s="1"/>
      <c r="C635" s="1"/>
      <c r="D635" s="1"/>
      <c r="E635" s="1"/>
      <c r="F635" s="1"/>
      <c r="G635" s="1"/>
      <c r="H635" s="35"/>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row>
    <row r="636" spans="1:119" ht="14.25" customHeight="1">
      <c r="A636" s="1"/>
      <c r="B636" s="1"/>
      <c r="C636" s="1"/>
      <c r="D636" s="1"/>
      <c r="E636" s="1"/>
      <c r="F636" s="1"/>
      <c r="G636" s="1"/>
      <c r="H636" s="35"/>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row>
    <row r="637" spans="1:119" ht="14.25" customHeight="1">
      <c r="A637" s="1"/>
      <c r="B637" s="1"/>
      <c r="C637" s="1"/>
      <c r="D637" s="1"/>
      <c r="E637" s="1"/>
      <c r="F637" s="1"/>
      <c r="G637" s="1"/>
      <c r="H637" s="35"/>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row>
    <row r="638" spans="1:119" ht="14.25" customHeight="1">
      <c r="A638" s="1"/>
      <c r="B638" s="1"/>
      <c r="C638" s="1"/>
      <c r="D638" s="1"/>
      <c r="E638" s="1"/>
      <c r="F638" s="1"/>
      <c r="G638" s="1"/>
      <c r="H638" s="35"/>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row>
    <row r="639" spans="1:119" ht="14.25" customHeight="1">
      <c r="A639" s="1"/>
      <c r="B639" s="1"/>
      <c r="C639" s="1"/>
      <c r="D639" s="1"/>
      <c r="E639" s="1"/>
      <c r="F639" s="1"/>
      <c r="G639" s="1"/>
      <c r="H639" s="35"/>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row>
    <row r="640" spans="1:119" ht="14.25" customHeight="1">
      <c r="A640" s="1"/>
      <c r="B640" s="1"/>
      <c r="C640" s="1"/>
      <c r="D640" s="1"/>
      <c r="E640" s="1"/>
      <c r="F640" s="1"/>
      <c r="G640" s="1"/>
      <c r="H640" s="35"/>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row>
    <row r="641" spans="1:119" ht="14.25" customHeight="1">
      <c r="A641" s="1"/>
      <c r="B641" s="1"/>
      <c r="C641" s="1"/>
      <c r="D641" s="1"/>
      <c r="E641" s="1"/>
      <c r="F641" s="1"/>
      <c r="G641" s="1"/>
      <c r="H641" s="35"/>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row>
    <row r="642" spans="1:119" ht="14.25" customHeight="1">
      <c r="A642" s="1"/>
      <c r="B642" s="1"/>
      <c r="C642" s="1"/>
      <c r="D642" s="1"/>
      <c r="E642" s="1"/>
      <c r="F642" s="1"/>
      <c r="G642" s="1"/>
      <c r="H642" s="35"/>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row>
    <row r="643" spans="1:119" ht="14.25" customHeight="1">
      <c r="A643" s="1"/>
      <c r="B643" s="1"/>
      <c r="C643" s="1"/>
      <c r="D643" s="1"/>
      <c r="E643" s="1"/>
      <c r="F643" s="1"/>
      <c r="G643" s="1"/>
      <c r="H643" s="35"/>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row>
    <row r="644" spans="1:119" ht="14.25" customHeight="1">
      <c r="A644" s="1"/>
      <c r="B644" s="1"/>
      <c r="C644" s="1"/>
      <c r="D644" s="1"/>
      <c r="E644" s="1"/>
      <c r="F644" s="1"/>
      <c r="G644" s="1"/>
      <c r="H644" s="35"/>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row>
    <row r="645" spans="1:119" ht="14.25" customHeight="1">
      <c r="A645" s="1"/>
      <c r="B645" s="1"/>
      <c r="C645" s="1"/>
      <c r="D645" s="1"/>
      <c r="E645" s="1"/>
      <c r="F645" s="1"/>
      <c r="G645" s="1"/>
      <c r="H645" s="35"/>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row>
    <row r="646" spans="1:119" ht="14.25" customHeight="1">
      <c r="A646" s="1"/>
      <c r="B646" s="1"/>
      <c r="C646" s="1"/>
      <c r="D646" s="1"/>
      <c r="E646" s="1"/>
      <c r="F646" s="1"/>
      <c r="G646" s="1"/>
      <c r="H646" s="35"/>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row>
    <row r="647" spans="1:119" ht="14.25" customHeight="1">
      <c r="A647" s="1"/>
      <c r="B647" s="1"/>
      <c r="C647" s="1"/>
      <c r="D647" s="1"/>
      <c r="E647" s="1"/>
      <c r="F647" s="1"/>
      <c r="G647" s="1"/>
      <c r="H647" s="35"/>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row>
    <row r="648" spans="1:119" ht="14.25" customHeight="1">
      <c r="A648" s="1"/>
      <c r="B648" s="1"/>
      <c r="C648" s="1"/>
      <c r="D648" s="1"/>
      <c r="E648" s="1"/>
      <c r="F648" s="1"/>
      <c r="G648" s="1"/>
      <c r="H648" s="35"/>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row>
    <row r="649" spans="1:119" ht="14.25" customHeight="1">
      <c r="A649" s="1"/>
      <c r="B649" s="1"/>
      <c r="C649" s="1"/>
      <c r="D649" s="1"/>
      <c r="E649" s="1"/>
      <c r="F649" s="1"/>
      <c r="G649" s="1"/>
      <c r="H649" s="35"/>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row>
    <row r="650" spans="1:119" ht="14.25" customHeight="1">
      <c r="A650" s="1"/>
      <c r="B650" s="1"/>
      <c r="C650" s="1"/>
      <c r="D650" s="1"/>
      <c r="E650" s="1"/>
      <c r="F650" s="1"/>
      <c r="G650" s="1"/>
      <c r="H650" s="35"/>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row>
    <row r="651" spans="1:119" ht="14.25" customHeight="1">
      <c r="A651" s="1"/>
      <c r="B651" s="1"/>
      <c r="C651" s="1"/>
      <c r="D651" s="1"/>
      <c r="E651" s="1"/>
      <c r="F651" s="1"/>
      <c r="G651" s="1"/>
      <c r="H651" s="35"/>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row>
    <row r="652" spans="1:119" ht="14.25" customHeight="1">
      <c r="A652" s="1"/>
      <c r="B652" s="1"/>
      <c r="C652" s="1"/>
      <c r="D652" s="1"/>
      <c r="E652" s="1"/>
      <c r="F652" s="1"/>
      <c r="G652" s="1"/>
      <c r="H652" s="35"/>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row>
    <row r="653" spans="1:119" ht="14.25" customHeight="1">
      <c r="A653" s="1"/>
      <c r="B653" s="1"/>
      <c r="C653" s="1"/>
      <c r="D653" s="1"/>
      <c r="E653" s="1"/>
      <c r="F653" s="1"/>
      <c r="G653" s="1"/>
      <c r="H653" s="35"/>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row>
    <row r="654" spans="1:119" ht="14.25" customHeight="1">
      <c r="A654" s="1"/>
      <c r="B654" s="1"/>
      <c r="C654" s="1"/>
      <c r="D654" s="1"/>
      <c r="E654" s="1"/>
      <c r="F654" s="1"/>
      <c r="G654" s="1"/>
      <c r="H654" s="35"/>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row>
    <row r="655" spans="1:119" ht="14.25" customHeight="1">
      <c r="A655" s="1"/>
      <c r="B655" s="1"/>
      <c r="C655" s="1"/>
      <c r="D655" s="1"/>
      <c r="E655" s="1"/>
      <c r="F655" s="1"/>
      <c r="G655" s="1"/>
      <c r="H655" s="35"/>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row>
    <row r="656" spans="1:119" ht="14.25" customHeight="1">
      <c r="A656" s="1"/>
      <c r="B656" s="1"/>
      <c r="C656" s="1"/>
      <c r="D656" s="1"/>
      <c r="E656" s="1"/>
      <c r="F656" s="1"/>
      <c r="G656" s="1"/>
      <c r="H656" s="35"/>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row>
    <row r="657" spans="1:119" ht="14.25" customHeight="1">
      <c r="A657" s="1"/>
      <c r="B657" s="1"/>
      <c r="C657" s="1"/>
      <c r="D657" s="1"/>
      <c r="E657" s="1"/>
      <c r="F657" s="1"/>
      <c r="G657" s="1"/>
      <c r="H657" s="35"/>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row>
    <row r="658" spans="1:119" ht="14.25" customHeight="1">
      <c r="A658" s="1"/>
      <c r="B658" s="1"/>
      <c r="C658" s="1"/>
      <c r="D658" s="1"/>
      <c r="E658" s="1"/>
      <c r="F658" s="1"/>
      <c r="G658" s="1"/>
      <c r="H658" s="35"/>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row>
    <row r="659" spans="1:119" ht="14.25" customHeight="1">
      <c r="A659" s="1"/>
      <c r="B659" s="1"/>
      <c r="C659" s="1"/>
      <c r="D659" s="1"/>
      <c r="E659" s="1"/>
      <c r="F659" s="1"/>
      <c r="G659" s="1"/>
      <c r="H659" s="35"/>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row>
    <row r="660" spans="1:119" ht="14.25" customHeight="1">
      <c r="A660" s="1"/>
      <c r="B660" s="1"/>
      <c r="C660" s="1"/>
      <c r="D660" s="1"/>
      <c r="E660" s="1"/>
      <c r="F660" s="1"/>
      <c r="G660" s="1"/>
      <c r="H660" s="35"/>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row>
    <row r="661" spans="1:119" ht="14.25" customHeight="1">
      <c r="A661" s="1"/>
      <c r="B661" s="1"/>
      <c r="C661" s="1"/>
      <c r="D661" s="1"/>
      <c r="E661" s="1"/>
      <c r="F661" s="1"/>
      <c r="G661" s="1"/>
      <c r="H661" s="35"/>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row>
    <row r="662" spans="1:119" ht="14.25" customHeight="1">
      <c r="A662" s="1"/>
      <c r="B662" s="1"/>
      <c r="C662" s="1"/>
      <c r="D662" s="1"/>
      <c r="E662" s="1"/>
      <c r="F662" s="1"/>
      <c r="G662" s="1"/>
      <c r="H662" s="35"/>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row>
    <row r="663" spans="1:119" ht="14.25" customHeight="1">
      <c r="A663" s="1"/>
      <c r="B663" s="1"/>
      <c r="C663" s="1"/>
      <c r="D663" s="1"/>
      <c r="E663" s="1"/>
      <c r="F663" s="1"/>
      <c r="G663" s="1"/>
      <c r="H663" s="35"/>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row>
    <row r="664" spans="1:119" ht="14.25" customHeight="1">
      <c r="A664" s="1"/>
      <c r="B664" s="1"/>
      <c r="C664" s="1"/>
      <c r="D664" s="1"/>
      <c r="E664" s="1"/>
      <c r="F664" s="1"/>
      <c r="G664" s="1"/>
      <c r="H664" s="35"/>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row>
    <row r="665" spans="1:119" ht="14.25" customHeight="1">
      <c r="A665" s="1"/>
      <c r="B665" s="1"/>
      <c r="C665" s="1"/>
      <c r="D665" s="1"/>
      <c r="E665" s="1"/>
      <c r="F665" s="1"/>
      <c r="G665" s="1"/>
      <c r="H665" s="35"/>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row>
    <row r="666" spans="1:119" ht="14.25" customHeight="1">
      <c r="A666" s="1"/>
      <c r="B666" s="1"/>
      <c r="C666" s="1"/>
      <c r="D666" s="1"/>
      <c r="E666" s="1"/>
      <c r="F666" s="1"/>
      <c r="G666" s="1"/>
      <c r="H666" s="35"/>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row>
    <row r="667" spans="1:119" ht="14.25" customHeight="1">
      <c r="A667" s="1"/>
      <c r="B667" s="1"/>
      <c r="C667" s="1"/>
      <c r="D667" s="1"/>
      <c r="E667" s="1"/>
      <c r="F667" s="1"/>
      <c r="G667" s="1"/>
      <c r="H667" s="35"/>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row>
    <row r="668" spans="1:119" ht="14.25" customHeight="1">
      <c r="A668" s="1"/>
      <c r="B668" s="1"/>
      <c r="C668" s="1"/>
      <c r="D668" s="1"/>
      <c r="E668" s="1"/>
      <c r="F668" s="1"/>
      <c r="G668" s="1"/>
      <c r="H668" s="35"/>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row>
    <row r="669" spans="1:119" ht="14.25" customHeight="1">
      <c r="A669" s="1"/>
      <c r="B669" s="1"/>
      <c r="C669" s="1"/>
      <c r="D669" s="1"/>
      <c r="E669" s="1"/>
      <c r="F669" s="1"/>
      <c r="G669" s="1"/>
      <c r="H669" s="35"/>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row>
    <row r="670" spans="1:119" ht="14.25" customHeight="1">
      <c r="A670" s="1"/>
      <c r="B670" s="1"/>
      <c r="C670" s="1"/>
      <c r="D670" s="1"/>
      <c r="E670" s="1"/>
      <c r="F670" s="1"/>
      <c r="G670" s="1"/>
      <c r="H670" s="35"/>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row>
    <row r="671" spans="1:119" ht="14.25" customHeight="1">
      <c r="A671" s="1"/>
      <c r="B671" s="1"/>
      <c r="C671" s="1"/>
      <c r="D671" s="1"/>
      <c r="E671" s="1"/>
      <c r="F671" s="1"/>
      <c r="G671" s="1"/>
      <c r="H671" s="35"/>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row>
    <row r="672" spans="1:119" ht="14.25" customHeight="1">
      <c r="A672" s="1"/>
      <c r="B672" s="1"/>
      <c r="C672" s="1"/>
      <c r="D672" s="1"/>
      <c r="E672" s="1"/>
      <c r="F672" s="1"/>
      <c r="G672" s="1"/>
      <c r="H672" s="35"/>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row>
    <row r="673" spans="1:119" ht="14.25" customHeight="1">
      <c r="A673" s="1"/>
      <c r="B673" s="1"/>
      <c r="C673" s="1"/>
      <c r="D673" s="1"/>
      <c r="E673" s="1"/>
      <c r="F673" s="1"/>
      <c r="G673" s="1"/>
      <c r="H673" s="35"/>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row>
    <row r="674" spans="1:119" ht="14.25" customHeight="1">
      <c r="A674" s="1"/>
      <c r="B674" s="1"/>
      <c r="C674" s="1"/>
      <c r="D674" s="1"/>
      <c r="E674" s="1"/>
      <c r="F674" s="1"/>
      <c r="G674" s="1"/>
      <c r="H674" s="35"/>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row>
    <row r="675" spans="1:119" ht="14.25" customHeight="1">
      <c r="A675" s="1"/>
      <c r="B675" s="1"/>
      <c r="C675" s="1"/>
      <c r="D675" s="1"/>
      <c r="E675" s="1"/>
      <c r="F675" s="1"/>
      <c r="G675" s="1"/>
      <c r="H675" s="35"/>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row>
    <row r="676" spans="1:119" ht="14.25" customHeight="1">
      <c r="A676" s="1"/>
      <c r="B676" s="1"/>
      <c r="C676" s="1"/>
      <c r="D676" s="1"/>
      <c r="E676" s="1"/>
      <c r="F676" s="1"/>
      <c r="G676" s="1"/>
      <c r="H676" s="35"/>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row>
    <row r="677" spans="1:119" ht="14.25" customHeight="1">
      <c r="A677" s="1"/>
      <c r="B677" s="1"/>
      <c r="C677" s="1"/>
      <c r="D677" s="1"/>
      <c r="E677" s="1"/>
      <c r="F677" s="1"/>
      <c r="G677" s="1"/>
      <c r="H677" s="35"/>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row>
    <row r="678" spans="1:119" ht="14.25" customHeight="1">
      <c r="A678" s="1"/>
      <c r="B678" s="1"/>
      <c r="C678" s="1"/>
      <c r="D678" s="1"/>
      <c r="E678" s="1"/>
      <c r="F678" s="1"/>
      <c r="G678" s="1"/>
      <c r="H678" s="35"/>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row>
    <row r="679" spans="1:119" ht="14.25" customHeight="1">
      <c r="A679" s="1"/>
      <c r="B679" s="1"/>
      <c r="C679" s="1"/>
      <c r="D679" s="1"/>
      <c r="E679" s="1"/>
      <c r="F679" s="1"/>
      <c r="G679" s="1"/>
      <c r="H679" s="35"/>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row>
    <row r="680" spans="1:119" ht="14.25" customHeight="1">
      <c r="A680" s="1"/>
      <c r="B680" s="1"/>
      <c r="C680" s="1"/>
      <c r="D680" s="1"/>
      <c r="E680" s="1"/>
      <c r="F680" s="1"/>
      <c r="G680" s="1"/>
      <c r="H680" s="35"/>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row>
    <row r="681" spans="1:119" ht="14.25" customHeight="1">
      <c r="A681" s="1"/>
      <c r="B681" s="1"/>
      <c r="C681" s="1"/>
      <c r="D681" s="1"/>
      <c r="E681" s="1"/>
      <c r="F681" s="1"/>
      <c r="G681" s="1"/>
      <c r="H681" s="35"/>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row>
    <row r="682" spans="1:119" ht="14.25" customHeight="1">
      <c r="A682" s="1"/>
      <c r="B682" s="1"/>
      <c r="C682" s="1"/>
      <c r="D682" s="1"/>
      <c r="E682" s="1"/>
      <c r="F682" s="1"/>
      <c r="G682" s="1"/>
      <c r="H682" s="35"/>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row>
    <row r="683" spans="1:119" ht="14.25" customHeight="1">
      <c r="A683" s="1"/>
      <c r="B683" s="1"/>
      <c r="C683" s="1"/>
      <c r="D683" s="1"/>
      <c r="E683" s="1"/>
      <c r="F683" s="1"/>
      <c r="G683" s="1"/>
      <c r="H683" s="35"/>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row>
    <row r="684" spans="1:119" ht="14.25" customHeight="1">
      <c r="A684" s="1"/>
      <c r="B684" s="1"/>
      <c r="C684" s="1"/>
      <c r="D684" s="1"/>
      <c r="E684" s="1"/>
      <c r="F684" s="1"/>
      <c r="G684" s="1"/>
      <c r="H684" s="35"/>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row>
    <row r="685" spans="1:119" ht="14.25" customHeight="1">
      <c r="A685" s="1"/>
      <c r="B685" s="1"/>
      <c r="C685" s="1"/>
      <c r="D685" s="1"/>
      <c r="E685" s="1"/>
      <c r="F685" s="1"/>
      <c r="G685" s="1"/>
      <c r="H685" s="35"/>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row>
    <row r="686" spans="1:119" ht="14.25" customHeight="1">
      <c r="A686" s="1"/>
      <c r="B686" s="1"/>
      <c r="C686" s="1"/>
      <c r="D686" s="1"/>
      <c r="E686" s="1"/>
      <c r="F686" s="1"/>
      <c r="G686" s="1"/>
      <c r="H686" s="35"/>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row>
    <row r="687" spans="1:119" ht="14.25" customHeight="1">
      <c r="A687" s="1"/>
      <c r="B687" s="1"/>
      <c r="C687" s="1"/>
      <c r="D687" s="1"/>
      <c r="E687" s="1"/>
      <c r="F687" s="1"/>
      <c r="G687" s="1"/>
      <c r="H687" s="35"/>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row>
    <row r="688" spans="1:119" ht="14.25" customHeight="1">
      <c r="A688" s="1"/>
      <c r="B688" s="1"/>
      <c r="C688" s="1"/>
      <c r="D688" s="1"/>
      <c r="E688" s="1"/>
      <c r="F688" s="1"/>
      <c r="G688" s="1"/>
      <c r="H688" s="35"/>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row>
    <row r="689" spans="1:119" ht="14.25" customHeight="1">
      <c r="A689" s="1"/>
      <c r="B689" s="1"/>
      <c r="C689" s="1"/>
      <c r="D689" s="1"/>
      <c r="E689" s="1"/>
      <c r="F689" s="1"/>
      <c r="G689" s="1"/>
      <c r="H689" s="35"/>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row>
    <row r="690" spans="1:119" ht="14.25" customHeight="1">
      <c r="A690" s="1"/>
      <c r="B690" s="1"/>
      <c r="C690" s="1"/>
      <c r="D690" s="1"/>
      <c r="E690" s="1"/>
      <c r="F690" s="1"/>
      <c r="G690" s="1"/>
      <c r="H690" s="35"/>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row>
    <row r="691" spans="1:119" ht="14.25" customHeight="1">
      <c r="A691" s="1"/>
      <c r="B691" s="1"/>
      <c r="C691" s="1"/>
      <c r="D691" s="1"/>
      <c r="E691" s="1"/>
      <c r="F691" s="1"/>
      <c r="G691" s="1"/>
      <c r="H691" s="35"/>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row>
    <row r="692" spans="1:119" ht="14.25" customHeight="1">
      <c r="A692" s="1"/>
      <c r="B692" s="1"/>
      <c r="C692" s="1"/>
      <c r="D692" s="1"/>
      <c r="E692" s="1"/>
      <c r="F692" s="1"/>
      <c r="G692" s="1"/>
      <c r="H692" s="35"/>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row>
    <row r="693" spans="1:119" ht="14.25" customHeight="1">
      <c r="A693" s="1"/>
      <c r="B693" s="1"/>
      <c r="C693" s="1"/>
      <c r="D693" s="1"/>
      <c r="E693" s="1"/>
      <c r="F693" s="1"/>
      <c r="G693" s="1"/>
      <c r="H693" s="35"/>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row>
    <row r="694" spans="1:119" ht="14.25" customHeight="1">
      <c r="A694" s="1"/>
      <c r="B694" s="1"/>
      <c r="C694" s="1"/>
      <c r="D694" s="1"/>
      <c r="E694" s="1"/>
      <c r="F694" s="1"/>
      <c r="G694" s="1"/>
      <c r="H694" s="35"/>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row>
    <row r="695" spans="1:119" ht="14.25" customHeight="1">
      <c r="A695" s="1"/>
      <c r="B695" s="1"/>
      <c r="C695" s="1"/>
      <c r="D695" s="1"/>
      <c r="E695" s="1"/>
      <c r="F695" s="1"/>
      <c r="G695" s="1"/>
      <c r="H695" s="35"/>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row>
    <row r="696" spans="1:119" ht="14.25" customHeight="1">
      <c r="A696" s="1"/>
      <c r="B696" s="1"/>
      <c r="C696" s="1"/>
      <c r="D696" s="1"/>
      <c r="E696" s="1"/>
      <c r="F696" s="1"/>
      <c r="G696" s="1"/>
      <c r="H696" s="35"/>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row>
    <row r="697" spans="1:119" ht="14.25" customHeight="1">
      <c r="A697" s="1"/>
      <c r="B697" s="1"/>
      <c r="C697" s="1"/>
      <c r="D697" s="1"/>
      <c r="E697" s="1"/>
      <c r="F697" s="1"/>
      <c r="G697" s="1"/>
      <c r="H697" s="35"/>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row>
    <row r="698" spans="1:119" ht="14.25" customHeight="1">
      <c r="A698" s="1"/>
      <c r="B698" s="1"/>
      <c r="C698" s="1"/>
      <c r="D698" s="1"/>
      <c r="E698" s="1"/>
      <c r="F698" s="1"/>
      <c r="G698" s="1"/>
      <c r="H698" s="35"/>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row>
    <row r="699" spans="1:119" ht="14.25" customHeight="1">
      <c r="A699" s="1"/>
      <c r="B699" s="1"/>
      <c r="C699" s="1"/>
      <c r="D699" s="1"/>
      <c r="E699" s="1"/>
      <c r="F699" s="1"/>
      <c r="G699" s="1"/>
      <c r="H699" s="35"/>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row>
    <row r="700" spans="1:119" ht="14.25" customHeight="1">
      <c r="A700" s="1"/>
      <c r="B700" s="1"/>
      <c r="C700" s="1"/>
      <c r="D700" s="1"/>
      <c r="E700" s="1"/>
      <c r="F700" s="1"/>
      <c r="G700" s="1"/>
      <c r="H700" s="35"/>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row>
    <row r="701" spans="1:119" ht="14.25" customHeight="1">
      <c r="A701" s="1"/>
      <c r="B701" s="1"/>
      <c r="C701" s="1"/>
      <c r="D701" s="1"/>
      <c r="E701" s="1"/>
      <c r="F701" s="1"/>
      <c r="G701" s="1"/>
      <c r="H701" s="35"/>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row>
    <row r="702" spans="1:119" ht="14.25" customHeight="1">
      <c r="A702" s="1"/>
      <c r="B702" s="1"/>
      <c r="C702" s="1"/>
      <c r="D702" s="1"/>
      <c r="E702" s="1"/>
      <c r="F702" s="1"/>
      <c r="G702" s="1"/>
      <c r="H702" s="35"/>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row>
    <row r="703" spans="1:119" ht="14.25" customHeight="1">
      <c r="A703" s="1"/>
      <c r="B703" s="1"/>
      <c r="C703" s="1"/>
      <c r="D703" s="1"/>
      <c r="E703" s="1"/>
      <c r="F703" s="1"/>
      <c r="G703" s="1"/>
      <c r="H703" s="35"/>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row>
    <row r="704" spans="1:119" ht="14.25" customHeight="1">
      <c r="A704" s="1"/>
      <c r="B704" s="1"/>
      <c r="C704" s="1"/>
      <c r="D704" s="1"/>
      <c r="E704" s="1"/>
      <c r="F704" s="1"/>
      <c r="G704" s="1"/>
      <c r="H704" s="35"/>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row>
    <row r="705" spans="1:119" ht="14.25" customHeight="1">
      <c r="A705" s="1"/>
      <c r="B705" s="1"/>
      <c r="C705" s="1"/>
      <c r="D705" s="1"/>
      <c r="E705" s="1"/>
      <c r="F705" s="1"/>
      <c r="G705" s="1"/>
      <c r="H705" s="35"/>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row>
    <row r="706" spans="1:119" ht="14.25" customHeight="1">
      <c r="A706" s="1"/>
      <c r="B706" s="1"/>
      <c r="C706" s="1"/>
      <c r="D706" s="1"/>
      <c r="E706" s="1"/>
      <c r="F706" s="1"/>
      <c r="G706" s="1"/>
      <c r="H706" s="35"/>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row>
    <row r="707" spans="1:119" ht="14.25" customHeight="1">
      <c r="A707" s="1"/>
      <c r="B707" s="1"/>
      <c r="C707" s="1"/>
      <c r="D707" s="1"/>
      <c r="E707" s="1"/>
      <c r="F707" s="1"/>
      <c r="G707" s="1"/>
      <c r="H707" s="35"/>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row>
    <row r="708" spans="1:119" ht="14.25" customHeight="1">
      <c r="A708" s="1"/>
      <c r="B708" s="1"/>
      <c r="C708" s="1"/>
      <c r="D708" s="1"/>
      <c r="E708" s="1"/>
      <c r="F708" s="1"/>
      <c r="G708" s="1"/>
      <c r="H708" s="35"/>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row>
    <row r="709" spans="1:119" ht="14.25" customHeight="1">
      <c r="A709" s="1"/>
      <c r="B709" s="1"/>
      <c r="C709" s="1"/>
      <c r="D709" s="1"/>
      <c r="E709" s="1"/>
      <c r="F709" s="1"/>
      <c r="G709" s="1"/>
      <c r="H709" s="35"/>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row>
    <row r="710" spans="1:119" ht="14.25" customHeight="1">
      <c r="A710" s="1"/>
      <c r="B710" s="1"/>
      <c r="C710" s="1"/>
      <c r="D710" s="1"/>
      <c r="E710" s="1"/>
      <c r="F710" s="1"/>
      <c r="G710" s="1"/>
      <c r="H710" s="35"/>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row>
    <row r="711" spans="1:119" ht="14.25" customHeight="1">
      <c r="A711" s="1"/>
      <c r="B711" s="1"/>
      <c r="C711" s="1"/>
      <c r="D711" s="1"/>
      <c r="E711" s="1"/>
      <c r="F711" s="1"/>
      <c r="G711" s="1"/>
      <c r="H711" s="35"/>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row>
    <row r="712" spans="1:119" ht="14.25" customHeight="1">
      <c r="A712" s="1"/>
      <c r="B712" s="1"/>
      <c r="C712" s="1"/>
      <c r="D712" s="1"/>
      <c r="E712" s="1"/>
      <c r="F712" s="1"/>
      <c r="G712" s="1"/>
      <c r="H712" s="35"/>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row>
    <row r="713" spans="1:119" ht="14.25" customHeight="1">
      <c r="A713" s="1"/>
      <c r="B713" s="1"/>
      <c r="C713" s="1"/>
      <c r="D713" s="1"/>
      <c r="E713" s="1"/>
      <c r="F713" s="1"/>
      <c r="G713" s="1"/>
      <c r="H713" s="35"/>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row>
    <row r="714" spans="1:119" ht="14.25" customHeight="1">
      <c r="A714" s="1"/>
      <c r="B714" s="1"/>
      <c r="C714" s="1"/>
      <c r="D714" s="1"/>
      <c r="E714" s="1"/>
      <c r="F714" s="1"/>
      <c r="G714" s="1"/>
      <c r="H714" s="35"/>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row>
    <row r="715" spans="1:119" ht="14.25" customHeight="1">
      <c r="A715" s="1"/>
      <c r="B715" s="1"/>
      <c r="C715" s="1"/>
      <c r="D715" s="1"/>
      <c r="E715" s="1"/>
      <c r="F715" s="1"/>
      <c r="G715" s="1"/>
      <c r="H715" s="35"/>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row>
    <row r="716" spans="1:119" ht="14.25" customHeight="1">
      <c r="A716" s="1"/>
      <c r="B716" s="1"/>
      <c r="C716" s="1"/>
      <c r="D716" s="1"/>
      <c r="E716" s="1"/>
      <c r="F716" s="1"/>
      <c r="G716" s="1"/>
      <c r="H716" s="35"/>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row>
    <row r="717" spans="1:119" ht="14.25" customHeight="1">
      <c r="A717" s="1"/>
      <c r="B717" s="1"/>
      <c r="C717" s="1"/>
      <c r="D717" s="1"/>
      <c r="E717" s="1"/>
      <c r="F717" s="1"/>
      <c r="G717" s="1"/>
      <c r="H717" s="35"/>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row>
    <row r="718" spans="1:119" ht="14.25" customHeight="1">
      <c r="A718" s="1"/>
      <c r="B718" s="1"/>
      <c r="C718" s="1"/>
      <c r="D718" s="1"/>
      <c r="E718" s="1"/>
      <c r="F718" s="1"/>
      <c r="G718" s="1"/>
      <c r="H718" s="35"/>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row>
    <row r="719" spans="1:119" ht="14.25" customHeight="1">
      <c r="A719" s="1"/>
      <c r="B719" s="1"/>
      <c r="C719" s="1"/>
      <c r="D719" s="1"/>
      <c r="E719" s="1"/>
      <c r="F719" s="1"/>
      <c r="G719" s="1"/>
      <c r="H719" s="35"/>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row>
    <row r="720" spans="1:119" ht="14.25" customHeight="1">
      <c r="A720" s="1"/>
      <c r="B720" s="1"/>
      <c r="C720" s="1"/>
      <c r="D720" s="1"/>
      <c r="E720" s="1"/>
      <c r="F720" s="1"/>
      <c r="G720" s="1"/>
      <c r="H720" s="35"/>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row>
    <row r="721" spans="1:119" ht="14.25" customHeight="1">
      <c r="A721" s="1"/>
      <c r="B721" s="1"/>
      <c r="C721" s="1"/>
      <c r="D721" s="1"/>
      <c r="E721" s="1"/>
      <c r="F721" s="1"/>
      <c r="G721" s="1"/>
      <c r="H721" s="35"/>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row>
    <row r="722" spans="1:119" ht="14.25" customHeight="1">
      <c r="A722" s="1"/>
      <c r="B722" s="1"/>
      <c r="C722" s="1"/>
      <c r="D722" s="1"/>
      <c r="E722" s="1"/>
      <c r="F722" s="1"/>
      <c r="G722" s="1"/>
      <c r="H722" s="35"/>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row>
    <row r="723" spans="1:119" ht="14.25" customHeight="1">
      <c r="A723" s="1"/>
      <c r="B723" s="1"/>
      <c r="C723" s="1"/>
      <c r="D723" s="1"/>
      <c r="E723" s="1"/>
      <c r="F723" s="1"/>
      <c r="G723" s="1"/>
      <c r="H723" s="35"/>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row>
    <row r="724" spans="1:119" ht="14.25" customHeight="1">
      <c r="A724" s="1"/>
      <c r="B724" s="1"/>
      <c r="C724" s="1"/>
      <c r="D724" s="1"/>
      <c r="E724" s="1"/>
      <c r="F724" s="1"/>
      <c r="G724" s="1"/>
      <c r="H724" s="35"/>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row>
    <row r="725" spans="1:119" ht="14.25" customHeight="1">
      <c r="A725" s="1"/>
      <c r="B725" s="1"/>
      <c r="C725" s="1"/>
      <c r="D725" s="1"/>
      <c r="E725" s="1"/>
      <c r="F725" s="1"/>
      <c r="G725" s="1"/>
      <c r="H725" s="35"/>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row>
    <row r="726" spans="1:119" ht="14.25" customHeight="1">
      <c r="A726" s="1"/>
      <c r="B726" s="1"/>
      <c r="C726" s="1"/>
      <c r="D726" s="1"/>
      <c r="E726" s="1"/>
      <c r="F726" s="1"/>
      <c r="G726" s="1"/>
      <c r="H726" s="35"/>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row>
    <row r="727" spans="1:119" ht="14.25" customHeight="1">
      <c r="A727" s="1"/>
      <c r="B727" s="1"/>
      <c r="C727" s="1"/>
      <c r="D727" s="1"/>
      <c r="E727" s="1"/>
      <c r="F727" s="1"/>
      <c r="G727" s="1"/>
      <c r="H727" s="35"/>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row>
    <row r="728" spans="1:119" ht="14.25" customHeight="1">
      <c r="A728" s="1"/>
      <c r="B728" s="1"/>
      <c r="C728" s="1"/>
      <c r="D728" s="1"/>
      <c r="E728" s="1"/>
      <c r="F728" s="1"/>
      <c r="G728" s="1"/>
      <c r="H728" s="35"/>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row>
    <row r="729" spans="1:119" ht="14.25" customHeight="1">
      <c r="A729" s="1"/>
      <c r="B729" s="1"/>
      <c r="C729" s="1"/>
      <c r="D729" s="1"/>
      <c r="E729" s="1"/>
      <c r="F729" s="1"/>
      <c r="G729" s="1"/>
      <c r="H729" s="35"/>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row>
    <row r="730" spans="1:119" ht="14.25" customHeight="1">
      <c r="A730" s="1"/>
      <c r="B730" s="1"/>
      <c r="C730" s="1"/>
      <c r="D730" s="1"/>
      <c r="E730" s="1"/>
      <c r="F730" s="1"/>
      <c r="G730" s="1"/>
      <c r="H730" s="35"/>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row>
    <row r="731" spans="1:119" ht="14.25" customHeight="1">
      <c r="A731" s="1"/>
      <c r="B731" s="1"/>
      <c r="C731" s="1"/>
      <c r="D731" s="1"/>
      <c r="E731" s="1"/>
      <c r="F731" s="1"/>
      <c r="G731" s="1"/>
      <c r="H731" s="35"/>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row>
    <row r="732" spans="1:119" ht="14.25" customHeight="1">
      <c r="A732" s="1"/>
      <c r="B732" s="1"/>
      <c r="C732" s="1"/>
      <c r="D732" s="1"/>
      <c r="E732" s="1"/>
      <c r="F732" s="1"/>
      <c r="G732" s="1"/>
      <c r="H732" s="35"/>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row>
    <row r="733" spans="1:119" ht="14.25" customHeight="1">
      <c r="A733" s="1"/>
      <c r="B733" s="1"/>
      <c r="C733" s="1"/>
      <c r="D733" s="1"/>
      <c r="E733" s="1"/>
      <c r="F733" s="1"/>
      <c r="G733" s="1"/>
      <c r="H733" s="35"/>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row>
    <row r="734" spans="1:119" ht="14.25" customHeight="1">
      <c r="A734" s="1"/>
      <c r="B734" s="1"/>
      <c r="C734" s="1"/>
      <c r="D734" s="1"/>
      <c r="E734" s="1"/>
      <c r="F734" s="1"/>
      <c r="G734" s="1"/>
      <c r="H734" s="35"/>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row>
    <row r="735" spans="1:119" ht="14.25" customHeight="1">
      <c r="A735" s="1"/>
      <c r="B735" s="1"/>
      <c r="C735" s="1"/>
      <c r="D735" s="1"/>
      <c r="E735" s="1"/>
      <c r="F735" s="1"/>
      <c r="G735" s="1"/>
      <c r="H735" s="35"/>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row>
    <row r="736" spans="1:119" ht="14.25" customHeight="1">
      <c r="A736" s="1"/>
      <c r="B736" s="1"/>
      <c r="C736" s="1"/>
      <c r="D736" s="1"/>
      <c r="E736" s="1"/>
      <c r="F736" s="1"/>
      <c r="G736" s="1"/>
      <c r="H736" s="35"/>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row>
    <row r="737" spans="1:119" ht="14.25" customHeight="1">
      <c r="A737" s="1"/>
      <c r="B737" s="1"/>
      <c r="C737" s="1"/>
      <c r="D737" s="1"/>
      <c r="E737" s="1"/>
      <c r="F737" s="1"/>
      <c r="G737" s="1"/>
      <c r="H737" s="35"/>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row>
    <row r="738" spans="1:119" ht="14.25" customHeight="1">
      <c r="A738" s="1"/>
      <c r="B738" s="1"/>
      <c r="C738" s="1"/>
      <c r="D738" s="1"/>
      <c r="E738" s="1"/>
      <c r="F738" s="1"/>
      <c r="G738" s="1"/>
      <c r="H738" s="35"/>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row>
    <row r="739" spans="1:119" ht="14.25" customHeight="1">
      <c r="A739" s="1"/>
      <c r="B739" s="1"/>
      <c r="C739" s="1"/>
      <c r="D739" s="1"/>
      <c r="E739" s="1"/>
      <c r="F739" s="1"/>
      <c r="G739" s="1"/>
      <c r="H739" s="35"/>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row>
    <row r="740" spans="1:119" ht="14.25" customHeight="1">
      <c r="A740" s="1"/>
      <c r="B740" s="1"/>
      <c r="C740" s="1"/>
      <c r="D740" s="1"/>
      <c r="E740" s="1"/>
      <c r="F740" s="1"/>
      <c r="G740" s="1"/>
      <c r="H740" s="35"/>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row>
    <row r="741" spans="1:119" ht="14.25" customHeight="1">
      <c r="A741" s="1"/>
      <c r="B741" s="1"/>
      <c r="C741" s="1"/>
      <c r="D741" s="1"/>
      <c r="E741" s="1"/>
      <c r="F741" s="1"/>
      <c r="G741" s="1"/>
      <c r="H741" s="35"/>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row>
    <row r="742" spans="1:119" ht="14.25" customHeight="1">
      <c r="A742" s="1"/>
      <c r="B742" s="1"/>
      <c r="C742" s="1"/>
      <c r="D742" s="1"/>
      <c r="E742" s="1"/>
      <c r="F742" s="1"/>
      <c r="G742" s="1"/>
      <c r="H742" s="35"/>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row>
    <row r="743" spans="1:119" ht="14.25" customHeight="1">
      <c r="A743" s="1"/>
      <c r="B743" s="1"/>
      <c r="C743" s="1"/>
      <c r="D743" s="1"/>
      <c r="E743" s="1"/>
      <c r="F743" s="1"/>
      <c r="G743" s="1"/>
      <c r="H743" s="35"/>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row>
    <row r="744" spans="1:119" ht="14.25" customHeight="1">
      <c r="A744" s="1"/>
      <c r="B744" s="1"/>
      <c r="C744" s="1"/>
      <c r="D744" s="1"/>
      <c r="E744" s="1"/>
      <c r="F744" s="1"/>
      <c r="G744" s="1"/>
      <c r="H744" s="35"/>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row>
    <row r="745" spans="1:119" ht="14.25" customHeight="1">
      <c r="A745" s="1"/>
      <c r="B745" s="1"/>
      <c r="C745" s="1"/>
      <c r="D745" s="1"/>
      <c r="E745" s="1"/>
      <c r="F745" s="1"/>
      <c r="G745" s="1"/>
      <c r="H745" s="35"/>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row>
    <row r="746" spans="1:119" ht="14.25" customHeight="1">
      <c r="A746" s="1"/>
      <c r="B746" s="1"/>
      <c r="C746" s="1"/>
      <c r="D746" s="1"/>
      <c r="E746" s="1"/>
      <c r="F746" s="1"/>
      <c r="G746" s="1"/>
      <c r="H746" s="35"/>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row>
    <row r="747" spans="1:119" ht="14.25" customHeight="1">
      <c r="A747" s="1"/>
      <c r="B747" s="1"/>
      <c r="C747" s="1"/>
      <c r="D747" s="1"/>
      <c r="E747" s="1"/>
      <c r="F747" s="1"/>
      <c r="G747" s="1"/>
      <c r="H747" s="35"/>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row>
    <row r="748" spans="1:119" ht="14.25" customHeight="1">
      <c r="A748" s="1"/>
      <c r="B748" s="1"/>
      <c r="C748" s="1"/>
      <c r="D748" s="1"/>
      <c r="E748" s="1"/>
      <c r="F748" s="1"/>
      <c r="G748" s="1"/>
      <c r="H748" s="35"/>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row>
    <row r="749" spans="1:119" ht="14.25" customHeight="1">
      <c r="A749" s="1"/>
      <c r="B749" s="1"/>
      <c r="C749" s="1"/>
      <c r="D749" s="1"/>
      <c r="E749" s="1"/>
      <c r="F749" s="1"/>
      <c r="G749" s="1"/>
      <c r="H749" s="35"/>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row>
    <row r="750" spans="1:119" ht="14.25" customHeight="1">
      <c r="A750" s="1"/>
      <c r="B750" s="1"/>
      <c r="C750" s="1"/>
      <c r="D750" s="1"/>
      <c r="E750" s="1"/>
      <c r="F750" s="1"/>
      <c r="G750" s="1"/>
      <c r="H750" s="35"/>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row>
    <row r="751" spans="1:119" ht="14.25" customHeight="1">
      <c r="A751" s="1"/>
      <c r="B751" s="1"/>
      <c r="C751" s="1"/>
      <c r="D751" s="1"/>
      <c r="E751" s="1"/>
      <c r="F751" s="1"/>
      <c r="G751" s="1"/>
      <c r="H751" s="35"/>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row>
    <row r="752" spans="1:119" ht="14.25" customHeight="1">
      <c r="A752" s="1"/>
      <c r="B752" s="1"/>
      <c r="C752" s="1"/>
      <c r="D752" s="1"/>
      <c r="E752" s="1"/>
      <c r="F752" s="1"/>
      <c r="G752" s="1"/>
      <c r="H752" s="35"/>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row>
    <row r="753" spans="1:119" ht="14.25" customHeight="1">
      <c r="A753" s="1"/>
      <c r="B753" s="1"/>
      <c r="C753" s="1"/>
      <c r="D753" s="1"/>
      <c r="E753" s="1"/>
      <c r="F753" s="1"/>
      <c r="G753" s="1"/>
      <c r="H753" s="35"/>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row>
    <row r="754" spans="1:119" ht="14.25" customHeight="1">
      <c r="A754" s="1"/>
      <c r="B754" s="1"/>
      <c r="C754" s="1"/>
      <c r="D754" s="1"/>
      <c r="E754" s="1"/>
      <c r="F754" s="1"/>
      <c r="G754" s="1"/>
      <c r="H754" s="35"/>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row>
    <row r="755" spans="1:119" ht="14.25" customHeight="1">
      <c r="A755" s="1"/>
      <c r="B755" s="1"/>
      <c r="C755" s="1"/>
      <c r="D755" s="1"/>
      <c r="E755" s="1"/>
      <c r="F755" s="1"/>
      <c r="G755" s="1"/>
      <c r="H755" s="35"/>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row>
    <row r="756" spans="1:119" ht="14.25" customHeight="1">
      <c r="A756" s="1"/>
      <c r="B756" s="1"/>
      <c r="C756" s="1"/>
      <c r="D756" s="1"/>
      <c r="E756" s="1"/>
      <c r="F756" s="1"/>
      <c r="G756" s="1"/>
      <c r="H756" s="35"/>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row>
    <row r="757" spans="1:119" ht="14.25" customHeight="1">
      <c r="A757" s="1"/>
      <c r="B757" s="1"/>
      <c r="C757" s="1"/>
      <c r="D757" s="1"/>
      <c r="E757" s="1"/>
      <c r="F757" s="1"/>
      <c r="G757" s="1"/>
      <c r="H757" s="35"/>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row>
    <row r="758" spans="1:119" ht="14.25" customHeight="1">
      <c r="A758" s="1"/>
      <c r="B758" s="1"/>
      <c r="C758" s="1"/>
      <c r="D758" s="1"/>
      <c r="E758" s="1"/>
      <c r="F758" s="1"/>
      <c r="G758" s="1"/>
      <c r="H758" s="35"/>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row>
    <row r="759" spans="1:119" ht="14.25" customHeight="1">
      <c r="A759" s="1"/>
      <c r="B759" s="1"/>
      <c r="C759" s="1"/>
      <c r="D759" s="1"/>
      <c r="E759" s="1"/>
      <c r="F759" s="1"/>
      <c r="G759" s="1"/>
      <c r="H759" s="35"/>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row>
    <row r="760" spans="1:119" ht="14.25" customHeight="1">
      <c r="A760" s="1"/>
      <c r="B760" s="1"/>
      <c r="C760" s="1"/>
      <c r="D760" s="1"/>
      <c r="E760" s="1"/>
      <c r="F760" s="1"/>
      <c r="G760" s="1"/>
      <c r="H760" s="35"/>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row>
    <row r="761" spans="1:119" ht="14.25" customHeight="1">
      <c r="A761" s="1"/>
      <c r="B761" s="1"/>
      <c r="C761" s="1"/>
      <c r="D761" s="1"/>
      <c r="E761" s="1"/>
      <c r="F761" s="1"/>
      <c r="G761" s="1"/>
      <c r="H761" s="35"/>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row>
    <row r="762" spans="1:119" ht="14.25" customHeight="1">
      <c r="A762" s="1"/>
      <c r="B762" s="1"/>
      <c r="C762" s="1"/>
      <c r="D762" s="1"/>
      <c r="E762" s="1"/>
      <c r="F762" s="1"/>
      <c r="G762" s="1"/>
      <c r="H762" s="35"/>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row>
    <row r="763" spans="1:119" ht="14.25" customHeight="1">
      <c r="A763" s="1"/>
      <c r="B763" s="1"/>
      <c r="C763" s="1"/>
      <c r="D763" s="1"/>
      <c r="E763" s="1"/>
      <c r="F763" s="1"/>
      <c r="G763" s="1"/>
      <c r="H763" s="35"/>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row>
    <row r="764" spans="1:119" ht="14.25" customHeight="1">
      <c r="A764" s="1"/>
      <c r="B764" s="1"/>
      <c r="C764" s="1"/>
      <c r="D764" s="1"/>
      <c r="E764" s="1"/>
      <c r="F764" s="1"/>
      <c r="G764" s="1"/>
      <c r="H764" s="35"/>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row>
    <row r="765" spans="1:119" ht="14.25" customHeight="1">
      <c r="A765" s="1"/>
      <c r="B765" s="1"/>
      <c r="C765" s="1"/>
      <c r="D765" s="1"/>
      <c r="E765" s="1"/>
      <c r="F765" s="1"/>
      <c r="G765" s="1"/>
      <c r="H765" s="35"/>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row>
    <row r="766" spans="1:119" ht="14.25" customHeight="1">
      <c r="A766" s="1"/>
      <c r="B766" s="1"/>
      <c r="C766" s="1"/>
      <c r="D766" s="1"/>
      <c r="E766" s="1"/>
      <c r="F766" s="1"/>
      <c r="G766" s="1"/>
      <c r="H766" s="35"/>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row>
    <row r="767" spans="1:119" ht="14.25" customHeight="1">
      <c r="A767" s="1"/>
      <c r="B767" s="1"/>
      <c r="C767" s="1"/>
      <c r="D767" s="1"/>
      <c r="E767" s="1"/>
      <c r="F767" s="1"/>
      <c r="G767" s="1"/>
      <c r="H767" s="35"/>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row>
    <row r="768" spans="1:119" ht="14.25" customHeight="1">
      <c r="A768" s="1"/>
      <c r="B768" s="1"/>
      <c r="C768" s="1"/>
      <c r="D768" s="1"/>
      <c r="E768" s="1"/>
      <c r="F768" s="1"/>
      <c r="G768" s="1"/>
      <c r="H768" s="35"/>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row>
    <row r="769" spans="1:119" ht="14.25" customHeight="1">
      <c r="A769" s="1"/>
      <c r="B769" s="1"/>
      <c r="C769" s="1"/>
      <c r="D769" s="1"/>
      <c r="E769" s="1"/>
      <c r="F769" s="1"/>
      <c r="G769" s="1"/>
      <c r="H769" s="35"/>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row>
    <row r="770" spans="1:119" ht="14.25" customHeight="1">
      <c r="A770" s="1"/>
      <c r="B770" s="1"/>
      <c r="C770" s="1"/>
      <c r="D770" s="1"/>
      <c r="E770" s="1"/>
      <c r="F770" s="1"/>
      <c r="G770" s="1"/>
      <c r="H770" s="35"/>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row>
    <row r="771" spans="1:119" ht="14.25" customHeight="1">
      <c r="A771" s="1"/>
      <c r="B771" s="1"/>
      <c r="C771" s="1"/>
      <c r="D771" s="1"/>
      <c r="E771" s="1"/>
      <c r="F771" s="1"/>
      <c r="G771" s="1"/>
      <c r="H771" s="35"/>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row>
    <row r="772" spans="1:119" ht="14.25" customHeight="1">
      <c r="A772" s="1"/>
      <c r="B772" s="1"/>
      <c r="C772" s="1"/>
      <c r="D772" s="1"/>
      <c r="E772" s="1"/>
      <c r="F772" s="1"/>
      <c r="G772" s="1"/>
      <c r="H772" s="35"/>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row>
    <row r="773" spans="1:119" ht="14.25" customHeight="1">
      <c r="A773" s="1"/>
      <c r="B773" s="1"/>
      <c r="C773" s="1"/>
      <c r="D773" s="1"/>
      <c r="E773" s="1"/>
      <c r="F773" s="1"/>
      <c r="G773" s="1"/>
      <c r="H773" s="35"/>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row>
    <row r="774" spans="1:119" ht="14.25" customHeight="1">
      <c r="A774" s="1"/>
      <c r="B774" s="1"/>
      <c r="C774" s="1"/>
      <c r="D774" s="1"/>
      <c r="E774" s="1"/>
      <c r="F774" s="1"/>
      <c r="G774" s="1"/>
      <c r="H774" s="35"/>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row>
    <row r="775" spans="1:119" ht="14.25" customHeight="1">
      <c r="A775" s="1"/>
      <c r="B775" s="1"/>
      <c r="C775" s="1"/>
      <c r="D775" s="1"/>
      <c r="E775" s="1"/>
      <c r="F775" s="1"/>
      <c r="G775" s="1"/>
      <c r="H775" s="35"/>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row>
    <row r="776" spans="1:119" ht="14.25" customHeight="1">
      <c r="A776" s="1"/>
      <c r="B776" s="1"/>
      <c r="C776" s="1"/>
      <c r="D776" s="1"/>
      <c r="E776" s="1"/>
      <c r="F776" s="1"/>
      <c r="G776" s="1"/>
      <c r="H776" s="35"/>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row>
    <row r="777" spans="1:119" ht="14.25" customHeight="1">
      <c r="A777" s="1"/>
      <c r="B777" s="1"/>
      <c r="C777" s="1"/>
      <c r="D777" s="1"/>
      <c r="E777" s="1"/>
      <c r="F777" s="1"/>
      <c r="G777" s="1"/>
      <c r="H777" s="35"/>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row>
    <row r="778" spans="1:119" ht="14.25" customHeight="1">
      <c r="A778" s="1"/>
      <c r="B778" s="1"/>
      <c r="C778" s="1"/>
      <c r="D778" s="1"/>
      <c r="E778" s="1"/>
      <c r="F778" s="1"/>
      <c r="G778" s="1"/>
      <c r="H778" s="35"/>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row>
    <row r="779" spans="1:119" ht="14.25" customHeight="1">
      <c r="A779" s="1"/>
      <c r="B779" s="1"/>
      <c r="C779" s="1"/>
      <c r="D779" s="1"/>
      <c r="E779" s="1"/>
      <c r="F779" s="1"/>
      <c r="G779" s="1"/>
      <c r="H779" s="35"/>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row>
    <row r="780" spans="1:119" ht="14.25" customHeight="1">
      <c r="A780" s="1"/>
      <c r="B780" s="1"/>
      <c r="C780" s="1"/>
      <c r="D780" s="1"/>
      <c r="E780" s="1"/>
      <c r="F780" s="1"/>
      <c r="G780" s="1"/>
      <c r="H780" s="35"/>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row>
    <row r="781" spans="1:119" ht="14.25" customHeight="1">
      <c r="A781" s="1"/>
      <c r="B781" s="1"/>
      <c r="C781" s="1"/>
      <c r="D781" s="1"/>
      <c r="E781" s="1"/>
      <c r="F781" s="1"/>
      <c r="G781" s="1"/>
      <c r="H781" s="35"/>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row>
    <row r="782" spans="1:119" ht="14.25" customHeight="1">
      <c r="A782" s="1"/>
      <c r="B782" s="1"/>
      <c r="C782" s="1"/>
      <c r="D782" s="1"/>
      <c r="E782" s="1"/>
      <c r="F782" s="1"/>
      <c r="G782" s="1"/>
      <c r="H782" s="35"/>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row>
    <row r="783" spans="1:119" ht="14.25" customHeight="1">
      <c r="A783" s="1"/>
      <c r="B783" s="1"/>
      <c r="C783" s="1"/>
      <c r="D783" s="1"/>
      <c r="E783" s="1"/>
      <c r="F783" s="1"/>
      <c r="G783" s="1"/>
      <c r="H783" s="35"/>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row>
    <row r="784" spans="1:119" ht="14.25" customHeight="1">
      <c r="A784" s="1"/>
      <c r="B784" s="1"/>
      <c r="C784" s="1"/>
      <c r="D784" s="1"/>
      <c r="E784" s="1"/>
      <c r="F784" s="1"/>
      <c r="G784" s="1"/>
      <c r="H784" s="35"/>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row>
    <row r="785" spans="1:119" ht="14.25" customHeight="1">
      <c r="A785" s="1"/>
      <c r="B785" s="1"/>
      <c r="C785" s="1"/>
      <c r="D785" s="1"/>
      <c r="E785" s="1"/>
      <c r="F785" s="1"/>
      <c r="G785" s="1"/>
      <c r="H785" s="35"/>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row>
    <row r="786" spans="1:119" ht="14.25" customHeight="1">
      <c r="A786" s="1"/>
      <c r="B786" s="1"/>
      <c r="C786" s="1"/>
      <c r="D786" s="1"/>
      <c r="E786" s="1"/>
      <c r="F786" s="1"/>
      <c r="G786" s="1"/>
      <c r="H786" s="35"/>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row>
    <row r="787" spans="1:119" ht="14.25" customHeight="1">
      <c r="A787" s="1"/>
      <c r="B787" s="1"/>
      <c r="C787" s="1"/>
      <c r="D787" s="1"/>
      <c r="E787" s="1"/>
      <c r="F787" s="1"/>
      <c r="G787" s="1"/>
      <c r="H787" s="35"/>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row>
    <row r="788" spans="1:119" ht="14.25" customHeight="1">
      <c r="A788" s="1"/>
      <c r="B788" s="1"/>
      <c r="C788" s="1"/>
      <c r="D788" s="1"/>
      <c r="E788" s="1"/>
      <c r="F788" s="1"/>
      <c r="G788" s="1"/>
      <c r="H788" s="35"/>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row>
    <row r="789" spans="1:119" ht="14.25" customHeight="1">
      <c r="A789" s="1"/>
      <c r="B789" s="1"/>
      <c r="C789" s="1"/>
      <c r="D789" s="1"/>
      <c r="E789" s="1"/>
      <c r="F789" s="1"/>
      <c r="G789" s="1"/>
      <c r="H789" s="35"/>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row>
    <row r="790" spans="1:119" ht="14.25" customHeight="1">
      <c r="A790" s="1"/>
      <c r="B790" s="1"/>
      <c r="C790" s="1"/>
      <c r="D790" s="1"/>
      <c r="E790" s="1"/>
      <c r="F790" s="1"/>
      <c r="G790" s="1"/>
      <c r="H790" s="35"/>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row>
    <row r="791" spans="1:119" ht="14.25" customHeight="1">
      <c r="A791" s="1"/>
      <c r="B791" s="1"/>
      <c r="C791" s="1"/>
      <c r="D791" s="1"/>
      <c r="E791" s="1"/>
      <c r="F791" s="1"/>
      <c r="G791" s="1"/>
      <c r="H791" s="35"/>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row>
    <row r="792" spans="1:119" ht="14.25" customHeight="1">
      <c r="A792" s="1"/>
      <c r="B792" s="1"/>
      <c r="C792" s="1"/>
      <c r="D792" s="1"/>
      <c r="E792" s="1"/>
      <c r="F792" s="1"/>
      <c r="G792" s="1"/>
      <c r="H792" s="35"/>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row>
    <row r="793" spans="1:119" ht="14.25" customHeight="1">
      <c r="A793" s="1"/>
      <c r="B793" s="1"/>
      <c r="C793" s="1"/>
      <c r="D793" s="1"/>
      <c r="E793" s="1"/>
      <c r="F793" s="1"/>
      <c r="G793" s="1"/>
      <c r="H793" s="35"/>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row>
    <row r="794" spans="1:119" ht="14.25" customHeight="1">
      <c r="A794" s="1"/>
      <c r="B794" s="1"/>
      <c r="C794" s="1"/>
      <c r="D794" s="1"/>
      <c r="E794" s="1"/>
      <c r="F794" s="1"/>
      <c r="G794" s="1"/>
      <c r="H794" s="35"/>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row>
    <row r="795" spans="1:119" ht="14.25" customHeight="1">
      <c r="A795" s="1"/>
      <c r="B795" s="1"/>
      <c r="C795" s="1"/>
      <c r="D795" s="1"/>
      <c r="E795" s="1"/>
      <c r="F795" s="1"/>
      <c r="G795" s="1"/>
      <c r="H795" s="35"/>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row>
    <row r="796" spans="1:119" ht="14.25" customHeight="1">
      <c r="A796" s="1"/>
      <c r="B796" s="1"/>
      <c r="C796" s="1"/>
      <c r="D796" s="1"/>
      <c r="E796" s="1"/>
      <c r="F796" s="1"/>
      <c r="G796" s="1"/>
      <c r="H796" s="35"/>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row>
    <row r="797" spans="1:119" ht="14.25" customHeight="1">
      <c r="A797" s="1"/>
      <c r="B797" s="1"/>
      <c r="C797" s="1"/>
      <c r="D797" s="1"/>
      <c r="E797" s="1"/>
      <c r="F797" s="1"/>
      <c r="G797" s="1"/>
      <c r="H797" s="35"/>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row>
    <row r="798" spans="1:119" ht="14.25" customHeight="1">
      <c r="A798" s="1"/>
      <c r="B798" s="1"/>
      <c r="C798" s="1"/>
      <c r="D798" s="1"/>
      <c r="E798" s="1"/>
      <c r="F798" s="1"/>
      <c r="G798" s="1"/>
      <c r="H798" s="35"/>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row>
    <row r="799" spans="1:119" ht="14.25" customHeight="1">
      <c r="A799" s="1"/>
      <c r="B799" s="1"/>
      <c r="C799" s="1"/>
      <c r="D799" s="1"/>
      <c r="E799" s="1"/>
      <c r="F799" s="1"/>
      <c r="G799" s="1"/>
      <c r="H799" s="35"/>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row>
    <row r="800" spans="1:119" ht="14.25" customHeight="1">
      <c r="A800" s="1"/>
      <c r="B800" s="1"/>
      <c r="C800" s="1"/>
      <c r="D800" s="1"/>
      <c r="E800" s="1"/>
      <c r="F800" s="1"/>
      <c r="G800" s="1"/>
      <c r="H800" s="35"/>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row>
    <row r="801" spans="1:119" ht="14.25" customHeight="1">
      <c r="A801" s="1"/>
      <c r="B801" s="1"/>
      <c r="C801" s="1"/>
      <c r="D801" s="1"/>
      <c r="E801" s="1"/>
      <c r="F801" s="1"/>
      <c r="G801" s="1"/>
      <c r="H801" s="35"/>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row>
    <row r="802" spans="1:119" ht="14.25" customHeight="1">
      <c r="A802" s="1"/>
      <c r="B802" s="1"/>
      <c r="C802" s="1"/>
      <c r="D802" s="1"/>
      <c r="E802" s="1"/>
      <c r="F802" s="1"/>
      <c r="G802" s="1"/>
      <c r="H802" s="35"/>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row>
    <row r="803" spans="1:119" ht="14.25" customHeight="1">
      <c r="A803" s="1"/>
      <c r="B803" s="1"/>
      <c r="C803" s="1"/>
      <c r="D803" s="1"/>
      <c r="E803" s="1"/>
      <c r="F803" s="1"/>
      <c r="G803" s="1"/>
      <c r="H803" s="35"/>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row>
    <row r="804" spans="1:119" ht="14.25" customHeight="1">
      <c r="A804" s="1"/>
      <c r="B804" s="1"/>
      <c r="C804" s="1"/>
      <c r="D804" s="1"/>
      <c r="E804" s="1"/>
      <c r="F804" s="1"/>
      <c r="G804" s="1"/>
      <c r="H804" s="35"/>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row>
    <row r="805" spans="1:119" ht="14.25" customHeight="1">
      <c r="A805" s="1"/>
      <c r="B805" s="1"/>
      <c r="C805" s="1"/>
      <c r="D805" s="1"/>
      <c r="E805" s="1"/>
      <c r="F805" s="1"/>
      <c r="G805" s="1"/>
      <c r="H805" s="35"/>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row>
    <row r="806" spans="1:119" ht="14.25" customHeight="1">
      <c r="A806" s="1"/>
      <c r="B806" s="1"/>
      <c r="C806" s="1"/>
      <c r="D806" s="1"/>
      <c r="E806" s="1"/>
      <c r="F806" s="1"/>
      <c r="G806" s="1"/>
      <c r="H806" s="35"/>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row>
    <row r="807" spans="1:119" ht="14.25" customHeight="1">
      <c r="A807" s="1"/>
      <c r="B807" s="1"/>
      <c r="C807" s="1"/>
      <c r="D807" s="1"/>
      <c r="E807" s="1"/>
      <c r="F807" s="1"/>
      <c r="G807" s="1"/>
      <c r="H807" s="35"/>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row>
    <row r="808" spans="1:119" ht="14.25" customHeight="1">
      <c r="A808" s="1"/>
      <c r="B808" s="1"/>
      <c r="C808" s="1"/>
      <c r="D808" s="1"/>
      <c r="E808" s="1"/>
      <c r="F808" s="1"/>
      <c r="G808" s="1"/>
      <c r="H808" s="35"/>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row>
    <row r="809" spans="1:119" ht="14.25" customHeight="1">
      <c r="A809" s="1"/>
      <c r="B809" s="1"/>
      <c r="C809" s="1"/>
      <c r="D809" s="1"/>
      <c r="E809" s="1"/>
      <c r="F809" s="1"/>
      <c r="G809" s="1"/>
      <c r="H809" s="35"/>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row>
    <row r="810" spans="1:119" ht="14.25" customHeight="1">
      <c r="A810" s="1"/>
      <c r="B810" s="1"/>
      <c r="C810" s="1"/>
      <c r="D810" s="1"/>
      <c r="E810" s="1"/>
      <c r="F810" s="1"/>
      <c r="G810" s="1"/>
      <c r="H810" s="35"/>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row>
    <row r="811" spans="1:119" ht="14.25" customHeight="1">
      <c r="A811" s="1"/>
      <c r="B811" s="1"/>
      <c r="C811" s="1"/>
      <c r="D811" s="1"/>
      <c r="E811" s="1"/>
      <c r="F811" s="1"/>
      <c r="G811" s="1"/>
      <c r="H811" s="35"/>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row>
    <row r="812" spans="1:119" ht="14.25" customHeight="1">
      <c r="A812" s="1"/>
      <c r="B812" s="1"/>
      <c r="C812" s="1"/>
      <c r="D812" s="1"/>
      <c r="E812" s="1"/>
      <c r="F812" s="1"/>
      <c r="G812" s="1"/>
      <c r="H812" s="35"/>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row>
    <row r="813" spans="1:119" ht="14.25" customHeight="1">
      <c r="A813" s="1"/>
      <c r="B813" s="1"/>
      <c r="C813" s="1"/>
      <c r="D813" s="1"/>
      <c r="E813" s="1"/>
      <c r="F813" s="1"/>
      <c r="G813" s="1"/>
      <c r="H813" s="35"/>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row>
    <row r="814" spans="1:119" ht="14.25" customHeight="1">
      <c r="A814" s="1"/>
      <c r="B814" s="1"/>
      <c r="C814" s="1"/>
      <c r="D814" s="1"/>
      <c r="E814" s="1"/>
      <c r="F814" s="1"/>
      <c r="G814" s="1"/>
      <c r="H814" s="35"/>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row>
    <row r="815" spans="1:119" ht="14.25" customHeight="1">
      <c r="A815" s="1"/>
      <c r="B815" s="1"/>
      <c r="C815" s="1"/>
      <c r="D815" s="1"/>
      <c r="E815" s="1"/>
      <c r="F815" s="1"/>
      <c r="G815" s="1"/>
      <c r="H815" s="35"/>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row>
    <row r="816" spans="1:119" ht="14.25" customHeight="1">
      <c r="A816" s="1"/>
      <c r="B816" s="1"/>
      <c r="C816" s="1"/>
      <c r="D816" s="1"/>
      <c r="E816" s="1"/>
      <c r="F816" s="1"/>
      <c r="G816" s="1"/>
      <c r="H816" s="35"/>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row>
    <row r="817" spans="1:119" ht="14.25" customHeight="1">
      <c r="A817" s="1"/>
      <c r="B817" s="1"/>
      <c r="C817" s="1"/>
      <c r="D817" s="1"/>
      <c r="E817" s="1"/>
      <c r="F817" s="1"/>
      <c r="G817" s="1"/>
      <c r="H817" s="35"/>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row>
    <row r="818" spans="1:119" ht="14.25" customHeight="1">
      <c r="A818" s="1"/>
      <c r="B818" s="1"/>
      <c r="C818" s="1"/>
      <c r="D818" s="1"/>
      <c r="E818" s="1"/>
      <c r="F818" s="1"/>
      <c r="G818" s="1"/>
      <c r="H818" s="35"/>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row>
    <row r="819" spans="1:119" ht="14.25" customHeight="1">
      <c r="A819" s="1"/>
      <c r="B819" s="1"/>
      <c r="C819" s="1"/>
      <c r="D819" s="1"/>
      <c r="E819" s="1"/>
      <c r="F819" s="1"/>
      <c r="G819" s="1"/>
      <c r="H819" s="35"/>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row>
    <row r="820" spans="1:119" ht="14.25" customHeight="1">
      <c r="A820" s="1"/>
      <c r="B820" s="1"/>
      <c r="C820" s="1"/>
      <c r="D820" s="1"/>
      <c r="E820" s="1"/>
      <c r="F820" s="1"/>
      <c r="G820" s="1"/>
      <c r="H820" s="35"/>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row>
    <row r="821" spans="1:119" ht="14.25" customHeight="1">
      <c r="A821" s="1"/>
      <c r="B821" s="1"/>
      <c r="C821" s="1"/>
      <c r="D821" s="1"/>
      <c r="E821" s="1"/>
      <c r="F821" s="1"/>
      <c r="G821" s="1"/>
      <c r="H821" s="35"/>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row>
    <row r="822" spans="1:119" ht="14.25" customHeight="1">
      <c r="A822" s="1"/>
      <c r="B822" s="1"/>
      <c r="C822" s="1"/>
      <c r="D822" s="1"/>
      <c r="E822" s="1"/>
      <c r="F822" s="1"/>
      <c r="G822" s="1"/>
      <c r="H822" s="35"/>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row>
    <row r="823" spans="1:119" ht="14.25" customHeight="1">
      <c r="A823" s="1"/>
      <c r="B823" s="1"/>
      <c r="C823" s="1"/>
      <c r="D823" s="1"/>
      <c r="E823" s="1"/>
      <c r="F823" s="1"/>
      <c r="G823" s="1"/>
      <c r="H823" s="35"/>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row>
    <row r="824" spans="1:119" ht="14.25" customHeight="1">
      <c r="A824" s="1"/>
      <c r="B824" s="1"/>
      <c r="C824" s="1"/>
      <c r="D824" s="1"/>
      <c r="E824" s="1"/>
      <c r="F824" s="1"/>
      <c r="G824" s="1"/>
      <c r="H824" s="35"/>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row>
    <row r="825" spans="1:119" ht="14.25" customHeight="1">
      <c r="A825" s="1"/>
      <c r="B825" s="1"/>
      <c r="C825" s="1"/>
      <c r="D825" s="1"/>
      <c r="E825" s="1"/>
      <c r="F825" s="1"/>
      <c r="G825" s="1"/>
      <c r="H825" s="35"/>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row>
    <row r="826" spans="1:119" ht="14.25" customHeight="1">
      <c r="A826" s="1"/>
      <c r="B826" s="1"/>
      <c r="C826" s="1"/>
      <c r="D826" s="1"/>
      <c r="E826" s="1"/>
      <c r="F826" s="1"/>
      <c r="G826" s="1"/>
      <c r="H826" s="35"/>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row>
    <row r="827" spans="1:119" ht="14.25" customHeight="1">
      <c r="A827" s="1"/>
      <c r="B827" s="1"/>
      <c r="C827" s="1"/>
      <c r="D827" s="1"/>
      <c r="E827" s="1"/>
      <c r="F827" s="1"/>
      <c r="G827" s="1"/>
      <c r="H827" s="35"/>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row>
    <row r="828" spans="1:119" ht="14.25" customHeight="1">
      <c r="A828" s="1"/>
      <c r="B828" s="1"/>
      <c r="C828" s="1"/>
      <c r="D828" s="1"/>
      <c r="E828" s="1"/>
      <c r="F828" s="1"/>
      <c r="G828" s="1"/>
      <c r="H828" s="35"/>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row>
    <row r="829" spans="1:119" ht="14.25" customHeight="1">
      <c r="A829" s="1"/>
      <c r="B829" s="1"/>
      <c r="C829" s="1"/>
      <c r="D829" s="1"/>
      <c r="E829" s="1"/>
      <c r="F829" s="1"/>
      <c r="G829" s="1"/>
      <c r="H829" s="35"/>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row>
    <row r="830" spans="1:119" ht="14.25" customHeight="1">
      <c r="A830" s="1"/>
      <c r="B830" s="1"/>
      <c r="C830" s="1"/>
      <c r="D830" s="1"/>
      <c r="E830" s="1"/>
      <c r="F830" s="1"/>
      <c r="G830" s="1"/>
      <c r="H830" s="35"/>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row>
    <row r="831" spans="1:119" ht="14.25" customHeight="1">
      <c r="A831" s="1"/>
      <c r="B831" s="1"/>
      <c r="C831" s="1"/>
      <c r="D831" s="1"/>
      <c r="E831" s="1"/>
      <c r="F831" s="1"/>
      <c r="G831" s="1"/>
      <c r="H831" s="35"/>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row>
    <row r="832" spans="1:119" ht="14.25" customHeight="1">
      <c r="A832" s="1"/>
      <c r="B832" s="1"/>
      <c r="C832" s="1"/>
      <c r="D832" s="1"/>
      <c r="E832" s="1"/>
      <c r="F832" s="1"/>
      <c r="G832" s="1"/>
      <c r="H832" s="35"/>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row>
    <row r="833" spans="1:119" ht="14.25" customHeight="1">
      <c r="A833" s="1"/>
      <c r="B833" s="1"/>
      <c r="C833" s="1"/>
      <c r="D833" s="1"/>
      <c r="E833" s="1"/>
      <c r="F833" s="1"/>
      <c r="G833" s="1"/>
      <c r="H833" s="35"/>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row>
    <row r="834" spans="1:119" ht="14.25" customHeight="1">
      <c r="A834" s="1"/>
      <c r="B834" s="1"/>
      <c r="C834" s="1"/>
      <c r="D834" s="1"/>
      <c r="E834" s="1"/>
      <c r="F834" s="1"/>
      <c r="G834" s="1"/>
      <c r="H834" s="35"/>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row>
    <row r="835" spans="1:119" ht="14.25" customHeight="1">
      <c r="A835" s="1"/>
      <c r="B835" s="1"/>
      <c r="C835" s="1"/>
      <c r="D835" s="1"/>
      <c r="E835" s="1"/>
      <c r="F835" s="1"/>
      <c r="G835" s="1"/>
      <c r="H835" s="35"/>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row>
    <row r="836" spans="1:119" ht="14.25" customHeight="1">
      <c r="A836" s="1"/>
      <c r="B836" s="1"/>
      <c r="C836" s="1"/>
      <c r="D836" s="1"/>
      <c r="E836" s="1"/>
      <c r="F836" s="1"/>
      <c r="G836" s="1"/>
      <c r="H836" s="35"/>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row>
    <row r="837" spans="1:119" ht="14.25" customHeight="1">
      <c r="A837" s="1"/>
      <c r="B837" s="1"/>
      <c r="C837" s="1"/>
      <c r="D837" s="1"/>
      <c r="E837" s="1"/>
      <c r="F837" s="1"/>
      <c r="G837" s="1"/>
      <c r="H837" s="35"/>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row>
    <row r="838" spans="1:119" ht="14.25" customHeight="1">
      <c r="A838" s="1"/>
      <c r="B838" s="1"/>
      <c r="C838" s="1"/>
      <c r="D838" s="1"/>
      <c r="E838" s="1"/>
      <c r="F838" s="1"/>
      <c r="G838" s="1"/>
      <c r="H838" s="35"/>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row>
    <row r="839" spans="1:119" ht="14.25" customHeight="1">
      <c r="A839" s="1"/>
      <c r="B839" s="1"/>
      <c r="C839" s="1"/>
      <c r="D839" s="1"/>
      <c r="E839" s="1"/>
      <c r="F839" s="1"/>
      <c r="G839" s="1"/>
      <c r="H839" s="35"/>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row>
    <row r="840" spans="1:119" ht="14.25" customHeight="1">
      <c r="A840" s="1"/>
      <c r="B840" s="1"/>
      <c r="C840" s="1"/>
      <c r="D840" s="1"/>
      <c r="E840" s="1"/>
      <c r="F840" s="1"/>
      <c r="G840" s="1"/>
      <c r="H840" s="35"/>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row>
    <row r="841" spans="1:119" ht="14.25" customHeight="1">
      <c r="A841" s="1"/>
      <c r="B841" s="1"/>
      <c r="C841" s="1"/>
      <c r="D841" s="1"/>
      <c r="E841" s="1"/>
      <c r="F841" s="1"/>
      <c r="G841" s="1"/>
      <c r="H841" s="35"/>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row>
    <row r="842" spans="1:119" ht="14.25" customHeight="1">
      <c r="A842" s="1"/>
      <c r="B842" s="1"/>
      <c r="C842" s="1"/>
      <c r="D842" s="1"/>
      <c r="E842" s="1"/>
      <c r="F842" s="1"/>
      <c r="G842" s="1"/>
      <c r="H842" s="35"/>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row>
    <row r="843" spans="1:119" ht="14.25" customHeight="1">
      <c r="A843" s="1"/>
      <c r="B843" s="1"/>
      <c r="C843" s="1"/>
      <c r="D843" s="1"/>
      <c r="E843" s="1"/>
      <c r="F843" s="1"/>
      <c r="G843" s="1"/>
      <c r="H843" s="35"/>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row>
    <row r="844" spans="1:119" ht="14.25" customHeight="1">
      <c r="A844" s="1"/>
      <c r="B844" s="1"/>
      <c r="C844" s="1"/>
      <c r="D844" s="1"/>
      <c r="E844" s="1"/>
      <c r="F844" s="1"/>
      <c r="G844" s="1"/>
      <c r="H844" s="35"/>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row>
    <row r="845" spans="1:119" ht="14.25" customHeight="1">
      <c r="A845" s="1"/>
      <c r="B845" s="1"/>
      <c r="C845" s="1"/>
      <c r="D845" s="1"/>
      <c r="E845" s="1"/>
      <c r="F845" s="1"/>
      <c r="G845" s="1"/>
      <c r="H845" s="35"/>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row>
    <row r="846" spans="1:119" ht="14.25" customHeight="1">
      <c r="A846" s="1"/>
      <c r="B846" s="1"/>
      <c r="C846" s="1"/>
      <c r="D846" s="1"/>
      <c r="E846" s="1"/>
      <c r="F846" s="1"/>
      <c r="G846" s="1"/>
      <c r="H846" s="35"/>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row>
    <row r="847" spans="1:119" ht="14.25" customHeight="1">
      <c r="A847" s="1"/>
      <c r="B847" s="1"/>
      <c r="C847" s="1"/>
      <c r="D847" s="1"/>
      <c r="E847" s="1"/>
      <c r="F847" s="1"/>
      <c r="G847" s="1"/>
      <c r="H847" s="35"/>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row>
    <row r="848" spans="1:119" ht="14.25" customHeight="1">
      <c r="A848" s="1"/>
      <c r="B848" s="1"/>
      <c r="C848" s="1"/>
      <c r="D848" s="1"/>
      <c r="E848" s="1"/>
      <c r="F848" s="1"/>
      <c r="G848" s="1"/>
      <c r="H848" s="35"/>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row>
    <row r="849" spans="1:119" ht="14.25" customHeight="1">
      <c r="A849" s="1"/>
      <c r="B849" s="1"/>
      <c r="C849" s="1"/>
      <c r="D849" s="1"/>
      <c r="E849" s="1"/>
      <c r="F849" s="1"/>
      <c r="G849" s="1"/>
      <c r="H849" s="35"/>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row>
    <row r="850" spans="1:119" ht="14.25" customHeight="1">
      <c r="A850" s="1"/>
      <c r="B850" s="1"/>
      <c r="C850" s="1"/>
      <c r="D850" s="1"/>
      <c r="E850" s="1"/>
      <c r="F850" s="1"/>
      <c r="G850" s="1"/>
      <c r="H850" s="35"/>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row>
    <row r="851" spans="1:119" ht="14.25" customHeight="1">
      <c r="A851" s="1"/>
      <c r="B851" s="1"/>
      <c r="C851" s="1"/>
      <c r="D851" s="1"/>
      <c r="E851" s="1"/>
      <c r="F851" s="1"/>
      <c r="G851" s="1"/>
      <c r="H851" s="35"/>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row>
    <row r="852" spans="1:119" ht="14.25" customHeight="1">
      <c r="A852" s="1"/>
      <c r="B852" s="1"/>
      <c r="C852" s="1"/>
      <c r="D852" s="1"/>
      <c r="E852" s="1"/>
      <c r="F852" s="1"/>
      <c r="G852" s="1"/>
      <c r="H852" s="35"/>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row>
    <row r="853" spans="1:119" ht="14.25" customHeight="1">
      <c r="A853" s="1"/>
      <c r="B853" s="1"/>
      <c r="C853" s="1"/>
      <c r="D853" s="1"/>
      <c r="E853" s="1"/>
      <c r="F853" s="1"/>
      <c r="G853" s="1"/>
      <c r="H853" s="35"/>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row>
    <row r="854" spans="1:119" ht="14.25" customHeight="1">
      <c r="A854" s="1"/>
      <c r="B854" s="1"/>
      <c r="C854" s="1"/>
      <c r="D854" s="1"/>
      <c r="E854" s="1"/>
      <c r="F854" s="1"/>
      <c r="G854" s="1"/>
      <c r="H854" s="35"/>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row>
    <row r="855" spans="1:119" ht="14.25" customHeight="1">
      <c r="A855" s="1"/>
      <c r="B855" s="1"/>
      <c r="C855" s="1"/>
      <c r="D855" s="1"/>
      <c r="E855" s="1"/>
      <c r="F855" s="1"/>
      <c r="G855" s="1"/>
      <c r="H855" s="35"/>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row>
    <row r="856" spans="1:119" ht="14.25" customHeight="1">
      <c r="A856" s="1"/>
      <c r="B856" s="1"/>
      <c r="C856" s="1"/>
      <c r="D856" s="1"/>
      <c r="E856" s="1"/>
      <c r="F856" s="1"/>
      <c r="G856" s="1"/>
      <c r="H856" s="35"/>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row>
    <row r="857" spans="1:119" ht="14.25" customHeight="1">
      <c r="A857" s="1"/>
      <c r="B857" s="1"/>
      <c r="C857" s="1"/>
      <c r="D857" s="1"/>
      <c r="E857" s="1"/>
      <c r="F857" s="1"/>
      <c r="G857" s="1"/>
      <c r="H857" s="35"/>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row>
    <row r="858" spans="1:119" ht="14.25" customHeight="1">
      <c r="A858" s="1"/>
      <c r="B858" s="1"/>
      <c r="C858" s="1"/>
      <c r="D858" s="1"/>
      <c r="E858" s="1"/>
      <c r="F858" s="1"/>
      <c r="G858" s="1"/>
      <c r="H858" s="35"/>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row>
    <row r="859" spans="1:119" ht="14.25" customHeight="1">
      <c r="A859" s="1"/>
      <c r="B859" s="1"/>
      <c r="C859" s="1"/>
      <c r="D859" s="1"/>
      <c r="E859" s="1"/>
      <c r="F859" s="1"/>
      <c r="G859" s="1"/>
      <c r="H859" s="35"/>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row>
    <row r="860" spans="1:119" ht="14.25" customHeight="1">
      <c r="A860" s="1"/>
      <c r="B860" s="1"/>
      <c r="C860" s="1"/>
      <c r="D860" s="1"/>
      <c r="E860" s="1"/>
      <c r="F860" s="1"/>
      <c r="G860" s="1"/>
      <c r="H860" s="35"/>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row>
    <row r="861" spans="1:119" ht="14.25" customHeight="1">
      <c r="A861" s="1"/>
      <c r="B861" s="1"/>
      <c r="C861" s="1"/>
      <c r="D861" s="1"/>
      <c r="E861" s="1"/>
      <c r="F861" s="1"/>
      <c r="G861" s="1"/>
      <c r="H861" s="35"/>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row>
    <row r="862" spans="1:119" ht="14.25" customHeight="1">
      <c r="A862" s="1"/>
      <c r="B862" s="1"/>
      <c r="C862" s="1"/>
      <c r="D862" s="1"/>
      <c r="E862" s="1"/>
      <c r="F862" s="1"/>
      <c r="G862" s="1"/>
      <c r="H862" s="35"/>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row>
    <row r="863" spans="1:119" ht="14.25" customHeight="1">
      <c r="A863" s="1"/>
      <c r="B863" s="1"/>
      <c r="C863" s="1"/>
      <c r="D863" s="1"/>
      <c r="E863" s="1"/>
      <c r="F863" s="1"/>
      <c r="G863" s="1"/>
      <c r="H863" s="35"/>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row>
    <row r="864" spans="1:119" ht="14.25" customHeight="1">
      <c r="A864" s="1"/>
      <c r="B864" s="1"/>
      <c r="C864" s="1"/>
      <c r="D864" s="1"/>
      <c r="E864" s="1"/>
      <c r="F864" s="1"/>
      <c r="G864" s="1"/>
      <c r="H864" s="35"/>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row>
    <row r="865" spans="1:119" ht="14.25" customHeight="1">
      <c r="A865" s="1"/>
      <c r="B865" s="1"/>
      <c r="C865" s="1"/>
      <c r="D865" s="1"/>
      <c r="E865" s="1"/>
      <c r="F865" s="1"/>
      <c r="G865" s="1"/>
      <c r="H865" s="35"/>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row>
    <row r="866" spans="1:119" ht="14.25" customHeight="1">
      <c r="A866" s="1"/>
      <c r="B866" s="1"/>
      <c r="C866" s="1"/>
      <c r="D866" s="1"/>
      <c r="E866" s="1"/>
      <c r="F866" s="1"/>
      <c r="G866" s="1"/>
      <c r="H866" s="35"/>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row>
    <row r="867" spans="1:119" ht="14.25" customHeight="1">
      <c r="A867" s="1"/>
      <c r="B867" s="1"/>
      <c r="C867" s="1"/>
      <c r="D867" s="1"/>
      <c r="E867" s="1"/>
      <c r="F867" s="1"/>
      <c r="G867" s="1"/>
      <c r="H867" s="35"/>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row>
    <row r="868" spans="1:119" ht="14.25" customHeight="1">
      <c r="A868" s="1"/>
      <c r="B868" s="1"/>
      <c r="C868" s="1"/>
      <c r="D868" s="1"/>
      <c r="E868" s="1"/>
      <c r="F868" s="1"/>
      <c r="G868" s="1"/>
      <c r="H868" s="35"/>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row>
    <row r="869" spans="1:119" ht="14.25" customHeight="1">
      <c r="A869" s="1"/>
      <c r="B869" s="1"/>
      <c r="C869" s="1"/>
      <c r="D869" s="1"/>
      <c r="E869" s="1"/>
      <c r="F869" s="1"/>
      <c r="G869" s="1"/>
      <c r="H869" s="35"/>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row>
    <row r="870" spans="1:119" ht="14.25" customHeight="1">
      <c r="A870" s="1"/>
      <c r="B870" s="1"/>
      <c r="C870" s="1"/>
      <c r="D870" s="1"/>
      <c r="E870" s="1"/>
      <c r="F870" s="1"/>
      <c r="G870" s="1"/>
      <c r="H870" s="35"/>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row>
    <row r="871" spans="1:119" ht="14.25" customHeight="1">
      <c r="A871" s="1"/>
      <c r="B871" s="1"/>
      <c r="C871" s="1"/>
      <c r="D871" s="1"/>
      <c r="E871" s="1"/>
      <c r="F871" s="1"/>
      <c r="G871" s="1"/>
      <c r="H871" s="35"/>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row>
    <row r="872" spans="1:119" ht="14.25" customHeight="1">
      <c r="A872" s="1"/>
      <c r="B872" s="1"/>
      <c r="C872" s="1"/>
      <c r="D872" s="1"/>
      <c r="E872" s="1"/>
      <c r="F872" s="1"/>
      <c r="G872" s="1"/>
      <c r="H872" s="35"/>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row>
    <row r="873" spans="1:119" ht="14.25" customHeight="1">
      <c r="A873" s="1"/>
      <c r="B873" s="1"/>
      <c r="C873" s="1"/>
      <c r="D873" s="1"/>
      <c r="E873" s="1"/>
      <c r="F873" s="1"/>
      <c r="G873" s="1"/>
      <c r="H873" s="35"/>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row>
    <row r="874" spans="1:119" ht="14.25" customHeight="1">
      <c r="A874" s="1"/>
      <c r="B874" s="1"/>
      <c r="C874" s="1"/>
      <c r="D874" s="1"/>
      <c r="E874" s="1"/>
      <c r="F874" s="1"/>
      <c r="G874" s="1"/>
      <c r="H874" s="35"/>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row>
    <row r="875" spans="1:119" ht="14.25" customHeight="1">
      <c r="A875" s="1"/>
      <c r="B875" s="1"/>
      <c r="C875" s="1"/>
      <c r="D875" s="1"/>
      <c r="E875" s="1"/>
      <c r="F875" s="1"/>
      <c r="G875" s="1"/>
      <c r="H875" s="35"/>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row>
    <row r="876" spans="1:119" ht="14.25" customHeight="1">
      <c r="A876" s="1"/>
      <c r="B876" s="1"/>
      <c r="C876" s="1"/>
      <c r="D876" s="1"/>
      <c r="E876" s="1"/>
      <c r="F876" s="1"/>
      <c r="G876" s="1"/>
      <c r="H876" s="35"/>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row>
    <row r="877" spans="1:119" ht="14.25" customHeight="1">
      <c r="A877" s="1"/>
      <c r="B877" s="1"/>
      <c r="C877" s="1"/>
      <c r="D877" s="1"/>
      <c r="E877" s="1"/>
      <c r="F877" s="1"/>
      <c r="G877" s="1"/>
      <c r="H877" s="35"/>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row>
    <row r="878" spans="1:119" ht="14.25" customHeight="1">
      <c r="A878" s="1"/>
      <c r="B878" s="1"/>
      <c r="C878" s="1"/>
      <c r="D878" s="1"/>
      <c r="E878" s="1"/>
      <c r="F878" s="1"/>
      <c r="G878" s="1"/>
      <c r="H878" s="35"/>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row>
    <row r="879" spans="1:119" ht="14.25" customHeight="1">
      <c r="A879" s="1"/>
      <c r="B879" s="1"/>
      <c r="C879" s="1"/>
      <c r="D879" s="1"/>
      <c r="E879" s="1"/>
      <c r="F879" s="1"/>
      <c r="G879" s="1"/>
      <c r="H879" s="35"/>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row>
    <row r="880" spans="1:119" ht="14.25" customHeight="1">
      <c r="A880" s="1"/>
      <c r="B880" s="1"/>
      <c r="C880" s="1"/>
      <c r="D880" s="1"/>
      <c r="E880" s="1"/>
      <c r="F880" s="1"/>
      <c r="G880" s="1"/>
      <c r="H880" s="35"/>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row>
    <row r="881" spans="1:119" ht="14.25" customHeight="1">
      <c r="A881" s="1"/>
      <c r="B881" s="1"/>
      <c r="C881" s="1"/>
      <c r="D881" s="1"/>
      <c r="E881" s="1"/>
      <c r="F881" s="1"/>
      <c r="G881" s="1"/>
      <c r="H881" s="35"/>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row>
    <row r="882" spans="1:119" ht="14.25" customHeight="1">
      <c r="A882" s="1"/>
      <c r="B882" s="1"/>
      <c r="C882" s="1"/>
      <c r="D882" s="1"/>
      <c r="E882" s="1"/>
      <c r="F882" s="1"/>
      <c r="G882" s="1"/>
      <c r="H882" s="35"/>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row>
    <row r="883" spans="1:119" ht="14.25" customHeight="1">
      <c r="A883" s="1"/>
      <c r="B883" s="1"/>
      <c r="C883" s="1"/>
      <c r="D883" s="1"/>
      <c r="E883" s="1"/>
      <c r="F883" s="1"/>
      <c r="G883" s="1"/>
      <c r="H883" s="35"/>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row>
    <row r="884" spans="1:119" ht="14.25" customHeight="1">
      <c r="A884" s="1"/>
      <c r="B884" s="1"/>
      <c r="C884" s="1"/>
      <c r="D884" s="1"/>
      <c r="E884" s="1"/>
      <c r="F884" s="1"/>
      <c r="G884" s="1"/>
      <c r="H884" s="35"/>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row>
    <row r="885" spans="1:119" ht="14.25" customHeight="1">
      <c r="A885" s="1"/>
      <c r="B885" s="1"/>
      <c r="C885" s="1"/>
      <c r="D885" s="1"/>
      <c r="E885" s="1"/>
      <c r="F885" s="1"/>
      <c r="G885" s="1"/>
      <c r="H885" s="35"/>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row>
    <row r="886" spans="1:119" ht="14.25" customHeight="1">
      <c r="A886" s="1"/>
      <c r="B886" s="1"/>
      <c r="C886" s="1"/>
      <c r="D886" s="1"/>
      <c r="E886" s="1"/>
      <c r="F886" s="1"/>
      <c r="G886" s="1"/>
      <c r="H886" s="35"/>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row>
    <row r="887" spans="1:119" ht="14.25" customHeight="1">
      <c r="A887" s="1"/>
      <c r="B887" s="1"/>
      <c r="C887" s="1"/>
      <c r="D887" s="1"/>
      <c r="E887" s="1"/>
      <c r="F887" s="1"/>
      <c r="G887" s="1"/>
      <c r="H887" s="35"/>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row>
    <row r="888" spans="1:119" ht="14.25" customHeight="1">
      <c r="A888" s="1"/>
      <c r="B888" s="1"/>
      <c r="C888" s="1"/>
      <c r="D888" s="1"/>
      <c r="E888" s="1"/>
      <c r="F888" s="1"/>
      <c r="G888" s="1"/>
      <c r="H888" s="35"/>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row>
    <row r="889" spans="1:119" ht="14.25" customHeight="1">
      <c r="A889" s="1"/>
      <c r="B889" s="1"/>
      <c r="C889" s="1"/>
      <c r="D889" s="1"/>
      <c r="E889" s="1"/>
      <c r="F889" s="1"/>
      <c r="G889" s="1"/>
      <c r="H889" s="35"/>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row>
    <row r="890" spans="1:119" ht="14.25" customHeight="1">
      <c r="A890" s="1"/>
      <c r="B890" s="1"/>
      <c r="C890" s="1"/>
      <c r="D890" s="1"/>
      <c r="E890" s="1"/>
      <c r="F890" s="1"/>
      <c r="G890" s="1"/>
      <c r="H890" s="35"/>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row>
    <row r="891" spans="1:119" ht="14.25" customHeight="1">
      <c r="A891" s="1"/>
      <c r="B891" s="1"/>
      <c r="C891" s="1"/>
      <c r="D891" s="1"/>
      <c r="E891" s="1"/>
      <c r="F891" s="1"/>
      <c r="G891" s="1"/>
      <c r="H891" s="35"/>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row>
    <row r="892" spans="1:119" ht="14.25" customHeight="1">
      <c r="A892" s="1"/>
      <c r="B892" s="1"/>
      <c r="C892" s="1"/>
      <c r="D892" s="1"/>
      <c r="E892" s="1"/>
      <c r="F892" s="1"/>
      <c r="G892" s="1"/>
      <c r="H892" s="35"/>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row>
    <row r="893" spans="1:119" ht="14.25" customHeight="1">
      <c r="A893" s="1"/>
      <c r="B893" s="1"/>
      <c r="C893" s="1"/>
      <c r="D893" s="1"/>
      <c r="E893" s="1"/>
      <c r="F893" s="1"/>
      <c r="G893" s="1"/>
      <c r="H893" s="35"/>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row>
    <row r="894" spans="1:119" ht="14.25" customHeight="1">
      <c r="A894" s="1"/>
      <c r="B894" s="1"/>
      <c r="C894" s="1"/>
      <c r="D894" s="1"/>
      <c r="E894" s="1"/>
      <c r="F894" s="1"/>
      <c r="G894" s="1"/>
      <c r="H894" s="35"/>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row>
    <row r="895" spans="1:119" ht="14.25" customHeight="1">
      <c r="A895" s="1"/>
      <c r="B895" s="1"/>
      <c r="C895" s="1"/>
      <c r="D895" s="1"/>
      <c r="E895" s="1"/>
      <c r="F895" s="1"/>
      <c r="G895" s="1"/>
      <c r="H895" s="35"/>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row>
    <row r="896" spans="1:119" ht="14.25" customHeight="1">
      <c r="A896" s="1"/>
      <c r="B896" s="1"/>
      <c r="C896" s="1"/>
      <c r="D896" s="1"/>
      <c r="E896" s="1"/>
      <c r="F896" s="1"/>
      <c r="G896" s="1"/>
      <c r="H896" s="35"/>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row>
    <row r="897" spans="1:119" ht="14.25" customHeight="1">
      <c r="A897" s="1"/>
      <c r="B897" s="1"/>
      <c r="C897" s="1"/>
      <c r="D897" s="1"/>
      <c r="E897" s="1"/>
      <c r="F897" s="1"/>
      <c r="G897" s="1"/>
      <c r="H897" s="35"/>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row>
    <row r="898" spans="1:119" ht="14.25" customHeight="1">
      <c r="A898" s="1"/>
      <c r="B898" s="1"/>
      <c r="C898" s="1"/>
      <c r="D898" s="1"/>
      <c r="E898" s="1"/>
      <c r="F898" s="1"/>
      <c r="G898" s="1"/>
      <c r="H898" s="35"/>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row>
    <row r="899" spans="1:119" ht="14.25" customHeight="1">
      <c r="A899" s="1"/>
      <c r="B899" s="1"/>
      <c r="C899" s="1"/>
      <c r="D899" s="1"/>
      <c r="E899" s="1"/>
      <c r="F899" s="1"/>
      <c r="G899" s="1"/>
      <c r="H899" s="35"/>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row>
    <row r="900" spans="1:119" ht="14.25" customHeight="1">
      <c r="A900" s="1"/>
      <c r="B900" s="1"/>
      <c r="C900" s="1"/>
      <c r="D900" s="1"/>
      <c r="E900" s="1"/>
      <c r="F900" s="1"/>
      <c r="G900" s="1"/>
      <c r="H900" s="35"/>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row>
    <row r="901" spans="1:119" ht="14.25" customHeight="1">
      <c r="A901" s="1"/>
      <c r="B901" s="1"/>
      <c r="C901" s="1"/>
      <c r="D901" s="1"/>
      <c r="E901" s="1"/>
      <c r="F901" s="1"/>
      <c r="G901" s="1"/>
      <c r="H901" s="35"/>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row>
    <row r="902" spans="1:119" ht="14.25" customHeight="1">
      <c r="A902" s="1"/>
      <c r="B902" s="1"/>
      <c r="C902" s="1"/>
      <c r="D902" s="1"/>
      <c r="E902" s="1"/>
      <c r="F902" s="1"/>
      <c r="G902" s="1"/>
      <c r="H902" s="35"/>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row>
    <row r="903" spans="1:119" ht="14.25" customHeight="1">
      <c r="A903" s="1"/>
      <c r="B903" s="1"/>
      <c r="C903" s="1"/>
      <c r="D903" s="1"/>
      <c r="E903" s="1"/>
      <c r="F903" s="1"/>
      <c r="G903" s="1"/>
      <c r="H903" s="35"/>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row>
    <row r="904" spans="1:119" ht="14.25" customHeight="1">
      <c r="A904" s="1"/>
      <c r="B904" s="1"/>
      <c r="C904" s="1"/>
      <c r="D904" s="1"/>
      <c r="E904" s="1"/>
      <c r="F904" s="1"/>
      <c r="G904" s="1"/>
      <c r="H904" s="35"/>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row>
    <row r="905" spans="1:119" ht="14.25" customHeight="1">
      <c r="A905" s="1"/>
      <c r="B905" s="1"/>
      <c r="C905" s="1"/>
      <c r="D905" s="1"/>
      <c r="E905" s="1"/>
      <c r="F905" s="1"/>
      <c r="G905" s="1"/>
      <c r="H905" s="35"/>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row>
    <row r="906" spans="1:119" ht="14.25" customHeight="1">
      <c r="A906" s="1"/>
      <c r="B906" s="1"/>
      <c r="C906" s="1"/>
      <c r="D906" s="1"/>
      <c r="E906" s="1"/>
      <c r="F906" s="1"/>
      <c r="G906" s="1"/>
      <c r="H906" s="35"/>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row>
    <row r="907" spans="1:119" ht="14.25" customHeight="1">
      <c r="A907" s="1"/>
      <c r="B907" s="1"/>
      <c r="C907" s="1"/>
      <c r="D907" s="1"/>
      <c r="E907" s="1"/>
      <c r="F907" s="1"/>
      <c r="G907" s="1"/>
      <c r="H907" s="35"/>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row>
    <row r="908" spans="1:119" ht="14.25" customHeight="1">
      <c r="A908" s="1"/>
      <c r="B908" s="1"/>
      <c r="C908" s="1"/>
      <c r="D908" s="1"/>
      <c r="E908" s="1"/>
      <c r="F908" s="1"/>
      <c r="G908" s="1"/>
      <c r="H908" s="35"/>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row>
    <row r="909" spans="1:119" ht="14.25" customHeight="1">
      <c r="A909" s="1"/>
      <c r="B909" s="1"/>
      <c r="C909" s="1"/>
      <c r="D909" s="1"/>
      <c r="E909" s="1"/>
      <c r="F909" s="1"/>
      <c r="G909" s="1"/>
      <c r="H909" s="35"/>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row>
    <row r="910" spans="1:119" ht="14.25" customHeight="1">
      <c r="A910" s="1"/>
      <c r="B910" s="1"/>
      <c r="C910" s="1"/>
      <c r="D910" s="1"/>
      <c r="E910" s="1"/>
      <c r="F910" s="1"/>
      <c r="G910" s="1"/>
      <c r="H910" s="35"/>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row>
    <row r="911" spans="1:119" ht="14.25" customHeight="1">
      <c r="A911" s="1"/>
      <c r="B911" s="1"/>
      <c r="C911" s="1"/>
      <c r="D911" s="1"/>
      <c r="E911" s="1"/>
      <c r="F911" s="1"/>
      <c r="G911" s="1"/>
      <c r="H911" s="35"/>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row>
    <row r="912" spans="1:119" ht="14.25" customHeight="1">
      <c r="A912" s="1"/>
      <c r="B912" s="1"/>
      <c r="C912" s="1"/>
      <c r="D912" s="1"/>
      <c r="E912" s="1"/>
      <c r="F912" s="1"/>
      <c r="G912" s="1"/>
      <c r="H912" s="35"/>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row>
    <row r="913" spans="1:119" ht="14.25" customHeight="1">
      <c r="A913" s="1"/>
      <c r="B913" s="1"/>
      <c r="C913" s="1"/>
      <c r="D913" s="1"/>
      <c r="E913" s="1"/>
      <c r="F913" s="1"/>
      <c r="G913" s="1"/>
      <c r="H913" s="35"/>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row>
    <row r="914" spans="1:119" ht="14.25" customHeight="1">
      <c r="A914" s="1"/>
      <c r="B914" s="1"/>
      <c r="C914" s="1"/>
      <c r="D914" s="1"/>
      <c r="E914" s="1"/>
      <c r="F914" s="1"/>
      <c r="G914" s="1"/>
      <c r="H914" s="35"/>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row>
    <row r="915" spans="1:119" ht="14.25" customHeight="1">
      <c r="A915" s="1"/>
      <c r="B915" s="1"/>
      <c r="C915" s="1"/>
      <c r="D915" s="1"/>
      <c r="E915" s="1"/>
      <c r="F915" s="1"/>
      <c r="G915" s="1"/>
      <c r="H915" s="35"/>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row>
    <row r="916" spans="1:119" ht="14.25" customHeight="1">
      <c r="A916" s="1"/>
      <c r="B916" s="1"/>
      <c r="C916" s="1"/>
      <c r="D916" s="1"/>
      <c r="E916" s="1"/>
      <c r="F916" s="1"/>
      <c r="G916" s="1"/>
      <c r="H916" s="35"/>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row>
    <row r="917" spans="1:119" ht="14.25" customHeight="1">
      <c r="A917" s="1"/>
      <c r="B917" s="1"/>
      <c r="C917" s="1"/>
      <c r="D917" s="1"/>
      <c r="E917" s="1"/>
      <c r="F917" s="1"/>
      <c r="G917" s="1"/>
      <c r="H917" s="35"/>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row>
    <row r="918" spans="1:119" ht="14.25" customHeight="1">
      <c r="A918" s="1"/>
      <c r="B918" s="1"/>
      <c r="C918" s="1"/>
      <c r="D918" s="1"/>
      <c r="E918" s="1"/>
      <c r="F918" s="1"/>
      <c r="G918" s="1"/>
      <c r="H918" s="35"/>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row>
    <row r="919" spans="1:119" ht="14.25" customHeight="1">
      <c r="A919" s="1"/>
      <c r="B919" s="1"/>
      <c r="C919" s="1"/>
      <c r="D919" s="1"/>
      <c r="E919" s="1"/>
      <c r="F919" s="1"/>
      <c r="G919" s="1"/>
      <c r="H919" s="35"/>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row>
    <row r="920" spans="1:119" ht="14.25" customHeight="1">
      <c r="A920" s="1"/>
      <c r="B920" s="1"/>
      <c r="C920" s="1"/>
      <c r="D920" s="1"/>
      <c r="E920" s="1"/>
      <c r="F920" s="1"/>
      <c r="G920" s="1"/>
      <c r="H920" s="35"/>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row>
    <row r="921" spans="1:119" ht="14.25" customHeight="1">
      <c r="A921" s="1"/>
      <c r="B921" s="1"/>
      <c r="C921" s="1"/>
      <c r="D921" s="1"/>
      <c r="E921" s="1"/>
      <c r="F921" s="1"/>
      <c r="G921" s="1"/>
      <c r="H921" s="35"/>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row>
    <row r="922" spans="1:119" ht="14.25" customHeight="1">
      <c r="A922" s="1"/>
      <c r="B922" s="1"/>
      <c r="C922" s="1"/>
      <c r="D922" s="1"/>
      <c r="E922" s="1"/>
      <c r="F922" s="1"/>
      <c r="G922" s="1"/>
      <c r="H922" s="35"/>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row>
    <row r="923" spans="1:119" ht="14.25" customHeight="1">
      <c r="A923" s="1"/>
      <c r="B923" s="1"/>
      <c r="C923" s="1"/>
      <c r="D923" s="1"/>
      <c r="E923" s="1"/>
      <c r="F923" s="1"/>
      <c r="G923" s="1"/>
      <c r="H923" s="35"/>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row>
    <row r="924" spans="1:119" ht="14.25" customHeight="1">
      <c r="A924" s="1"/>
      <c r="B924" s="1"/>
      <c r="C924" s="1"/>
      <c r="D924" s="1"/>
      <c r="E924" s="1"/>
      <c r="F924" s="1"/>
      <c r="G924" s="1"/>
      <c r="H924" s="35"/>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row>
    <row r="925" spans="1:119" ht="14.25" customHeight="1">
      <c r="A925" s="1"/>
      <c r="B925" s="1"/>
      <c r="C925" s="1"/>
      <c r="D925" s="1"/>
      <c r="E925" s="1"/>
      <c r="F925" s="1"/>
      <c r="G925" s="1"/>
      <c r="H925" s="35"/>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row>
    <row r="926" spans="1:119" ht="14.25" customHeight="1">
      <c r="A926" s="1"/>
      <c r="B926" s="1"/>
      <c r="C926" s="1"/>
      <c r="D926" s="1"/>
      <c r="E926" s="1"/>
      <c r="F926" s="1"/>
      <c r="G926" s="1"/>
      <c r="H926" s="35"/>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row>
    <row r="927" spans="1:119" ht="14.25" customHeight="1">
      <c r="A927" s="1"/>
      <c r="B927" s="1"/>
      <c r="C927" s="1"/>
      <c r="D927" s="1"/>
      <c r="E927" s="1"/>
      <c r="F927" s="1"/>
      <c r="G927" s="1"/>
      <c r="H927" s="35"/>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row>
    <row r="928" spans="1:119" ht="14.25" customHeight="1">
      <c r="A928" s="1"/>
      <c r="B928" s="1"/>
      <c r="C928" s="1"/>
      <c r="D928" s="1"/>
      <c r="E928" s="1"/>
      <c r="F928" s="1"/>
      <c r="G928" s="1"/>
      <c r="H928" s="35"/>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row>
    <row r="929" spans="1:119" ht="14.25" customHeight="1">
      <c r="A929" s="1"/>
      <c r="B929" s="1"/>
      <c r="C929" s="1"/>
      <c r="D929" s="1"/>
      <c r="E929" s="1"/>
      <c r="F929" s="1"/>
      <c r="G929" s="1"/>
      <c r="H929" s="35"/>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row>
    <row r="930" spans="1:119" ht="14.25" customHeight="1">
      <c r="A930" s="1"/>
      <c r="B930" s="1"/>
      <c r="C930" s="1"/>
      <c r="D930" s="1"/>
      <c r="E930" s="1"/>
      <c r="F930" s="1"/>
      <c r="G930" s="1"/>
      <c r="H930" s="35"/>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row>
    <row r="931" spans="1:119" ht="14.25" customHeight="1">
      <c r="A931" s="1"/>
      <c r="B931" s="1"/>
      <c r="C931" s="1"/>
      <c r="D931" s="1"/>
      <c r="E931" s="1"/>
      <c r="F931" s="1"/>
      <c r="G931" s="1"/>
      <c r="H931" s="35"/>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row>
    <row r="932" spans="1:119" ht="14.25" customHeight="1">
      <c r="A932" s="1"/>
      <c r="B932" s="1"/>
      <c r="C932" s="1"/>
      <c r="D932" s="1"/>
      <c r="E932" s="1"/>
      <c r="F932" s="1"/>
      <c r="G932" s="1"/>
      <c r="H932" s="35"/>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row>
    <row r="933" spans="1:119" ht="14.25" customHeight="1">
      <c r="A933" s="1"/>
      <c r="B933" s="1"/>
      <c r="C933" s="1"/>
      <c r="D933" s="1"/>
      <c r="E933" s="1"/>
      <c r="F933" s="1"/>
      <c r="G933" s="1"/>
      <c r="H933" s="35"/>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row>
    <row r="934" spans="1:119" ht="14.25" customHeight="1">
      <c r="A934" s="1"/>
      <c r="B934" s="1"/>
      <c r="C934" s="1"/>
      <c r="D934" s="1"/>
      <c r="E934" s="1"/>
      <c r="F934" s="1"/>
      <c r="G934" s="1"/>
      <c r="H934" s="35"/>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row>
    <row r="935" spans="1:119" ht="14.25" customHeight="1">
      <c r="A935" s="1"/>
      <c r="B935" s="1"/>
      <c r="C935" s="1"/>
      <c r="D935" s="1"/>
      <c r="E935" s="1"/>
      <c r="F935" s="1"/>
      <c r="G935" s="1"/>
      <c r="H935" s="35"/>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row>
    <row r="936" spans="1:119" ht="14.25" customHeight="1">
      <c r="A936" s="1"/>
      <c r="B936" s="1"/>
      <c r="C936" s="1"/>
      <c r="D936" s="1"/>
      <c r="E936" s="1"/>
      <c r="F936" s="1"/>
      <c r="G936" s="1"/>
      <c r="H936" s="35"/>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row>
    <row r="937" spans="1:119" ht="14.25" customHeight="1">
      <c r="A937" s="1"/>
      <c r="B937" s="1"/>
      <c r="C937" s="1"/>
      <c r="D937" s="1"/>
      <c r="E937" s="1"/>
      <c r="F937" s="1"/>
      <c r="G937" s="1"/>
      <c r="H937" s="35"/>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row>
    <row r="938" spans="1:119" ht="14.25" customHeight="1">
      <c r="A938" s="1"/>
      <c r="B938" s="1"/>
      <c r="C938" s="1"/>
      <c r="D938" s="1"/>
      <c r="E938" s="1"/>
      <c r="F938" s="1"/>
      <c r="G938" s="1"/>
      <c r="H938" s="35"/>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row>
    <row r="939" spans="1:119" ht="14.25" customHeight="1">
      <c r="A939" s="1"/>
      <c r="B939" s="1"/>
      <c r="C939" s="1"/>
      <c r="D939" s="1"/>
      <c r="E939" s="1"/>
      <c r="F939" s="1"/>
      <c r="G939" s="1"/>
      <c r="H939" s="35"/>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row>
    <row r="940" spans="1:119" ht="14.25" customHeight="1">
      <c r="A940" s="1"/>
      <c r="B940" s="1"/>
      <c r="C940" s="1"/>
      <c r="D940" s="1"/>
      <c r="E940" s="1"/>
      <c r="F940" s="1"/>
      <c r="G940" s="1"/>
      <c r="H940" s="35"/>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row>
    <row r="941" spans="1:119" ht="14.25" customHeight="1">
      <c r="A941" s="1"/>
      <c r="B941" s="1"/>
      <c r="C941" s="1"/>
      <c r="D941" s="1"/>
      <c r="E941" s="1"/>
      <c r="F941" s="1"/>
      <c r="G941" s="1"/>
      <c r="H941" s="35"/>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row>
    <row r="942" spans="1:119" ht="14.25" customHeight="1">
      <c r="A942" s="1"/>
      <c r="B942" s="1"/>
      <c r="C942" s="1"/>
      <c r="D942" s="1"/>
      <c r="E942" s="1"/>
      <c r="F942" s="1"/>
      <c r="G942" s="1"/>
      <c r="H942" s="35"/>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row>
    <row r="943" spans="1:119" ht="14.25" customHeight="1">
      <c r="A943" s="1"/>
      <c r="B943" s="1"/>
      <c r="C943" s="1"/>
      <c r="D943" s="1"/>
      <c r="E943" s="1"/>
      <c r="F943" s="1"/>
      <c r="G943" s="1"/>
      <c r="H943" s="35"/>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row>
    <row r="944" spans="1:119" ht="14.25" customHeight="1">
      <c r="A944" s="1"/>
      <c r="B944" s="1"/>
      <c r="C944" s="1"/>
      <c r="D944" s="1"/>
      <c r="E944" s="1"/>
      <c r="F944" s="1"/>
      <c r="G944" s="1"/>
      <c r="H944" s="35"/>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row>
    <row r="945" spans="1:119" ht="14.25" customHeight="1">
      <c r="A945" s="1"/>
      <c r="B945" s="1"/>
      <c r="C945" s="1"/>
      <c r="D945" s="1"/>
      <c r="E945" s="1"/>
      <c r="F945" s="1"/>
      <c r="G945" s="1"/>
      <c r="H945" s="35"/>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row>
    <row r="946" spans="1:119" ht="14.25" customHeight="1">
      <c r="A946" s="1"/>
      <c r="B946" s="1"/>
      <c r="C946" s="1"/>
      <c r="D946" s="1"/>
      <c r="E946" s="1"/>
      <c r="F946" s="1"/>
      <c r="G946" s="1"/>
      <c r="H946" s="35"/>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row>
    <row r="947" spans="1:119" ht="14.25" customHeight="1">
      <c r="A947" s="1"/>
      <c r="B947" s="1"/>
      <c r="C947" s="1"/>
      <c r="D947" s="1"/>
      <c r="E947" s="1"/>
      <c r="F947" s="1"/>
      <c r="G947" s="1"/>
      <c r="H947" s="35"/>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row>
    <row r="948" spans="1:119" ht="14.25" customHeight="1">
      <c r="A948" s="1"/>
      <c r="B948" s="1"/>
      <c r="C948" s="1"/>
      <c r="D948" s="1"/>
      <c r="E948" s="1"/>
      <c r="F948" s="1"/>
      <c r="G948" s="1"/>
      <c r="H948" s="35"/>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row>
    <row r="949" spans="1:119" ht="14.25" customHeight="1">
      <c r="A949" s="1"/>
      <c r="B949" s="1"/>
      <c r="C949" s="1"/>
      <c r="D949" s="1"/>
      <c r="E949" s="1"/>
      <c r="F949" s="1"/>
      <c r="G949" s="1"/>
      <c r="H949" s="35"/>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row>
    <row r="950" spans="1:119" ht="14.25" customHeight="1">
      <c r="A950" s="1"/>
      <c r="B950" s="1"/>
      <c r="C950" s="1"/>
      <c r="D950" s="1"/>
      <c r="E950" s="1"/>
      <c r="F950" s="1"/>
      <c r="G950" s="1"/>
      <c r="H950" s="35"/>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row>
    <row r="951" spans="1:119" ht="14.25" customHeight="1">
      <c r="A951" s="1"/>
      <c r="B951" s="1"/>
      <c r="C951" s="1"/>
      <c r="D951" s="1"/>
      <c r="E951" s="1"/>
      <c r="F951" s="1"/>
      <c r="G951" s="1"/>
      <c r="H951" s="35"/>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row>
    <row r="952" spans="1:119" ht="14.25" customHeight="1">
      <c r="A952" s="1"/>
      <c r="B952" s="1"/>
      <c r="C952" s="1"/>
      <c r="D952" s="1"/>
      <c r="E952" s="1"/>
      <c r="F952" s="1"/>
      <c r="G952" s="1"/>
      <c r="H952" s="35"/>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row>
    <row r="953" spans="1:119" ht="14.25" customHeight="1">
      <c r="A953" s="1"/>
      <c r="B953" s="1"/>
      <c r="C953" s="1"/>
      <c r="D953" s="1"/>
      <c r="E953" s="1"/>
      <c r="F953" s="1"/>
      <c r="G953" s="1"/>
      <c r="H953" s="35"/>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row>
    <row r="954" spans="1:119" ht="14.25" customHeight="1">
      <c r="A954" s="1"/>
      <c r="B954" s="1"/>
      <c r="C954" s="1"/>
      <c r="D954" s="1"/>
      <c r="E954" s="1"/>
      <c r="F954" s="1"/>
      <c r="G954" s="1"/>
      <c r="H954" s="35"/>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row>
    <row r="955" spans="1:119" ht="14.25" customHeight="1">
      <c r="A955" s="1"/>
      <c r="B955" s="1"/>
      <c r="C955" s="1"/>
      <c r="D955" s="1"/>
      <c r="E955" s="1"/>
      <c r="F955" s="1"/>
      <c r="G955" s="1"/>
      <c r="H955" s="35"/>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row>
    <row r="956" spans="1:119" ht="14.25" customHeight="1">
      <c r="A956" s="1"/>
      <c r="B956" s="1"/>
      <c r="C956" s="1"/>
      <c r="D956" s="1"/>
      <c r="E956" s="1"/>
      <c r="F956" s="1"/>
      <c r="G956" s="1"/>
      <c r="H956" s="35"/>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row>
    <row r="957" spans="1:119" ht="14.25" customHeight="1">
      <c r="A957" s="1"/>
      <c r="B957" s="1"/>
      <c r="C957" s="1"/>
      <c r="D957" s="1"/>
      <c r="E957" s="1"/>
      <c r="F957" s="1"/>
      <c r="G957" s="1"/>
      <c r="H957" s="35"/>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row>
    <row r="958" spans="1:119" ht="14.25" customHeight="1">
      <c r="A958" s="1"/>
      <c r="B958" s="1"/>
      <c r="C958" s="1"/>
      <c r="D958" s="1"/>
      <c r="E958" s="1"/>
      <c r="F958" s="1"/>
      <c r="G958" s="1"/>
      <c r="H958" s="35"/>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row>
    <row r="959" spans="1:119" ht="14.25" customHeight="1">
      <c r="A959" s="1"/>
      <c r="B959" s="1"/>
      <c r="C959" s="1"/>
      <c r="D959" s="1"/>
      <c r="E959" s="1"/>
      <c r="F959" s="1"/>
      <c r="G959" s="1"/>
      <c r="H959" s="35"/>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row>
    <row r="960" spans="1:119" ht="14.25" customHeight="1">
      <c r="A960" s="1"/>
      <c r="B960" s="1"/>
      <c r="C960" s="1"/>
      <c r="D960" s="1"/>
      <c r="E960" s="1"/>
      <c r="F960" s="1"/>
      <c r="G960" s="1"/>
      <c r="H960" s="35"/>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row>
    <row r="961" spans="1:119" ht="14.25" customHeight="1">
      <c r="A961" s="1"/>
      <c r="B961" s="1"/>
      <c r="C961" s="1"/>
      <c r="D961" s="1"/>
      <c r="E961" s="1"/>
      <c r="F961" s="1"/>
      <c r="G961" s="1"/>
      <c r="H961" s="35"/>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row>
    <row r="962" spans="1:119" ht="14.25" customHeight="1">
      <c r="A962" s="1"/>
      <c r="B962" s="1"/>
      <c r="C962" s="1"/>
      <c r="D962" s="1"/>
      <c r="E962" s="1"/>
      <c r="F962" s="1"/>
      <c r="G962" s="1"/>
      <c r="H962" s="35"/>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row>
    <row r="963" spans="1:119" ht="14.25" customHeight="1">
      <c r="A963" s="1"/>
      <c r="B963" s="1"/>
      <c r="C963" s="1"/>
      <c r="D963" s="1"/>
      <c r="E963" s="1"/>
      <c r="F963" s="1"/>
      <c r="G963" s="1"/>
      <c r="H963" s="35"/>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row>
    <row r="964" spans="1:119" ht="14.25" customHeight="1">
      <c r="A964" s="1"/>
      <c r="B964" s="1"/>
      <c r="C964" s="1"/>
      <c r="D964" s="1"/>
      <c r="E964" s="1"/>
      <c r="F964" s="1"/>
      <c r="G964" s="1"/>
      <c r="H964" s="35"/>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row>
    <row r="965" spans="1:119" ht="14.25" customHeight="1">
      <c r="A965" s="1"/>
      <c r="B965" s="1"/>
      <c r="C965" s="1"/>
      <c r="D965" s="1"/>
      <c r="E965" s="1"/>
      <c r="F965" s="1"/>
      <c r="G965" s="1"/>
      <c r="H965" s="35"/>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row>
    <row r="966" spans="1:119" ht="14.25" customHeight="1">
      <c r="A966" s="1"/>
      <c r="B966" s="1"/>
      <c r="C966" s="1"/>
      <c r="D966" s="1"/>
      <c r="E966" s="1"/>
      <c r="F966" s="1"/>
      <c r="G966" s="1"/>
      <c r="H966" s="35"/>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row>
    <row r="967" spans="1:119" ht="14.25" customHeight="1">
      <c r="A967" s="1"/>
      <c r="B967" s="1"/>
      <c r="C967" s="1"/>
      <c r="D967" s="1"/>
      <c r="E967" s="1"/>
      <c r="F967" s="1"/>
      <c r="G967" s="1"/>
      <c r="H967" s="35"/>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row>
    <row r="968" spans="1:119" ht="14.25" customHeight="1">
      <c r="A968" s="1"/>
      <c r="B968" s="1"/>
      <c r="C968" s="1"/>
      <c r="D968" s="1"/>
      <c r="E968" s="1"/>
      <c r="F968" s="1"/>
      <c r="G968" s="1"/>
      <c r="H968" s="35"/>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row>
    <row r="969" spans="1:119" ht="14.25" customHeight="1">
      <c r="A969" s="1"/>
      <c r="B969" s="1"/>
      <c r="C969" s="1"/>
      <c r="D969" s="1"/>
      <c r="E969" s="1"/>
      <c r="F969" s="1"/>
      <c r="G969" s="1"/>
      <c r="H969" s="35"/>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row>
    <row r="970" spans="1:119" ht="14.25" customHeight="1">
      <c r="A970" s="1"/>
      <c r="B970" s="1"/>
      <c r="C970" s="1"/>
      <c r="D970" s="1"/>
      <c r="E970" s="1"/>
      <c r="F970" s="1"/>
      <c r="G970" s="1"/>
      <c r="H970" s="35"/>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row>
    <row r="971" spans="1:119" ht="14.25" customHeight="1">
      <c r="A971" s="1"/>
      <c r="B971" s="1"/>
      <c r="C971" s="1"/>
      <c r="D971" s="1"/>
      <c r="E971" s="1"/>
      <c r="F971" s="1"/>
      <c r="G971" s="1"/>
      <c r="H971" s="35"/>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row>
    <row r="972" spans="1:119" ht="14.25" customHeight="1">
      <c r="A972" s="1"/>
      <c r="B972" s="1"/>
      <c r="C972" s="1"/>
      <c r="D972" s="1"/>
      <c r="E972" s="1"/>
      <c r="F972" s="1"/>
      <c r="G972" s="1"/>
      <c r="H972" s="35"/>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row>
    <row r="973" spans="1:119" ht="14.25" customHeight="1">
      <c r="A973" s="1"/>
      <c r="B973" s="1"/>
      <c r="C973" s="1"/>
      <c r="D973" s="1"/>
      <c r="E973" s="1"/>
      <c r="F973" s="1"/>
      <c r="G973" s="1"/>
      <c r="H973" s="35"/>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row>
    <row r="974" spans="1:119" ht="14.25" customHeight="1">
      <c r="A974" s="1"/>
      <c r="B974" s="1"/>
      <c r="C974" s="1"/>
      <c r="D974" s="1"/>
      <c r="E974" s="1"/>
      <c r="F974" s="1"/>
      <c r="G974" s="1"/>
      <c r="H974" s="35"/>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row>
    <row r="975" spans="1:119" ht="14.25" customHeight="1">
      <c r="A975" s="1"/>
      <c r="B975" s="1"/>
      <c r="C975" s="1"/>
      <c r="D975" s="1"/>
      <c r="E975" s="1"/>
      <c r="F975" s="1"/>
      <c r="G975" s="1"/>
      <c r="H975" s="35"/>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row>
    <row r="976" spans="1:119" ht="14.25" customHeight="1">
      <c r="A976" s="1"/>
      <c r="B976" s="1"/>
      <c r="C976" s="1"/>
      <c r="D976" s="1"/>
      <c r="E976" s="1"/>
      <c r="F976" s="1"/>
      <c r="G976" s="1"/>
      <c r="H976" s="35"/>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row>
    <row r="977" spans="1:119" ht="14.25" customHeight="1">
      <c r="A977" s="1"/>
      <c r="B977" s="1"/>
      <c r="C977" s="1"/>
      <c r="D977" s="1"/>
      <c r="E977" s="1"/>
      <c r="F977" s="1"/>
      <c r="G977" s="1"/>
      <c r="H977" s="35"/>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row>
    <row r="978" spans="1:119" ht="14.25" customHeight="1">
      <c r="A978" s="1"/>
      <c r="B978" s="1"/>
      <c r="C978" s="1"/>
      <c r="D978" s="1"/>
      <c r="E978" s="1"/>
      <c r="F978" s="1"/>
      <c r="G978" s="1"/>
      <c r="H978" s="35"/>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row>
    <row r="979" spans="1:119" ht="14.25" customHeight="1">
      <c r="A979" s="1"/>
      <c r="B979" s="1"/>
      <c r="C979" s="1"/>
      <c r="D979" s="1"/>
      <c r="E979" s="1"/>
      <c r="F979" s="1"/>
      <c r="G979" s="1"/>
      <c r="H979" s="35"/>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row>
    <row r="980" spans="1:119" ht="14.25" customHeight="1">
      <c r="A980" s="1"/>
      <c r="B980" s="1"/>
      <c r="C980" s="1"/>
      <c r="D980" s="1"/>
      <c r="E980" s="1"/>
      <c r="F980" s="1"/>
      <c r="G980" s="1"/>
      <c r="H980" s="35"/>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row>
    <row r="981" spans="1:119" ht="14.25" customHeight="1">
      <c r="A981" s="1"/>
      <c r="B981" s="1"/>
      <c r="C981" s="1"/>
      <c r="D981" s="1"/>
      <c r="E981" s="1"/>
      <c r="F981" s="1"/>
      <c r="G981" s="1"/>
      <c r="H981" s="35"/>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row>
    <row r="982" spans="1:119" ht="14.25" customHeight="1">
      <c r="A982" s="1"/>
      <c r="B982" s="1"/>
      <c r="C982" s="1"/>
      <c r="D982" s="1"/>
      <c r="E982" s="1"/>
      <c r="F982" s="1"/>
      <c r="G982" s="1"/>
      <c r="H982" s="35"/>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row>
    <row r="983" spans="1:119" ht="14.25" customHeight="1">
      <c r="A983" s="1"/>
      <c r="B983" s="1"/>
      <c r="C983" s="1"/>
      <c r="D983" s="1"/>
      <c r="E983" s="1"/>
      <c r="F983" s="1"/>
      <c r="G983" s="1"/>
      <c r="H983" s="35"/>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row>
    <row r="984" spans="1:119" ht="14.25" customHeight="1">
      <c r="A984" s="1"/>
      <c r="B984" s="1"/>
      <c r="C984" s="1"/>
      <c r="D984" s="1"/>
      <c r="E984" s="1"/>
      <c r="F984" s="1"/>
      <c r="G984" s="1"/>
      <c r="H984" s="35"/>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row>
    <row r="985" spans="1:119" ht="14.25" customHeight="1">
      <c r="A985" s="1"/>
      <c r="B985" s="1"/>
      <c r="C985" s="1"/>
      <c r="D985" s="1"/>
      <c r="E985" s="1"/>
      <c r="F985" s="1"/>
      <c r="G985" s="1"/>
      <c r="H985" s="35"/>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row>
    <row r="986" spans="1:119" ht="14.25" customHeight="1">
      <c r="A986" s="1"/>
      <c r="B986" s="1"/>
      <c r="C986" s="1"/>
      <c r="D986" s="1"/>
      <c r="E986" s="1"/>
      <c r="F986" s="1"/>
      <c r="G986" s="1"/>
      <c r="H986" s="35"/>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row>
    <row r="987" spans="1:119" ht="14.25" customHeight="1">
      <c r="A987" s="1"/>
      <c r="B987" s="1"/>
      <c r="C987" s="1"/>
      <c r="D987" s="1"/>
      <c r="E987" s="1"/>
      <c r="F987" s="1"/>
      <c r="G987" s="1"/>
      <c r="H987" s="35"/>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row>
    <row r="988" spans="1:119" ht="14.25" customHeight="1">
      <c r="A988" s="1"/>
      <c r="B988" s="1"/>
      <c r="C988" s="1"/>
      <c r="D988" s="1"/>
      <c r="E988" s="1"/>
      <c r="F988" s="1"/>
      <c r="G988" s="1"/>
      <c r="H988" s="35"/>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row>
    <row r="989" spans="1:119" ht="14.25" customHeight="1">
      <c r="A989" s="1"/>
      <c r="B989" s="1"/>
      <c r="C989" s="1"/>
      <c r="D989" s="1"/>
      <c r="E989" s="1"/>
      <c r="F989" s="1"/>
      <c r="G989" s="1"/>
      <c r="H989" s="35"/>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row>
    <row r="990" spans="1:119" ht="14.25" customHeight="1">
      <c r="A990" s="1"/>
      <c r="B990" s="1"/>
      <c r="C990" s="1"/>
      <c r="D990" s="1"/>
      <c r="E990" s="1"/>
      <c r="F990" s="1"/>
      <c r="G990" s="1"/>
      <c r="H990" s="35"/>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row>
    <row r="991" spans="1:119" ht="14.25" customHeight="1">
      <c r="A991" s="1"/>
      <c r="B991" s="1"/>
      <c r="C991" s="1"/>
      <c r="D991" s="1"/>
      <c r="E991" s="1"/>
      <c r="F991" s="1"/>
      <c r="G991" s="1"/>
      <c r="H991" s="35"/>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row>
    <row r="992" spans="1:119" ht="14.25" customHeight="1">
      <c r="A992" s="1"/>
      <c r="B992" s="1"/>
      <c r="C992" s="1"/>
      <c r="D992" s="1"/>
      <c r="E992" s="1"/>
      <c r="F992" s="1"/>
      <c r="G992" s="1"/>
      <c r="H992" s="35"/>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row>
    <row r="993" spans="1:119" ht="14.25" customHeight="1">
      <c r="A993" s="1"/>
      <c r="B993" s="1"/>
      <c r="C993" s="1"/>
      <c r="D993" s="1"/>
      <c r="E993" s="1"/>
      <c r="F993" s="1"/>
      <c r="G993" s="1"/>
      <c r="H993" s="35"/>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row>
    <row r="994" spans="1:119" ht="14.25" customHeight="1">
      <c r="A994" s="1"/>
      <c r="B994" s="1"/>
      <c r="C994" s="1"/>
      <c r="D994" s="1"/>
      <c r="E994" s="1"/>
      <c r="F994" s="1"/>
      <c r="G994" s="1"/>
      <c r="H994" s="35"/>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row>
    <row r="995" spans="1:119" ht="14.25" customHeight="1">
      <c r="A995" s="1"/>
      <c r="B995" s="1"/>
      <c r="C995" s="1"/>
      <c r="D995" s="1"/>
      <c r="E995" s="1"/>
      <c r="F995" s="1"/>
      <c r="G995" s="1"/>
      <c r="H995" s="35"/>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row>
    <row r="996" spans="1:119" ht="14.25" customHeight="1">
      <c r="A996" s="1"/>
      <c r="B996" s="1"/>
      <c r="C996" s="1"/>
      <c r="D996" s="1"/>
      <c r="E996" s="1"/>
      <c r="F996" s="1"/>
      <c r="G996" s="1"/>
      <c r="H996" s="35"/>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row>
    <row r="997" spans="1:119" ht="14.25" customHeight="1">
      <c r="A997" s="1"/>
      <c r="B997" s="1"/>
      <c r="C997" s="1"/>
      <c r="D997" s="1"/>
      <c r="E997" s="1"/>
      <c r="F997" s="1"/>
      <c r="G997" s="1"/>
      <c r="H997" s="35"/>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row>
    <row r="998" spans="1:119" ht="14.25" customHeight="1">
      <c r="A998" s="1"/>
      <c r="B998" s="1"/>
      <c r="C998" s="1"/>
      <c r="D998" s="1"/>
      <c r="E998" s="1"/>
      <c r="F998" s="1"/>
      <c r="G998" s="1"/>
      <c r="H998" s="35"/>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row>
    <row r="999" spans="1:119" ht="14.25" customHeight="1">
      <c r="A999" s="1"/>
      <c r="B999" s="1"/>
      <c r="C999" s="1"/>
      <c r="D999" s="1"/>
      <c r="E999" s="1"/>
      <c r="F999" s="1"/>
      <c r="G999" s="1"/>
      <c r="H999" s="35"/>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row>
    <row r="1000" spans="1:119" ht="14.25" customHeight="1">
      <c r="A1000" s="1"/>
      <c r="B1000" s="1"/>
      <c r="C1000" s="1"/>
      <c r="D1000" s="1"/>
      <c r="E1000" s="1"/>
      <c r="F1000" s="1"/>
      <c r="G1000" s="1"/>
      <c r="H1000" s="35"/>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row>
    <row r="1001" spans="1:119" ht="14.25" customHeight="1">
      <c r="A1001" s="1"/>
      <c r="B1001" s="1"/>
      <c r="C1001" s="1"/>
      <c r="D1001" s="1"/>
      <c r="E1001" s="1"/>
      <c r="F1001" s="1"/>
      <c r="G1001" s="1"/>
      <c r="H1001" s="35"/>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row>
    <row r="1002" spans="1:119" ht="14.25" customHeight="1">
      <c r="A1002" s="1"/>
      <c r="B1002" s="1"/>
      <c r="C1002" s="1"/>
      <c r="D1002" s="1"/>
      <c r="E1002" s="1"/>
      <c r="F1002" s="1"/>
      <c r="G1002" s="1"/>
      <c r="H1002" s="35"/>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row>
    <row r="1003" spans="1:119" ht="14.25" customHeight="1">
      <c r="A1003" s="1"/>
      <c r="B1003" s="1"/>
      <c r="C1003" s="1"/>
      <c r="D1003" s="1"/>
      <c r="E1003" s="1"/>
      <c r="F1003" s="1"/>
      <c r="G1003" s="1"/>
      <c r="H1003" s="35"/>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row>
    <row r="1004" spans="1:119" ht="14.25" customHeight="1">
      <c r="A1004" s="1"/>
      <c r="B1004" s="1"/>
      <c r="C1004" s="1"/>
      <c r="D1004" s="1"/>
      <c r="E1004" s="1"/>
      <c r="F1004" s="1"/>
      <c r="G1004" s="1"/>
      <c r="H1004" s="35"/>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row>
    <row r="1005" spans="1:119" ht="14.25" customHeight="1">
      <c r="A1005" s="1"/>
      <c r="B1005" s="1"/>
      <c r="C1005" s="1"/>
      <c r="D1005" s="1"/>
      <c r="E1005" s="1"/>
      <c r="F1005" s="1"/>
      <c r="G1005" s="1"/>
      <c r="H1005" s="35"/>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row>
    <row r="1006" spans="1:119" ht="14.25" customHeight="1">
      <c r="A1006" s="1"/>
      <c r="B1006" s="1"/>
      <c r="C1006" s="1"/>
      <c r="D1006" s="1"/>
      <c r="E1006" s="1"/>
      <c r="F1006" s="1"/>
      <c r="G1006" s="1"/>
      <c r="H1006" s="35"/>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row>
    <row r="1007" spans="1:119" ht="14.25" customHeight="1">
      <c r="A1007" s="1"/>
      <c r="B1007" s="1"/>
      <c r="C1007" s="1"/>
      <c r="D1007" s="1"/>
      <c r="E1007" s="1"/>
      <c r="F1007" s="1"/>
      <c r="G1007" s="1"/>
      <c r="H1007" s="35"/>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row>
    <row r="1008" spans="1:119" ht="14.25" customHeight="1">
      <c r="A1008" s="1"/>
      <c r="B1008" s="1"/>
      <c r="C1008" s="1"/>
      <c r="D1008" s="1"/>
      <c r="E1008" s="1"/>
      <c r="F1008" s="1"/>
      <c r="G1008" s="1"/>
      <c r="H1008" s="35"/>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row>
    <row r="1009" spans="1:119" ht="14.25" customHeight="1">
      <c r="A1009" s="1"/>
      <c r="B1009" s="1"/>
      <c r="C1009" s="1"/>
      <c r="D1009" s="1"/>
      <c r="E1009" s="1"/>
      <c r="F1009" s="1"/>
      <c r="G1009" s="1"/>
      <c r="H1009" s="35"/>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row>
    <row r="1010" spans="1:119" ht="14.25" customHeight="1">
      <c r="A1010" s="1"/>
      <c r="B1010" s="1"/>
      <c r="C1010" s="1"/>
      <c r="D1010" s="1"/>
      <c r="E1010" s="1"/>
      <c r="F1010" s="1"/>
      <c r="G1010" s="1"/>
      <c r="H1010" s="35"/>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row>
    <row r="1011" spans="1:119" ht="14.25" customHeight="1">
      <c r="A1011" s="1"/>
      <c r="B1011" s="1"/>
      <c r="C1011" s="1"/>
      <c r="D1011" s="1"/>
      <c r="E1011" s="1"/>
      <c r="F1011" s="1"/>
      <c r="G1011" s="1"/>
      <c r="H1011" s="35"/>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row>
    <row r="1012" spans="1:119" ht="14.25" customHeight="1">
      <c r="A1012" s="1"/>
      <c r="B1012" s="1"/>
      <c r="C1012" s="1"/>
      <c r="D1012" s="1"/>
      <c r="E1012" s="1"/>
      <c r="F1012" s="1"/>
      <c r="G1012" s="1"/>
      <c r="H1012" s="35"/>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row>
    <row r="1013" spans="1:119" ht="14.25" customHeight="1">
      <c r="A1013" s="1"/>
      <c r="B1013" s="1"/>
      <c r="C1013" s="1"/>
      <c r="D1013" s="1"/>
      <c r="E1013" s="1"/>
      <c r="F1013" s="1"/>
      <c r="G1013" s="1"/>
      <c r="H1013" s="35"/>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row>
    <row r="1014" spans="1:119" ht="14.25" customHeight="1">
      <c r="A1014" s="1"/>
      <c r="B1014" s="1"/>
      <c r="C1014" s="1"/>
      <c r="D1014" s="1"/>
      <c r="E1014" s="1"/>
      <c r="F1014" s="1"/>
      <c r="G1014" s="1"/>
      <c r="H1014" s="35"/>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row>
    <row r="1015" spans="1:119" ht="14.25" customHeight="1">
      <c r="A1015" s="1"/>
      <c r="B1015" s="1"/>
      <c r="C1015" s="1"/>
      <c r="D1015" s="1"/>
      <c r="E1015" s="1"/>
      <c r="F1015" s="1"/>
      <c r="G1015" s="1"/>
      <c r="H1015" s="35"/>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row>
    <row r="1016" spans="1:119" ht="14.25" customHeight="1">
      <c r="A1016" s="1"/>
      <c r="B1016" s="1"/>
      <c r="C1016" s="1"/>
      <c r="D1016" s="1"/>
      <c r="E1016" s="1"/>
      <c r="F1016" s="1"/>
      <c r="G1016" s="1"/>
      <c r="H1016" s="35"/>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row>
    <row r="1017" spans="1:119" ht="14.25" customHeight="1">
      <c r="A1017" s="1"/>
      <c r="B1017" s="1"/>
      <c r="C1017" s="1"/>
      <c r="D1017" s="1"/>
      <c r="E1017" s="1"/>
      <c r="F1017" s="1"/>
      <c r="G1017" s="1"/>
      <c r="H1017" s="35"/>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row>
    <row r="1018" spans="1:119" ht="14.25" customHeight="1">
      <c r="A1018" s="1"/>
      <c r="B1018" s="1"/>
      <c r="C1018" s="1"/>
      <c r="D1018" s="1"/>
      <c r="E1018" s="1"/>
      <c r="F1018" s="1"/>
      <c r="G1018" s="1"/>
      <c r="H1018" s="35"/>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row>
    <row r="1019" spans="1:119" ht="14.25" customHeight="1">
      <c r="A1019" s="1"/>
      <c r="B1019" s="1"/>
      <c r="C1019" s="1"/>
      <c r="D1019" s="1"/>
      <c r="E1019" s="1"/>
      <c r="F1019" s="1"/>
      <c r="G1019" s="1"/>
      <c r="H1019" s="35"/>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row>
    <row r="1020" spans="1:119" ht="14.25" customHeight="1">
      <c r="A1020" s="1"/>
      <c r="B1020" s="1"/>
      <c r="C1020" s="1"/>
      <c r="D1020" s="1"/>
      <c r="E1020" s="1"/>
      <c r="F1020" s="1"/>
      <c r="G1020" s="1"/>
      <c r="H1020" s="35"/>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row>
    <row r="1021" spans="1:119" ht="14.25" customHeight="1">
      <c r="A1021" s="1"/>
      <c r="B1021" s="1"/>
      <c r="C1021" s="1"/>
      <c r="D1021" s="1"/>
      <c r="E1021" s="1"/>
      <c r="F1021" s="1"/>
      <c r="G1021" s="1"/>
      <c r="H1021" s="35"/>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row>
    <row r="1022" spans="1:119" ht="14.25" customHeight="1">
      <c r="A1022" s="1"/>
      <c r="B1022" s="1"/>
      <c r="C1022" s="1"/>
      <c r="D1022" s="1"/>
      <c r="E1022" s="1"/>
      <c r="F1022" s="1"/>
      <c r="G1022" s="1"/>
      <c r="H1022" s="35"/>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row>
    <row r="1023" spans="1:119" ht="14.25" customHeight="1">
      <c r="A1023" s="1"/>
      <c r="B1023" s="1"/>
      <c r="C1023" s="1"/>
      <c r="D1023" s="1"/>
      <c r="E1023" s="1"/>
      <c r="F1023" s="1"/>
      <c r="G1023" s="1"/>
      <c r="H1023" s="35"/>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row>
    <row r="1024" spans="1:119" ht="14.25" customHeight="1">
      <c r="A1024" s="1"/>
      <c r="B1024" s="1"/>
      <c r="C1024" s="1"/>
      <c r="D1024" s="1"/>
      <c r="E1024" s="1"/>
      <c r="F1024" s="1"/>
      <c r="G1024" s="1"/>
      <c r="H1024" s="35"/>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row>
    <row r="1025" spans="1:119" ht="14.25" customHeight="1">
      <c r="A1025" s="1"/>
      <c r="B1025" s="1"/>
      <c r="C1025" s="1"/>
      <c r="D1025" s="1"/>
      <c r="E1025" s="1"/>
      <c r="F1025" s="1"/>
      <c r="G1025" s="1"/>
      <c r="H1025" s="35"/>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row>
    <row r="1026" spans="1:119" ht="14.25" customHeight="1">
      <c r="A1026" s="1"/>
      <c r="B1026" s="1"/>
      <c r="C1026" s="1"/>
      <c r="D1026" s="1"/>
      <c r="E1026" s="1"/>
      <c r="F1026" s="1"/>
      <c r="G1026" s="1"/>
      <c r="H1026" s="35"/>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row>
  </sheetData>
  <hyperlinks>
    <hyperlink ref="BL1" r:id="rId1" xr:uid="{00000000-0004-0000-0200-000000000000}"/>
    <hyperlink ref="BM17" r:id="rId2" xr:uid="{00000000-0004-0000-0200-000001000000}"/>
    <hyperlink ref="BM18" r:id="rId3" xr:uid="{00000000-0004-0000-0200-000002000000}"/>
    <hyperlink ref="BM19" r:id="rId4" xr:uid="{00000000-0004-0000-0200-000003000000}"/>
    <hyperlink ref="BM20" r:id="rId5" xr:uid="{00000000-0004-0000-0200-000004000000}"/>
    <hyperlink ref="DO48" r:id="rId6" location=":~:text=The%20average%20real%2Dworld%20fuel%20consumption%20of%20PHEVs%20in%20Europe,km%20in%20WLTP%20type%20approval." xr:uid="{00000000-0004-0000-0200-000005000000}"/>
  </hyperlinks>
  <pageMargins left="0.7" right="0.7" top="0.75" bottom="0.75" header="0" footer="0"/>
  <pageSetup orientation="portrait"/>
  <drawing r:id="rId7"/>
  <legacy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EE1040"/>
  <sheetViews>
    <sheetView workbookViewId="0">
      <selection activeCell="E36" sqref="E36"/>
    </sheetView>
  </sheetViews>
  <sheetFormatPr defaultColWidth="14.44140625" defaultRowHeight="15" customHeight="1"/>
  <cols>
    <col min="1" max="1" width="27.6640625" customWidth="1"/>
    <col min="2" max="2" width="27.6640625" hidden="1" customWidth="1"/>
    <col min="3" max="3" width="138.109375" hidden="1" customWidth="1"/>
    <col min="4" max="4" width="43.33203125" customWidth="1"/>
    <col min="5" max="5" width="64.6640625" customWidth="1"/>
    <col min="6" max="6" width="75" customWidth="1"/>
    <col min="7" max="7" width="12.88671875" customWidth="1"/>
    <col min="8" max="8" width="7.6640625" customWidth="1"/>
    <col min="9" max="9" width="8.33203125" customWidth="1"/>
    <col min="10" max="10" width="8.44140625" customWidth="1"/>
    <col min="11" max="32" width="8.88671875" customWidth="1"/>
    <col min="33" max="34" width="8" customWidth="1"/>
    <col min="35" max="60" width="9.44140625" customWidth="1"/>
    <col min="61" max="61" width="73.88671875" customWidth="1"/>
    <col min="62" max="62" width="244.88671875" customWidth="1"/>
  </cols>
  <sheetData>
    <row r="1" spans="1:135" ht="14.25" customHeight="1">
      <c r="A1" s="98" t="s">
        <v>25</v>
      </c>
      <c r="B1" s="98" t="s">
        <v>26</v>
      </c>
      <c r="C1" s="15" t="s">
        <v>27</v>
      </c>
      <c r="D1" s="98" t="s">
        <v>28</v>
      </c>
      <c r="E1" s="98" t="s">
        <v>29</v>
      </c>
      <c r="F1" s="15" t="s">
        <v>30</v>
      </c>
      <c r="G1" s="98" t="s">
        <v>31</v>
      </c>
      <c r="H1" s="99">
        <v>2021</v>
      </c>
      <c r="I1" s="98">
        <v>2022</v>
      </c>
      <c r="J1" s="98">
        <v>2023</v>
      </c>
      <c r="K1" s="98">
        <v>2024</v>
      </c>
      <c r="L1" s="98">
        <v>2025</v>
      </c>
      <c r="M1" s="98">
        <v>2026</v>
      </c>
      <c r="N1" s="98">
        <v>2027</v>
      </c>
      <c r="O1" s="98">
        <v>2028</v>
      </c>
      <c r="P1" s="98">
        <v>2029</v>
      </c>
      <c r="Q1" s="98">
        <v>2030</v>
      </c>
      <c r="R1" s="98">
        <v>2031</v>
      </c>
      <c r="S1" s="98">
        <v>2032</v>
      </c>
      <c r="T1" s="98">
        <v>2033</v>
      </c>
      <c r="U1" s="98">
        <v>2034</v>
      </c>
      <c r="V1" s="98">
        <v>2035</v>
      </c>
      <c r="W1" s="98">
        <v>2036</v>
      </c>
      <c r="X1" s="98">
        <v>2037</v>
      </c>
      <c r="Y1" s="98">
        <v>2038</v>
      </c>
      <c r="Z1" s="98">
        <v>2039</v>
      </c>
      <c r="AA1" s="98">
        <v>2040</v>
      </c>
      <c r="AB1" s="98">
        <v>2041</v>
      </c>
      <c r="AC1" s="98">
        <v>2042</v>
      </c>
      <c r="AD1" s="98">
        <v>2043</v>
      </c>
      <c r="AE1" s="98">
        <v>2044</v>
      </c>
      <c r="AF1" s="98">
        <v>2045</v>
      </c>
      <c r="AG1" s="98">
        <v>2046</v>
      </c>
      <c r="AH1" s="98">
        <v>2047</v>
      </c>
      <c r="AI1" s="98">
        <v>2048</v>
      </c>
      <c r="AJ1" s="98">
        <v>2049</v>
      </c>
      <c r="AK1" s="100">
        <v>2050</v>
      </c>
      <c r="AL1" s="101">
        <v>2051</v>
      </c>
      <c r="AM1" s="101">
        <v>2052</v>
      </c>
      <c r="AN1" s="101">
        <v>2053</v>
      </c>
      <c r="AO1" s="101">
        <v>2054</v>
      </c>
      <c r="AP1" s="101">
        <v>2055</v>
      </c>
      <c r="AQ1" s="101">
        <v>2056</v>
      </c>
      <c r="AR1" s="101">
        <v>2057</v>
      </c>
      <c r="AS1" s="101">
        <v>2058</v>
      </c>
      <c r="AT1" s="101">
        <v>2059</v>
      </c>
      <c r="AU1" s="101">
        <v>2060</v>
      </c>
      <c r="AV1" s="101">
        <v>2061</v>
      </c>
      <c r="AW1" s="101">
        <v>2062</v>
      </c>
      <c r="AX1" s="101">
        <v>2063</v>
      </c>
      <c r="AY1" s="101">
        <v>2064</v>
      </c>
      <c r="AZ1" s="101">
        <v>2065</v>
      </c>
      <c r="BA1" s="101">
        <v>2066</v>
      </c>
      <c r="BB1" s="101">
        <v>2067</v>
      </c>
      <c r="BC1" s="101">
        <v>2068</v>
      </c>
      <c r="BD1" s="101">
        <v>2069</v>
      </c>
      <c r="BE1" s="101">
        <v>2070</v>
      </c>
      <c r="BF1" s="101">
        <v>2022</v>
      </c>
      <c r="BG1" s="98">
        <v>2050</v>
      </c>
      <c r="BH1" s="15">
        <v>2070</v>
      </c>
      <c r="BI1" s="98" t="s">
        <v>259</v>
      </c>
      <c r="BJ1" s="18" t="s">
        <v>260</v>
      </c>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18"/>
      <c r="CY1" s="18"/>
      <c r="CZ1" s="18"/>
      <c r="DA1" s="18"/>
      <c r="DB1" s="18"/>
      <c r="DC1" s="18"/>
      <c r="DD1" s="18"/>
      <c r="DE1" s="18"/>
      <c r="DF1" s="18"/>
      <c r="DG1" s="18"/>
      <c r="DH1" s="18"/>
      <c r="DI1" s="18"/>
      <c r="DJ1" s="18"/>
      <c r="DK1" s="18"/>
      <c r="DL1" s="18"/>
      <c r="DM1" s="18"/>
      <c r="DN1" s="18"/>
      <c r="DO1" s="18"/>
      <c r="DP1" s="18"/>
      <c r="DQ1" s="18"/>
      <c r="DR1" s="18"/>
      <c r="DS1" s="18"/>
      <c r="DT1" s="18"/>
      <c r="DU1" s="18"/>
      <c r="DV1" s="18"/>
      <c r="DW1" s="18"/>
      <c r="DX1" s="18"/>
      <c r="DY1" s="18"/>
      <c r="DZ1" s="18"/>
      <c r="EA1" s="18"/>
      <c r="EB1" s="18"/>
      <c r="EC1" s="18"/>
      <c r="ED1" s="18"/>
    </row>
    <row r="2" spans="1:135" ht="14.25" customHeight="1">
      <c r="A2" s="14" t="s">
        <v>34</v>
      </c>
      <c r="B2" s="19" t="s">
        <v>35</v>
      </c>
      <c r="C2" s="19" t="s">
        <v>36</v>
      </c>
      <c r="D2" s="18" t="s">
        <v>37</v>
      </c>
      <c r="E2" s="102"/>
      <c r="F2" s="19" t="s">
        <v>38</v>
      </c>
      <c r="G2" s="18"/>
      <c r="H2" s="103">
        <f>'Políticas anunciadas'!H2</f>
        <v>12.742240085572519</v>
      </c>
      <c r="I2" s="104">
        <f>'Políticas anunciadas'!I2</f>
        <v>14.157591022596934</v>
      </c>
      <c r="J2" s="104">
        <f>'Políticas anunciadas'!J2</f>
        <v>14.950125713872016</v>
      </c>
      <c r="K2" s="104">
        <f>'Políticas anunciadas'!K2</f>
        <v>15.147873053568381</v>
      </c>
      <c r="L2" s="104">
        <f>'Políticas anunciadas'!L2</f>
        <v>14.88522927102867</v>
      </c>
      <c r="M2" s="104">
        <f>'Políticas anunciadas'!M2</f>
        <v>14.344023045788783</v>
      </c>
      <c r="N2" s="104">
        <f>'Políticas anunciadas'!N2</f>
        <v>13.654085340672053</v>
      </c>
      <c r="O2" s="104">
        <f>'Políticas anunciadas'!O2</f>
        <v>12.884761874337089</v>
      </c>
      <c r="P2" s="104">
        <f>'Políticas anunciadas'!P2</f>
        <v>11.541028500268261</v>
      </c>
      <c r="Q2" s="104">
        <f>'Políticas anunciadas'!Q2</f>
        <v>9.5856079801897671</v>
      </c>
      <c r="R2" s="104">
        <f>'Políticas anunciadas'!R2</f>
        <v>8.0071089394876847</v>
      </c>
      <c r="S2" s="104">
        <f>'Políticas anunciadas'!S2</f>
        <v>6.719732065186788</v>
      </c>
      <c r="T2" s="104">
        <f>'Políticas anunciadas'!T2</f>
        <v>5.1784067076152933</v>
      </c>
      <c r="U2" s="104">
        <f>'Políticas anunciadas'!U2</f>
        <v>3.7271174442818462</v>
      </c>
      <c r="V2" s="104">
        <f>'Políticas anunciadas'!V2</f>
        <v>1.1728041010598491</v>
      </c>
      <c r="W2" s="104">
        <f>'Políticas anunciadas'!W2</f>
        <v>1.8191100570555248E-16</v>
      </c>
      <c r="X2" s="104">
        <f>'Políticas anunciadas'!X2</f>
        <v>2.0196185546377905E-32</v>
      </c>
      <c r="Y2" s="104">
        <f>'Políticas anunciadas'!Y2</f>
        <v>0</v>
      </c>
      <c r="Z2" s="104">
        <f>'Políticas anunciadas'!Z2</f>
        <v>0</v>
      </c>
      <c r="AA2" s="104">
        <f>'Políticas anunciadas'!AA2</f>
        <v>0</v>
      </c>
      <c r="AB2" s="104">
        <f>'Políticas anunciadas'!AB2</f>
        <v>0</v>
      </c>
      <c r="AC2" s="104">
        <f>'Políticas anunciadas'!AC2</f>
        <v>0</v>
      </c>
      <c r="AD2" s="104">
        <f>'Políticas anunciadas'!AD2</f>
        <v>0</v>
      </c>
      <c r="AE2" s="104">
        <f>'Políticas anunciadas'!AE2</f>
        <v>0</v>
      </c>
      <c r="AF2" s="104">
        <f>'Políticas anunciadas'!AF2</f>
        <v>0</v>
      </c>
      <c r="AG2" s="104">
        <f>'Políticas anunciadas'!AG2</f>
        <v>0</v>
      </c>
      <c r="AH2" s="104">
        <f>'Políticas anunciadas'!AH2</f>
        <v>0</v>
      </c>
      <c r="AI2" s="104">
        <f>'Políticas anunciadas'!AI2</f>
        <v>0</v>
      </c>
      <c r="AJ2" s="104">
        <f>'Políticas anunciadas'!AJ2</f>
        <v>0</v>
      </c>
      <c r="AK2" s="105">
        <f>'Políticas anunciadas'!AK2</f>
        <v>0</v>
      </c>
      <c r="AL2" s="104">
        <f>'Políticas anunciadas'!AL2</f>
        <v>0</v>
      </c>
      <c r="AM2" s="104">
        <f>'Políticas anunciadas'!AM2</f>
        <v>0</v>
      </c>
      <c r="AN2" s="104">
        <f>'Políticas anunciadas'!AN2</f>
        <v>0</v>
      </c>
      <c r="AO2" s="104">
        <f>'Políticas anunciadas'!AO2</f>
        <v>0</v>
      </c>
      <c r="AP2" s="104">
        <f>'Políticas anunciadas'!AP2</f>
        <v>0</v>
      </c>
      <c r="AQ2" s="104">
        <f>'Políticas anunciadas'!AQ2</f>
        <v>0</v>
      </c>
      <c r="AR2" s="104">
        <f>'Políticas anunciadas'!AR2</f>
        <v>0</v>
      </c>
      <c r="AS2" s="104">
        <f>'Políticas anunciadas'!AS2</f>
        <v>0</v>
      </c>
      <c r="AT2" s="104">
        <f>'Políticas anunciadas'!AT2</f>
        <v>0</v>
      </c>
      <c r="AU2" s="104">
        <f>'Políticas anunciadas'!AU2</f>
        <v>0</v>
      </c>
      <c r="AV2" s="104">
        <f>'Políticas anunciadas'!AV2</f>
        <v>0</v>
      </c>
      <c r="AW2" s="104">
        <f>'Políticas anunciadas'!AW2</f>
        <v>0</v>
      </c>
      <c r="AX2" s="104">
        <f>'Políticas anunciadas'!AX2</f>
        <v>0</v>
      </c>
      <c r="AY2" s="104">
        <f>'Políticas anunciadas'!AY2</f>
        <v>0</v>
      </c>
      <c r="AZ2" s="104">
        <f>'Políticas anunciadas'!AZ2</f>
        <v>0</v>
      </c>
      <c r="BA2" s="104">
        <f>'Políticas anunciadas'!BA2</f>
        <v>0</v>
      </c>
      <c r="BB2" s="104">
        <f>'Políticas anunciadas'!BB2</f>
        <v>0</v>
      </c>
      <c r="BC2" s="104">
        <f>'Políticas anunciadas'!BC2</f>
        <v>0</v>
      </c>
      <c r="BD2" s="104">
        <f>'Políticas anunciadas'!BD2</f>
        <v>0</v>
      </c>
      <c r="BE2" s="104">
        <f>'Políticas anunciadas'!BE2</f>
        <v>0</v>
      </c>
      <c r="BF2" s="104"/>
      <c r="BG2" s="104">
        <f>'Políticas anunciadas'!BF2</f>
        <v>0</v>
      </c>
      <c r="BH2" s="104">
        <f>'Políticas anunciadas'!BG2</f>
        <v>0</v>
      </c>
      <c r="BI2" s="106" t="s">
        <v>261</v>
      </c>
      <c r="BJ2" s="18" t="s">
        <v>262</v>
      </c>
      <c r="BK2" s="18"/>
      <c r="BL2" s="18"/>
      <c r="BM2" s="18"/>
      <c r="BN2" s="18"/>
      <c r="BO2" s="18"/>
      <c r="BP2" s="107"/>
      <c r="BQ2" s="108"/>
      <c r="BR2" s="108"/>
      <c r="BS2" s="108"/>
      <c r="BT2" s="108"/>
      <c r="BU2" s="108"/>
      <c r="BV2" s="108"/>
      <c r="BW2" s="108"/>
      <c r="BX2" s="108"/>
      <c r="BY2" s="108"/>
      <c r="BZ2" s="108"/>
      <c r="CA2" s="107"/>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row>
    <row r="3" spans="1:135" ht="14.4">
      <c r="A3" s="14"/>
      <c r="B3" s="19" t="s">
        <v>41</v>
      </c>
      <c r="C3" s="19" t="s">
        <v>263</v>
      </c>
      <c r="D3" s="109" t="s">
        <v>43</v>
      </c>
      <c r="E3" s="102"/>
      <c r="F3" s="19" t="s">
        <v>12</v>
      </c>
      <c r="G3" s="18"/>
      <c r="H3" s="29" t="s">
        <v>44</v>
      </c>
      <c r="I3" s="30">
        <v>0</v>
      </c>
      <c r="J3" s="30">
        <v>0.28000000000000003</v>
      </c>
      <c r="K3" s="30">
        <v>0.55000000000000004</v>
      </c>
      <c r="L3" s="30">
        <v>1.0900000000000001</v>
      </c>
      <c r="M3" s="30">
        <v>1.08</v>
      </c>
      <c r="N3" s="30">
        <v>1.08</v>
      </c>
      <c r="O3" s="30">
        <v>1.08</v>
      </c>
      <c r="P3" s="30">
        <v>1.03</v>
      </c>
      <c r="Q3" s="30">
        <v>0.96</v>
      </c>
      <c r="R3" s="30">
        <v>1.04</v>
      </c>
      <c r="S3" s="30">
        <v>1.04</v>
      </c>
      <c r="T3" s="30">
        <v>0.96</v>
      </c>
      <c r="U3" s="30">
        <v>0.89</v>
      </c>
      <c r="V3" s="30">
        <v>0.39</v>
      </c>
      <c r="W3" s="30">
        <v>0</v>
      </c>
      <c r="X3" s="30">
        <v>0</v>
      </c>
      <c r="Y3" s="30">
        <v>0</v>
      </c>
      <c r="Z3" s="30">
        <v>0</v>
      </c>
      <c r="AA3" s="30">
        <v>0</v>
      </c>
      <c r="AB3" s="30">
        <v>0</v>
      </c>
      <c r="AC3" s="30">
        <v>0</v>
      </c>
      <c r="AD3" s="30">
        <v>0</v>
      </c>
      <c r="AE3" s="30">
        <v>0</v>
      </c>
      <c r="AF3" s="30">
        <v>0</v>
      </c>
      <c r="AG3" s="30">
        <v>0</v>
      </c>
      <c r="AH3" s="30">
        <v>0</v>
      </c>
      <c r="AI3" s="30">
        <v>0</v>
      </c>
      <c r="AJ3" s="30">
        <v>0</v>
      </c>
      <c r="AK3" s="30">
        <v>0</v>
      </c>
      <c r="AL3" s="30">
        <v>0</v>
      </c>
      <c r="AM3" s="30">
        <v>0</v>
      </c>
      <c r="AN3" s="30">
        <v>0</v>
      </c>
      <c r="AO3" s="30">
        <v>0</v>
      </c>
      <c r="AP3" s="30">
        <v>0</v>
      </c>
      <c r="AQ3" s="30">
        <v>0</v>
      </c>
      <c r="AR3" s="30">
        <v>0</v>
      </c>
      <c r="AS3" s="30">
        <v>0</v>
      </c>
      <c r="AT3" s="30">
        <v>0</v>
      </c>
      <c r="AU3" s="30">
        <v>0</v>
      </c>
      <c r="AV3" s="30">
        <v>0</v>
      </c>
      <c r="AW3" s="30">
        <v>0</v>
      </c>
      <c r="AX3" s="30">
        <v>0</v>
      </c>
      <c r="AY3" s="30">
        <v>0</v>
      </c>
      <c r="AZ3" s="30">
        <v>0</v>
      </c>
      <c r="BA3" s="30">
        <v>0</v>
      </c>
      <c r="BB3" s="30">
        <v>0</v>
      </c>
      <c r="BC3" s="30">
        <v>0</v>
      </c>
      <c r="BD3" s="30">
        <v>0</v>
      </c>
      <c r="BE3" s="30">
        <v>0</v>
      </c>
      <c r="BF3" s="30"/>
      <c r="BG3" s="110">
        <f>'Políticas anunciadas'!BF3</f>
        <v>0</v>
      </c>
      <c r="BH3" s="110">
        <f>'Políticas anunciadas'!BG3</f>
        <v>0</v>
      </c>
      <c r="BI3" s="106" t="s">
        <v>264</v>
      </c>
      <c r="BJ3" s="18" t="s">
        <v>265</v>
      </c>
      <c r="BK3" s="14"/>
      <c r="BL3" s="14" t="s">
        <v>266</v>
      </c>
      <c r="BM3" s="14"/>
      <c r="BN3" s="14"/>
      <c r="BO3" s="14"/>
      <c r="BP3" s="14"/>
      <c r="BQ3" s="14"/>
      <c r="BR3" s="14"/>
      <c r="BS3" s="14"/>
      <c r="BT3" s="14"/>
      <c r="BU3" s="14"/>
      <c r="BV3" s="14"/>
      <c r="BW3" s="14"/>
      <c r="BX3" s="111"/>
      <c r="BY3" s="111"/>
      <c r="BZ3" s="111"/>
      <c r="CA3" s="111"/>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row>
    <row r="4" spans="1:135" ht="14.4">
      <c r="A4" s="14"/>
      <c r="B4" s="19"/>
      <c r="C4" s="19"/>
      <c r="D4" s="109" t="s">
        <v>46</v>
      </c>
      <c r="E4" s="102"/>
      <c r="F4" s="19" t="s">
        <v>12</v>
      </c>
      <c r="G4" s="18"/>
      <c r="H4" s="29">
        <v>3.69</v>
      </c>
      <c r="I4" s="30">
        <v>3.77</v>
      </c>
      <c r="J4" s="30">
        <v>2.76</v>
      </c>
      <c r="K4" s="30">
        <v>1.8</v>
      </c>
      <c r="L4" s="30">
        <v>0</v>
      </c>
      <c r="M4" s="30">
        <v>0</v>
      </c>
      <c r="N4" s="30">
        <v>0</v>
      </c>
      <c r="O4" s="30">
        <v>0</v>
      </c>
      <c r="P4" s="30">
        <v>0</v>
      </c>
      <c r="Q4" s="30">
        <v>0</v>
      </c>
      <c r="R4" s="30">
        <v>0</v>
      </c>
      <c r="S4" s="30">
        <v>0</v>
      </c>
      <c r="T4" s="30">
        <v>0</v>
      </c>
      <c r="U4" s="30">
        <v>0</v>
      </c>
      <c r="V4" s="30">
        <v>0</v>
      </c>
      <c r="W4" s="30">
        <v>0</v>
      </c>
      <c r="X4" s="30">
        <v>0</v>
      </c>
      <c r="Y4" s="30">
        <v>0</v>
      </c>
      <c r="Z4" s="30">
        <v>0</v>
      </c>
      <c r="AA4" s="30">
        <v>0</v>
      </c>
      <c r="AB4" s="30">
        <v>0</v>
      </c>
      <c r="AC4" s="30">
        <v>0</v>
      </c>
      <c r="AD4" s="30">
        <v>0</v>
      </c>
      <c r="AE4" s="30">
        <v>0</v>
      </c>
      <c r="AF4" s="30">
        <v>0</v>
      </c>
      <c r="AG4" s="30">
        <v>0</v>
      </c>
      <c r="AH4" s="30">
        <v>0</v>
      </c>
      <c r="AI4" s="30">
        <v>0</v>
      </c>
      <c r="AJ4" s="30">
        <v>0</v>
      </c>
      <c r="AK4" s="30">
        <v>0</v>
      </c>
      <c r="AL4" s="30">
        <v>0</v>
      </c>
      <c r="AM4" s="30">
        <v>0</v>
      </c>
      <c r="AN4" s="30">
        <v>0</v>
      </c>
      <c r="AO4" s="30">
        <v>0</v>
      </c>
      <c r="AP4" s="30">
        <v>0</v>
      </c>
      <c r="AQ4" s="30">
        <v>0</v>
      </c>
      <c r="AR4" s="30">
        <v>0</v>
      </c>
      <c r="AS4" s="30">
        <v>0</v>
      </c>
      <c r="AT4" s="30">
        <v>0</v>
      </c>
      <c r="AU4" s="30">
        <v>0</v>
      </c>
      <c r="AV4" s="30">
        <v>0</v>
      </c>
      <c r="AW4" s="30">
        <v>0</v>
      </c>
      <c r="AX4" s="30">
        <v>0</v>
      </c>
      <c r="AY4" s="30">
        <v>0</v>
      </c>
      <c r="AZ4" s="30">
        <v>0</v>
      </c>
      <c r="BA4" s="30">
        <v>0</v>
      </c>
      <c r="BB4" s="30">
        <v>0</v>
      </c>
      <c r="BC4" s="30">
        <v>0</v>
      </c>
      <c r="BD4" s="30">
        <v>0</v>
      </c>
      <c r="BE4" s="30">
        <v>0</v>
      </c>
      <c r="BF4" s="30"/>
      <c r="BG4" s="110"/>
      <c r="BH4" s="110"/>
      <c r="BI4" s="106"/>
      <c r="BJ4" s="18"/>
      <c r="BK4" s="14"/>
      <c r="BL4" s="14"/>
      <c r="BM4" s="14"/>
      <c r="BN4" s="14"/>
      <c r="BO4" s="14"/>
      <c r="BP4" s="14"/>
      <c r="BQ4" s="14"/>
      <c r="BR4" s="14"/>
      <c r="BS4" s="14"/>
      <c r="BT4" s="14"/>
      <c r="BU4" s="14"/>
      <c r="BV4" s="14"/>
      <c r="BW4" s="14"/>
      <c r="BX4" s="111"/>
      <c r="BY4" s="111"/>
      <c r="BZ4" s="111"/>
      <c r="CA4" s="111"/>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
    </row>
    <row r="5" spans="1:135" ht="14.25" customHeight="1">
      <c r="A5" s="14"/>
      <c r="B5" s="19" t="s">
        <v>47</v>
      </c>
      <c r="C5" s="112" t="s">
        <v>48</v>
      </c>
      <c r="D5" s="113" t="s">
        <v>49</v>
      </c>
      <c r="E5" s="102"/>
      <c r="F5" s="19" t="s">
        <v>267</v>
      </c>
      <c r="G5" s="18"/>
      <c r="H5" s="114"/>
      <c r="I5" s="18"/>
      <c r="J5" s="115"/>
      <c r="K5" s="102"/>
      <c r="L5" s="102"/>
      <c r="M5" s="107">
        <v>0.05</v>
      </c>
      <c r="N5" s="107">
        <f>'Políticas anunciadas'!N5</f>
        <v>0.05</v>
      </c>
      <c r="O5" s="116">
        <f>'Políticas anunciadas'!O5</f>
        <v>0.05</v>
      </c>
      <c r="P5" s="116">
        <f>'Políticas anunciadas'!P5</f>
        <v>0.05</v>
      </c>
      <c r="Q5" s="116">
        <f>'Políticas anunciadas'!Q5</f>
        <v>0.05</v>
      </c>
      <c r="R5" s="116">
        <f>'Políticas anunciadas'!R5</f>
        <v>0.05</v>
      </c>
      <c r="S5" s="116">
        <f>'Políticas anunciadas'!S5</f>
        <v>0.05</v>
      </c>
      <c r="T5" s="116">
        <f>'Políticas anunciadas'!T5</f>
        <v>0.05</v>
      </c>
      <c r="U5" s="116">
        <f>'Políticas anunciadas'!U5</f>
        <v>0.05</v>
      </c>
      <c r="V5" s="116">
        <f>'Políticas anunciadas'!V5</f>
        <v>0.05</v>
      </c>
      <c r="W5" s="116">
        <f>'Políticas anunciadas'!W5</f>
        <v>0.05</v>
      </c>
      <c r="X5" s="116">
        <f>'Políticas anunciadas'!X5</f>
        <v>0.05</v>
      </c>
      <c r="Y5" s="116">
        <f>'Políticas anunciadas'!Y5</f>
        <v>0.05</v>
      </c>
      <c r="Z5" s="116">
        <f>'Políticas anunciadas'!Z5</f>
        <v>0.05</v>
      </c>
      <c r="AA5" s="116">
        <f>'Políticas anunciadas'!AA5</f>
        <v>0.05</v>
      </c>
      <c r="AB5" s="116">
        <f>'Políticas anunciadas'!AB5</f>
        <v>0.05</v>
      </c>
      <c r="AC5" s="116">
        <f>'Políticas anunciadas'!AC5</f>
        <v>0.05</v>
      </c>
      <c r="AD5" s="116">
        <f>'Políticas anunciadas'!AD5</f>
        <v>0.05</v>
      </c>
      <c r="AE5" s="116">
        <f>'Políticas anunciadas'!AE5</f>
        <v>0.05</v>
      </c>
      <c r="AF5" s="116">
        <f>'Políticas anunciadas'!AF5</f>
        <v>0.05</v>
      </c>
      <c r="AG5" s="116">
        <f>'Políticas anunciadas'!AG5</f>
        <v>0.05</v>
      </c>
      <c r="AH5" s="116">
        <f>'Políticas anunciadas'!AH5</f>
        <v>0.05</v>
      </c>
      <c r="AI5" s="116">
        <f>'Políticas anunciadas'!AI5</f>
        <v>0.05</v>
      </c>
      <c r="AJ5" s="116">
        <f>'Políticas anunciadas'!AJ5</f>
        <v>0.05</v>
      </c>
      <c r="AK5" s="117">
        <f>'Políticas anunciadas'!AK5</f>
        <v>0.05</v>
      </c>
      <c r="AL5" s="116">
        <f>'Políticas anunciadas'!AL5</f>
        <v>0.05</v>
      </c>
      <c r="AM5" s="116">
        <f>'Políticas anunciadas'!AM5</f>
        <v>0.05</v>
      </c>
      <c r="AN5" s="116">
        <f>'Políticas anunciadas'!AN5</f>
        <v>0.05</v>
      </c>
      <c r="AO5" s="116">
        <f>'Políticas anunciadas'!AO5</f>
        <v>0.05</v>
      </c>
      <c r="AP5" s="116">
        <f>'Políticas anunciadas'!AP5</f>
        <v>0.05</v>
      </c>
      <c r="AQ5" s="116">
        <f>'Políticas anunciadas'!AQ5</f>
        <v>0.05</v>
      </c>
      <c r="AR5" s="116">
        <f>'Políticas anunciadas'!AR5</f>
        <v>0.05</v>
      </c>
      <c r="AS5" s="116">
        <f>'Políticas anunciadas'!AS5</f>
        <v>0.05</v>
      </c>
      <c r="AT5" s="116">
        <f>'Políticas anunciadas'!AT5</f>
        <v>0.05</v>
      </c>
      <c r="AU5" s="116">
        <f>'Políticas anunciadas'!AU5</f>
        <v>0.05</v>
      </c>
      <c r="AV5" s="116">
        <f>'Políticas anunciadas'!AV5</f>
        <v>0.05</v>
      </c>
      <c r="AW5" s="116">
        <f>'Políticas anunciadas'!AW5</f>
        <v>0.05</v>
      </c>
      <c r="AX5" s="116">
        <f>'Políticas anunciadas'!AX5</f>
        <v>0.05</v>
      </c>
      <c r="AY5" s="116">
        <f>'Políticas anunciadas'!AY5</f>
        <v>0.05</v>
      </c>
      <c r="AZ5" s="116">
        <f>'Políticas anunciadas'!AZ5</f>
        <v>0.05</v>
      </c>
      <c r="BA5" s="116">
        <f>'Políticas anunciadas'!BA5</f>
        <v>0.05</v>
      </c>
      <c r="BB5" s="116">
        <f>'Políticas anunciadas'!BB5</f>
        <v>0.05</v>
      </c>
      <c r="BC5" s="116">
        <f>'Políticas anunciadas'!BC5</f>
        <v>0.05</v>
      </c>
      <c r="BD5" s="116">
        <f>'Políticas anunciadas'!BD5</f>
        <v>0.05</v>
      </c>
      <c r="BE5" s="116">
        <f>'Políticas anunciadas'!BE5</f>
        <v>0.05</v>
      </c>
      <c r="BF5" s="116"/>
      <c r="BG5" s="107"/>
      <c r="BH5" s="43"/>
      <c r="BI5" s="118" t="s">
        <v>268</v>
      </c>
      <c r="BJ5" s="119"/>
      <c r="BK5" s="14"/>
      <c r="BL5" s="14">
        <f>BO38</f>
        <v>12958</v>
      </c>
      <c r="BM5" s="14" t="s">
        <v>269</v>
      </c>
      <c r="BN5" s="14">
        <v>1</v>
      </c>
      <c r="BO5" s="14" t="s">
        <v>270</v>
      </c>
      <c r="BP5" s="14">
        <v>1000000</v>
      </c>
      <c r="BQ5" s="14" t="s">
        <v>271</v>
      </c>
      <c r="BR5" s="14">
        <v>5.9805999999999999</v>
      </c>
      <c r="BS5" s="14" t="s">
        <v>272</v>
      </c>
      <c r="BT5" s="14">
        <v>1</v>
      </c>
      <c r="BU5" s="14" t="s">
        <v>165</v>
      </c>
      <c r="BV5" s="120">
        <f>BM19</f>
        <v>5.8065553845323302E-3</v>
      </c>
      <c r="BW5" s="14" t="s">
        <v>12</v>
      </c>
      <c r="BX5" s="121"/>
      <c r="BY5" s="121"/>
      <c r="BZ5" s="121"/>
      <c r="CA5" s="121"/>
      <c r="CB5" s="121"/>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row>
    <row r="6" spans="1:135" ht="14.25" customHeight="1">
      <c r="A6" s="14"/>
      <c r="B6" s="102"/>
      <c r="C6" s="112" t="str">
        <f>'Políticas anunciadas'!C6</f>
        <v>Nueva refinería compleja en la Costa</v>
      </c>
      <c r="D6" s="113" t="str">
        <f>'Políticas anunciadas'!D6</f>
        <v>Refinería de alta conversión (cap. 75000bpd)</v>
      </c>
      <c r="E6" s="102"/>
      <c r="F6" s="112" t="str">
        <f>'Políticas anunciadas'!F6</f>
        <v>carga de crudo [PJ]</v>
      </c>
      <c r="G6" s="102"/>
      <c r="H6" s="114"/>
      <c r="I6" s="18"/>
      <c r="J6" s="115"/>
      <c r="K6" s="102"/>
      <c r="L6" s="102"/>
      <c r="M6" s="107"/>
      <c r="N6" s="122">
        <f>'Políticas anunciadas'!N6</f>
        <v>144.08038049999999</v>
      </c>
      <c r="O6" s="122">
        <f>'Políticas anunciadas'!O6</f>
        <v>144.08038049999999</v>
      </c>
      <c r="P6" s="122">
        <f>'Políticas anunciadas'!P6</f>
        <v>144.08038049999999</v>
      </c>
      <c r="Q6" s="122">
        <f>'Políticas anunciadas'!Q6</f>
        <v>144.08038049999999</v>
      </c>
      <c r="R6" s="122">
        <f>'Políticas anunciadas'!R6</f>
        <v>144.08038049999999</v>
      </c>
      <c r="S6" s="122">
        <f>'Políticas anunciadas'!S6</f>
        <v>144.08038049999999</v>
      </c>
      <c r="T6" s="122">
        <f>'Políticas anunciadas'!T6</f>
        <v>144.08038049999999</v>
      </c>
      <c r="U6" s="122">
        <f>'Políticas anunciadas'!U6</f>
        <v>144.08038049999999</v>
      </c>
      <c r="V6" s="122">
        <f>'Políticas anunciadas'!V6</f>
        <v>144.08038049999999</v>
      </c>
      <c r="W6" s="122">
        <f>'Políticas anunciadas'!W6</f>
        <v>144.08038049999999</v>
      </c>
      <c r="X6" s="122">
        <f>'Políticas anunciadas'!X6</f>
        <v>144.08038049999999</v>
      </c>
      <c r="Y6" s="122">
        <f>'Políticas anunciadas'!Y6</f>
        <v>144.08038049999999</v>
      </c>
      <c r="Z6" s="122">
        <f>'Políticas anunciadas'!Z6</f>
        <v>144.08038049999999</v>
      </c>
      <c r="AA6" s="122">
        <f>'Políticas anunciadas'!AA6</f>
        <v>144.08038049999999</v>
      </c>
      <c r="AB6" s="122">
        <f>'Políticas anunciadas'!AB6</f>
        <v>144.08038049999999</v>
      </c>
      <c r="AC6" s="122">
        <f>'Políticas anunciadas'!AC6</f>
        <v>144.08038049999999</v>
      </c>
      <c r="AD6" s="122">
        <f>'Políticas anunciadas'!AD6</f>
        <v>144.08038049999999</v>
      </c>
      <c r="AE6" s="122">
        <f>'Políticas anunciadas'!AE6</f>
        <v>144.08038049999999</v>
      </c>
      <c r="AF6" s="122">
        <f>'Políticas anunciadas'!AF6</f>
        <v>144.08038049999999</v>
      </c>
      <c r="AG6" s="122">
        <f>'Políticas anunciadas'!AG6</f>
        <v>144.08038049999999</v>
      </c>
      <c r="AH6" s="122">
        <f>'Políticas anunciadas'!AH6</f>
        <v>144.08038049999999</v>
      </c>
      <c r="AI6" s="122">
        <f>'Políticas anunciadas'!AI6</f>
        <v>144.08038049999999</v>
      </c>
      <c r="AJ6" s="122">
        <f>'Políticas anunciadas'!AJ6</f>
        <v>144.08038049999999</v>
      </c>
      <c r="AK6" s="123">
        <f>'Políticas anunciadas'!AK6</f>
        <v>144.08038049999999</v>
      </c>
      <c r="AL6" s="122">
        <f>'Políticas anunciadas'!AL6</f>
        <v>144.08038049999999</v>
      </c>
      <c r="AM6" s="122">
        <f>'Políticas anunciadas'!AM6</f>
        <v>144.08038049999999</v>
      </c>
      <c r="AN6" s="122">
        <f>'Políticas anunciadas'!AN6</f>
        <v>144.08038049999999</v>
      </c>
      <c r="AO6" s="122">
        <f>'Políticas anunciadas'!AO6</f>
        <v>144.08038049999999</v>
      </c>
      <c r="AP6" s="122">
        <f>'Políticas anunciadas'!AP6</f>
        <v>144.08038049999999</v>
      </c>
      <c r="AQ6" s="122">
        <f>'Políticas anunciadas'!AQ6</f>
        <v>144.08038049999999</v>
      </c>
      <c r="AR6" s="122">
        <f>'Políticas anunciadas'!AR6</f>
        <v>144.08038049999999</v>
      </c>
      <c r="AS6" s="122">
        <f>'Políticas anunciadas'!AS6</f>
        <v>144.08038049999999</v>
      </c>
      <c r="AT6" s="122">
        <f>'Políticas anunciadas'!AT6</f>
        <v>144.08038049999999</v>
      </c>
      <c r="AU6" s="122">
        <f>'Políticas anunciadas'!AU6</f>
        <v>144.08038049999999</v>
      </c>
      <c r="AV6" s="122">
        <f>'Políticas anunciadas'!AV6</f>
        <v>144.08038049999999</v>
      </c>
      <c r="AW6" s="122">
        <f>'Políticas anunciadas'!AW6</f>
        <v>144.08038049999999</v>
      </c>
      <c r="AX6" s="122">
        <f>'Políticas anunciadas'!AX6</f>
        <v>144.08038049999999</v>
      </c>
      <c r="AY6" s="122">
        <f>'Políticas anunciadas'!AY6</f>
        <v>144.08038049999999</v>
      </c>
      <c r="AZ6" s="122">
        <f>'Políticas anunciadas'!AZ6</f>
        <v>144.08038049999999</v>
      </c>
      <c r="BA6" s="122">
        <f>'Políticas anunciadas'!BA6</f>
        <v>144.08038049999999</v>
      </c>
      <c r="BB6" s="122">
        <f>'Políticas anunciadas'!BB6</f>
        <v>144.08038049999999</v>
      </c>
      <c r="BC6" s="122">
        <f>'Políticas anunciadas'!BC6</f>
        <v>144.08038049999999</v>
      </c>
      <c r="BD6" s="122">
        <f>'Políticas anunciadas'!BD6</f>
        <v>144.08038049999999</v>
      </c>
      <c r="BE6" s="122">
        <f>'Políticas anunciadas'!BE6</f>
        <v>144.08038049999999</v>
      </c>
      <c r="BF6" s="122"/>
      <c r="BG6" s="107"/>
      <c r="BH6" s="43"/>
      <c r="BI6" s="118"/>
      <c r="BJ6" s="119"/>
      <c r="BK6" s="14"/>
      <c r="BL6" s="14"/>
      <c r="BM6" s="14"/>
      <c r="BN6" s="14"/>
      <c r="BO6" s="14"/>
      <c r="BP6" s="14"/>
      <c r="BQ6" s="14"/>
      <c r="BR6" s="14"/>
      <c r="BS6" s="14"/>
      <c r="BT6" s="14"/>
      <c r="BU6" s="14"/>
      <c r="BV6" s="120"/>
      <c r="BW6" s="14"/>
      <c r="BX6" s="121"/>
      <c r="BY6" s="121"/>
      <c r="BZ6" s="121"/>
      <c r="CA6" s="121"/>
      <c r="CB6" s="121"/>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row>
    <row r="7" spans="1:135" ht="14.25" customHeight="1">
      <c r="A7" s="14"/>
      <c r="B7" s="102"/>
      <c r="C7" s="112" t="str">
        <f>'Políticas anunciadas'!C7</f>
        <v xml:space="preserve">                             Producción de derivados</v>
      </c>
      <c r="D7" s="113" t="str">
        <f>'Políticas anunciadas'!D7</f>
        <v>GLP</v>
      </c>
      <c r="E7" s="102"/>
      <c r="F7" s="112" t="str">
        <f>'Políticas anunciadas'!F7</f>
        <v>PJ</v>
      </c>
      <c r="G7" s="18"/>
      <c r="H7" s="124"/>
      <c r="I7" s="18" t="str">
        <f>'Políticas anunciadas'!I7</f>
        <v>-</v>
      </c>
      <c r="J7" s="18" t="str">
        <f>'Políticas anunciadas'!J7</f>
        <v>-</v>
      </c>
      <c r="K7" s="18" t="str">
        <f>'Políticas anunciadas'!K7</f>
        <v>-</v>
      </c>
      <c r="L7" s="18" t="str">
        <f>'Políticas anunciadas'!L7</f>
        <v>-</v>
      </c>
      <c r="M7" s="18" t="str">
        <f>'Políticas anunciadas'!M7</f>
        <v>-</v>
      </c>
      <c r="N7" s="122">
        <f>'Políticas anunciadas'!N7</f>
        <v>6.455439550752839</v>
      </c>
      <c r="O7" s="122">
        <f>'Políticas anunciadas'!O7</f>
        <v>6.455439550752839</v>
      </c>
      <c r="P7" s="122">
        <f>'Políticas anunciadas'!P7</f>
        <v>6.455439550752839</v>
      </c>
      <c r="Q7" s="122">
        <f>'Políticas anunciadas'!Q7</f>
        <v>6.455439550752839</v>
      </c>
      <c r="R7" s="122">
        <f>'Políticas anunciadas'!R7</f>
        <v>6.455439550752839</v>
      </c>
      <c r="S7" s="122">
        <f>'Políticas anunciadas'!S7</f>
        <v>6.455439550752839</v>
      </c>
      <c r="T7" s="122">
        <f>'Políticas anunciadas'!T7</f>
        <v>6.455439550752839</v>
      </c>
      <c r="U7" s="122">
        <f>'Políticas anunciadas'!U7</f>
        <v>6.455439550752839</v>
      </c>
      <c r="V7" s="122">
        <f>'Políticas anunciadas'!V7</f>
        <v>6.455439550752839</v>
      </c>
      <c r="W7" s="122">
        <f>'Políticas anunciadas'!W7</f>
        <v>6.455439550752839</v>
      </c>
      <c r="X7" s="122">
        <f>'Políticas anunciadas'!X7</f>
        <v>6.455439550752839</v>
      </c>
      <c r="Y7" s="122">
        <f>'Políticas anunciadas'!Y7</f>
        <v>6.455439550752839</v>
      </c>
      <c r="Z7" s="122">
        <f>'Políticas anunciadas'!Z7</f>
        <v>6.455439550752839</v>
      </c>
      <c r="AA7" s="122">
        <f>'Políticas anunciadas'!AA7</f>
        <v>6.455439550752839</v>
      </c>
      <c r="AB7" s="122">
        <f>'Políticas anunciadas'!AB7</f>
        <v>6.455439550752839</v>
      </c>
      <c r="AC7" s="122">
        <f>'Políticas anunciadas'!AC7</f>
        <v>6.455439550752839</v>
      </c>
      <c r="AD7" s="122">
        <f>'Políticas anunciadas'!AD7</f>
        <v>6.455439550752839</v>
      </c>
      <c r="AE7" s="122">
        <f>'Políticas anunciadas'!AE7</f>
        <v>6.455439550752839</v>
      </c>
      <c r="AF7" s="122">
        <f>'Políticas anunciadas'!AF7</f>
        <v>6.455439550752839</v>
      </c>
      <c r="AG7" s="122">
        <f>'Políticas anunciadas'!AG7</f>
        <v>6.455439550752839</v>
      </c>
      <c r="AH7" s="122">
        <f>'Políticas anunciadas'!AH7</f>
        <v>6.455439550752839</v>
      </c>
      <c r="AI7" s="122">
        <f>'Políticas anunciadas'!AI7</f>
        <v>6.455439550752839</v>
      </c>
      <c r="AJ7" s="122">
        <f>'Políticas anunciadas'!AJ7</f>
        <v>6.455439550752839</v>
      </c>
      <c r="AK7" s="123">
        <f>'Políticas anunciadas'!AK7</f>
        <v>6.455439550752839</v>
      </c>
      <c r="AL7" s="122">
        <f>'Políticas anunciadas'!AL7</f>
        <v>6.455439550752839</v>
      </c>
      <c r="AM7" s="122">
        <f>'Políticas anunciadas'!AM7</f>
        <v>6.455439550752839</v>
      </c>
      <c r="AN7" s="122">
        <f>'Políticas anunciadas'!AN7</f>
        <v>6.455439550752839</v>
      </c>
      <c r="AO7" s="122">
        <f>'Políticas anunciadas'!AO7</f>
        <v>6.455439550752839</v>
      </c>
      <c r="AP7" s="122">
        <f>'Políticas anunciadas'!AP7</f>
        <v>6.455439550752839</v>
      </c>
      <c r="AQ7" s="122">
        <f>'Políticas anunciadas'!AQ7</f>
        <v>6.455439550752839</v>
      </c>
      <c r="AR7" s="122">
        <f>'Políticas anunciadas'!AR7</f>
        <v>6.455439550752839</v>
      </c>
      <c r="AS7" s="122">
        <f>'Políticas anunciadas'!AS7</f>
        <v>6.455439550752839</v>
      </c>
      <c r="AT7" s="122">
        <f>'Políticas anunciadas'!AT7</f>
        <v>6.455439550752839</v>
      </c>
      <c r="AU7" s="122">
        <f>'Políticas anunciadas'!AU7</f>
        <v>6.455439550752839</v>
      </c>
      <c r="AV7" s="122">
        <f>'Políticas anunciadas'!AV7</f>
        <v>6.455439550752839</v>
      </c>
      <c r="AW7" s="122">
        <f>'Políticas anunciadas'!AW7</f>
        <v>6.455439550752839</v>
      </c>
      <c r="AX7" s="122">
        <f>'Políticas anunciadas'!AX7</f>
        <v>6.455439550752839</v>
      </c>
      <c r="AY7" s="122">
        <f>'Políticas anunciadas'!AY7</f>
        <v>6.455439550752839</v>
      </c>
      <c r="AZ7" s="122">
        <f>'Políticas anunciadas'!AZ7</f>
        <v>6.455439550752839</v>
      </c>
      <c r="BA7" s="122">
        <f>'Políticas anunciadas'!BA7</f>
        <v>6.455439550752839</v>
      </c>
      <c r="BB7" s="122">
        <f>'Políticas anunciadas'!BB7</f>
        <v>6.455439550752839</v>
      </c>
      <c r="BC7" s="122">
        <f>'Políticas anunciadas'!BC7</f>
        <v>6.455439550752839</v>
      </c>
      <c r="BD7" s="122">
        <f>'Políticas anunciadas'!BD7</f>
        <v>6.455439550752839</v>
      </c>
      <c r="BE7" s="122">
        <f>'Políticas anunciadas'!BE7</f>
        <v>6.455439550752839</v>
      </c>
      <c r="BF7" s="122"/>
      <c r="BG7" s="102"/>
      <c r="BH7" s="14"/>
      <c r="BI7" s="118" t="s">
        <v>55</v>
      </c>
      <c r="BJ7" s="121" t="s">
        <v>273</v>
      </c>
      <c r="BK7" s="19"/>
      <c r="BL7" s="14"/>
      <c r="BM7" s="14"/>
      <c r="BN7" s="14">
        <v>35.314700000000002</v>
      </c>
      <c r="BO7" s="14" t="s">
        <v>269</v>
      </c>
      <c r="BP7" s="14">
        <v>1</v>
      </c>
      <c r="BQ7" s="14" t="s">
        <v>270</v>
      </c>
      <c r="BR7" s="14">
        <v>1000</v>
      </c>
      <c r="BS7" s="14" t="s">
        <v>271</v>
      </c>
      <c r="BT7" s="14">
        <v>1000</v>
      </c>
      <c r="BU7" s="14" t="s">
        <v>272</v>
      </c>
      <c r="BV7" s="14">
        <v>1</v>
      </c>
      <c r="BW7" s="14" t="s">
        <v>165</v>
      </c>
      <c r="BX7" s="121"/>
      <c r="BY7" s="121"/>
      <c r="BZ7" s="121"/>
      <c r="CA7" s="121"/>
      <c r="CB7" s="121"/>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row>
    <row r="8" spans="1:135" ht="14.25" customHeight="1">
      <c r="A8" s="14"/>
      <c r="B8" s="102"/>
      <c r="C8" s="112" t="str">
        <f>'Políticas anunciadas'!C8</f>
        <v xml:space="preserve">                             Producción de derivados</v>
      </c>
      <c r="D8" s="113" t="str">
        <f>'Políticas anunciadas'!D8</f>
        <v>Gasolinas</v>
      </c>
      <c r="E8" s="102"/>
      <c r="F8" s="112" t="str">
        <f>'Políticas anunciadas'!F8</f>
        <v>PJ</v>
      </c>
      <c r="G8" s="102"/>
      <c r="H8" s="124"/>
      <c r="I8" s="18" t="str">
        <f>'Políticas anunciadas'!I8</f>
        <v>-</v>
      </c>
      <c r="J8" s="18" t="str">
        <f>'Políticas anunciadas'!J8</f>
        <v>-</v>
      </c>
      <c r="K8" s="18" t="str">
        <f>'Políticas anunciadas'!K8</f>
        <v>-</v>
      </c>
      <c r="L8" s="18" t="str">
        <f>'Políticas anunciadas'!L8</f>
        <v>-</v>
      </c>
      <c r="M8" s="18" t="str">
        <f>'Políticas anunciadas'!M8</f>
        <v>-</v>
      </c>
      <c r="N8" s="122">
        <f>'Políticas anunciadas'!N8</f>
        <v>53.832580937998983</v>
      </c>
      <c r="O8" s="122">
        <f>'Políticas anunciadas'!O8</f>
        <v>53.832580937998983</v>
      </c>
      <c r="P8" s="122">
        <f>'Políticas anunciadas'!P8</f>
        <v>53.832580937998983</v>
      </c>
      <c r="Q8" s="122">
        <f>'Políticas anunciadas'!Q8</f>
        <v>53.832580937998983</v>
      </c>
      <c r="R8" s="122">
        <f>'Políticas anunciadas'!R8</f>
        <v>53.832580937998983</v>
      </c>
      <c r="S8" s="122">
        <f>'Políticas anunciadas'!S8</f>
        <v>53.832580937998983</v>
      </c>
      <c r="T8" s="122">
        <f>'Políticas anunciadas'!T8</f>
        <v>53.832580937998983</v>
      </c>
      <c r="U8" s="122">
        <f>'Políticas anunciadas'!U8</f>
        <v>53.832580937998983</v>
      </c>
      <c r="V8" s="122">
        <f>'Políticas anunciadas'!V8</f>
        <v>53.832580937998983</v>
      </c>
      <c r="W8" s="122">
        <f>'Políticas anunciadas'!W8</f>
        <v>53.832580937998983</v>
      </c>
      <c r="X8" s="122">
        <f>'Políticas anunciadas'!X8</f>
        <v>53.832580937998983</v>
      </c>
      <c r="Y8" s="122">
        <f>'Políticas anunciadas'!Y8</f>
        <v>53.832580937998983</v>
      </c>
      <c r="Z8" s="122">
        <f>'Políticas anunciadas'!Z8</f>
        <v>53.832580937998983</v>
      </c>
      <c r="AA8" s="122">
        <f>'Políticas anunciadas'!AA8</f>
        <v>53.832580937998983</v>
      </c>
      <c r="AB8" s="122">
        <f>'Políticas anunciadas'!AB8</f>
        <v>53.832580937998983</v>
      </c>
      <c r="AC8" s="122">
        <f>'Políticas anunciadas'!AC8</f>
        <v>53.832580937998983</v>
      </c>
      <c r="AD8" s="122">
        <f>'Políticas anunciadas'!AD8</f>
        <v>53.832580937998983</v>
      </c>
      <c r="AE8" s="122">
        <f>'Políticas anunciadas'!AE8</f>
        <v>53.832580937998983</v>
      </c>
      <c r="AF8" s="122">
        <f>'Políticas anunciadas'!AF8</f>
        <v>53.832580937998983</v>
      </c>
      <c r="AG8" s="122">
        <f>'Políticas anunciadas'!AG8</f>
        <v>53.832580937998983</v>
      </c>
      <c r="AH8" s="122">
        <f>'Políticas anunciadas'!AH8</f>
        <v>53.832580937998983</v>
      </c>
      <c r="AI8" s="122">
        <f>'Políticas anunciadas'!AI8</f>
        <v>53.832580937998983</v>
      </c>
      <c r="AJ8" s="122">
        <f>'Políticas anunciadas'!AJ8</f>
        <v>53.832580937998983</v>
      </c>
      <c r="AK8" s="123">
        <f>'Políticas anunciadas'!AK8</f>
        <v>53.832580937998983</v>
      </c>
      <c r="AL8" s="122">
        <f>'Políticas anunciadas'!AL8</f>
        <v>53.832580937998983</v>
      </c>
      <c r="AM8" s="122">
        <f>'Políticas anunciadas'!AM8</f>
        <v>53.832580937998983</v>
      </c>
      <c r="AN8" s="122">
        <f>'Políticas anunciadas'!AN8</f>
        <v>53.832580937998983</v>
      </c>
      <c r="AO8" s="122">
        <f>'Políticas anunciadas'!AO8</f>
        <v>53.832580937998983</v>
      </c>
      <c r="AP8" s="122">
        <f>'Políticas anunciadas'!AP8</f>
        <v>53.832580937998983</v>
      </c>
      <c r="AQ8" s="122">
        <f>'Políticas anunciadas'!AQ8</f>
        <v>53.832580937998983</v>
      </c>
      <c r="AR8" s="122">
        <f>'Políticas anunciadas'!AR8</f>
        <v>53.832580937998983</v>
      </c>
      <c r="AS8" s="122">
        <f>'Políticas anunciadas'!AS8</f>
        <v>53.832580937998983</v>
      </c>
      <c r="AT8" s="122">
        <f>'Políticas anunciadas'!AT8</f>
        <v>53.832580937998983</v>
      </c>
      <c r="AU8" s="122">
        <f>'Políticas anunciadas'!AU8</f>
        <v>53.832580937998983</v>
      </c>
      <c r="AV8" s="122">
        <f>'Políticas anunciadas'!AV8</f>
        <v>53.832580937998983</v>
      </c>
      <c r="AW8" s="122">
        <f>'Políticas anunciadas'!AW8</f>
        <v>53.832580937998983</v>
      </c>
      <c r="AX8" s="122">
        <f>'Políticas anunciadas'!AX8</f>
        <v>53.832580937998983</v>
      </c>
      <c r="AY8" s="122">
        <f>'Políticas anunciadas'!AY8</f>
        <v>53.832580937998983</v>
      </c>
      <c r="AZ8" s="122">
        <f>'Políticas anunciadas'!AZ8</f>
        <v>53.832580937998983</v>
      </c>
      <c r="BA8" s="122">
        <f>'Políticas anunciadas'!BA8</f>
        <v>53.832580937998983</v>
      </c>
      <c r="BB8" s="122">
        <f>'Políticas anunciadas'!BB8</f>
        <v>53.832580937998983</v>
      </c>
      <c r="BC8" s="122">
        <f>'Políticas anunciadas'!BC8</f>
        <v>53.832580937998983</v>
      </c>
      <c r="BD8" s="122">
        <f>'Políticas anunciadas'!BD8</f>
        <v>53.832580937998983</v>
      </c>
      <c r="BE8" s="122">
        <f>'Políticas anunciadas'!BE8</f>
        <v>53.832580937998983</v>
      </c>
      <c r="BF8" s="122"/>
      <c r="BG8" s="102"/>
      <c r="BH8" s="14"/>
      <c r="BI8" s="118"/>
      <c r="BJ8" s="121"/>
      <c r="BK8" s="19"/>
      <c r="BL8" s="14"/>
      <c r="BM8" s="14"/>
      <c r="BN8" s="14"/>
      <c r="BO8" s="14"/>
      <c r="BP8" s="14"/>
      <c r="BQ8" s="14"/>
      <c r="BR8" s="14"/>
      <c r="BS8" s="14"/>
      <c r="BT8" s="14"/>
      <c r="BU8" s="14"/>
      <c r="BV8" s="14"/>
      <c r="BW8" s="14"/>
      <c r="BX8" s="121"/>
      <c r="BY8" s="121"/>
      <c r="BZ8" s="121"/>
      <c r="CA8" s="121"/>
      <c r="CB8" s="121"/>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row>
    <row r="9" spans="1:135" ht="14.25" customHeight="1">
      <c r="A9" s="14"/>
      <c r="B9" s="102"/>
      <c r="C9" s="112" t="str">
        <f>'Políticas anunciadas'!C9</f>
        <v xml:space="preserve">                             Producción de derivados</v>
      </c>
      <c r="D9" s="113" t="str">
        <f>'Políticas anunciadas'!D9</f>
        <v>Jet-fuel</v>
      </c>
      <c r="E9" s="102"/>
      <c r="F9" s="112" t="str">
        <f>'Políticas anunciadas'!F9</f>
        <v>PJ</v>
      </c>
      <c r="G9" s="102"/>
      <c r="H9" s="124"/>
      <c r="I9" s="18" t="str">
        <f>'Políticas anunciadas'!I9</f>
        <v>-</v>
      </c>
      <c r="J9" s="18" t="str">
        <f>'Políticas anunciadas'!J9</f>
        <v>-</v>
      </c>
      <c r="K9" s="18" t="str">
        <f>'Políticas anunciadas'!K9</f>
        <v>-</v>
      </c>
      <c r="L9" s="18" t="str">
        <f>'Políticas anunciadas'!L9</f>
        <v>-</v>
      </c>
      <c r="M9" s="18" t="str">
        <f>'Políticas anunciadas'!M9</f>
        <v>-</v>
      </c>
      <c r="N9" s="122">
        <f>'Políticas anunciadas'!N9</f>
        <v>14.876435543130013</v>
      </c>
      <c r="O9" s="122">
        <f>'Políticas anunciadas'!O9</f>
        <v>14.876435543130013</v>
      </c>
      <c r="P9" s="122">
        <f>'Políticas anunciadas'!P9</f>
        <v>14.876435543130013</v>
      </c>
      <c r="Q9" s="122">
        <f>'Políticas anunciadas'!Q9</f>
        <v>14.876435543130013</v>
      </c>
      <c r="R9" s="122">
        <f>'Políticas anunciadas'!R9</f>
        <v>14.876435543130013</v>
      </c>
      <c r="S9" s="122">
        <f>'Políticas anunciadas'!S9</f>
        <v>14.876435543130013</v>
      </c>
      <c r="T9" s="122">
        <f>'Políticas anunciadas'!T9</f>
        <v>14.876435543130013</v>
      </c>
      <c r="U9" s="122">
        <f>'Políticas anunciadas'!U9</f>
        <v>14.876435543130013</v>
      </c>
      <c r="V9" s="122">
        <f>'Políticas anunciadas'!V9</f>
        <v>14.876435543130013</v>
      </c>
      <c r="W9" s="122">
        <f>'Políticas anunciadas'!W9</f>
        <v>14.876435543130013</v>
      </c>
      <c r="X9" s="122">
        <f>'Políticas anunciadas'!X9</f>
        <v>14.876435543130013</v>
      </c>
      <c r="Y9" s="122">
        <f>'Políticas anunciadas'!Y9</f>
        <v>14.876435543130013</v>
      </c>
      <c r="Z9" s="122">
        <f>'Políticas anunciadas'!Z9</f>
        <v>14.876435543130013</v>
      </c>
      <c r="AA9" s="122">
        <f>'Políticas anunciadas'!AA9</f>
        <v>14.876435543130013</v>
      </c>
      <c r="AB9" s="122">
        <f>'Políticas anunciadas'!AB9</f>
        <v>14.876435543130013</v>
      </c>
      <c r="AC9" s="122">
        <f>'Políticas anunciadas'!AC9</f>
        <v>14.876435543130013</v>
      </c>
      <c r="AD9" s="122">
        <f>'Políticas anunciadas'!AD9</f>
        <v>14.876435543130013</v>
      </c>
      <c r="AE9" s="122">
        <f>'Políticas anunciadas'!AE9</f>
        <v>14.876435543130013</v>
      </c>
      <c r="AF9" s="122">
        <f>'Políticas anunciadas'!AF9</f>
        <v>14.876435543130013</v>
      </c>
      <c r="AG9" s="122">
        <f>'Políticas anunciadas'!AG9</f>
        <v>14.876435543130013</v>
      </c>
      <c r="AH9" s="122">
        <f>'Políticas anunciadas'!AH9</f>
        <v>14.876435543130013</v>
      </c>
      <c r="AI9" s="122">
        <f>'Políticas anunciadas'!AI9</f>
        <v>14.876435543130013</v>
      </c>
      <c r="AJ9" s="122">
        <f>'Políticas anunciadas'!AJ9</f>
        <v>14.876435543130013</v>
      </c>
      <c r="AK9" s="123">
        <f>'Políticas anunciadas'!AK9</f>
        <v>14.876435543130013</v>
      </c>
      <c r="AL9" s="122">
        <f>'Políticas anunciadas'!AL9</f>
        <v>14.876435543130013</v>
      </c>
      <c r="AM9" s="122">
        <f>'Políticas anunciadas'!AM9</f>
        <v>14.876435543130013</v>
      </c>
      <c r="AN9" s="122">
        <f>'Políticas anunciadas'!AN9</f>
        <v>14.876435543130013</v>
      </c>
      <c r="AO9" s="122">
        <f>'Políticas anunciadas'!AO9</f>
        <v>14.876435543130013</v>
      </c>
      <c r="AP9" s="122">
        <f>'Políticas anunciadas'!AP9</f>
        <v>14.876435543130013</v>
      </c>
      <c r="AQ9" s="122">
        <f>'Políticas anunciadas'!AQ9</f>
        <v>14.876435543130013</v>
      </c>
      <c r="AR9" s="122">
        <f>'Políticas anunciadas'!AR9</f>
        <v>14.876435543130013</v>
      </c>
      <c r="AS9" s="122">
        <f>'Políticas anunciadas'!AS9</f>
        <v>14.876435543130013</v>
      </c>
      <c r="AT9" s="122">
        <f>'Políticas anunciadas'!AT9</f>
        <v>14.876435543130013</v>
      </c>
      <c r="AU9" s="122">
        <f>'Políticas anunciadas'!AU9</f>
        <v>14.876435543130013</v>
      </c>
      <c r="AV9" s="122">
        <f>'Políticas anunciadas'!AV9</f>
        <v>14.876435543130013</v>
      </c>
      <c r="AW9" s="122">
        <f>'Políticas anunciadas'!AW9</f>
        <v>14.876435543130013</v>
      </c>
      <c r="AX9" s="122">
        <f>'Políticas anunciadas'!AX9</f>
        <v>14.876435543130013</v>
      </c>
      <c r="AY9" s="122">
        <f>'Políticas anunciadas'!AY9</f>
        <v>14.876435543130013</v>
      </c>
      <c r="AZ9" s="122">
        <f>'Políticas anunciadas'!AZ9</f>
        <v>14.876435543130013</v>
      </c>
      <c r="BA9" s="122">
        <f>'Políticas anunciadas'!BA9</f>
        <v>14.876435543130013</v>
      </c>
      <c r="BB9" s="122">
        <f>'Políticas anunciadas'!BB9</f>
        <v>14.876435543130013</v>
      </c>
      <c r="BC9" s="122">
        <f>'Políticas anunciadas'!BC9</f>
        <v>14.876435543130013</v>
      </c>
      <c r="BD9" s="122">
        <f>'Políticas anunciadas'!BD9</f>
        <v>14.876435543130013</v>
      </c>
      <c r="BE9" s="122">
        <f>'Políticas anunciadas'!BE9</f>
        <v>14.876435543130013</v>
      </c>
      <c r="BF9" s="122"/>
      <c r="BG9" s="102"/>
      <c r="BH9" s="14"/>
      <c r="BI9" s="118"/>
      <c r="BJ9" s="121"/>
      <c r="BK9" s="19"/>
      <c r="BL9" s="14"/>
      <c r="BM9" s="14"/>
      <c r="BN9" s="14"/>
      <c r="BO9" s="14"/>
      <c r="BP9" s="14"/>
      <c r="BQ9" s="14"/>
      <c r="BR9" s="14"/>
      <c r="BS9" s="14"/>
      <c r="BT9" s="14"/>
      <c r="BU9" s="14"/>
      <c r="BV9" s="14"/>
      <c r="BW9" s="14"/>
      <c r="BX9" s="121"/>
      <c r="BY9" s="121"/>
      <c r="BZ9" s="121"/>
      <c r="CA9" s="121"/>
      <c r="CB9" s="121"/>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row>
    <row r="10" spans="1:135" ht="14.25" customHeight="1">
      <c r="A10" s="14"/>
      <c r="B10" s="102"/>
      <c r="C10" s="112" t="str">
        <f>'Políticas anunciadas'!C10</f>
        <v xml:space="preserve">                             Producción de derivados</v>
      </c>
      <c r="D10" s="113" t="str">
        <f>'Políticas anunciadas'!D10</f>
        <v>Diesel</v>
      </c>
      <c r="E10" s="102"/>
      <c r="F10" s="112" t="str">
        <f>'Políticas anunciadas'!F10</f>
        <v>PJ</v>
      </c>
      <c r="G10" s="102"/>
      <c r="H10" s="124"/>
      <c r="I10" s="18" t="str">
        <f>'Políticas anunciadas'!I10</f>
        <v>-</v>
      </c>
      <c r="J10" s="18" t="str">
        <f>'Políticas anunciadas'!J10</f>
        <v>-</v>
      </c>
      <c r="K10" s="18" t="str">
        <f>'Políticas anunciadas'!K10</f>
        <v>-</v>
      </c>
      <c r="L10" s="18" t="str">
        <f>'Políticas anunciadas'!L10</f>
        <v>-</v>
      </c>
      <c r="M10" s="18" t="str">
        <f>'Políticas anunciadas'!M10</f>
        <v>-</v>
      </c>
      <c r="N10" s="122">
        <f>'Políticas anunciadas'!N10</f>
        <v>52.379778350711426</v>
      </c>
      <c r="O10" s="122">
        <f>'Políticas anunciadas'!O10</f>
        <v>52.379778350711426</v>
      </c>
      <c r="P10" s="122">
        <f>'Políticas anunciadas'!P10</f>
        <v>52.379778350711426</v>
      </c>
      <c r="Q10" s="122">
        <f>'Políticas anunciadas'!Q10</f>
        <v>52.379778350711426</v>
      </c>
      <c r="R10" s="122">
        <f>'Políticas anunciadas'!R10</f>
        <v>52.379778350711426</v>
      </c>
      <c r="S10" s="122">
        <f>'Políticas anunciadas'!S10</f>
        <v>52.379778350711426</v>
      </c>
      <c r="T10" s="122">
        <f>'Políticas anunciadas'!T10</f>
        <v>52.379778350711426</v>
      </c>
      <c r="U10" s="122">
        <f>'Políticas anunciadas'!U10</f>
        <v>52.379778350711426</v>
      </c>
      <c r="V10" s="122">
        <f>'Políticas anunciadas'!V10</f>
        <v>52.379778350711426</v>
      </c>
      <c r="W10" s="122">
        <f>'Políticas anunciadas'!W10</f>
        <v>52.379778350711426</v>
      </c>
      <c r="X10" s="122">
        <f>'Políticas anunciadas'!X10</f>
        <v>52.379778350711426</v>
      </c>
      <c r="Y10" s="122">
        <f>'Políticas anunciadas'!Y10</f>
        <v>52.379778350711426</v>
      </c>
      <c r="Z10" s="122">
        <f>'Políticas anunciadas'!Z10</f>
        <v>52.379778350711426</v>
      </c>
      <c r="AA10" s="122">
        <f>'Políticas anunciadas'!AA10</f>
        <v>52.379778350711426</v>
      </c>
      <c r="AB10" s="122">
        <f>'Políticas anunciadas'!AB10</f>
        <v>52.379778350711426</v>
      </c>
      <c r="AC10" s="122">
        <f>'Políticas anunciadas'!AC10</f>
        <v>52.379778350711426</v>
      </c>
      <c r="AD10" s="122">
        <f>'Políticas anunciadas'!AD10</f>
        <v>52.379778350711426</v>
      </c>
      <c r="AE10" s="122">
        <f>'Políticas anunciadas'!AE10</f>
        <v>52.379778350711426</v>
      </c>
      <c r="AF10" s="122">
        <f>'Políticas anunciadas'!AF10</f>
        <v>52.379778350711426</v>
      </c>
      <c r="AG10" s="122">
        <f>'Políticas anunciadas'!AG10</f>
        <v>52.379778350711426</v>
      </c>
      <c r="AH10" s="122">
        <f>'Políticas anunciadas'!AH10</f>
        <v>52.379778350711426</v>
      </c>
      <c r="AI10" s="122">
        <f>'Políticas anunciadas'!AI10</f>
        <v>52.379778350711426</v>
      </c>
      <c r="AJ10" s="122">
        <f>'Políticas anunciadas'!AJ10</f>
        <v>52.379778350711426</v>
      </c>
      <c r="AK10" s="123">
        <f>'Políticas anunciadas'!AK10</f>
        <v>52.379778350711426</v>
      </c>
      <c r="AL10" s="122">
        <f>'Políticas anunciadas'!AL10</f>
        <v>52.379778350711426</v>
      </c>
      <c r="AM10" s="122">
        <f>'Políticas anunciadas'!AM10</f>
        <v>52.379778350711426</v>
      </c>
      <c r="AN10" s="122">
        <f>'Políticas anunciadas'!AN10</f>
        <v>52.379778350711426</v>
      </c>
      <c r="AO10" s="122">
        <f>'Políticas anunciadas'!AO10</f>
        <v>52.379778350711426</v>
      </c>
      <c r="AP10" s="122">
        <f>'Políticas anunciadas'!AP10</f>
        <v>52.379778350711426</v>
      </c>
      <c r="AQ10" s="122">
        <f>'Políticas anunciadas'!AQ10</f>
        <v>52.379778350711426</v>
      </c>
      <c r="AR10" s="122">
        <f>'Políticas anunciadas'!AR10</f>
        <v>52.379778350711426</v>
      </c>
      <c r="AS10" s="122">
        <f>'Políticas anunciadas'!AS10</f>
        <v>52.379778350711426</v>
      </c>
      <c r="AT10" s="122">
        <f>'Políticas anunciadas'!AT10</f>
        <v>52.379778350711426</v>
      </c>
      <c r="AU10" s="122">
        <f>'Políticas anunciadas'!AU10</f>
        <v>52.379778350711426</v>
      </c>
      <c r="AV10" s="122">
        <f>'Políticas anunciadas'!AV10</f>
        <v>52.379778350711426</v>
      </c>
      <c r="AW10" s="122">
        <f>'Políticas anunciadas'!AW10</f>
        <v>52.379778350711426</v>
      </c>
      <c r="AX10" s="122">
        <f>'Políticas anunciadas'!AX10</f>
        <v>52.379778350711426</v>
      </c>
      <c r="AY10" s="122">
        <f>'Políticas anunciadas'!AY10</f>
        <v>52.379778350711426</v>
      </c>
      <c r="AZ10" s="122">
        <f>'Políticas anunciadas'!AZ10</f>
        <v>52.379778350711426</v>
      </c>
      <c r="BA10" s="122">
        <f>'Políticas anunciadas'!BA10</f>
        <v>52.379778350711426</v>
      </c>
      <c r="BB10" s="122">
        <f>'Políticas anunciadas'!BB10</f>
        <v>52.379778350711426</v>
      </c>
      <c r="BC10" s="122">
        <f>'Políticas anunciadas'!BC10</f>
        <v>52.379778350711426</v>
      </c>
      <c r="BD10" s="122">
        <f>'Políticas anunciadas'!BD10</f>
        <v>52.379778350711426</v>
      </c>
      <c r="BE10" s="122">
        <f>'Políticas anunciadas'!BE10</f>
        <v>52.379778350711426</v>
      </c>
      <c r="BF10" s="122"/>
      <c r="BG10" s="102"/>
      <c r="BH10" s="14"/>
      <c r="BI10" s="118"/>
      <c r="BJ10" s="121"/>
      <c r="BK10" s="19"/>
      <c r="BL10" s="14"/>
      <c r="BM10" s="14"/>
      <c r="BN10" s="14"/>
      <c r="BO10" s="14"/>
      <c r="BP10" s="14"/>
      <c r="BQ10" s="14"/>
      <c r="BR10" s="14"/>
      <c r="BS10" s="14"/>
      <c r="BT10" s="14"/>
      <c r="BU10" s="14"/>
      <c r="BV10" s="14"/>
      <c r="BW10" s="14"/>
      <c r="BX10" s="121"/>
      <c r="BY10" s="121"/>
      <c r="BZ10" s="121"/>
      <c r="CA10" s="121"/>
      <c r="CB10" s="121"/>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row>
    <row r="11" spans="1:135" ht="14.25" customHeight="1">
      <c r="A11" s="14"/>
      <c r="B11" s="102"/>
      <c r="C11" s="112" t="str">
        <f>'Políticas anunciadas'!C11</f>
        <v xml:space="preserve">                             Producción de derivados</v>
      </c>
      <c r="D11" s="113" t="str">
        <f>'Políticas anunciadas'!D11</f>
        <v>Fuel-oil</v>
      </c>
      <c r="E11" s="102"/>
      <c r="F11" s="112" t="str">
        <f>'Políticas anunciadas'!F11</f>
        <v>PJ</v>
      </c>
      <c r="G11" s="102"/>
      <c r="H11" s="124"/>
      <c r="I11" s="18" t="str">
        <f>'Políticas anunciadas'!I11</f>
        <v>-</v>
      </c>
      <c r="J11" s="18" t="str">
        <f>'Políticas anunciadas'!J11</f>
        <v>-</v>
      </c>
      <c r="K11" s="18" t="str">
        <f>'Políticas anunciadas'!K11</f>
        <v>-</v>
      </c>
      <c r="L11" s="18" t="str">
        <f>'Políticas anunciadas'!L11</f>
        <v>-</v>
      </c>
      <c r="M11" s="18" t="str">
        <f>'Políticas anunciadas'!M11</f>
        <v>-</v>
      </c>
      <c r="N11" s="122">
        <f>'Políticas anunciadas'!N11</f>
        <v>7.0721130200000006</v>
      </c>
      <c r="O11" s="122">
        <f>'Políticas anunciadas'!O11</f>
        <v>7.0721130200000006</v>
      </c>
      <c r="P11" s="122">
        <f>'Políticas anunciadas'!P11</f>
        <v>7.0721130200000006</v>
      </c>
      <c r="Q11" s="122">
        <f>'Políticas anunciadas'!Q11</f>
        <v>7.0721130200000006</v>
      </c>
      <c r="R11" s="122">
        <f>'Políticas anunciadas'!R11</f>
        <v>7.0721130200000006</v>
      </c>
      <c r="S11" s="122">
        <f>'Políticas anunciadas'!S11</f>
        <v>7.0721130200000006</v>
      </c>
      <c r="T11" s="122">
        <f>'Políticas anunciadas'!T11</f>
        <v>7.0721130200000006</v>
      </c>
      <c r="U11" s="122">
        <f>'Políticas anunciadas'!U11</f>
        <v>7.0721130200000006</v>
      </c>
      <c r="V11" s="122">
        <f>'Políticas anunciadas'!V11</f>
        <v>7.0721130200000006</v>
      </c>
      <c r="W11" s="122">
        <f>'Políticas anunciadas'!W11</f>
        <v>7.0721130200000006</v>
      </c>
      <c r="X11" s="122">
        <f>'Políticas anunciadas'!X11</f>
        <v>7.0721130200000006</v>
      </c>
      <c r="Y11" s="122">
        <f>'Políticas anunciadas'!Y11</f>
        <v>7.0721130200000006</v>
      </c>
      <c r="Z11" s="122">
        <f>'Políticas anunciadas'!Z11</f>
        <v>7.0721130200000006</v>
      </c>
      <c r="AA11" s="122">
        <f>'Políticas anunciadas'!AA11</f>
        <v>7.0721130200000006</v>
      </c>
      <c r="AB11" s="122">
        <f>'Políticas anunciadas'!AB11</f>
        <v>7.0721130200000006</v>
      </c>
      <c r="AC11" s="122">
        <f>'Políticas anunciadas'!AC11</f>
        <v>7.0721130200000006</v>
      </c>
      <c r="AD11" s="122">
        <f>'Políticas anunciadas'!AD11</f>
        <v>7.0721130200000006</v>
      </c>
      <c r="AE11" s="122">
        <f>'Políticas anunciadas'!AE11</f>
        <v>7.0721130200000006</v>
      </c>
      <c r="AF11" s="122">
        <f>'Políticas anunciadas'!AF11</f>
        <v>7.0721130200000006</v>
      </c>
      <c r="AG11" s="122">
        <f>'Políticas anunciadas'!AG11</f>
        <v>7.0721130200000006</v>
      </c>
      <c r="AH11" s="122">
        <f>'Políticas anunciadas'!AH11</f>
        <v>7.0721130200000006</v>
      </c>
      <c r="AI11" s="122">
        <f>'Políticas anunciadas'!AI11</f>
        <v>7.0721130200000006</v>
      </c>
      <c r="AJ11" s="122">
        <f>'Políticas anunciadas'!AJ11</f>
        <v>7.0721130200000006</v>
      </c>
      <c r="AK11" s="123">
        <f>'Políticas anunciadas'!AK11</f>
        <v>7.0721130200000006</v>
      </c>
      <c r="AL11" s="122">
        <f>'Políticas anunciadas'!AL11</f>
        <v>7.0721130200000006</v>
      </c>
      <c r="AM11" s="122">
        <f>'Políticas anunciadas'!AM11</f>
        <v>7.0721130200000006</v>
      </c>
      <c r="AN11" s="122">
        <f>'Políticas anunciadas'!AN11</f>
        <v>7.0721130200000006</v>
      </c>
      <c r="AO11" s="122">
        <f>'Políticas anunciadas'!AO11</f>
        <v>7.0721130200000006</v>
      </c>
      <c r="AP11" s="122">
        <f>'Políticas anunciadas'!AP11</f>
        <v>7.0721130200000006</v>
      </c>
      <c r="AQ11" s="122">
        <f>'Políticas anunciadas'!AQ11</f>
        <v>7.0721130200000006</v>
      </c>
      <c r="AR11" s="122">
        <f>'Políticas anunciadas'!AR11</f>
        <v>7.0721130200000006</v>
      </c>
      <c r="AS11" s="122">
        <f>'Políticas anunciadas'!AS11</f>
        <v>7.0721130200000006</v>
      </c>
      <c r="AT11" s="122">
        <f>'Políticas anunciadas'!AT11</f>
        <v>7.0721130200000006</v>
      </c>
      <c r="AU11" s="122">
        <f>'Políticas anunciadas'!AU11</f>
        <v>7.0721130200000006</v>
      </c>
      <c r="AV11" s="122">
        <f>'Políticas anunciadas'!AV11</f>
        <v>7.0721130200000006</v>
      </c>
      <c r="AW11" s="122">
        <f>'Políticas anunciadas'!AW11</f>
        <v>7.0721130200000006</v>
      </c>
      <c r="AX11" s="122">
        <f>'Políticas anunciadas'!AX11</f>
        <v>7.0721130200000006</v>
      </c>
      <c r="AY11" s="122">
        <f>'Políticas anunciadas'!AY11</f>
        <v>7.0721130200000006</v>
      </c>
      <c r="AZ11" s="122">
        <f>'Políticas anunciadas'!AZ11</f>
        <v>7.0721130200000006</v>
      </c>
      <c r="BA11" s="122">
        <f>'Políticas anunciadas'!BA11</f>
        <v>7.0721130200000006</v>
      </c>
      <c r="BB11" s="122">
        <f>'Políticas anunciadas'!BB11</f>
        <v>7.0721130200000006</v>
      </c>
      <c r="BC11" s="122">
        <f>'Políticas anunciadas'!BC11</f>
        <v>7.0721130200000006</v>
      </c>
      <c r="BD11" s="122">
        <f>'Políticas anunciadas'!BD11</f>
        <v>7.0721130200000006</v>
      </c>
      <c r="BE11" s="122">
        <f>'Políticas anunciadas'!BE11</f>
        <v>7.0721130200000006</v>
      </c>
      <c r="BF11" s="122"/>
      <c r="BG11" s="102"/>
      <c r="BH11" s="14"/>
      <c r="BI11" s="118"/>
      <c r="BJ11" s="121"/>
      <c r="BK11" s="19"/>
      <c r="BL11" s="14"/>
      <c r="BM11" s="14"/>
      <c r="BN11" s="14"/>
      <c r="BO11" s="14"/>
      <c r="BP11" s="14"/>
      <c r="BQ11" s="14"/>
      <c r="BR11" s="14"/>
      <c r="BS11" s="14"/>
      <c r="BT11" s="14"/>
      <c r="BU11" s="14"/>
      <c r="BV11" s="14"/>
      <c r="BW11" s="14"/>
      <c r="BX11" s="121"/>
      <c r="BY11" s="121"/>
      <c r="BZ11" s="121"/>
      <c r="CA11" s="121"/>
      <c r="CB11" s="121"/>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row>
    <row r="12" spans="1:135" ht="14.25" customHeight="1">
      <c r="A12" s="14"/>
      <c r="B12" s="102"/>
      <c r="C12" s="112" t="str">
        <f>'Políticas anunciadas'!C12</f>
        <v xml:space="preserve">                             Producción de derivados</v>
      </c>
      <c r="D12" s="113" t="str">
        <f>'Políticas anunciadas'!D12</f>
        <v>Crudo reducido</v>
      </c>
      <c r="E12" s="102"/>
      <c r="F12" s="112" t="str">
        <f>'Políticas anunciadas'!F12</f>
        <v>PJ</v>
      </c>
      <c r="G12" s="102"/>
      <c r="H12" s="124"/>
      <c r="I12" s="18" t="str">
        <f>'Políticas anunciadas'!I12</f>
        <v>-</v>
      </c>
      <c r="J12" s="18" t="str">
        <f>'Políticas anunciadas'!J12</f>
        <v>-</v>
      </c>
      <c r="K12" s="18" t="str">
        <f>'Políticas anunciadas'!K12</f>
        <v>-</v>
      </c>
      <c r="L12" s="18" t="str">
        <f>'Políticas anunciadas'!L12</f>
        <v>-</v>
      </c>
      <c r="M12" s="18" t="str">
        <f>'Políticas anunciadas'!M12</f>
        <v>-</v>
      </c>
      <c r="N12" s="122">
        <f>'Políticas anunciadas'!N12</f>
        <v>0</v>
      </c>
      <c r="O12" s="122">
        <f>'Políticas anunciadas'!O12</f>
        <v>0</v>
      </c>
      <c r="P12" s="122">
        <f>'Políticas anunciadas'!P12</f>
        <v>0</v>
      </c>
      <c r="Q12" s="122">
        <f>'Políticas anunciadas'!Q12</f>
        <v>0</v>
      </c>
      <c r="R12" s="122">
        <f>'Políticas anunciadas'!R12</f>
        <v>0</v>
      </c>
      <c r="S12" s="122">
        <f>'Políticas anunciadas'!S12</f>
        <v>0</v>
      </c>
      <c r="T12" s="122">
        <f>'Políticas anunciadas'!T12</f>
        <v>0</v>
      </c>
      <c r="U12" s="122">
        <f>'Políticas anunciadas'!U12</f>
        <v>0</v>
      </c>
      <c r="V12" s="122">
        <f>'Políticas anunciadas'!V12</f>
        <v>0</v>
      </c>
      <c r="W12" s="122">
        <f>'Políticas anunciadas'!W12</f>
        <v>0</v>
      </c>
      <c r="X12" s="122">
        <f>'Políticas anunciadas'!X12</f>
        <v>0</v>
      </c>
      <c r="Y12" s="122">
        <f>'Políticas anunciadas'!Y12</f>
        <v>0</v>
      </c>
      <c r="Z12" s="122">
        <f>'Políticas anunciadas'!Z12</f>
        <v>0</v>
      </c>
      <c r="AA12" s="122">
        <f>'Políticas anunciadas'!AA12</f>
        <v>0</v>
      </c>
      <c r="AB12" s="122">
        <f>'Políticas anunciadas'!AB12</f>
        <v>0</v>
      </c>
      <c r="AC12" s="122">
        <f>'Políticas anunciadas'!AC12</f>
        <v>0</v>
      </c>
      <c r="AD12" s="122">
        <f>'Políticas anunciadas'!AD12</f>
        <v>0</v>
      </c>
      <c r="AE12" s="122">
        <f>'Políticas anunciadas'!AE12</f>
        <v>0</v>
      </c>
      <c r="AF12" s="122">
        <f>'Políticas anunciadas'!AF12</f>
        <v>0</v>
      </c>
      <c r="AG12" s="122">
        <f>'Políticas anunciadas'!AG12</f>
        <v>0</v>
      </c>
      <c r="AH12" s="122">
        <f>'Políticas anunciadas'!AH12</f>
        <v>0</v>
      </c>
      <c r="AI12" s="122">
        <f>'Políticas anunciadas'!AI12</f>
        <v>0</v>
      </c>
      <c r="AJ12" s="122">
        <f>'Políticas anunciadas'!AJ12</f>
        <v>0</v>
      </c>
      <c r="AK12" s="123">
        <f>'Políticas anunciadas'!AK12</f>
        <v>0</v>
      </c>
      <c r="AL12" s="122">
        <f>'Políticas anunciadas'!AL12</f>
        <v>0</v>
      </c>
      <c r="AM12" s="122">
        <f>'Políticas anunciadas'!AM12</f>
        <v>0</v>
      </c>
      <c r="AN12" s="122">
        <f>'Políticas anunciadas'!AN12</f>
        <v>0</v>
      </c>
      <c r="AO12" s="122">
        <f>'Políticas anunciadas'!AO12</f>
        <v>0</v>
      </c>
      <c r="AP12" s="122">
        <f>'Políticas anunciadas'!AP12</f>
        <v>0</v>
      </c>
      <c r="AQ12" s="122">
        <f>'Políticas anunciadas'!AQ12</f>
        <v>0</v>
      </c>
      <c r="AR12" s="122">
        <f>'Políticas anunciadas'!AR12</f>
        <v>0</v>
      </c>
      <c r="AS12" s="122">
        <f>'Políticas anunciadas'!AS12</f>
        <v>0</v>
      </c>
      <c r="AT12" s="122">
        <f>'Políticas anunciadas'!AT12</f>
        <v>0</v>
      </c>
      <c r="AU12" s="122">
        <f>'Políticas anunciadas'!AU12</f>
        <v>0</v>
      </c>
      <c r="AV12" s="122">
        <f>'Políticas anunciadas'!AV12</f>
        <v>0</v>
      </c>
      <c r="AW12" s="122">
        <f>'Políticas anunciadas'!AW12</f>
        <v>0</v>
      </c>
      <c r="AX12" s="122">
        <f>'Políticas anunciadas'!AX12</f>
        <v>0</v>
      </c>
      <c r="AY12" s="122">
        <f>'Políticas anunciadas'!AY12</f>
        <v>0</v>
      </c>
      <c r="AZ12" s="122">
        <f>'Políticas anunciadas'!AZ12</f>
        <v>0</v>
      </c>
      <c r="BA12" s="122">
        <f>'Políticas anunciadas'!BA12</f>
        <v>0</v>
      </c>
      <c r="BB12" s="122">
        <f>'Políticas anunciadas'!BB12</f>
        <v>0</v>
      </c>
      <c r="BC12" s="122">
        <f>'Políticas anunciadas'!BC12</f>
        <v>0</v>
      </c>
      <c r="BD12" s="122">
        <f>'Políticas anunciadas'!BD12</f>
        <v>0</v>
      </c>
      <c r="BE12" s="122">
        <f>'Políticas anunciadas'!BE12</f>
        <v>0</v>
      </c>
      <c r="BF12" s="122"/>
      <c r="BG12" s="102"/>
      <c r="BH12" s="14"/>
      <c r="BI12" s="118"/>
      <c r="BJ12" s="121"/>
      <c r="BK12" s="19"/>
      <c r="BL12" s="14"/>
      <c r="BM12" s="14"/>
      <c r="BN12" s="14"/>
      <c r="BO12" s="14"/>
      <c r="BP12" s="14"/>
      <c r="BQ12" s="14"/>
      <c r="BR12" s="14"/>
      <c r="BS12" s="14"/>
      <c r="BT12" s="14"/>
      <c r="BU12" s="14"/>
      <c r="BV12" s="14"/>
      <c r="BW12" s="14"/>
      <c r="BX12" s="121"/>
      <c r="BY12" s="121"/>
      <c r="BZ12" s="121"/>
      <c r="CA12" s="121"/>
      <c r="CB12" s="121"/>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row>
    <row r="13" spans="1:135" ht="14.25" customHeight="1">
      <c r="A13" s="102"/>
      <c r="B13" s="102"/>
      <c r="C13" s="112" t="s">
        <v>64</v>
      </c>
      <c r="D13" s="18"/>
      <c r="E13" s="102"/>
      <c r="F13" s="19" t="s">
        <v>274</v>
      </c>
      <c r="G13" s="102"/>
      <c r="H13" s="103">
        <f t="shared" ref="H13:K13" si="0">BO42*H2</f>
        <v>8.3024180461868173</v>
      </c>
      <c r="I13" s="116">
        <f t="shared" si="0"/>
        <v>8.9713107810701533</v>
      </c>
      <c r="J13" s="116">
        <f t="shared" si="0"/>
        <v>9.206037745887734</v>
      </c>
      <c r="K13" s="116">
        <f t="shared" si="0"/>
        <v>9.0567868131702411</v>
      </c>
      <c r="L13" s="116">
        <f t="shared" ref="L13:BE13" si="1">$BS$42*L2</f>
        <v>8.6334329771966285</v>
      </c>
      <c r="M13" s="116">
        <f t="shared" si="1"/>
        <v>8.3195333665574935</v>
      </c>
      <c r="N13" s="116">
        <f t="shared" si="1"/>
        <v>7.9193694975897904</v>
      </c>
      <c r="O13" s="116">
        <f t="shared" si="1"/>
        <v>7.473161887115511</v>
      </c>
      <c r="P13" s="116">
        <f t="shared" si="1"/>
        <v>6.6937965301555913</v>
      </c>
      <c r="Q13" s="116">
        <f t="shared" si="1"/>
        <v>5.5596526285100643</v>
      </c>
      <c r="R13" s="116">
        <f t="shared" si="1"/>
        <v>4.644123184902857</v>
      </c>
      <c r="S13" s="116">
        <f t="shared" si="1"/>
        <v>3.8974445978083367</v>
      </c>
      <c r="T13" s="116">
        <f t="shared" si="1"/>
        <v>3.0034758904168699</v>
      </c>
      <c r="U13" s="116">
        <f t="shared" si="1"/>
        <v>2.1617281176834706</v>
      </c>
      <c r="V13" s="116">
        <f t="shared" si="1"/>
        <v>0.68022637861471247</v>
      </c>
      <c r="W13" s="116">
        <f t="shared" si="1"/>
        <v>1.0550838330922043E-16</v>
      </c>
      <c r="X13" s="116">
        <f t="shared" si="1"/>
        <v>1.1713787616899183E-32</v>
      </c>
      <c r="Y13" s="116">
        <f t="shared" si="1"/>
        <v>0</v>
      </c>
      <c r="Z13" s="116">
        <f t="shared" si="1"/>
        <v>0</v>
      </c>
      <c r="AA13" s="116">
        <f t="shared" si="1"/>
        <v>0</v>
      </c>
      <c r="AB13" s="116">
        <f t="shared" si="1"/>
        <v>0</v>
      </c>
      <c r="AC13" s="116">
        <f t="shared" si="1"/>
        <v>0</v>
      </c>
      <c r="AD13" s="116">
        <f t="shared" si="1"/>
        <v>0</v>
      </c>
      <c r="AE13" s="116">
        <f t="shared" si="1"/>
        <v>0</v>
      </c>
      <c r="AF13" s="116">
        <f t="shared" si="1"/>
        <v>0</v>
      </c>
      <c r="AG13" s="116">
        <f t="shared" si="1"/>
        <v>0</v>
      </c>
      <c r="AH13" s="116">
        <f t="shared" si="1"/>
        <v>0</v>
      </c>
      <c r="AI13" s="116">
        <f t="shared" si="1"/>
        <v>0</v>
      </c>
      <c r="AJ13" s="116">
        <f t="shared" si="1"/>
        <v>0</v>
      </c>
      <c r="AK13" s="117">
        <f t="shared" si="1"/>
        <v>0</v>
      </c>
      <c r="AL13" s="116">
        <f t="shared" si="1"/>
        <v>0</v>
      </c>
      <c r="AM13" s="116">
        <f t="shared" si="1"/>
        <v>0</v>
      </c>
      <c r="AN13" s="116">
        <f t="shared" si="1"/>
        <v>0</v>
      </c>
      <c r="AO13" s="116">
        <f t="shared" si="1"/>
        <v>0</v>
      </c>
      <c r="AP13" s="116">
        <f t="shared" si="1"/>
        <v>0</v>
      </c>
      <c r="AQ13" s="116">
        <f t="shared" si="1"/>
        <v>0</v>
      </c>
      <c r="AR13" s="116">
        <f t="shared" si="1"/>
        <v>0</v>
      </c>
      <c r="AS13" s="116">
        <f t="shared" si="1"/>
        <v>0</v>
      </c>
      <c r="AT13" s="116">
        <f t="shared" si="1"/>
        <v>0</v>
      </c>
      <c r="AU13" s="116">
        <f t="shared" si="1"/>
        <v>0</v>
      </c>
      <c r="AV13" s="116">
        <f t="shared" si="1"/>
        <v>0</v>
      </c>
      <c r="AW13" s="116">
        <f t="shared" si="1"/>
        <v>0</v>
      </c>
      <c r="AX13" s="116">
        <f t="shared" si="1"/>
        <v>0</v>
      </c>
      <c r="AY13" s="116">
        <f t="shared" si="1"/>
        <v>0</v>
      </c>
      <c r="AZ13" s="116">
        <f t="shared" si="1"/>
        <v>0</v>
      </c>
      <c r="BA13" s="116">
        <f t="shared" si="1"/>
        <v>0</v>
      </c>
      <c r="BB13" s="116">
        <f t="shared" si="1"/>
        <v>0</v>
      </c>
      <c r="BC13" s="116">
        <f t="shared" si="1"/>
        <v>0</v>
      </c>
      <c r="BD13" s="116">
        <f t="shared" si="1"/>
        <v>0</v>
      </c>
      <c r="BE13" s="116">
        <f t="shared" si="1"/>
        <v>0</v>
      </c>
      <c r="BF13" s="116"/>
      <c r="BG13" s="116">
        <f t="shared" ref="BG13:BH13" si="2">$BS$42*BG2</f>
        <v>0</v>
      </c>
      <c r="BH13" s="116">
        <f t="shared" si="2"/>
        <v>0</v>
      </c>
      <c r="BI13" s="106"/>
      <c r="BJ13" s="18"/>
      <c r="BK13" s="14"/>
      <c r="BL13" s="14"/>
      <c r="BM13" s="14"/>
      <c r="BN13" s="14"/>
      <c r="BO13" s="14"/>
      <c r="BP13" s="14"/>
      <c r="BQ13" s="14"/>
      <c r="BR13" s="14"/>
      <c r="BS13" s="14"/>
      <c r="BT13" s="14"/>
      <c r="BU13" s="14"/>
      <c r="BV13" s="14"/>
      <c r="BW13" s="14"/>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row>
    <row r="14" spans="1:135" ht="14.25" customHeight="1">
      <c r="A14" s="102"/>
      <c r="B14" s="102"/>
      <c r="C14" s="19" t="s">
        <v>67</v>
      </c>
      <c r="D14" s="102"/>
      <c r="E14" s="102"/>
      <c r="F14" s="19" t="s">
        <v>274</v>
      </c>
      <c r="G14" s="102"/>
      <c r="H14" s="103">
        <f t="shared" ref="H14:K14" si="3">BO41*H2</f>
        <v>4.4398220393857013</v>
      </c>
      <c r="I14" s="116">
        <f t="shared" si="3"/>
        <v>5.1862802415267808</v>
      </c>
      <c r="J14" s="116">
        <f t="shared" si="3"/>
        <v>5.7440879679842816</v>
      </c>
      <c r="K14" s="116">
        <f t="shared" si="3"/>
        <v>6.0910862403981403</v>
      </c>
      <c r="L14" s="116">
        <f t="shared" ref="L14:BE14" si="4">$BS$41*L2</f>
        <v>6.2517962938320411</v>
      </c>
      <c r="M14" s="116">
        <f t="shared" si="4"/>
        <v>6.0244896792312881</v>
      </c>
      <c r="N14" s="116">
        <f t="shared" si="4"/>
        <v>5.7347158430822622</v>
      </c>
      <c r="O14" s="116">
        <f t="shared" si="4"/>
        <v>5.4115999872215772</v>
      </c>
      <c r="P14" s="116">
        <f t="shared" si="4"/>
        <v>4.8472319701126692</v>
      </c>
      <c r="Q14" s="116">
        <f t="shared" si="4"/>
        <v>4.025955351679702</v>
      </c>
      <c r="R14" s="116">
        <f t="shared" si="4"/>
        <v>3.3629857545848276</v>
      </c>
      <c r="S14" s="116">
        <f t="shared" si="4"/>
        <v>2.8222874673784508</v>
      </c>
      <c r="T14" s="116">
        <f t="shared" si="4"/>
        <v>2.174930817198423</v>
      </c>
      <c r="U14" s="116">
        <f t="shared" si="4"/>
        <v>1.5653893265983754</v>
      </c>
      <c r="V14" s="116">
        <f t="shared" si="4"/>
        <v>0.49257772244513659</v>
      </c>
      <c r="W14" s="116">
        <f t="shared" si="4"/>
        <v>7.6402622396332044E-17</v>
      </c>
      <c r="X14" s="116">
        <f t="shared" si="4"/>
        <v>8.48239792947872E-33</v>
      </c>
      <c r="Y14" s="116">
        <f t="shared" si="4"/>
        <v>0</v>
      </c>
      <c r="Z14" s="116">
        <f t="shared" si="4"/>
        <v>0</v>
      </c>
      <c r="AA14" s="116">
        <f t="shared" si="4"/>
        <v>0</v>
      </c>
      <c r="AB14" s="116">
        <f t="shared" si="4"/>
        <v>0</v>
      </c>
      <c r="AC14" s="116">
        <f t="shared" si="4"/>
        <v>0</v>
      </c>
      <c r="AD14" s="116">
        <f t="shared" si="4"/>
        <v>0</v>
      </c>
      <c r="AE14" s="116">
        <f t="shared" si="4"/>
        <v>0</v>
      </c>
      <c r="AF14" s="116">
        <f t="shared" si="4"/>
        <v>0</v>
      </c>
      <c r="AG14" s="116">
        <f t="shared" si="4"/>
        <v>0</v>
      </c>
      <c r="AH14" s="116">
        <f t="shared" si="4"/>
        <v>0</v>
      </c>
      <c r="AI14" s="116">
        <f t="shared" si="4"/>
        <v>0</v>
      </c>
      <c r="AJ14" s="116">
        <f t="shared" si="4"/>
        <v>0</v>
      </c>
      <c r="AK14" s="117">
        <f t="shared" si="4"/>
        <v>0</v>
      </c>
      <c r="AL14" s="116">
        <f t="shared" si="4"/>
        <v>0</v>
      </c>
      <c r="AM14" s="116">
        <f t="shared" si="4"/>
        <v>0</v>
      </c>
      <c r="AN14" s="116">
        <f t="shared" si="4"/>
        <v>0</v>
      </c>
      <c r="AO14" s="116">
        <f t="shared" si="4"/>
        <v>0</v>
      </c>
      <c r="AP14" s="116">
        <f t="shared" si="4"/>
        <v>0</v>
      </c>
      <c r="AQ14" s="116">
        <f t="shared" si="4"/>
        <v>0</v>
      </c>
      <c r="AR14" s="116">
        <f t="shared" si="4"/>
        <v>0</v>
      </c>
      <c r="AS14" s="116">
        <f t="shared" si="4"/>
        <v>0</v>
      </c>
      <c r="AT14" s="116">
        <f t="shared" si="4"/>
        <v>0</v>
      </c>
      <c r="AU14" s="116">
        <f t="shared" si="4"/>
        <v>0</v>
      </c>
      <c r="AV14" s="116">
        <f t="shared" si="4"/>
        <v>0</v>
      </c>
      <c r="AW14" s="116">
        <f t="shared" si="4"/>
        <v>0</v>
      </c>
      <c r="AX14" s="116">
        <f t="shared" si="4"/>
        <v>0</v>
      </c>
      <c r="AY14" s="116">
        <f t="shared" si="4"/>
        <v>0</v>
      </c>
      <c r="AZ14" s="116">
        <f t="shared" si="4"/>
        <v>0</v>
      </c>
      <c r="BA14" s="116">
        <f t="shared" si="4"/>
        <v>0</v>
      </c>
      <c r="BB14" s="116">
        <f t="shared" si="4"/>
        <v>0</v>
      </c>
      <c r="BC14" s="116">
        <f t="shared" si="4"/>
        <v>0</v>
      </c>
      <c r="BD14" s="116">
        <f t="shared" si="4"/>
        <v>0</v>
      </c>
      <c r="BE14" s="116">
        <f t="shared" si="4"/>
        <v>0</v>
      </c>
      <c r="BF14" s="116"/>
      <c r="BG14" s="116">
        <f t="shared" ref="BG14:BH14" si="5">$BS$41*BG2</f>
        <v>0</v>
      </c>
      <c r="BH14" s="116">
        <f t="shared" si="5"/>
        <v>0</v>
      </c>
      <c r="BI14" s="106" t="s">
        <v>275</v>
      </c>
      <c r="BJ14" s="18"/>
      <c r="BK14" s="14"/>
      <c r="BL14" s="14"/>
      <c r="BM14" s="14">
        <v>2021</v>
      </c>
      <c r="BN14" s="14"/>
      <c r="BO14" s="14"/>
      <c r="BP14" s="14"/>
      <c r="BQ14" s="14"/>
      <c r="BR14" s="14"/>
      <c r="BS14" s="14"/>
      <c r="BT14" s="14"/>
      <c r="BU14" s="14"/>
      <c r="BV14" s="14"/>
      <c r="BW14" s="14"/>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row>
    <row r="15" spans="1:135" ht="14.25" customHeight="1">
      <c r="A15" s="125" t="s">
        <v>69</v>
      </c>
      <c r="B15" s="125"/>
      <c r="C15" s="44"/>
      <c r="D15" s="125"/>
      <c r="E15" s="125"/>
      <c r="F15" s="44"/>
      <c r="G15" s="125"/>
      <c r="H15" s="126"/>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7"/>
      <c r="AL15" s="125"/>
      <c r="AM15" s="125"/>
      <c r="AN15" s="125"/>
      <c r="AO15" s="125"/>
      <c r="AP15" s="125"/>
      <c r="AQ15" s="125"/>
      <c r="AR15" s="125"/>
      <c r="AS15" s="125"/>
      <c r="AT15" s="125"/>
      <c r="AU15" s="125"/>
      <c r="AV15" s="125"/>
      <c r="AW15" s="125"/>
      <c r="AX15" s="125"/>
      <c r="AY15" s="125"/>
      <c r="AZ15" s="125"/>
      <c r="BA15" s="125"/>
      <c r="BB15" s="125"/>
      <c r="BC15" s="125"/>
      <c r="BD15" s="125"/>
      <c r="BE15" s="125"/>
      <c r="BF15" s="125"/>
      <c r="BG15" s="125"/>
      <c r="BH15" s="125"/>
      <c r="BI15" s="108"/>
      <c r="BJ15" s="18"/>
      <c r="BK15" s="14" t="s">
        <v>12</v>
      </c>
      <c r="BL15" s="14">
        <f>BL5*(BN5*BP5*BR5*BT5*BV5)/(BN7*BP7*BR7*BT7*BV7)</f>
        <v>12.742240085572519</v>
      </c>
      <c r="BM15" s="40">
        <f>BI24</f>
        <v>0</v>
      </c>
      <c r="BN15" s="14"/>
      <c r="BO15" s="14"/>
      <c r="BP15" s="14"/>
      <c r="BQ15" s="14"/>
      <c r="BR15" s="14"/>
      <c r="BS15" s="14"/>
      <c r="BT15" s="14"/>
      <c r="BU15" s="14"/>
      <c r="BV15" s="14"/>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row>
    <row r="16" spans="1:135" ht="14.25" customHeight="1">
      <c r="A16" s="109"/>
      <c r="B16" s="18" t="s">
        <v>70</v>
      </c>
      <c r="C16" s="19" t="s">
        <v>78</v>
      </c>
      <c r="D16" s="109" t="s">
        <v>276</v>
      </c>
      <c r="E16" s="18" t="s">
        <v>277</v>
      </c>
      <c r="F16" s="19" t="s">
        <v>73</v>
      </c>
      <c r="G16" s="18" t="s">
        <v>153</v>
      </c>
      <c r="H16" s="114"/>
      <c r="I16" s="128">
        <v>3.8999999999997925E-3</v>
      </c>
      <c r="J16" s="128">
        <v>6.5999999999997172E-3</v>
      </c>
      <c r="K16" s="128">
        <v>9.2999999999996419E-3</v>
      </c>
      <c r="L16" s="128">
        <v>1.19999999999996E-2</v>
      </c>
      <c r="M16" s="128">
        <v>1.7000000000000001E-2</v>
      </c>
      <c r="N16" s="128">
        <v>2.1000000000000001E-2</v>
      </c>
      <c r="O16" s="128">
        <v>2.5999999999999999E-2</v>
      </c>
      <c r="P16" s="128">
        <v>3.1E-2</v>
      </c>
      <c r="Q16" s="128">
        <v>4.2000000000000003E-2</v>
      </c>
      <c r="R16" s="128">
        <v>0.06</v>
      </c>
      <c r="S16" s="128">
        <v>8.5000000000000006E-2</v>
      </c>
      <c r="T16" s="128">
        <v>0.11</v>
      </c>
      <c r="U16" s="128">
        <v>0.125</v>
      </c>
      <c r="V16" s="128">
        <v>0.14000000000000001</v>
      </c>
      <c r="W16" s="128">
        <v>0.15</v>
      </c>
      <c r="X16" s="128">
        <v>0.16</v>
      </c>
      <c r="Y16" s="128">
        <v>0.17</v>
      </c>
      <c r="Z16" s="128">
        <v>0.18</v>
      </c>
      <c r="AA16" s="128">
        <v>0.19</v>
      </c>
      <c r="AB16" s="128">
        <v>0.19500000000000001</v>
      </c>
      <c r="AC16" s="129">
        <v>0.2</v>
      </c>
      <c r="AD16" s="129">
        <v>0.20499999999999999</v>
      </c>
      <c r="AE16" s="129">
        <v>0.21</v>
      </c>
      <c r="AF16" s="129">
        <v>0.21199999999999999</v>
      </c>
      <c r="AG16" s="129">
        <v>0.214</v>
      </c>
      <c r="AH16" s="129">
        <v>0.215</v>
      </c>
      <c r="AI16" s="129">
        <v>0.216</v>
      </c>
      <c r="AJ16" s="129">
        <v>0.218</v>
      </c>
      <c r="AK16" s="130">
        <v>0.219</v>
      </c>
      <c r="AL16" s="129">
        <f t="shared" ref="AL16:BD16" si="6">AK16+($BE16-$AK16)/($BE$1-$AK$1)</f>
        <v>0.219</v>
      </c>
      <c r="AM16" s="129">
        <f t="shared" si="6"/>
        <v>0.219</v>
      </c>
      <c r="AN16" s="129">
        <f t="shared" si="6"/>
        <v>0.219</v>
      </c>
      <c r="AO16" s="129">
        <f t="shared" si="6"/>
        <v>0.219</v>
      </c>
      <c r="AP16" s="129">
        <f t="shared" si="6"/>
        <v>0.219</v>
      </c>
      <c r="AQ16" s="129">
        <f t="shared" si="6"/>
        <v>0.219</v>
      </c>
      <c r="AR16" s="129">
        <f t="shared" si="6"/>
        <v>0.219</v>
      </c>
      <c r="AS16" s="129">
        <f t="shared" si="6"/>
        <v>0.219</v>
      </c>
      <c r="AT16" s="129">
        <f t="shared" si="6"/>
        <v>0.219</v>
      </c>
      <c r="AU16" s="129">
        <f t="shared" si="6"/>
        <v>0.219</v>
      </c>
      <c r="AV16" s="129">
        <f t="shared" si="6"/>
        <v>0.219</v>
      </c>
      <c r="AW16" s="129">
        <f t="shared" si="6"/>
        <v>0.219</v>
      </c>
      <c r="AX16" s="129">
        <f t="shared" si="6"/>
        <v>0.219</v>
      </c>
      <c r="AY16" s="129">
        <f t="shared" si="6"/>
        <v>0.219</v>
      </c>
      <c r="AZ16" s="129">
        <f t="shared" si="6"/>
        <v>0.219</v>
      </c>
      <c r="BA16" s="129">
        <f t="shared" si="6"/>
        <v>0.219</v>
      </c>
      <c r="BB16" s="129">
        <f t="shared" si="6"/>
        <v>0.219</v>
      </c>
      <c r="BC16" s="129">
        <f t="shared" si="6"/>
        <v>0.219</v>
      </c>
      <c r="BD16" s="129">
        <f t="shared" si="6"/>
        <v>0.219</v>
      </c>
      <c r="BE16" s="129">
        <v>0.219</v>
      </c>
      <c r="BF16" s="129"/>
      <c r="BG16" s="129">
        <v>0.219</v>
      </c>
      <c r="BH16" s="131"/>
      <c r="BI16" s="108"/>
      <c r="BJ16" s="18" t="s">
        <v>278</v>
      </c>
      <c r="BK16" s="14"/>
      <c r="BL16" s="14"/>
      <c r="BM16" s="14"/>
      <c r="BN16" s="14"/>
      <c r="BO16" s="14"/>
      <c r="BP16" s="14"/>
      <c r="BQ16" s="14"/>
      <c r="BR16" s="14"/>
      <c r="BS16" s="14"/>
      <c r="BT16" s="14"/>
      <c r="BU16" s="14"/>
      <c r="BV16" s="14"/>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row>
    <row r="17" spans="1:134" ht="14.25" customHeight="1">
      <c r="A17" s="109"/>
      <c r="B17" s="18" t="s">
        <v>70</v>
      </c>
      <c r="C17" s="19" t="s">
        <v>78</v>
      </c>
      <c r="D17" s="109" t="s">
        <v>279</v>
      </c>
      <c r="E17" s="18" t="s">
        <v>280</v>
      </c>
      <c r="F17" s="19" t="s">
        <v>73</v>
      </c>
      <c r="G17" s="18" t="s">
        <v>281</v>
      </c>
      <c r="H17" s="114"/>
      <c r="I17" s="128">
        <v>2E-3</v>
      </c>
      <c r="J17" s="128">
        <v>4.0000000000000001E-3</v>
      </c>
      <c r="K17" s="128">
        <v>6.0000000000000001E-3</v>
      </c>
      <c r="L17" s="128">
        <v>8.0000000000000002E-3</v>
      </c>
      <c r="M17" s="128">
        <v>0.01</v>
      </c>
      <c r="N17" s="128">
        <v>1.2E-2</v>
      </c>
      <c r="O17" s="128">
        <v>1.4E-2</v>
      </c>
      <c r="P17" s="128">
        <v>1.4999999999999999E-2</v>
      </c>
      <c r="Q17" s="128">
        <v>1.7000000000000001E-2</v>
      </c>
      <c r="R17" s="128">
        <v>1.7999999999999999E-2</v>
      </c>
      <c r="S17" s="128">
        <v>0.02</v>
      </c>
      <c r="T17" s="128">
        <v>2.1999999999999999E-2</v>
      </c>
      <c r="U17" s="128">
        <v>2.3E-2</v>
      </c>
      <c r="V17" s="128">
        <v>2.5000000000000001E-2</v>
      </c>
      <c r="W17" s="128">
        <v>2.5999999999999999E-2</v>
      </c>
      <c r="X17" s="128">
        <v>2.7E-2</v>
      </c>
      <c r="Y17" s="128">
        <v>2.8000000000000001E-2</v>
      </c>
      <c r="Z17" s="128">
        <v>2.8000000000000001E-2</v>
      </c>
      <c r="AA17" s="128">
        <v>2.9000000000000001E-2</v>
      </c>
      <c r="AB17" s="128">
        <v>2.9000000000000001E-2</v>
      </c>
      <c r="AC17" s="129">
        <v>2.9000000000000001E-2</v>
      </c>
      <c r="AD17" s="129">
        <v>2.9000000000000001E-2</v>
      </c>
      <c r="AE17" s="129">
        <v>2.9000000000000001E-2</v>
      </c>
      <c r="AF17" s="129">
        <v>2.9000000000000001E-2</v>
      </c>
      <c r="AG17" s="129">
        <v>2.9000000000000001E-2</v>
      </c>
      <c r="AH17" s="129">
        <v>0.03</v>
      </c>
      <c r="AI17" s="129">
        <v>0.03</v>
      </c>
      <c r="AJ17" s="129">
        <v>0.03</v>
      </c>
      <c r="AK17" s="130">
        <v>0.03</v>
      </c>
      <c r="AL17" s="129">
        <v>3.2000000000000001E-2</v>
      </c>
      <c r="AM17" s="129">
        <v>3.2000000000000001E-2</v>
      </c>
      <c r="AN17" s="129">
        <v>3.2000000000000001E-2</v>
      </c>
      <c r="AO17" s="129">
        <v>3.2000000000000001E-2</v>
      </c>
      <c r="AP17" s="129">
        <v>3.3000000000000002E-2</v>
      </c>
      <c r="AQ17" s="129">
        <v>3.3000000000000002E-2</v>
      </c>
      <c r="AR17" s="129">
        <v>3.3000000000000002E-2</v>
      </c>
      <c r="AS17" s="129">
        <v>3.3000000000000002E-2</v>
      </c>
      <c r="AT17" s="129">
        <v>3.3000000000000002E-2</v>
      </c>
      <c r="AU17" s="129">
        <v>3.3000000000000002E-2</v>
      </c>
      <c r="AV17" s="129">
        <v>3.3000000000000002E-2</v>
      </c>
      <c r="AW17" s="129">
        <v>3.3000000000000002E-2</v>
      </c>
      <c r="AX17" s="129">
        <v>3.3000000000000002E-2</v>
      </c>
      <c r="AY17" s="129">
        <v>3.3000000000000002E-2</v>
      </c>
      <c r="AZ17" s="129">
        <v>3.4000000000000002E-2</v>
      </c>
      <c r="BA17" s="129">
        <v>3.4000000000000002E-2</v>
      </c>
      <c r="BB17" s="129">
        <v>3.4000000000000002E-2</v>
      </c>
      <c r="BC17" s="129">
        <v>3.4000000000000002E-2</v>
      </c>
      <c r="BD17" s="129">
        <v>3.4000000000000002E-2</v>
      </c>
      <c r="BE17" s="129">
        <v>0.03</v>
      </c>
      <c r="BF17" s="129"/>
      <c r="BG17" s="129">
        <v>0.03</v>
      </c>
      <c r="BH17" s="131"/>
      <c r="BI17" s="108"/>
      <c r="BJ17" s="18" t="s">
        <v>278</v>
      </c>
      <c r="BK17" s="14"/>
      <c r="BL17" s="14"/>
      <c r="BM17" s="14"/>
      <c r="BN17" s="14"/>
      <c r="BO17" s="14"/>
      <c r="BP17" s="14"/>
      <c r="BQ17" s="14"/>
      <c r="BR17" s="14"/>
      <c r="BS17" s="14"/>
      <c r="BT17" s="14"/>
      <c r="BU17" s="14"/>
      <c r="BV17" s="14"/>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row>
    <row r="18" spans="1:134" ht="13.5" customHeight="1">
      <c r="A18" s="109"/>
      <c r="B18" s="18" t="s">
        <v>70</v>
      </c>
      <c r="C18" s="19" t="s">
        <v>282</v>
      </c>
      <c r="D18" s="109" t="s">
        <v>283</v>
      </c>
      <c r="E18" s="18"/>
      <c r="F18" s="19" t="s">
        <v>73</v>
      </c>
      <c r="G18" s="18" t="s">
        <v>153</v>
      </c>
      <c r="H18" s="114"/>
      <c r="I18" s="128">
        <v>1.2499999999997513E-3</v>
      </c>
      <c r="J18" s="128">
        <v>2.4999999999999467E-3</v>
      </c>
      <c r="K18" s="128">
        <v>3.7500000000001421E-3</v>
      </c>
      <c r="L18" s="128">
        <v>5.0000000000000001E-3</v>
      </c>
      <c r="M18" s="128">
        <v>7.0000000000000001E-3</v>
      </c>
      <c r="N18" s="128">
        <v>8.9999999999999993E-3</v>
      </c>
      <c r="O18" s="128">
        <v>1.0999999999999999E-2</v>
      </c>
      <c r="P18" s="128">
        <v>1.2999999999999999E-2</v>
      </c>
      <c r="Q18" s="128">
        <v>1.4999999999999999E-2</v>
      </c>
      <c r="R18" s="128">
        <v>1.6E-2</v>
      </c>
      <c r="S18" s="128">
        <v>1.7000000000000001E-2</v>
      </c>
      <c r="T18" s="128">
        <v>1.7999999999999999E-2</v>
      </c>
      <c r="U18" s="128">
        <v>1.9E-2</v>
      </c>
      <c r="V18" s="128">
        <v>0.02</v>
      </c>
      <c r="W18" s="128">
        <v>2.1000000000000001E-2</v>
      </c>
      <c r="X18" s="128">
        <v>2.1000000000000001E-2</v>
      </c>
      <c r="Y18" s="128">
        <v>2.1999999999999999E-2</v>
      </c>
      <c r="Z18" s="128">
        <v>2.1999999999999999E-2</v>
      </c>
      <c r="AA18" s="128">
        <v>2.2800000000000001E-2</v>
      </c>
      <c r="AB18" s="128">
        <v>2.3E-2</v>
      </c>
      <c r="AC18" s="129">
        <v>2.3E-2</v>
      </c>
      <c r="AD18" s="129">
        <v>2.3E-2</v>
      </c>
      <c r="AE18" s="129">
        <v>2.3E-2</v>
      </c>
      <c r="AF18" s="129">
        <v>2.35E-2</v>
      </c>
      <c r="AG18" s="129">
        <v>2.3599999999999999E-2</v>
      </c>
      <c r="AH18" s="129">
        <v>2.3699999999999999E-2</v>
      </c>
      <c r="AI18" s="129">
        <v>2.3800000000000002E-2</v>
      </c>
      <c r="AJ18" s="129">
        <v>2.3900000000000001E-2</v>
      </c>
      <c r="AK18" s="130">
        <v>2.4E-2</v>
      </c>
      <c r="AL18" s="129">
        <f t="shared" ref="AL18:AY18" si="7">AK18+($BE18-$AK18)/($BE$1-$AK$1)</f>
        <v>2.4050000000000002E-2</v>
      </c>
      <c r="AM18" s="129">
        <f t="shared" si="7"/>
        <v>2.4100000000000003E-2</v>
      </c>
      <c r="AN18" s="129">
        <f t="shared" si="7"/>
        <v>2.4150000000000005E-2</v>
      </c>
      <c r="AO18" s="129">
        <f t="shared" si="7"/>
        <v>2.4200000000000006E-2</v>
      </c>
      <c r="AP18" s="129">
        <f t="shared" si="7"/>
        <v>2.4250000000000008E-2</v>
      </c>
      <c r="AQ18" s="129">
        <f t="shared" si="7"/>
        <v>2.4300000000000009E-2</v>
      </c>
      <c r="AR18" s="129">
        <f t="shared" si="7"/>
        <v>2.4350000000000011E-2</v>
      </c>
      <c r="AS18" s="129">
        <f t="shared" si="7"/>
        <v>2.4400000000000012E-2</v>
      </c>
      <c r="AT18" s="129">
        <f t="shared" si="7"/>
        <v>2.4450000000000013E-2</v>
      </c>
      <c r="AU18" s="129">
        <f t="shared" si="7"/>
        <v>2.4500000000000015E-2</v>
      </c>
      <c r="AV18" s="129">
        <f t="shared" si="7"/>
        <v>2.4550000000000016E-2</v>
      </c>
      <c r="AW18" s="129">
        <f t="shared" si="7"/>
        <v>2.4600000000000018E-2</v>
      </c>
      <c r="AX18" s="129">
        <f t="shared" si="7"/>
        <v>2.4650000000000019E-2</v>
      </c>
      <c r="AY18" s="129">
        <f t="shared" si="7"/>
        <v>2.4700000000000021E-2</v>
      </c>
      <c r="AZ18" s="129">
        <v>2.4E-2</v>
      </c>
      <c r="BA18" s="129">
        <f t="shared" ref="BA18:BD18" si="8">AZ18+($BE18-$AK18)/($BE$1-$AK$1)</f>
        <v>2.4050000000000002E-2</v>
      </c>
      <c r="BB18" s="129">
        <f t="shared" si="8"/>
        <v>2.4100000000000003E-2</v>
      </c>
      <c r="BC18" s="129">
        <f t="shared" si="8"/>
        <v>2.4150000000000005E-2</v>
      </c>
      <c r="BD18" s="129">
        <f t="shared" si="8"/>
        <v>2.4200000000000006E-2</v>
      </c>
      <c r="BE18" s="129">
        <v>2.5000000000000001E-2</v>
      </c>
      <c r="BF18" s="129"/>
      <c r="BG18" s="129">
        <v>2.4E-2</v>
      </c>
      <c r="BH18" s="131"/>
      <c r="BI18" s="108"/>
      <c r="BJ18" s="18" t="s">
        <v>284</v>
      </c>
      <c r="BK18" s="14"/>
      <c r="BL18" s="14"/>
      <c r="BM18" s="14"/>
      <c r="BN18" s="14"/>
      <c r="BO18" s="14"/>
      <c r="BP18" s="14"/>
      <c r="BQ18" s="14"/>
      <c r="BR18" s="132" t="s">
        <v>285</v>
      </c>
      <c r="BS18" s="14"/>
      <c r="BT18" s="14"/>
      <c r="BU18" s="14"/>
      <c r="BV18" s="14"/>
      <c r="BW18" s="14"/>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row>
    <row r="19" spans="1:134" ht="13.5" customHeight="1">
      <c r="A19" s="109"/>
      <c r="B19" s="18" t="s">
        <v>70</v>
      </c>
      <c r="C19" s="19" t="s">
        <v>98</v>
      </c>
      <c r="D19" s="109" t="s">
        <v>286</v>
      </c>
      <c r="E19" s="18" t="s">
        <v>287</v>
      </c>
      <c r="F19" s="19" t="s">
        <v>73</v>
      </c>
      <c r="G19" s="18"/>
      <c r="H19" s="114"/>
      <c r="I19" s="128">
        <v>0.03</v>
      </c>
      <c r="J19" s="128">
        <v>2.5000000000000001E-2</v>
      </c>
      <c r="K19" s="128">
        <v>0.02</v>
      </c>
      <c r="L19" s="128">
        <v>1.6E-2</v>
      </c>
      <c r="M19" s="128">
        <v>1.2999999999999999E-2</v>
      </c>
      <c r="N19" s="128">
        <v>1.15E-2</v>
      </c>
      <c r="O19" s="128">
        <v>0.01</v>
      </c>
      <c r="P19" s="128">
        <v>8.9999999999999993E-3</v>
      </c>
      <c r="Q19" s="128">
        <v>8.0000000000000002E-3</v>
      </c>
      <c r="R19" s="128">
        <v>8.0000000000000002E-3</v>
      </c>
      <c r="S19" s="128">
        <v>8.0000000000000002E-3</v>
      </c>
      <c r="T19" s="128">
        <v>8.0000000000000002E-3</v>
      </c>
      <c r="U19" s="128">
        <v>8.0000000000000002E-3</v>
      </c>
      <c r="V19" s="128">
        <v>7.0000000000000001E-3</v>
      </c>
      <c r="W19" s="128">
        <v>7.0000000000000001E-3</v>
      </c>
      <c r="X19" s="128">
        <v>7.0000000000000001E-3</v>
      </c>
      <c r="Y19" s="128">
        <v>7.0000000000000001E-3</v>
      </c>
      <c r="Z19" s="128">
        <v>7.0000000000000001E-3</v>
      </c>
      <c r="AA19" s="128">
        <v>6.0000000000000001E-3</v>
      </c>
      <c r="AB19" s="128">
        <v>6.0000000000000001E-3</v>
      </c>
      <c r="AC19" s="129">
        <v>6.0000000000000001E-3</v>
      </c>
      <c r="AD19" s="129">
        <v>5.0000000000000001E-3</v>
      </c>
      <c r="AE19" s="129">
        <v>5.0000000000000001E-3</v>
      </c>
      <c r="AF19" s="129">
        <v>5.0000000000000001E-3</v>
      </c>
      <c r="AG19" s="129">
        <v>5.0000000000000001E-3</v>
      </c>
      <c r="AH19" s="129">
        <v>4.0000000000000001E-3</v>
      </c>
      <c r="AI19" s="129">
        <v>4.0000000000000001E-3</v>
      </c>
      <c r="AJ19" s="129">
        <v>4.0000000000000001E-3</v>
      </c>
      <c r="AK19" s="130">
        <v>0</v>
      </c>
      <c r="AL19" s="129">
        <f t="shared" ref="AL19:BE19" si="9">AK19</f>
        <v>0</v>
      </c>
      <c r="AM19" s="129">
        <f t="shared" si="9"/>
        <v>0</v>
      </c>
      <c r="AN19" s="129">
        <f t="shared" si="9"/>
        <v>0</v>
      </c>
      <c r="AO19" s="129">
        <f t="shared" si="9"/>
        <v>0</v>
      </c>
      <c r="AP19" s="129">
        <f t="shared" si="9"/>
        <v>0</v>
      </c>
      <c r="AQ19" s="129">
        <f t="shared" si="9"/>
        <v>0</v>
      </c>
      <c r="AR19" s="129">
        <f t="shared" si="9"/>
        <v>0</v>
      </c>
      <c r="AS19" s="129">
        <f t="shared" si="9"/>
        <v>0</v>
      </c>
      <c r="AT19" s="129">
        <f t="shared" si="9"/>
        <v>0</v>
      </c>
      <c r="AU19" s="129">
        <f t="shared" si="9"/>
        <v>0</v>
      </c>
      <c r="AV19" s="129">
        <f t="shared" si="9"/>
        <v>0</v>
      </c>
      <c r="AW19" s="129">
        <f t="shared" si="9"/>
        <v>0</v>
      </c>
      <c r="AX19" s="129">
        <f t="shared" si="9"/>
        <v>0</v>
      </c>
      <c r="AY19" s="129">
        <f t="shared" si="9"/>
        <v>0</v>
      </c>
      <c r="AZ19" s="129">
        <f t="shared" si="9"/>
        <v>0</v>
      </c>
      <c r="BA19" s="129">
        <f t="shared" si="9"/>
        <v>0</v>
      </c>
      <c r="BB19" s="129">
        <f t="shared" si="9"/>
        <v>0</v>
      </c>
      <c r="BC19" s="129">
        <f t="shared" si="9"/>
        <v>0</v>
      </c>
      <c r="BD19" s="129">
        <f t="shared" si="9"/>
        <v>0</v>
      </c>
      <c r="BE19" s="129">
        <f t="shared" si="9"/>
        <v>0</v>
      </c>
      <c r="BF19" s="129"/>
      <c r="BG19" s="129">
        <v>4.0000000000000001E-3</v>
      </c>
      <c r="BH19" s="131"/>
      <c r="BI19" s="108"/>
      <c r="BJ19" s="18" t="s">
        <v>278</v>
      </c>
      <c r="BK19" s="14"/>
      <c r="BL19" s="133" t="s">
        <v>11</v>
      </c>
      <c r="BM19" s="134">
        <v>5.8065553845323302E-3</v>
      </c>
      <c r="BN19" s="135" t="s">
        <v>12</v>
      </c>
      <c r="BO19" s="14"/>
      <c r="BP19" s="14"/>
      <c r="BQ19" s="14"/>
      <c r="BR19" s="14">
        <v>1045</v>
      </c>
      <c r="BS19" s="14">
        <v>1135</v>
      </c>
      <c r="BT19" s="14">
        <v>1063</v>
      </c>
      <c r="BU19" s="14"/>
      <c r="BV19" s="14"/>
      <c r="BW19" s="14"/>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row>
    <row r="20" spans="1:134" ht="14.25" customHeight="1">
      <c r="A20" s="109"/>
      <c r="B20" s="18" t="s">
        <v>70</v>
      </c>
      <c r="C20" s="19" t="s">
        <v>78</v>
      </c>
      <c r="D20" s="109" t="s">
        <v>102</v>
      </c>
      <c r="E20" s="18" t="s">
        <v>103</v>
      </c>
      <c r="F20" s="19" t="s">
        <v>73</v>
      </c>
      <c r="G20" s="18"/>
      <c r="H20" s="114"/>
      <c r="I20" s="128">
        <v>0</v>
      </c>
      <c r="J20" s="128">
        <v>0</v>
      </c>
      <c r="K20" s="128">
        <v>0</v>
      </c>
      <c r="L20" s="128">
        <v>0</v>
      </c>
      <c r="M20" s="128">
        <v>0</v>
      </c>
      <c r="N20" s="128">
        <v>0</v>
      </c>
      <c r="O20" s="128">
        <v>5.0000000000000001E-3</v>
      </c>
      <c r="P20" s="128">
        <v>5.0000000000000001E-3</v>
      </c>
      <c r="Q20" s="128">
        <v>5.0000000000000001E-3</v>
      </c>
      <c r="R20" s="128">
        <v>5.0000000000000001E-3</v>
      </c>
      <c r="S20" s="128">
        <v>5.0000000000000001E-3</v>
      </c>
      <c r="T20" s="128">
        <v>8.0000000000000002E-3</v>
      </c>
      <c r="U20" s="128">
        <v>8.0000000000000002E-3</v>
      </c>
      <c r="V20" s="128">
        <v>8.0000000000000002E-3</v>
      </c>
      <c r="W20" s="128">
        <v>8.0000000000000002E-3</v>
      </c>
      <c r="X20" s="128">
        <v>8.0000000000000002E-3</v>
      </c>
      <c r="Y20" s="128">
        <v>8.0000000000000002E-3</v>
      </c>
      <c r="Z20" s="128">
        <v>8.0000000000000002E-3</v>
      </c>
      <c r="AA20" s="128">
        <v>1.03E-2</v>
      </c>
      <c r="AB20" s="128">
        <v>1.03E-2</v>
      </c>
      <c r="AC20" s="136">
        <v>1.03E-2</v>
      </c>
      <c r="AD20" s="136">
        <v>1.03E-2</v>
      </c>
      <c r="AE20" s="136">
        <v>1.03E-2</v>
      </c>
      <c r="AF20" s="136">
        <v>1.03E-2</v>
      </c>
      <c r="AG20" s="136">
        <v>1.03E-2</v>
      </c>
      <c r="AH20" s="136">
        <v>1.03E-2</v>
      </c>
      <c r="AI20" s="136">
        <v>1.03E-2</v>
      </c>
      <c r="AJ20" s="136">
        <v>1.03E-2</v>
      </c>
      <c r="AK20" s="130">
        <v>1.03E-2</v>
      </c>
      <c r="AL20" s="129">
        <f t="shared" ref="AL20:BE20" si="10">AK20</f>
        <v>1.03E-2</v>
      </c>
      <c r="AM20" s="129">
        <f t="shared" si="10"/>
        <v>1.03E-2</v>
      </c>
      <c r="AN20" s="129">
        <f t="shared" si="10"/>
        <v>1.03E-2</v>
      </c>
      <c r="AO20" s="129">
        <f t="shared" si="10"/>
        <v>1.03E-2</v>
      </c>
      <c r="AP20" s="129">
        <f t="shared" si="10"/>
        <v>1.03E-2</v>
      </c>
      <c r="AQ20" s="129">
        <f t="shared" si="10"/>
        <v>1.03E-2</v>
      </c>
      <c r="AR20" s="129">
        <f t="shared" si="10"/>
        <v>1.03E-2</v>
      </c>
      <c r="AS20" s="129">
        <f t="shared" si="10"/>
        <v>1.03E-2</v>
      </c>
      <c r="AT20" s="129">
        <f t="shared" si="10"/>
        <v>1.03E-2</v>
      </c>
      <c r="AU20" s="129">
        <f t="shared" si="10"/>
        <v>1.03E-2</v>
      </c>
      <c r="AV20" s="129">
        <f t="shared" si="10"/>
        <v>1.03E-2</v>
      </c>
      <c r="AW20" s="129">
        <f t="shared" si="10"/>
        <v>1.03E-2</v>
      </c>
      <c r="AX20" s="129">
        <f t="shared" si="10"/>
        <v>1.03E-2</v>
      </c>
      <c r="AY20" s="129">
        <f t="shared" si="10"/>
        <v>1.03E-2</v>
      </c>
      <c r="AZ20" s="129">
        <f t="shared" si="10"/>
        <v>1.03E-2</v>
      </c>
      <c r="BA20" s="129">
        <f t="shared" si="10"/>
        <v>1.03E-2</v>
      </c>
      <c r="BB20" s="129">
        <f t="shared" si="10"/>
        <v>1.03E-2</v>
      </c>
      <c r="BC20" s="129">
        <f t="shared" si="10"/>
        <v>1.03E-2</v>
      </c>
      <c r="BD20" s="129">
        <f t="shared" si="10"/>
        <v>1.03E-2</v>
      </c>
      <c r="BE20" s="129">
        <f t="shared" si="10"/>
        <v>1.03E-2</v>
      </c>
      <c r="BF20" s="129"/>
      <c r="BG20" s="129">
        <v>1.7999999999999999E-2</v>
      </c>
      <c r="BH20" s="131"/>
      <c r="BI20" s="108"/>
      <c r="BJ20" s="18" t="s">
        <v>278</v>
      </c>
      <c r="BK20" s="14"/>
      <c r="BL20" s="14"/>
      <c r="BM20" s="14"/>
      <c r="BN20" s="14"/>
      <c r="BO20" s="14"/>
      <c r="BP20" s="14"/>
      <c r="BQ20" s="14"/>
      <c r="BR20" s="14">
        <f t="shared" ref="BR20:BT20" si="11">BR19*1.015*0.005807</f>
        <v>6.1593397249999997</v>
      </c>
      <c r="BS20" s="14">
        <f t="shared" si="11"/>
        <v>6.6898091749999988</v>
      </c>
      <c r="BT20" s="14">
        <f t="shared" si="11"/>
        <v>6.2654336149999992</v>
      </c>
      <c r="BU20" s="14"/>
      <c r="BV20" s="14"/>
      <c r="BW20" s="14"/>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row>
    <row r="21" spans="1:134" ht="14.25" customHeight="1">
      <c r="A21" s="109"/>
      <c r="B21" s="18" t="s">
        <v>70</v>
      </c>
      <c r="C21" s="19" t="s">
        <v>124</v>
      </c>
      <c r="D21" s="109" t="s">
        <v>288</v>
      </c>
      <c r="E21" s="18" t="s">
        <v>289</v>
      </c>
      <c r="F21" s="19" t="s">
        <v>73</v>
      </c>
      <c r="G21" s="18"/>
      <c r="H21" s="114"/>
      <c r="I21" s="137">
        <v>1E-3</v>
      </c>
      <c r="J21" s="137">
        <v>2.8999999999999998E-3</v>
      </c>
      <c r="K21" s="137">
        <v>6.7999999999999996E-3</v>
      </c>
      <c r="L21" s="137">
        <v>9.9000000000000008E-3</v>
      </c>
      <c r="M21" s="137">
        <v>1.2999999999999999E-2</v>
      </c>
      <c r="N21" s="137">
        <v>1.6400000000000001E-2</v>
      </c>
      <c r="O21" s="137">
        <v>1.9599999999999999E-2</v>
      </c>
      <c r="P21" s="137">
        <v>2.3599999999999999E-2</v>
      </c>
      <c r="Q21" s="137">
        <v>2.7400000000000001E-2</v>
      </c>
      <c r="R21" s="137">
        <v>3.1099999999999999E-2</v>
      </c>
      <c r="S21" s="137">
        <v>3.4500000000000003E-2</v>
      </c>
      <c r="T21" s="137">
        <v>3.6999999999999998E-2</v>
      </c>
      <c r="U21" s="137">
        <v>3.9300000000000002E-2</v>
      </c>
      <c r="V21" s="137">
        <v>4.07E-2</v>
      </c>
      <c r="W21" s="137">
        <v>4.2000000000000003E-2</v>
      </c>
      <c r="X21" s="137">
        <v>4.2500000000000003E-2</v>
      </c>
      <c r="Y21" s="137">
        <v>4.36E-2</v>
      </c>
      <c r="Z21" s="137">
        <v>4.4600000000000001E-2</v>
      </c>
      <c r="AA21" s="137">
        <v>4.48E-2</v>
      </c>
      <c r="AB21" s="137">
        <v>4.53E-2</v>
      </c>
      <c r="AC21" s="137">
        <v>4.6899999999999997E-2</v>
      </c>
      <c r="AD21" s="137">
        <v>4.8800000000000003E-2</v>
      </c>
      <c r="AE21" s="137">
        <v>5.0700000000000002E-2</v>
      </c>
      <c r="AF21" s="137">
        <v>5.3400000000000003E-2</v>
      </c>
      <c r="AG21" s="137">
        <v>5.6000000000000001E-2</v>
      </c>
      <c r="AH21" s="137">
        <v>5.7799999999999997E-2</v>
      </c>
      <c r="AI21" s="137">
        <v>5.9900000000000002E-2</v>
      </c>
      <c r="AJ21" s="137">
        <v>6.1400000000000003E-2</v>
      </c>
      <c r="AK21" s="137">
        <v>6.1899999999999997E-2</v>
      </c>
      <c r="AL21" s="137">
        <v>6.1899999999999997E-2</v>
      </c>
      <c r="AM21" s="137">
        <v>6.1899999999999997E-2</v>
      </c>
      <c r="AN21" s="137">
        <v>6.1899999999999997E-2</v>
      </c>
      <c r="AO21" s="137">
        <v>6.1899999999999997E-2</v>
      </c>
      <c r="AP21" s="137">
        <v>6.1899999999999997E-2</v>
      </c>
      <c r="AQ21" s="137">
        <v>6.1899999999999997E-2</v>
      </c>
      <c r="AR21" s="137">
        <v>6.1899999999999997E-2</v>
      </c>
      <c r="AS21" s="137">
        <v>6.1899999999999997E-2</v>
      </c>
      <c r="AT21" s="137">
        <v>6.1899999999999997E-2</v>
      </c>
      <c r="AU21" s="137">
        <v>6.1899999999999997E-2</v>
      </c>
      <c r="AV21" s="137">
        <v>6.1899999999999997E-2</v>
      </c>
      <c r="AW21" s="137">
        <v>6.1899999999999997E-2</v>
      </c>
      <c r="AX21" s="137">
        <v>6.1899999999999997E-2</v>
      </c>
      <c r="AY21" s="137">
        <v>6.1899999999999997E-2</v>
      </c>
      <c r="AZ21" s="137">
        <v>6.1899999999999997E-2</v>
      </c>
      <c r="BA21" s="137">
        <v>6.1899999999999997E-2</v>
      </c>
      <c r="BB21" s="137">
        <v>6.1899999999999997E-2</v>
      </c>
      <c r="BC21" s="137">
        <v>6.1899999999999997E-2</v>
      </c>
      <c r="BD21" s="137">
        <v>6.1899999999999997E-2</v>
      </c>
      <c r="BE21" s="137">
        <v>6.1899999999999997E-2</v>
      </c>
      <c r="BF21" s="129"/>
      <c r="BG21" s="129">
        <v>7.0000000000000001E-3</v>
      </c>
      <c r="BH21" s="131"/>
      <c r="BI21" s="108"/>
      <c r="BJ21" s="18" t="s">
        <v>278</v>
      </c>
      <c r="BK21" s="14"/>
      <c r="BL21" s="14"/>
      <c r="BM21" s="14"/>
      <c r="BN21" s="14"/>
      <c r="BO21" s="14"/>
      <c r="BP21" s="14"/>
      <c r="BQ21" s="14"/>
      <c r="BR21" s="14">
        <f>BR19*0.005807</f>
        <v>6.0683149999999992</v>
      </c>
      <c r="BS21" s="14"/>
      <c r="BT21" s="14"/>
      <c r="BU21" s="14"/>
      <c r="BV21" s="14"/>
      <c r="BW21" s="14"/>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row>
    <row r="22" spans="1:134" ht="14.25" customHeight="1">
      <c r="A22" s="109"/>
      <c r="B22" s="18" t="s">
        <v>129</v>
      </c>
      <c r="C22" s="19" t="s">
        <v>130</v>
      </c>
      <c r="D22" s="109" t="s">
        <v>131</v>
      </c>
      <c r="E22" s="18"/>
      <c r="F22" s="19" t="s">
        <v>132</v>
      </c>
      <c r="G22" s="18"/>
      <c r="H22" s="114"/>
      <c r="I22" s="128">
        <v>0</v>
      </c>
      <c r="J22" s="128">
        <v>0.123333333333358</v>
      </c>
      <c r="K22" s="128">
        <v>0.246666666666679</v>
      </c>
      <c r="L22" s="128">
        <v>0.37</v>
      </c>
      <c r="M22" s="128">
        <v>0.37</v>
      </c>
      <c r="N22" s="128">
        <v>0.37</v>
      </c>
      <c r="O22" s="128">
        <v>0.37</v>
      </c>
      <c r="P22" s="128">
        <v>0.37</v>
      </c>
      <c r="Q22" s="128">
        <v>0.37</v>
      </c>
      <c r="R22" s="128">
        <v>0.37</v>
      </c>
      <c r="S22" s="128">
        <v>0.37</v>
      </c>
      <c r="T22" s="128">
        <v>0.37</v>
      </c>
      <c r="U22" s="128">
        <v>0.37</v>
      </c>
      <c r="V22" s="128">
        <v>0.37</v>
      </c>
      <c r="W22" s="128">
        <v>0.37</v>
      </c>
      <c r="X22" s="128">
        <v>0.37</v>
      </c>
      <c r="Y22" s="128">
        <v>0.37</v>
      </c>
      <c r="Z22" s="128">
        <v>0.37</v>
      </c>
      <c r="AA22" s="128">
        <v>0.37</v>
      </c>
      <c r="AB22" s="128">
        <v>0.37</v>
      </c>
      <c r="AC22" s="128">
        <v>0.37</v>
      </c>
      <c r="AD22" s="128">
        <v>0.37</v>
      </c>
      <c r="AE22" s="128">
        <v>0.37</v>
      </c>
      <c r="AF22" s="128">
        <v>0.37</v>
      </c>
      <c r="AG22" s="128">
        <v>0.37</v>
      </c>
      <c r="AH22" s="128">
        <v>0.37</v>
      </c>
      <c r="AI22" s="128">
        <v>0.37</v>
      </c>
      <c r="AJ22" s="128">
        <v>0.37</v>
      </c>
      <c r="AK22" s="138">
        <v>0.37</v>
      </c>
      <c r="AL22" s="128">
        <v>0.37</v>
      </c>
      <c r="AM22" s="128">
        <v>0.37</v>
      </c>
      <c r="AN22" s="128">
        <v>0.37</v>
      </c>
      <c r="AO22" s="128">
        <v>0.37</v>
      </c>
      <c r="AP22" s="128">
        <v>0.37</v>
      </c>
      <c r="AQ22" s="128">
        <v>0.37</v>
      </c>
      <c r="AR22" s="128">
        <v>0.37</v>
      </c>
      <c r="AS22" s="128">
        <v>0.37</v>
      </c>
      <c r="AT22" s="128">
        <v>0.37</v>
      </c>
      <c r="AU22" s="128">
        <v>0.37</v>
      </c>
      <c r="AV22" s="128">
        <v>0.37</v>
      </c>
      <c r="AW22" s="128">
        <v>0.37</v>
      </c>
      <c r="AX22" s="128">
        <v>0.37</v>
      </c>
      <c r="AY22" s="128">
        <v>0.37</v>
      </c>
      <c r="AZ22" s="128">
        <v>0.37</v>
      </c>
      <c r="BA22" s="128">
        <v>0.37</v>
      </c>
      <c r="BB22" s="128">
        <v>0.37</v>
      </c>
      <c r="BC22" s="128">
        <v>0.37</v>
      </c>
      <c r="BD22" s="128">
        <v>0.37</v>
      </c>
      <c r="BE22" s="128">
        <v>0.37</v>
      </c>
      <c r="BF22" s="128"/>
      <c r="BG22" s="128">
        <v>0.37</v>
      </c>
      <c r="BH22" s="131"/>
      <c r="BI22" s="18"/>
      <c r="BJ22" s="18"/>
      <c r="BK22" s="14"/>
      <c r="BL22" s="14">
        <f>4127.7*BM19</f>
        <v>23.967718660734096</v>
      </c>
      <c r="BM22" s="14"/>
      <c r="BN22" s="14"/>
      <c r="BO22" s="14"/>
      <c r="BP22" s="14"/>
      <c r="BQ22" s="14"/>
      <c r="BR22" s="14">
        <f>AVERAGE(BR20,BR21)</f>
        <v>6.1138273624999995</v>
      </c>
      <c r="BS22" s="14"/>
      <c r="BT22" s="14"/>
      <c r="BU22" s="14"/>
      <c r="BV22" s="14"/>
      <c r="BW22" s="14"/>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row>
    <row r="23" spans="1:134" ht="14.25" customHeight="1">
      <c r="A23" s="109"/>
      <c r="B23" s="18" t="s">
        <v>129</v>
      </c>
      <c r="C23" s="19" t="s">
        <v>137</v>
      </c>
      <c r="D23" s="18"/>
      <c r="E23" s="18"/>
      <c r="F23" s="19" t="s">
        <v>138</v>
      </c>
      <c r="G23" s="18"/>
      <c r="H23" s="114"/>
      <c r="I23" s="111">
        <v>9.3100000000000002E-2</v>
      </c>
      <c r="J23" s="111">
        <v>9.0899999999999995E-2</v>
      </c>
      <c r="K23" s="111">
        <v>8.9099999999999999E-2</v>
      </c>
      <c r="L23" s="111">
        <v>8.7899999999999992E-2</v>
      </c>
      <c r="M23" s="111">
        <v>8.7038405077241976E-2</v>
      </c>
      <c r="N23" s="111">
        <v>8.6176810154483974E-2</v>
      </c>
      <c r="O23" s="111">
        <v>8.5315215231725972E-2</v>
      </c>
      <c r="P23" s="111">
        <v>8.4453620308967955E-2</v>
      </c>
      <c r="Q23" s="111">
        <v>8.3592025386209981E-2</v>
      </c>
      <c r="R23" s="111">
        <v>8.3178224014734681E-2</v>
      </c>
      <c r="S23" s="111">
        <v>8.2764422643259367E-2</v>
      </c>
      <c r="T23" s="111">
        <v>8.2350621271784052E-2</v>
      </c>
      <c r="U23" s="111">
        <v>8.1936819900308752E-2</v>
      </c>
      <c r="V23" s="111">
        <v>8.1523018528833424E-2</v>
      </c>
      <c r="W23" s="111">
        <v>8.1360623372859528E-2</v>
      </c>
      <c r="X23" s="111">
        <v>8.1198228216885632E-2</v>
      </c>
      <c r="Y23" s="111">
        <v>8.1035833060911736E-2</v>
      </c>
      <c r="Z23" s="111">
        <v>8.0873437904937853E-2</v>
      </c>
      <c r="AA23" s="111">
        <v>8.0711042748963985E-2</v>
      </c>
      <c r="AB23" s="111">
        <v>8.0630492966959136E-2</v>
      </c>
      <c r="AC23" s="111">
        <v>8.0549943184954287E-2</v>
      </c>
      <c r="AD23" s="111">
        <v>8.0469393402949424E-2</v>
      </c>
      <c r="AE23" s="111">
        <v>8.0388843620944575E-2</v>
      </c>
      <c r="AF23" s="111">
        <v>8.0308293838939712E-2</v>
      </c>
      <c r="AG23" s="111">
        <v>8.0292232180171924E-2</v>
      </c>
      <c r="AH23" s="111">
        <v>8.0276170521404122E-2</v>
      </c>
      <c r="AI23" s="111">
        <v>8.026010886263632E-2</v>
      </c>
      <c r="AJ23" s="111">
        <v>8.0244047203868532E-2</v>
      </c>
      <c r="AK23" s="139">
        <v>8.0227985545100772E-2</v>
      </c>
      <c r="AL23" s="129">
        <f t="shared" ref="AL23:BE23" si="12">AK23</f>
        <v>8.0227985545100772E-2</v>
      </c>
      <c r="AM23" s="129">
        <f t="shared" si="12"/>
        <v>8.0227985545100772E-2</v>
      </c>
      <c r="AN23" s="129">
        <f t="shared" si="12"/>
        <v>8.0227985545100772E-2</v>
      </c>
      <c r="AO23" s="129">
        <f t="shared" si="12"/>
        <v>8.0227985545100772E-2</v>
      </c>
      <c r="AP23" s="129">
        <f t="shared" si="12"/>
        <v>8.0227985545100772E-2</v>
      </c>
      <c r="AQ23" s="129">
        <f t="shared" si="12"/>
        <v>8.0227985545100772E-2</v>
      </c>
      <c r="AR23" s="129">
        <f t="shared" si="12"/>
        <v>8.0227985545100772E-2</v>
      </c>
      <c r="AS23" s="129">
        <f t="shared" si="12"/>
        <v>8.0227985545100772E-2</v>
      </c>
      <c r="AT23" s="129">
        <f t="shared" si="12"/>
        <v>8.0227985545100772E-2</v>
      </c>
      <c r="AU23" s="129">
        <f t="shared" si="12"/>
        <v>8.0227985545100772E-2</v>
      </c>
      <c r="AV23" s="129">
        <f t="shared" si="12"/>
        <v>8.0227985545100772E-2</v>
      </c>
      <c r="AW23" s="129">
        <f t="shared" si="12"/>
        <v>8.0227985545100772E-2</v>
      </c>
      <c r="AX23" s="129">
        <f t="shared" si="12"/>
        <v>8.0227985545100772E-2</v>
      </c>
      <c r="AY23" s="129">
        <f t="shared" si="12"/>
        <v>8.0227985545100772E-2</v>
      </c>
      <c r="AZ23" s="129">
        <f t="shared" si="12"/>
        <v>8.0227985545100772E-2</v>
      </c>
      <c r="BA23" s="129">
        <f t="shared" si="12"/>
        <v>8.0227985545100772E-2</v>
      </c>
      <c r="BB23" s="129">
        <f t="shared" si="12"/>
        <v>8.0227985545100772E-2</v>
      </c>
      <c r="BC23" s="129">
        <f t="shared" si="12"/>
        <v>8.0227985545100772E-2</v>
      </c>
      <c r="BD23" s="129">
        <f t="shared" si="12"/>
        <v>8.0227985545100772E-2</v>
      </c>
      <c r="BE23" s="129">
        <f t="shared" si="12"/>
        <v>8.0227985545100772E-2</v>
      </c>
      <c r="BF23" s="129"/>
      <c r="BG23" s="111">
        <v>8.0227985545100772E-2</v>
      </c>
      <c r="BH23" s="131"/>
      <c r="BI23" s="18" t="s">
        <v>290</v>
      </c>
      <c r="BJ23" s="18"/>
      <c r="BK23" s="14"/>
      <c r="BL23" s="14"/>
      <c r="BM23" s="14"/>
      <c r="BN23" s="14"/>
      <c r="BO23" s="14"/>
      <c r="BP23" s="14"/>
      <c r="BQ23" s="14"/>
      <c r="BR23" s="14"/>
      <c r="BS23" s="14"/>
      <c r="BT23" s="14"/>
      <c r="BU23" s="14"/>
      <c r="BV23" s="14"/>
      <c r="BW23" s="14"/>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row>
    <row r="24" spans="1:134" ht="14.25" customHeight="1">
      <c r="A24" s="18"/>
      <c r="B24" s="18"/>
      <c r="C24" s="19"/>
      <c r="D24" s="18"/>
      <c r="E24" s="18"/>
      <c r="F24" s="19"/>
      <c r="G24" s="18"/>
      <c r="H24" s="114"/>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40"/>
      <c r="AL24" s="141"/>
      <c r="AM24" s="141"/>
      <c r="AN24" s="141"/>
      <c r="AO24" s="141"/>
      <c r="AP24" s="141"/>
      <c r="AQ24" s="141"/>
      <c r="AR24" s="141"/>
      <c r="AS24" s="141"/>
      <c r="AT24" s="141"/>
      <c r="AU24" s="141"/>
      <c r="AV24" s="141"/>
      <c r="AW24" s="141"/>
      <c r="AX24" s="141"/>
      <c r="AY24" s="141"/>
      <c r="AZ24" s="141"/>
      <c r="BA24" s="141"/>
      <c r="BB24" s="141"/>
      <c r="BC24" s="141"/>
      <c r="BD24" s="141"/>
      <c r="BE24" s="141"/>
      <c r="BF24" s="141"/>
      <c r="BG24" s="142"/>
      <c r="BH24" s="65"/>
      <c r="BI24" s="18"/>
      <c r="BJ24" s="18"/>
      <c r="BK24" s="14"/>
      <c r="BL24" s="1"/>
      <c r="BM24" s="1"/>
      <c r="BN24" s="1"/>
      <c r="BO24" s="14"/>
      <c r="BP24" s="14"/>
      <c r="BQ24" s="14"/>
      <c r="BR24" s="14"/>
      <c r="BS24" s="14"/>
      <c r="BT24" s="14"/>
      <c r="BU24" s="14"/>
      <c r="BV24" s="14"/>
      <c r="BW24" s="14"/>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row>
    <row r="25" spans="1:134" ht="14.25" customHeight="1">
      <c r="A25" s="125" t="s">
        <v>144</v>
      </c>
      <c r="B25" s="143" t="str">
        <f>'Políticas anunciadas'!B34</f>
        <v>Pasajeros</v>
      </c>
      <c r="C25" s="47" t="s">
        <v>291</v>
      </c>
      <c r="D25" s="143"/>
      <c r="E25" s="143">
        <f>'Políticas anunciadas'!E34</f>
        <v>0</v>
      </c>
      <c r="F25" s="47" t="str">
        <f>'Políticas anunciadas'!F34</f>
        <v>Reducción de pkm demandados relativo a la proyección base</v>
      </c>
      <c r="G25" s="125"/>
      <c r="H25" s="126"/>
      <c r="I25" s="144">
        <f>'Políticas anunciadas'!I34</f>
        <v>0.09</v>
      </c>
      <c r="J25" s="144">
        <f>'Políticas anunciadas'!J34</f>
        <v>0.10433333333333333</v>
      </c>
      <c r="K25" s="144">
        <f>'Políticas anunciadas'!K34</f>
        <v>0.11866666666666667</v>
      </c>
      <c r="L25" s="144">
        <f>'Políticas anunciadas'!L34</f>
        <v>0.13300000000000001</v>
      </c>
      <c r="M25" s="144">
        <f>'Políticas anunciadas'!M34</f>
        <v>0.14219999999999999</v>
      </c>
      <c r="N25" s="144">
        <f>'Políticas anunciadas'!N34</f>
        <v>0.15139999999999998</v>
      </c>
      <c r="O25" s="144">
        <f>'Políticas anunciadas'!O34</f>
        <v>0.16059999999999997</v>
      </c>
      <c r="P25" s="144">
        <f>'Políticas anunciadas'!P34</f>
        <v>0.16979999999999995</v>
      </c>
      <c r="Q25" s="144">
        <f>'Políticas anunciadas'!Q34</f>
        <v>0.17899999999999999</v>
      </c>
      <c r="R25" s="144">
        <f>'Políticas anunciadas'!R34</f>
        <v>0.18839999999999998</v>
      </c>
      <c r="S25" s="144">
        <f>'Políticas anunciadas'!S34</f>
        <v>0.19779999999999998</v>
      </c>
      <c r="T25" s="144">
        <f>'Políticas anunciadas'!T34</f>
        <v>0.20719999999999997</v>
      </c>
      <c r="U25" s="144">
        <f>'Políticas anunciadas'!U34</f>
        <v>0.21659999999999996</v>
      </c>
      <c r="V25" s="144">
        <f>'Políticas anunciadas'!V34</f>
        <v>0.22600000000000001</v>
      </c>
      <c r="W25" s="144">
        <f t="shared" ref="W25:AK25" si="13">V25*CA27</f>
        <v>0.23052</v>
      </c>
      <c r="X25" s="144">
        <f t="shared" si="13"/>
        <v>0.23489526960000001</v>
      </c>
      <c r="Y25" s="144">
        <f t="shared" si="13"/>
        <v>0.23911422823519099</v>
      </c>
      <c r="Z25" s="144">
        <f t="shared" si="13"/>
        <v>0.24316555470713699</v>
      </c>
      <c r="AA25" s="144">
        <f t="shared" si="13"/>
        <v>0.24703823751940199</v>
      </c>
      <c r="AB25" s="144">
        <f t="shared" si="13"/>
        <v>0.25072162452993341</v>
      </c>
      <c r="AC25" s="144">
        <f t="shared" si="13"/>
        <v>0.25420547160837753</v>
      </c>
      <c r="AD25" s="144">
        <f t="shared" si="13"/>
        <v>0.25747998998839744</v>
      </c>
      <c r="AE25" s="144">
        <f t="shared" si="13"/>
        <v>0.26053589200948646</v>
      </c>
      <c r="AF25" s="144">
        <f t="shared" si="13"/>
        <v>0.26336443494971901</v>
      </c>
      <c r="AG25" s="144">
        <f t="shared" si="13"/>
        <v>0.26595746266032855</v>
      </c>
      <c r="AH25" s="144">
        <f t="shared" si="13"/>
        <v>0.26830744472489648</v>
      </c>
      <c r="AI25" s="144">
        <f t="shared" si="13"/>
        <v>0.27040751288020182</v>
      </c>
      <c r="AJ25" s="144">
        <f t="shared" si="13"/>
        <v>0.27225149445231306</v>
      </c>
      <c r="AK25" s="145">
        <f t="shared" si="13"/>
        <v>0.27383394258017951</v>
      </c>
      <c r="AL25" s="144">
        <f t="shared" ref="AL25:BE25" si="14">AK25</f>
        <v>0.27383394258017951</v>
      </c>
      <c r="AM25" s="144">
        <f t="shared" si="14"/>
        <v>0.27383394258017951</v>
      </c>
      <c r="AN25" s="144">
        <f t="shared" si="14"/>
        <v>0.27383394258017951</v>
      </c>
      <c r="AO25" s="144">
        <f t="shared" si="14"/>
        <v>0.27383394258017951</v>
      </c>
      <c r="AP25" s="144">
        <f t="shared" si="14"/>
        <v>0.27383394258017951</v>
      </c>
      <c r="AQ25" s="144">
        <f t="shared" si="14"/>
        <v>0.27383394258017951</v>
      </c>
      <c r="AR25" s="144">
        <f t="shared" si="14"/>
        <v>0.27383394258017951</v>
      </c>
      <c r="AS25" s="144">
        <f t="shared" si="14"/>
        <v>0.27383394258017951</v>
      </c>
      <c r="AT25" s="144">
        <f t="shared" si="14"/>
        <v>0.27383394258017951</v>
      </c>
      <c r="AU25" s="144">
        <f t="shared" si="14"/>
        <v>0.27383394258017951</v>
      </c>
      <c r="AV25" s="144">
        <f t="shared" si="14"/>
        <v>0.27383394258017951</v>
      </c>
      <c r="AW25" s="144">
        <f t="shared" si="14"/>
        <v>0.27383394258017951</v>
      </c>
      <c r="AX25" s="144">
        <f t="shared" si="14"/>
        <v>0.27383394258017951</v>
      </c>
      <c r="AY25" s="144">
        <f t="shared" si="14"/>
        <v>0.27383394258017951</v>
      </c>
      <c r="AZ25" s="144">
        <f t="shared" si="14"/>
        <v>0.27383394258017951</v>
      </c>
      <c r="BA25" s="144">
        <f t="shared" si="14"/>
        <v>0.27383394258017951</v>
      </c>
      <c r="BB25" s="144">
        <f t="shared" si="14"/>
        <v>0.27383394258017951</v>
      </c>
      <c r="BC25" s="144">
        <f t="shared" si="14"/>
        <v>0.27383394258017951</v>
      </c>
      <c r="BD25" s="144">
        <f t="shared" si="14"/>
        <v>0.27383394258017951</v>
      </c>
      <c r="BE25" s="144">
        <f t="shared" si="14"/>
        <v>0.27383394258017951</v>
      </c>
      <c r="BF25" s="107"/>
      <c r="BG25" s="18"/>
      <c r="BH25" s="65"/>
      <c r="BI25" s="146"/>
      <c r="BJ25" s="18" t="s">
        <v>292</v>
      </c>
      <c r="BK25" s="14"/>
      <c r="BL25" s="14" t="s">
        <v>293</v>
      </c>
      <c r="BM25" s="14"/>
      <c r="BN25" s="14"/>
      <c r="BO25" s="14"/>
      <c r="BP25" s="14"/>
      <c r="BQ25" s="14"/>
      <c r="BR25" s="14"/>
      <c r="BS25" s="14"/>
      <c r="BT25" s="14"/>
      <c r="BU25" s="14"/>
      <c r="BV25" s="14"/>
      <c r="BW25" s="14"/>
      <c r="BX25" s="18"/>
      <c r="BY25" s="18"/>
      <c r="BZ25" s="18"/>
      <c r="CA25" s="18" t="s">
        <v>294</v>
      </c>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row>
    <row r="26" spans="1:134" ht="14.25" customHeight="1">
      <c r="A26" s="102"/>
      <c r="B26" s="18" t="str">
        <f>'Políticas anunciadas'!B35</f>
        <v>Pasajeros</v>
      </c>
      <c r="C26" s="19" t="s">
        <v>295</v>
      </c>
      <c r="D26" s="18"/>
      <c r="E26" s="18">
        <f>'Políticas anunciadas'!E35</f>
        <v>0</v>
      </c>
      <c r="F26" s="19" t="s">
        <v>296</v>
      </c>
      <c r="G26" s="102"/>
      <c r="H26" s="124"/>
      <c r="I26" s="111">
        <v>0</v>
      </c>
      <c r="J26" s="111">
        <v>4.0000000000000001E-3</v>
      </c>
      <c r="K26" s="111">
        <v>8.0000000000000002E-3</v>
      </c>
      <c r="L26" s="111">
        <v>1.0999999999999999E-2</v>
      </c>
      <c r="M26" s="111">
        <v>1.4E-2</v>
      </c>
      <c r="N26" s="111">
        <v>1.7000000000000001E-2</v>
      </c>
      <c r="O26" s="111">
        <v>0.02</v>
      </c>
      <c r="P26" s="111">
        <v>2.1999999999999999E-2</v>
      </c>
      <c r="Q26" s="111">
        <v>2.4E-2</v>
      </c>
      <c r="R26" s="111">
        <v>2.5999999999999999E-2</v>
      </c>
      <c r="S26" s="111">
        <f t="shared" ref="S26:AJ26" si="15">R26*CH28</f>
        <v>2.7920427501648398E-2</v>
      </c>
      <c r="T26" s="111">
        <f t="shared" si="15"/>
        <v>2.9862771953357889E-2</v>
      </c>
      <c r="U26" s="111">
        <f t="shared" si="15"/>
        <v>3.1812478805736975E-2</v>
      </c>
      <c r="V26" s="111">
        <f t="shared" si="15"/>
        <v>3.3753921910154777E-2</v>
      </c>
      <c r="W26" s="111">
        <f t="shared" si="15"/>
        <v>3.5670591476666638E-2</v>
      </c>
      <c r="X26" s="111">
        <f t="shared" si="15"/>
        <v>3.7545312076129357E-2</v>
      </c>
      <c r="Y26" s="111">
        <f t="shared" si="15"/>
        <v>3.9360487139014272E-2</v>
      </c>
      <c r="Z26" s="111">
        <f t="shared" si="15"/>
        <v>4.1098365433757313E-2</v>
      </c>
      <c r="AA26" s="111">
        <f t="shared" si="15"/>
        <v>4.2741324130966603E-2</v>
      </c>
      <c r="AB26" s="111">
        <f t="shared" si="15"/>
        <v>4.4272162313783059E-2</v>
      </c>
      <c r="AC26" s="111">
        <f t="shared" si="15"/>
        <v>4.5674398213129297E-2</v>
      </c>
      <c r="AD26" s="111">
        <f t="shared" si="15"/>
        <v>4.693256305839185E-2</v>
      </c>
      <c r="AE26" s="111">
        <f t="shared" si="15"/>
        <v>4.8032484261574242E-2</v>
      </c>
      <c r="AF26" s="111">
        <f t="shared" si="15"/>
        <v>4.8961550710581649E-2</v>
      </c>
      <c r="AG26" s="111">
        <f t="shared" si="15"/>
        <v>4.9708953240693049E-2</v>
      </c>
      <c r="AH26" s="111">
        <f t="shared" si="15"/>
        <v>5.026589387873228E-2</v>
      </c>
      <c r="AI26" s="111">
        <f t="shared" si="15"/>
        <v>5.0625758198789568E-2</v>
      </c>
      <c r="AJ26" s="111">
        <f t="shared" si="15"/>
        <v>5.0784246069272926E-2</v>
      </c>
      <c r="AK26" s="139">
        <v>5.0900000000000001E-2</v>
      </c>
      <c r="AL26" s="111">
        <f t="shared" ref="AL26:BE26" si="16">AK26</f>
        <v>5.0900000000000001E-2</v>
      </c>
      <c r="AM26" s="111">
        <f t="shared" si="16"/>
        <v>5.0900000000000001E-2</v>
      </c>
      <c r="AN26" s="111">
        <f t="shared" si="16"/>
        <v>5.0900000000000001E-2</v>
      </c>
      <c r="AO26" s="111">
        <f t="shared" si="16"/>
        <v>5.0900000000000001E-2</v>
      </c>
      <c r="AP26" s="111">
        <f t="shared" si="16"/>
        <v>5.0900000000000001E-2</v>
      </c>
      <c r="AQ26" s="111">
        <f t="shared" si="16"/>
        <v>5.0900000000000001E-2</v>
      </c>
      <c r="AR26" s="111">
        <f t="shared" si="16"/>
        <v>5.0900000000000001E-2</v>
      </c>
      <c r="AS26" s="111">
        <f t="shared" si="16"/>
        <v>5.0900000000000001E-2</v>
      </c>
      <c r="AT26" s="111">
        <f t="shared" si="16"/>
        <v>5.0900000000000001E-2</v>
      </c>
      <c r="AU26" s="111">
        <f t="shared" si="16"/>
        <v>5.0900000000000001E-2</v>
      </c>
      <c r="AV26" s="111">
        <f t="shared" si="16"/>
        <v>5.0900000000000001E-2</v>
      </c>
      <c r="AW26" s="111">
        <f t="shared" si="16"/>
        <v>5.0900000000000001E-2</v>
      </c>
      <c r="AX26" s="111">
        <f t="shared" si="16"/>
        <v>5.0900000000000001E-2</v>
      </c>
      <c r="AY26" s="111">
        <f t="shared" si="16"/>
        <v>5.0900000000000001E-2</v>
      </c>
      <c r="AZ26" s="111">
        <f t="shared" si="16"/>
        <v>5.0900000000000001E-2</v>
      </c>
      <c r="BA26" s="111">
        <f t="shared" si="16"/>
        <v>5.0900000000000001E-2</v>
      </c>
      <c r="BB26" s="111">
        <f t="shared" si="16"/>
        <v>5.0900000000000001E-2</v>
      </c>
      <c r="BC26" s="111">
        <f t="shared" si="16"/>
        <v>5.0900000000000001E-2</v>
      </c>
      <c r="BD26" s="111">
        <f t="shared" si="16"/>
        <v>5.0900000000000001E-2</v>
      </c>
      <c r="BE26" s="111">
        <f t="shared" si="16"/>
        <v>5.0900000000000001E-2</v>
      </c>
      <c r="BF26" s="111"/>
      <c r="BG26" s="108"/>
      <c r="BH26" s="65"/>
      <c r="BI26" s="108"/>
      <c r="BJ26" s="18"/>
      <c r="BK26" s="14"/>
      <c r="BL26" s="14"/>
      <c r="BM26" s="14"/>
      <c r="BN26" s="14"/>
      <c r="BO26" s="14"/>
      <c r="BP26" s="14"/>
      <c r="BQ26" s="14"/>
      <c r="BR26" s="14"/>
      <c r="BS26" s="14"/>
      <c r="BT26" s="14"/>
      <c r="BU26" s="14"/>
      <c r="BV26" s="14"/>
      <c r="BW26" s="14"/>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row>
    <row r="27" spans="1:134" ht="14.25" customHeight="1">
      <c r="A27" s="102"/>
      <c r="B27" s="18" t="s">
        <v>145</v>
      </c>
      <c r="C27" s="19" t="s">
        <v>150</v>
      </c>
      <c r="D27" s="18" t="s">
        <v>297</v>
      </c>
      <c r="E27" s="18"/>
      <c r="F27" s="19" t="s">
        <v>298</v>
      </c>
      <c r="G27" s="18" t="s">
        <v>153</v>
      </c>
      <c r="H27" s="114"/>
      <c r="I27" s="111">
        <v>0.22800000000000001</v>
      </c>
      <c r="J27" s="111">
        <f t="shared" ref="J27:AJ27" si="17">I27+($AK27-$I27)/($AK$1-$I$1)</f>
        <v>0.22596428571428573</v>
      </c>
      <c r="K27" s="111">
        <f t="shared" si="17"/>
        <v>0.22392857142857145</v>
      </c>
      <c r="L27" s="111">
        <f t="shared" si="17"/>
        <v>0.22189285714285717</v>
      </c>
      <c r="M27" s="111">
        <f t="shared" si="17"/>
        <v>0.21985714285714289</v>
      </c>
      <c r="N27" s="111">
        <f t="shared" si="17"/>
        <v>0.21782142857142861</v>
      </c>
      <c r="O27" s="111">
        <f t="shared" si="17"/>
        <v>0.21578571428571433</v>
      </c>
      <c r="P27" s="111">
        <f t="shared" si="17"/>
        <v>0.21375000000000005</v>
      </c>
      <c r="Q27" s="111">
        <f t="shared" si="17"/>
        <v>0.21171428571428577</v>
      </c>
      <c r="R27" s="111">
        <f t="shared" si="17"/>
        <v>0.20967857142857149</v>
      </c>
      <c r="S27" s="111">
        <f t="shared" si="17"/>
        <v>0.20764285714285721</v>
      </c>
      <c r="T27" s="111">
        <f t="shared" si="17"/>
        <v>0.20560714285714293</v>
      </c>
      <c r="U27" s="111">
        <f t="shared" si="17"/>
        <v>0.20357142857142865</v>
      </c>
      <c r="V27" s="111">
        <f t="shared" si="17"/>
        <v>0.20153571428571437</v>
      </c>
      <c r="W27" s="111">
        <f t="shared" si="17"/>
        <v>0.19950000000000009</v>
      </c>
      <c r="X27" s="111">
        <f t="shared" si="17"/>
        <v>0.19746428571428581</v>
      </c>
      <c r="Y27" s="111">
        <f t="shared" si="17"/>
        <v>0.19542857142857153</v>
      </c>
      <c r="Z27" s="111">
        <f t="shared" si="17"/>
        <v>0.19339285714285726</v>
      </c>
      <c r="AA27" s="111">
        <f t="shared" si="17"/>
        <v>0.19135714285714298</v>
      </c>
      <c r="AB27" s="111">
        <f t="shared" si="17"/>
        <v>0.1893214285714287</v>
      </c>
      <c r="AC27" s="111">
        <f t="shared" si="17"/>
        <v>0.18728571428571442</v>
      </c>
      <c r="AD27" s="111">
        <f t="shared" si="17"/>
        <v>0.18525000000000014</v>
      </c>
      <c r="AE27" s="111">
        <f t="shared" si="17"/>
        <v>0.18321428571428586</v>
      </c>
      <c r="AF27" s="111">
        <f t="shared" si="17"/>
        <v>0.18117857142857158</v>
      </c>
      <c r="AG27" s="111">
        <f t="shared" si="17"/>
        <v>0.1791428571428573</v>
      </c>
      <c r="AH27" s="111">
        <f t="shared" si="17"/>
        <v>0.17710714285714302</v>
      </c>
      <c r="AI27" s="111">
        <f t="shared" si="17"/>
        <v>0.17507142857142874</v>
      </c>
      <c r="AJ27" s="111">
        <f t="shared" si="17"/>
        <v>0.17303571428571446</v>
      </c>
      <c r="AK27" s="147">
        <f t="shared" ref="AK27:AK28" si="18">-0.25*I27+I27</f>
        <v>0.17100000000000001</v>
      </c>
      <c r="AL27" s="111">
        <f t="shared" ref="AL27:BE27" si="19">AK27</f>
        <v>0.17100000000000001</v>
      </c>
      <c r="AM27" s="111">
        <f t="shared" si="19"/>
        <v>0.17100000000000001</v>
      </c>
      <c r="AN27" s="111">
        <f t="shared" si="19"/>
        <v>0.17100000000000001</v>
      </c>
      <c r="AO27" s="111">
        <f t="shared" si="19"/>
        <v>0.17100000000000001</v>
      </c>
      <c r="AP27" s="111">
        <f t="shared" si="19"/>
        <v>0.17100000000000001</v>
      </c>
      <c r="AQ27" s="111">
        <f t="shared" si="19"/>
        <v>0.17100000000000001</v>
      </c>
      <c r="AR27" s="111">
        <f t="shared" si="19"/>
        <v>0.17100000000000001</v>
      </c>
      <c r="AS27" s="111">
        <f t="shared" si="19"/>
        <v>0.17100000000000001</v>
      </c>
      <c r="AT27" s="111">
        <f t="shared" si="19"/>
        <v>0.17100000000000001</v>
      </c>
      <c r="AU27" s="111">
        <f t="shared" si="19"/>
        <v>0.17100000000000001</v>
      </c>
      <c r="AV27" s="111">
        <f t="shared" si="19"/>
        <v>0.17100000000000001</v>
      </c>
      <c r="AW27" s="111">
        <f t="shared" si="19"/>
        <v>0.17100000000000001</v>
      </c>
      <c r="AX27" s="111">
        <f t="shared" si="19"/>
        <v>0.17100000000000001</v>
      </c>
      <c r="AY27" s="111">
        <f t="shared" si="19"/>
        <v>0.17100000000000001</v>
      </c>
      <c r="AZ27" s="111">
        <f t="shared" si="19"/>
        <v>0.17100000000000001</v>
      </c>
      <c r="BA27" s="111">
        <f t="shared" si="19"/>
        <v>0.17100000000000001</v>
      </c>
      <c r="BB27" s="111">
        <f t="shared" si="19"/>
        <v>0.17100000000000001</v>
      </c>
      <c r="BC27" s="111">
        <f t="shared" si="19"/>
        <v>0.17100000000000001</v>
      </c>
      <c r="BD27" s="111">
        <f t="shared" si="19"/>
        <v>0.17100000000000001</v>
      </c>
      <c r="BE27" s="111">
        <f t="shared" si="19"/>
        <v>0.17100000000000001</v>
      </c>
      <c r="BF27" s="111"/>
      <c r="BG27" s="146">
        <f>-0.25*AH27+AH27</f>
        <v>0.13283035714285726</v>
      </c>
      <c r="BH27" s="65"/>
      <c r="BI27" s="108"/>
      <c r="BJ27" s="18" t="s">
        <v>299</v>
      </c>
      <c r="BK27" s="14"/>
      <c r="BL27" s="14"/>
      <c r="BM27" s="14"/>
      <c r="BN27" s="14"/>
      <c r="BO27" s="14"/>
      <c r="BP27" s="14"/>
      <c r="BQ27" s="14"/>
      <c r="BR27" s="14"/>
      <c r="BS27" s="14"/>
      <c r="BT27" s="14"/>
      <c r="BU27" s="14"/>
      <c r="BV27" s="14"/>
      <c r="BW27" s="14"/>
      <c r="BX27" s="18"/>
      <c r="BY27" s="18"/>
      <c r="BZ27" s="18"/>
      <c r="CA27" s="18">
        <v>1.02</v>
      </c>
      <c r="CB27" s="18">
        <f t="shared" ref="CB27:CT27" si="20">CA27*0.999</f>
        <v>1.01898</v>
      </c>
      <c r="CC27" s="18">
        <f t="shared" si="20"/>
        <v>1.01796102</v>
      </c>
      <c r="CD27" s="18">
        <f t="shared" si="20"/>
        <v>1.0169430589799999</v>
      </c>
      <c r="CE27" s="18">
        <f t="shared" si="20"/>
        <v>1.01592611592102</v>
      </c>
      <c r="CF27" s="18">
        <f t="shared" si="20"/>
        <v>1.014910189805099</v>
      </c>
      <c r="CG27" s="18">
        <f t="shared" si="20"/>
        <v>1.0138952796152938</v>
      </c>
      <c r="CH27" s="18">
        <f t="shared" si="20"/>
        <v>1.0128813843356785</v>
      </c>
      <c r="CI27" s="18">
        <f t="shared" si="20"/>
        <v>1.0118685029513428</v>
      </c>
      <c r="CJ27" s="18">
        <f t="shared" si="20"/>
        <v>1.0108566344483914</v>
      </c>
      <c r="CK27" s="18">
        <f t="shared" si="20"/>
        <v>1.0098457778139429</v>
      </c>
      <c r="CL27" s="18">
        <f t="shared" si="20"/>
        <v>1.0088359320361289</v>
      </c>
      <c r="CM27" s="18">
        <f t="shared" si="20"/>
        <v>1.0078270961040927</v>
      </c>
      <c r="CN27" s="18">
        <f t="shared" si="20"/>
        <v>1.0068192690079887</v>
      </c>
      <c r="CO27" s="18">
        <f t="shared" si="20"/>
        <v>1.0058124497389807</v>
      </c>
      <c r="CP27" s="18">
        <f t="shared" si="20"/>
        <v>1.0048066372892417</v>
      </c>
      <c r="CQ27" s="18">
        <f t="shared" si="20"/>
        <v>1.0038018306519525</v>
      </c>
      <c r="CR27" s="18">
        <f t="shared" si="20"/>
        <v>1.0027980288213005</v>
      </c>
      <c r="CS27" s="18">
        <f t="shared" si="20"/>
        <v>1.0017952307924793</v>
      </c>
      <c r="CT27" s="18">
        <f t="shared" si="20"/>
        <v>1.0007934355616868</v>
      </c>
      <c r="CU27" s="18">
        <f t="shared" ref="CU27:DI27" si="21">CT27*0.99999</f>
        <v>1.0007834276273313</v>
      </c>
      <c r="CV27" s="18">
        <f t="shared" si="21"/>
        <v>1.0007734197930551</v>
      </c>
      <c r="CW27" s="18">
        <f t="shared" si="21"/>
        <v>1.0007634120588573</v>
      </c>
      <c r="CX27" s="18">
        <f t="shared" si="21"/>
        <v>1.0007534044247368</v>
      </c>
      <c r="CY27" s="18">
        <f t="shared" si="21"/>
        <v>1.0007433968906927</v>
      </c>
      <c r="CZ27" s="18">
        <f t="shared" si="21"/>
        <v>1.0007333894567239</v>
      </c>
      <c r="DA27" s="18">
        <f t="shared" si="21"/>
        <v>1.0007233821228294</v>
      </c>
      <c r="DB27" s="18">
        <f t="shared" si="21"/>
        <v>1.0007133748890082</v>
      </c>
      <c r="DC27" s="18">
        <f t="shared" si="21"/>
        <v>1.0007033677552595</v>
      </c>
      <c r="DD27" s="18">
        <f t="shared" si="21"/>
        <v>1.000693360721582</v>
      </c>
      <c r="DE27" s="18">
        <f t="shared" si="21"/>
        <v>1.0006833537879749</v>
      </c>
      <c r="DF27" s="18">
        <f t="shared" si="21"/>
        <v>1.0006733469544371</v>
      </c>
      <c r="DG27" s="18">
        <f t="shared" si="21"/>
        <v>1.0006633402209677</v>
      </c>
      <c r="DH27" s="18">
        <f t="shared" si="21"/>
        <v>1.0006533335875656</v>
      </c>
      <c r="DI27" s="18">
        <f t="shared" si="21"/>
        <v>1.0006433270542296</v>
      </c>
      <c r="DJ27" s="18"/>
      <c r="DK27" s="18"/>
      <c r="DL27" s="18"/>
      <c r="DM27" s="18"/>
      <c r="DN27" s="18"/>
      <c r="DO27" s="18"/>
      <c r="DP27" s="18"/>
      <c r="DQ27" s="18"/>
      <c r="DR27" s="18"/>
      <c r="DS27" s="18"/>
      <c r="DT27" s="18"/>
      <c r="DU27" s="18"/>
      <c r="DV27" s="18"/>
      <c r="DW27" s="18"/>
      <c r="DX27" s="18"/>
      <c r="DY27" s="18"/>
      <c r="DZ27" s="18"/>
      <c r="EA27" s="18"/>
      <c r="EB27" s="18"/>
      <c r="EC27" s="18"/>
      <c r="ED27" s="18"/>
    </row>
    <row r="28" spans="1:134" ht="14.25" customHeight="1">
      <c r="A28" s="18"/>
      <c r="B28" s="18" t="s">
        <v>145</v>
      </c>
      <c r="C28" s="19" t="s">
        <v>150</v>
      </c>
      <c r="D28" s="18" t="s">
        <v>151</v>
      </c>
      <c r="E28" s="18"/>
      <c r="F28" s="19" t="s">
        <v>152</v>
      </c>
      <c r="G28" s="18" t="s">
        <v>153</v>
      </c>
      <c r="H28" s="114"/>
      <c r="I28" s="111">
        <v>0.156</v>
      </c>
      <c r="J28" s="111">
        <f t="shared" ref="J28:AJ28" si="22">I28+($AK28-$I28)/($AK$1-$I$1)</f>
        <v>0.15460714285714286</v>
      </c>
      <c r="K28" s="111">
        <f t="shared" si="22"/>
        <v>0.15321428571428572</v>
      </c>
      <c r="L28" s="111">
        <f t="shared" si="22"/>
        <v>0.15182142857142858</v>
      </c>
      <c r="M28" s="111">
        <f t="shared" si="22"/>
        <v>0.15042857142857144</v>
      </c>
      <c r="N28" s="111">
        <f t="shared" si="22"/>
        <v>0.1490357142857143</v>
      </c>
      <c r="O28" s="111">
        <f t="shared" si="22"/>
        <v>0.14764285714285716</v>
      </c>
      <c r="P28" s="111">
        <f t="shared" si="22"/>
        <v>0.14625000000000002</v>
      </c>
      <c r="Q28" s="111">
        <f t="shared" si="22"/>
        <v>0.14485714285714288</v>
      </c>
      <c r="R28" s="111">
        <f t="shared" si="22"/>
        <v>0.14346428571428574</v>
      </c>
      <c r="S28" s="111">
        <f t="shared" si="22"/>
        <v>0.1420714285714286</v>
      </c>
      <c r="T28" s="111">
        <f t="shared" si="22"/>
        <v>0.14067857142857146</v>
      </c>
      <c r="U28" s="111">
        <f t="shared" si="22"/>
        <v>0.13928571428571432</v>
      </c>
      <c r="V28" s="111">
        <f t="shared" si="22"/>
        <v>0.13789285714285718</v>
      </c>
      <c r="W28" s="111">
        <f t="shared" si="22"/>
        <v>0.13650000000000004</v>
      </c>
      <c r="X28" s="111">
        <f t="shared" si="22"/>
        <v>0.1351071428571429</v>
      </c>
      <c r="Y28" s="111">
        <f t="shared" si="22"/>
        <v>0.13371428571428576</v>
      </c>
      <c r="Z28" s="111">
        <f t="shared" si="22"/>
        <v>0.13232142857142862</v>
      </c>
      <c r="AA28" s="111">
        <f t="shared" si="22"/>
        <v>0.13092857142857148</v>
      </c>
      <c r="AB28" s="111">
        <f t="shared" si="22"/>
        <v>0.12953571428571434</v>
      </c>
      <c r="AC28" s="111">
        <f t="shared" si="22"/>
        <v>0.1281428571428572</v>
      </c>
      <c r="AD28" s="111">
        <f t="shared" si="22"/>
        <v>0.12675000000000006</v>
      </c>
      <c r="AE28" s="111">
        <f t="shared" si="22"/>
        <v>0.12535714285714292</v>
      </c>
      <c r="AF28" s="111">
        <f t="shared" si="22"/>
        <v>0.12396428571428578</v>
      </c>
      <c r="AG28" s="111">
        <f t="shared" si="22"/>
        <v>0.12257142857142864</v>
      </c>
      <c r="AH28" s="111">
        <f t="shared" si="22"/>
        <v>0.1211785714285715</v>
      </c>
      <c r="AI28" s="111">
        <f t="shared" si="22"/>
        <v>0.11978571428571436</v>
      </c>
      <c r="AJ28" s="111">
        <f t="shared" si="22"/>
        <v>0.11839285714285722</v>
      </c>
      <c r="AK28" s="147">
        <f t="shared" si="18"/>
        <v>0.11699999999999999</v>
      </c>
      <c r="AL28" s="111">
        <f t="shared" ref="AL28:BE28" si="23">AK28</f>
        <v>0.11699999999999999</v>
      </c>
      <c r="AM28" s="111">
        <f t="shared" si="23"/>
        <v>0.11699999999999999</v>
      </c>
      <c r="AN28" s="111">
        <f t="shared" si="23"/>
        <v>0.11699999999999999</v>
      </c>
      <c r="AO28" s="111">
        <f t="shared" si="23"/>
        <v>0.11699999999999999</v>
      </c>
      <c r="AP28" s="111">
        <f t="shared" si="23"/>
        <v>0.11699999999999999</v>
      </c>
      <c r="AQ28" s="111">
        <f t="shared" si="23"/>
        <v>0.11699999999999999</v>
      </c>
      <c r="AR28" s="111">
        <f t="shared" si="23"/>
        <v>0.11699999999999999</v>
      </c>
      <c r="AS28" s="111">
        <f t="shared" si="23"/>
        <v>0.11699999999999999</v>
      </c>
      <c r="AT28" s="111">
        <f t="shared" si="23"/>
        <v>0.11699999999999999</v>
      </c>
      <c r="AU28" s="111">
        <f t="shared" si="23"/>
        <v>0.11699999999999999</v>
      </c>
      <c r="AV28" s="111">
        <f t="shared" si="23"/>
        <v>0.11699999999999999</v>
      </c>
      <c r="AW28" s="111">
        <f t="shared" si="23"/>
        <v>0.11699999999999999</v>
      </c>
      <c r="AX28" s="111">
        <f t="shared" si="23"/>
        <v>0.11699999999999999</v>
      </c>
      <c r="AY28" s="111">
        <f t="shared" si="23"/>
        <v>0.11699999999999999</v>
      </c>
      <c r="AZ28" s="111">
        <f t="shared" si="23"/>
        <v>0.11699999999999999</v>
      </c>
      <c r="BA28" s="111">
        <f t="shared" si="23"/>
        <v>0.11699999999999999</v>
      </c>
      <c r="BB28" s="111">
        <f t="shared" si="23"/>
        <v>0.11699999999999999</v>
      </c>
      <c r="BC28" s="111">
        <f t="shared" si="23"/>
        <v>0.11699999999999999</v>
      </c>
      <c r="BD28" s="111">
        <f t="shared" si="23"/>
        <v>0.11699999999999999</v>
      </c>
      <c r="BE28" s="111">
        <f t="shared" si="23"/>
        <v>0.11699999999999999</v>
      </c>
      <c r="BF28" s="111"/>
      <c r="BG28" s="108">
        <f>0.25*AH28+AH28</f>
        <v>0.15147321428571436</v>
      </c>
      <c r="BH28" s="65"/>
      <c r="BI28" s="108"/>
      <c r="BJ28" s="18" t="s">
        <v>300</v>
      </c>
      <c r="BK28" s="14"/>
      <c r="BL28" s="148" t="s">
        <v>651</v>
      </c>
      <c r="BM28" s="148" t="s">
        <v>651</v>
      </c>
      <c r="BN28" s="148" t="s">
        <v>651</v>
      </c>
      <c r="BO28" s="149" t="s">
        <v>651</v>
      </c>
      <c r="BP28" s="14"/>
      <c r="BQ28" s="14"/>
      <c r="BR28" s="14"/>
      <c r="BS28" s="14"/>
      <c r="BT28" s="18"/>
      <c r="BU28" s="18"/>
      <c r="BV28" s="18"/>
      <c r="BW28" s="18"/>
      <c r="BX28" s="18"/>
      <c r="BY28" s="18"/>
      <c r="BZ28" s="18"/>
      <c r="CA28" s="18">
        <v>0.996</v>
      </c>
      <c r="CB28" s="18">
        <v>1.1000000000000001</v>
      </c>
      <c r="CC28" s="18">
        <f t="shared" ref="CC28:CZ28" si="24">CB28*$CA$28</f>
        <v>1.0956000000000001</v>
      </c>
      <c r="CD28" s="18">
        <f t="shared" si="24"/>
        <v>1.0912176000000002</v>
      </c>
      <c r="CE28" s="18">
        <f t="shared" si="24"/>
        <v>1.0868527296000001</v>
      </c>
      <c r="CF28" s="18">
        <f t="shared" si="24"/>
        <v>1.0825053186816</v>
      </c>
      <c r="CG28" s="18">
        <f t="shared" si="24"/>
        <v>1.0781752974068737</v>
      </c>
      <c r="CH28" s="18">
        <f t="shared" si="24"/>
        <v>1.0738625962172461</v>
      </c>
      <c r="CI28" s="18">
        <f t="shared" si="24"/>
        <v>1.0695671458323772</v>
      </c>
      <c r="CJ28" s="18">
        <f t="shared" si="24"/>
        <v>1.0652888772490476</v>
      </c>
      <c r="CK28" s="18">
        <f t="shared" si="24"/>
        <v>1.0610277217400514</v>
      </c>
      <c r="CL28" s="18">
        <f t="shared" si="24"/>
        <v>1.0567836108530912</v>
      </c>
      <c r="CM28" s="18">
        <f t="shared" si="24"/>
        <v>1.0525564764096789</v>
      </c>
      <c r="CN28" s="18">
        <f t="shared" si="24"/>
        <v>1.0483462505040402</v>
      </c>
      <c r="CO28" s="18">
        <f t="shared" si="24"/>
        <v>1.044152865502024</v>
      </c>
      <c r="CP28" s="18">
        <f t="shared" si="24"/>
        <v>1.0399762540400159</v>
      </c>
      <c r="CQ28" s="18">
        <f t="shared" si="24"/>
        <v>1.0358163490238559</v>
      </c>
      <c r="CR28" s="18">
        <f t="shared" si="24"/>
        <v>1.0316730836277606</v>
      </c>
      <c r="CS28" s="18">
        <f t="shared" si="24"/>
        <v>1.0275463912932494</v>
      </c>
      <c r="CT28" s="18">
        <f t="shared" si="24"/>
        <v>1.0234362057280764</v>
      </c>
      <c r="CU28" s="18">
        <f t="shared" si="24"/>
        <v>1.019342460905164</v>
      </c>
      <c r="CV28" s="18">
        <f t="shared" si="24"/>
        <v>1.0152650910615433</v>
      </c>
      <c r="CW28" s="18">
        <f t="shared" si="24"/>
        <v>1.0112040306972971</v>
      </c>
      <c r="CX28" s="18">
        <f t="shared" si="24"/>
        <v>1.0071592145745079</v>
      </c>
      <c r="CY28" s="18">
        <f t="shared" si="24"/>
        <v>1.0031305777162098</v>
      </c>
      <c r="CZ28" s="18">
        <f t="shared" si="24"/>
        <v>0.99911805540534504</v>
      </c>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row>
    <row r="29" spans="1:134" ht="14.25" customHeight="1">
      <c r="A29" s="415" t="s">
        <v>154</v>
      </c>
      <c r="B29" s="18" t="s">
        <v>145</v>
      </c>
      <c r="C29" s="19" t="s">
        <v>154</v>
      </c>
      <c r="D29" s="18" t="s">
        <v>155</v>
      </c>
      <c r="E29" s="18"/>
      <c r="F29" s="19" t="s">
        <v>156</v>
      </c>
      <c r="G29" s="18" t="s">
        <v>153</v>
      </c>
      <c r="H29" s="114"/>
      <c r="I29" s="129">
        <f t="shared" ref="I29:AK29" si="25">CG42</f>
        <v>5.0000000000000001E-4</v>
      </c>
      <c r="J29" s="129">
        <f t="shared" si="25"/>
        <v>8.0000000000000004E-4</v>
      </c>
      <c r="K29" s="129">
        <f t="shared" si="25"/>
        <v>1.5E-3</v>
      </c>
      <c r="L29" s="129">
        <f t="shared" si="25"/>
        <v>4.0000000000000001E-3</v>
      </c>
      <c r="M29" s="129">
        <f t="shared" si="25"/>
        <v>0.01</v>
      </c>
      <c r="N29" s="129">
        <f t="shared" si="25"/>
        <v>0.02</v>
      </c>
      <c r="O29" s="129">
        <f t="shared" si="25"/>
        <v>2.8000000000000001E-2</v>
      </c>
      <c r="P29" s="129">
        <f t="shared" si="25"/>
        <v>3.7999999999999999E-2</v>
      </c>
      <c r="Q29" s="129">
        <f t="shared" si="25"/>
        <v>5.1768831374999991E-2</v>
      </c>
      <c r="R29" s="129">
        <f t="shared" si="25"/>
        <v>6.4269481539374979E-2</v>
      </c>
      <c r="S29" s="129">
        <f t="shared" si="25"/>
        <v>7.7508994736486217E-2</v>
      </c>
      <c r="T29" s="129">
        <f t="shared" si="25"/>
        <v>9.0261069822893808E-2</v>
      </c>
      <c r="U29" s="129">
        <f t="shared" si="25"/>
        <v>0.10313872793529709</v>
      </c>
      <c r="V29" s="129">
        <f t="shared" si="25"/>
        <v>0.11614290610207881</v>
      </c>
      <c r="W29" s="129">
        <f t="shared" si="25"/>
        <v>0.13052964027730404</v>
      </c>
      <c r="X29" s="129">
        <f t="shared" si="25"/>
        <v>0.14505733822162897</v>
      </c>
      <c r="Y29" s="129">
        <f t="shared" si="25"/>
        <v>0.15972704990439021</v>
      </c>
      <c r="Z29" s="129">
        <f t="shared" si="25"/>
        <v>0.17517683895764224</v>
      </c>
      <c r="AA29" s="129">
        <f t="shared" si="25"/>
        <v>0.19013694100462483</v>
      </c>
      <c r="AB29" s="129">
        <f t="shared" si="25"/>
        <v>0.20524226465110335</v>
      </c>
      <c r="AC29" s="129">
        <f t="shared" si="25"/>
        <v>0.22114049775307437</v>
      </c>
      <c r="AD29" s="129">
        <f t="shared" si="25"/>
        <v>0.2371925821294488</v>
      </c>
      <c r="AE29" s="129">
        <f t="shared" si="25"/>
        <v>0.25274656693292374</v>
      </c>
      <c r="AF29" s="129">
        <f t="shared" si="25"/>
        <v>0.26910651913362071</v>
      </c>
      <c r="AG29" s="129">
        <f t="shared" si="25"/>
        <v>0.27836772153599965</v>
      </c>
      <c r="AH29" s="129">
        <f t="shared" si="25"/>
        <v>0.28771480829942409</v>
      </c>
      <c r="AI29" s="129">
        <f t="shared" si="25"/>
        <v>0.29714840673744436</v>
      </c>
      <c r="AJ29" s="129">
        <f t="shared" si="25"/>
        <v>0.30666914828963732</v>
      </c>
      <c r="AK29" s="130">
        <f t="shared" si="25"/>
        <v>0.31560473733750888</v>
      </c>
      <c r="AL29" s="111">
        <f t="shared" ref="AL29:BE29" si="26">AK29</f>
        <v>0.31560473733750888</v>
      </c>
      <c r="AM29" s="111">
        <f t="shared" si="26"/>
        <v>0.31560473733750888</v>
      </c>
      <c r="AN29" s="111">
        <f t="shared" si="26"/>
        <v>0.31560473733750888</v>
      </c>
      <c r="AO29" s="111">
        <f t="shared" si="26"/>
        <v>0.31560473733750888</v>
      </c>
      <c r="AP29" s="111">
        <f t="shared" si="26"/>
        <v>0.31560473733750888</v>
      </c>
      <c r="AQ29" s="111">
        <f t="shared" si="26"/>
        <v>0.31560473733750888</v>
      </c>
      <c r="AR29" s="111">
        <f t="shared" si="26"/>
        <v>0.31560473733750888</v>
      </c>
      <c r="AS29" s="111">
        <f t="shared" si="26"/>
        <v>0.31560473733750888</v>
      </c>
      <c r="AT29" s="111">
        <f t="shared" si="26"/>
        <v>0.31560473733750888</v>
      </c>
      <c r="AU29" s="111">
        <f t="shared" si="26"/>
        <v>0.31560473733750888</v>
      </c>
      <c r="AV29" s="111">
        <f t="shared" si="26"/>
        <v>0.31560473733750888</v>
      </c>
      <c r="AW29" s="111">
        <f t="shared" si="26"/>
        <v>0.31560473733750888</v>
      </c>
      <c r="AX29" s="111">
        <f t="shared" si="26"/>
        <v>0.31560473733750888</v>
      </c>
      <c r="AY29" s="111">
        <f t="shared" si="26"/>
        <v>0.31560473733750888</v>
      </c>
      <c r="AZ29" s="111">
        <f t="shared" si="26"/>
        <v>0.31560473733750888</v>
      </c>
      <c r="BA29" s="111">
        <f t="shared" si="26"/>
        <v>0.31560473733750888</v>
      </c>
      <c r="BB29" s="111">
        <f t="shared" si="26"/>
        <v>0.31560473733750888</v>
      </c>
      <c r="BC29" s="111">
        <f t="shared" si="26"/>
        <v>0.31560473733750888</v>
      </c>
      <c r="BD29" s="111">
        <f t="shared" si="26"/>
        <v>0.31560473733750888</v>
      </c>
      <c r="BE29" s="111">
        <f t="shared" si="26"/>
        <v>0.31560473733750888</v>
      </c>
      <c r="BF29" s="111"/>
      <c r="BG29" s="129">
        <v>0.46899999999999997</v>
      </c>
      <c r="BH29" s="65"/>
      <c r="BI29" s="108"/>
      <c r="BJ29" s="18" t="s">
        <v>278</v>
      </c>
      <c r="BK29" s="14"/>
      <c r="BL29" s="14"/>
      <c r="BM29" s="150"/>
      <c r="BN29" s="14"/>
      <c r="BO29" s="14"/>
      <c r="BP29" s="14"/>
      <c r="BQ29" s="14"/>
      <c r="BR29" s="14"/>
      <c r="BS29" s="14"/>
      <c r="BT29" s="14"/>
      <c r="BU29" s="14"/>
      <c r="BV29" s="14"/>
      <c r="BW29" s="14"/>
      <c r="BX29" s="18"/>
      <c r="BY29" s="18"/>
      <c r="BZ29" s="18"/>
      <c r="CA29" s="18">
        <v>0.99199999999999999</v>
      </c>
      <c r="CB29" s="18">
        <v>1.2</v>
      </c>
      <c r="CC29" s="18">
        <f t="shared" ref="CC29:CZ29" si="27">CB29*$CA$29</f>
        <v>1.1903999999999999</v>
      </c>
      <c r="CD29" s="18">
        <f t="shared" si="27"/>
        <v>1.1808767999999998</v>
      </c>
      <c r="CE29" s="18">
        <f t="shared" si="27"/>
        <v>1.1714297855999998</v>
      </c>
      <c r="CF29" s="18">
        <f t="shared" si="27"/>
        <v>1.1620583473151997</v>
      </c>
      <c r="CG29" s="18">
        <f t="shared" si="27"/>
        <v>1.1527618805366782</v>
      </c>
      <c r="CH29" s="18">
        <f t="shared" si="27"/>
        <v>1.1435397854923848</v>
      </c>
      <c r="CI29" s="18">
        <f t="shared" si="27"/>
        <v>1.1343914672084456</v>
      </c>
      <c r="CJ29" s="18">
        <f t="shared" si="27"/>
        <v>1.125316335470778</v>
      </c>
      <c r="CK29" s="18">
        <f t="shared" si="27"/>
        <v>1.1163138047870118</v>
      </c>
      <c r="CL29" s="18">
        <f t="shared" si="27"/>
        <v>1.1073832943487156</v>
      </c>
      <c r="CM29" s="18">
        <f t="shared" si="27"/>
        <v>1.0985242279939258</v>
      </c>
      <c r="CN29" s="18">
        <f t="shared" si="27"/>
        <v>1.0897360341699744</v>
      </c>
      <c r="CO29" s="18">
        <f t="shared" si="27"/>
        <v>1.0810181458966146</v>
      </c>
      <c r="CP29" s="18">
        <f t="shared" si="27"/>
        <v>1.0723700007294417</v>
      </c>
      <c r="CQ29" s="18">
        <f t="shared" si="27"/>
        <v>1.0637910407236062</v>
      </c>
      <c r="CR29" s="18">
        <f t="shared" si="27"/>
        <v>1.0552807123978174</v>
      </c>
      <c r="CS29" s="18">
        <f t="shared" si="27"/>
        <v>1.0468384666986348</v>
      </c>
      <c r="CT29" s="18">
        <f t="shared" si="27"/>
        <v>1.0384637589650456</v>
      </c>
      <c r="CU29" s="18">
        <f t="shared" si="27"/>
        <v>1.0301560488933252</v>
      </c>
      <c r="CV29" s="18">
        <f t="shared" si="27"/>
        <v>1.0219148005021785</v>
      </c>
      <c r="CW29" s="18">
        <f t="shared" si="27"/>
        <v>1.0137394820981611</v>
      </c>
      <c r="CX29" s="18">
        <f t="shared" si="27"/>
        <v>1.0056295662413759</v>
      </c>
      <c r="CY29" s="18">
        <f t="shared" si="27"/>
        <v>0.99758452971144485</v>
      </c>
      <c r="CZ29" s="18">
        <f t="shared" si="27"/>
        <v>0.98960385347375324</v>
      </c>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row>
    <row r="30" spans="1:134" ht="14.25" customHeight="1">
      <c r="A30" s="18"/>
      <c r="B30" s="18" t="s">
        <v>145</v>
      </c>
      <c r="C30" s="19" t="s">
        <v>154</v>
      </c>
      <c r="D30" s="18" t="s">
        <v>158</v>
      </c>
      <c r="E30" s="18"/>
      <c r="F30" s="19" t="s">
        <v>156</v>
      </c>
      <c r="G30" s="18" t="s">
        <v>153</v>
      </c>
      <c r="H30" s="114"/>
      <c r="I30" s="129">
        <f t="shared" ref="I30:BE30" si="28">I29</f>
        <v>5.0000000000000001E-4</v>
      </c>
      <c r="J30" s="129">
        <f t="shared" si="28"/>
        <v>8.0000000000000004E-4</v>
      </c>
      <c r="K30" s="129">
        <f t="shared" si="28"/>
        <v>1.5E-3</v>
      </c>
      <c r="L30" s="129">
        <f t="shared" si="28"/>
        <v>4.0000000000000001E-3</v>
      </c>
      <c r="M30" s="129">
        <f t="shared" si="28"/>
        <v>0.01</v>
      </c>
      <c r="N30" s="129">
        <f t="shared" si="28"/>
        <v>0.02</v>
      </c>
      <c r="O30" s="129">
        <f t="shared" si="28"/>
        <v>2.8000000000000001E-2</v>
      </c>
      <c r="P30" s="129">
        <f t="shared" si="28"/>
        <v>3.7999999999999999E-2</v>
      </c>
      <c r="Q30" s="129">
        <f t="shared" si="28"/>
        <v>5.1768831374999991E-2</v>
      </c>
      <c r="R30" s="129">
        <f t="shared" si="28"/>
        <v>6.4269481539374979E-2</v>
      </c>
      <c r="S30" s="129">
        <f t="shared" si="28"/>
        <v>7.7508994736486217E-2</v>
      </c>
      <c r="T30" s="129">
        <f t="shared" si="28"/>
        <v>9.0261069822893808E-2</v>
      </c>
      <c r="U30" s="129">
        <f t="shared" si="28"/>
        <v>0.10313872793529709</v>
      </c>
      <c r="V30" s="129">
        <f t="shared" si="28"/>
        <v>0.11614290610207881</v>
      </c>
      <c r="W30" s="129">
        <f t="shared" si="28"/>
        <v>0.13052964027730404</v>
      </c>
      <c r="X30" s="129">
        <f t="shared" si="28"/>
        <v>0.14505733822162897</v>
      </c>
      <c r="Y30" s="129">
        <f t="shared" si="28"/>
        <v>0.15972704990439021</v>
      </c>
      <c r="Z30" s="129">
        <f t="shared" si="28"/>
        <v>0.17517683895764224</v>
      </c>
      <c r="AA30" s="129">
        <f t="shared" si="28"/>
        <v>0.19013694100462483</v>
      </c>
      <c r="AB30" s="129">
        <f t="shared" si="28"/>
        <v>0.20524226465110335</v>
      </c>
      <c r="AC30" s="129">
        <f t="shared" si="28"/>
        <v>0.22114049775307437</v>
      </c>
      <c r="AD30" s="129">
        <f t="shared" si="28"/>
        <v>0.2371925821294488</v>
      </c>
      <c r="AE30" s="129">
        <f t="shared" si="28"/>
        <v>0.25274656693292374</v>
      </c>
      <c r="AF30" s="129">
        <f t="shared" si="28"/>
        <v>0.26910651913362071</v>
      </c>
      <c r="AG30" s="129">
        <f t="shared" si="28"/>
        <v>0.27836772153599965</v>
      </c>
      <c r="AH30" s="129">
        <f t="shared" si="28"/>
        <v>0.28771480829942409</v>
      </c>
      <c r="AI30" s="129">
        <f t="shared" si="28"/>
        <v>0.29714840673744436</v>
      </c>
      <c r="AJ30" s="129">
        <f t="shared" si="28"/>
        <v>0.30666914828963732</v>
      </c>
      <c r="AK30" s="130">
        <f t="shared" si="28"/>
        <v>0.31560473733750888</v>
      </c>
      <c r="AL30" s="129">
        <f t="shared" si="28"/>
        <v>0.31560473733750888</v>
      </c>
      <c r="AM30" s="129">
        <f t="shared" si="28"/>
        <v>0.31560473733750888</v>
      </c>
      <c r="AN30" s="129">
        <f t="shared" si="28"/>
        <v>0.31560473733750888</v>
      </c>
      <c r="AO30" s="129">
        <f t="shared" si="28"/>
        <v>0.31560473733750888</v>
      </c>
      <c r="AP30" s="129">
        <f t="shared" si="28"/>
        <v>0.31560473733750888</v>
      </c>
      <c r="AQ30" s="129">
        <f t="shared" si="28"/>
        <v>0.31560473733750888</v>
      </c>
      <c r="AR30" s="129">
        <f t="shared" si="28"/>
        <v>0.31560473733750888</v>
      </c>
      <c r="AS30" s="129">
        <f t="shared" si="28"/>
        <v>0.31560473733750888</v>
      </c>
      <c r="AT30" s="129">
        <f t="shared" si="28"/>
        <v>0.31560473733750888</v>
      </c>
      <c r="AU30" s="129">
        <f t="shared" si="28"/>
        <v>0.31560473733750888</v>
      </c>
      <c r="AV30" s="129">
        <f t="shared" si="28"/>
        <v>0.31560473733750888</v>
      </c>
      <c r="AW30" s="129">
        <f t="shared" si="28"/>
        <v>0.31560473733750888</v>
      </c>
      <c r="AX30" s="129">
        <f t="shared" si="28"/>
        <v>0.31560473733750888</v>
      </c>
      <c r="AY30" s="129">
        <f t="shared" si="28"/>
        <v>0.31560473733750888</v>
      </c>
      <c r="AZ30" s="129">
        <f t="shared" si="28"/>
        <v>0.31560473733750888</v>
      </c>
      <c r="BA30" s="129">
        <f t="shared" si="28"/>
        <v>0.31560473733750888</v>
      </c>
      <c r="BB30" s="129">
        <f t="shared" si="28"/>
        <v>0.31560473733750888</v>
      </c>
      <c r="BC30" s="129">
        <f t="shared" si="28"/>
        <v>0.31560473733750888</v>
      </c>
      <c r="BD30" s="129">
        <f t="shared" si="28"/>
        <v>0.31560473733750888</v>
      </c>
      <c r="BE30" s="129">
        <f t="shared" si="28"/>
        <v>0.31560473733750888</v>
      </c>
      <c r="BF30" s="129"/>
      <c r="BG30" s="151">
        <v>0.46899999999999997</v>
      </c>
      <c r="BH30" s="65"/>
      <c r="BI30" s="108"/>
      <c r="BJ30" s="18" t="s">
        <v>301</v>
      </c>
      <c r="BK30" s="14"/>
      <c r="BL30" s="14" t="s">
        <v>302</v>
      </c>
      <c r="BM30" s="14">
        <v>2018</v>
      </c>
      <c r="BN30" s="14">
        <v>2019</v>
      </c>
      <c r="BO30" s="14">
        <v>2020</v>
      </c>
      <c r="BP30" s="14">
        <v>2021</v>
      </c>
      <c r="BQ30" s="14"/>
      <c r="BR30" s="14"/>
      <c r="BS30" s="14"/>
      <c r="BT30" s="14"/>
      <c r="BU30" s="14"/>
      <c r="BV30" s="14"/>
      <c r="BW30" s="14"/>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row>
    <row r="31" spans="1:134" ht="14.25" customHeight="1">
      <c r="A31" s="18"/>
      <c r="B31" s="18" t="s">
        <v>145</v>
      </c>
      <c r="C31" s="19" t="s">
        <v>154</v>
      </c>
      <c r="D31" s="18" t="s">
        <v>159</v>
      </c>
      <c r="E31" s="18"/>
      <c r="F31" s="19" t="s">
        <v>156</v>
      </c>
      <c r="G31" s="18" t="s">
        <v>153</v>
      </c>
      <c r="H31" s="114"/>
      <c r="I31" s="151">
        <f t="shared" ref="I31:AK31" si="29">CG48</f>
        <v>1.7000000000000001E-3</v>
      </c>
      <c r="J31" s="151">
        <f t="shared" si="29"/>
        <v>4.9999999999999992E-3</v>
      </c>
      <c r="K31" s="151">
        <f t="shared" si="29"/>
        <v>8.0000000000000002E-3</v>
      </c>
      <c r="L31" s="151">
        <f t="shared" si="29"/>
        <v>0.01</v>
      </c>
      <c r="M31" s="151">
        <f t="shared" si="29"/>
        <v>1.6E-2</v>
      </c>
      <c r="N31" s="151">
        <f t="shared" si="29"/>
        <v>2.3E-2</v>
      </c>
      <c r="O31" s="151">
        <f t="shared" si="29"/>
        <v>2.7000000000000003E-2</v>
      </c>
      <c r="P31" s="151">
        <f t="shared" si="29"/>
        <v>3.6999999999999991E-2</v>
      </c>
      <c r="Q31" s="151">
        <f t="shared" si="29"/>
        <v>4.300000000000001E-2</v>
      </c>
      <c r="R31" s="151">
        <f t="shared" si="29"/>
        <v>5.1999999999999998E-2</v>
      </c>
      <c r="S31" s="151">
        <f t="shared" si="29"/>
        <v>6.5000000000000002E-2</v>
      </c>
      <c r="T31" s="151">
        <f t="shared" si="29"/>
        <v>7.8E-2</v>
      </c>
      <c r="U31" s="151">
        <f t="shared" si="29"/>
        <v>0.09</v>
      </c>
      <c r="V31" s="151">
        <f t="shared" si="29"/>
        <v>0.10199999999999999</v>
      </c>
      <c r="W31" s="151">
        <f t="shared" si="29"/>
        <v>0.11799999999999999</v>
      </c>
      <c r="X31" s="151">
        <f t="shared" si="29"/>
        <v>0.13</v>
      </c>
      <c r="Y31" s="151">
        <f t="shared" si="29"/>
        <v>0.14000000000000001</v>
      </c>
      <c r="Z31" s="151">
        <f t="shared" si="29"/>
        <v>0.158</v>
      </c>
      <c r="AA31" s="151">
        <f t="shared" si="29"/>
        <v>0.17199999999999999</v>
      </c>
      <c r="AB31" s="151">
        <f t="shared" si="29"/>
        <v>0.19</v>
      </c>
      <c r="AC31" s="151">
        <f t="shared" si="29"/>
        <v>0.22050000000000003</v>
      </c>
      <c r="AD31" s="151">
        <f t="shared" si="29"/>
        <v>0.2535</v>
      </c>
      <c r="AE31" s="151">
        <f t="shared" si="29"/>
        <v>0.28850000000000003</v>
      </c>
      <c r="AF31" s="151">
        <f t="shared" si="29"/>
        <v>0.32150000000000001</v>
      </c>
      <c r="AG31" s="151">
        <f t="shared" si="29"/>
        <v>0.34</v>
      </c>
      <c r="AH31" s="151">
        <f t="shared" si="29"/>
        <v>0.35</v>
      </c>
      <c r="AI31" s="151">
        <f t="shared" si="29"/>
        <v>0.36199999999999999</v>
      </c>
      <c r="AJ31" s="151">
        <f t="shared" si="29"/>
        <v>0.3695</v>
      </c>
      <c r="AK31" s="152">
        <f t="shared" si="29"/>
        <v>0.375</v>
      </c>
      <c r="AL31" s="111">
        <f t="shared" ref="AL31:BE31" si="30">AK31</f>
        <v>0.375</v>
      </c>
      <c r="AM31" s="111">
        <f t="shared" si="30"/>
        <v>0.375</v>
      </c>
      <c r="AN31" s="111">
        <f t="shared" si="30"/>
        <v>0.375</v>
      </c>
      <c r="AO31" s="111">
        <f t="shared" si="30"/>
        <v>0.375</v>
      </c>
      <c r="AP31" s="111">
        <f t="shared" si="30"/>
        <v>0.375</v>
      </c>
      <c r="AQ31" s="111">
        <f t="shared" si="30"/>
        <v>0.375</v>
      </c>
      <c r="AR31" s="111">
        <f t="shared" si="30"/>
        <v>0.375</v>
      </c>
      <c r="AS31" s="111">
        <f t="shared" si="30"/>
        <v>0.375</v>
      </c>
      <c r="AT31" s="111">
        <f t="shared" si="30"/>
        <v>0.375</v>
      </c>
      <c r="AU31" s="111">
        <f t="shared" si="30"/>
        <v>0.375</v>
      </c>
      <c r="AV31" s="111">
        <f t="shared" si="30"/>
        <v>0.375</v>
      </c>
      <c r="AW31" s="111">
        <f t="shared" si="30"/>
        <v>0.375</v>
      </c>
      <c r="AX31" s="111">
        <f t="shared" si="30"/>
        <v>0.375</v>
      </c>
      <c r="AY31" s="111">
        <f t="shared" si="30"/>
        <v>0.375</v>
      </c>
      <c r="AZ31" s="111">
        <f t="shared" si="30"/>
        <v>0.375</v>
      </c>
      <c r="BA31" s="111">
        <f t="shared" si="30"/>
        <v>0.375</v>
      </c>
      <c r="BB31" s="111">
        <f t="shared" si="30"/>
        <v>0.375</v>
      </c>
      <c r="BC31" s="111">
        <f t="shared" si="30"/>
        <v>0.375</v>
      </c>
      <c r="BD31" s="111">
        <f t="shared" si="30"/>
        <v>0.375</v>
      </c>
      <c r="BE31" s="111">
        <f t="shared" si="30"/>
        <v>0.375</v>
      </c>
      <c r="BF31" s="111"/>
      <c r="BG31" s="151">
        <v>0.435</v>
      </c>
      <c r="BH31" s="65"/>
      <c r="BI31" s="108"/>
      <c r="BJ31" s="18" t="s">
        <v>278</v>
      </c>
      <c r="BK31" s="14"/>
      <c r="BL31" s="1" t="s">
        <v>303</v>
      </c>
      <c r="BM31" s="14">
        <v>25673</v>
      </c>
      <c r="BN31" s="14">
        <v>26167</v>
      </c>
      <c r="BO31" s="14">
        <v>24373</v>
      </c>
      <c r="BP31" s="14">
        <v>23649</v>
      </c>
      <c r="BQ31" s="14"/>
      <c r="BR31" s="14"/>
      <c r="BS31" s="14"/>
      <c r="BT31" s="14"/>
      <c r="BU31" s="14"/>
      <c r="BV31" s="14"/>
      <c r="BW31" s="14"/>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row>
    <row r="32" spans="1:134" ht="14.25" customHeight="1">
      <c r="A32" s="18"/>
      <c r="B32" s="18" t="s">
        <v>145</v>
      </c>
      <c r="C32" s="19" t="s">
        <v>154</v>
      </c>
      <c r="D32" s="18" t="s">
        <v>161</v>
      </c>
      <c r="E32" s="18"/>
      <c r="F32" s="19" t="s">
        <v>156</v>
      </c>
      <c r="G32" s="18" t="s">
        <v>153</v>
      </c>
      <c r="H32" s="114"/>
      <c r="I32" s="151">
        <v>1E-4</v>
      </c>
      <c r="J32" s="151">
        <v>5.0000000000000001E-3</v>
      </c>
      <c r="K32" s="151">
        <v>8.0000000000000002E-3</v>
      </c>
      <c r="L32" s="151">
        <v>1.4999999999999999E-2</v>
      </c>
      <c r="M32" s="151">
        <v>4.4999999999999998E-2</v>
      </c>
      <c r="N32" s="151">
        <v>0.08</v>
      </c>
      <c r="O32" s="151">
        <v>0.15</v>
      </c>
      <c r="P32" s="151">
        <v>0.23</v>
      </c>
      <c r="Q32" s="151">
        <v>0.31</v>
      </c>
      <c r="R32" s="151">
        <v>0.39</v>
      </c>
      <c r="S32" s="151">
        <v>0.48</v>
      </c>
      <c r="T32" s="151">
        <v>0.56999999999999995</v>
      </c>
      <c r="U32" s="151">
        <v>0.63</v>
      </c>
      <c r="V32" s="151">
        <v>0.68</v>
      </c>
      <c r="W32" s="151">
        <v>0.72</v>
      </c>
      <c r="X32" s="151">
        <v>0.75</v>
      </c>
      <c r="Y32" s="151">
        <v>0.79</v>
      </c>
      <c r="Z32" s="151">
        <v>0.81</v>
      </c>
      <c r="AA32" s="151">
        <v>0.83</v>
      </c>
      <c r="AB32" s="151">
        <v>0.85</v>
      </c>
      <c r="AC32" s="151">
        <v>0.86</v>
      </c>
      <c r="AD32" s="151">
        <v>0.86399999999999999</v>
      </c>
      <c r="AE32" s="151">
        <v>0.87</v>
      </c>
      <c r="AF32" s="151">
        <v>0.875</v>
      </c>
      <c r="AG32" s="151">
        <v>0.89</v>
      </c>
      <c r="AH32" s="151">
        <v>0.89200000000000002</v>
      </c>
      <c r="AI32" s="151">
        <v>0.89500000000000002</v>
      </c>
      <c r="AJ32" s="151">
        <v>0.89800000000000002</v>
      </c>
      <c r="AK32" s="152">
        <v>0.9</v>
      </c>
      <c r="AL32" s="111">
        <f t="shared" ref="AL32:BE32" si="31">AK32</f>
        <v>0.9</v>
      </c>
      <c r="AM32" s="111">
        <f t="shared" si="31"/>
        <v>0.9</v>
      </c>
      <c r="AN32" s="111">
        <f t="shared" si="31"/>
        <v>0.9</v>
      </c>
      <c r="AO32" s="111">
        <f t="shared" si="31"/>
        <v>0.9</v>
      </c>
      <c r="AP32" s="111">
        <f t="shared" si="31"/>
        <v>0.9</v>
      </c>
      <c r="AQ32" s="111">
        <f t="shared" si="31"/>
        <v>0.9</v>
      </c>
      <c r="AR32" s="111">
        <f t="shared" si="31"/>
        <v>0.9</v>
      </c>
      <c r="AS32" s="111">
        <f t="shared" si="31"/>
        <v>0.9</v>
      </c>
      <c r="AT32" s="111">
        <f t="shared" si="31"/>
        <v>0.9</v>
      </c>
      <c r="AU32" s="111">
        <f t="shared" si="31"/>
        <v>0.9</v>
      </c>
      <c r="AV32" s="111">
        <f t="shared" si="31"/>
        <v>0.9</v>
      </c>
      <c r="AW32" s="111">
        <f t="shared" si="31"/>
        <v>0.9</v>
      </c>
      <c r="AX32" s="111">
        <f t="shared" si="31"/>
        <v>0.9</v>
      </c>
      <c r="AY32" s="111">
        <f t="shared" si="31"/>
        <v>0.9</v>
      </c>
      <c r="AZ32" s="111">
        <f t="shared" si="31"/>
        <v>0.9</v>
      </c>
      <c r="BA32" s="111">
        <f t="shared" si="31"/>
        <v>0.9</v>
      </c>
      <c r="BB32" s="111">
        <f t="shared" si="31"/>
        <v>0.9</v>
      </c>
      <c r="BC32" s="111">
        <f t="shared" si="31"/>
        <v>0.9</v>
      </c>
      <c r="BD32" s="111">
        <f t="shared" si="31"/>
        <v>0.9</v>
      </c>
      <c r="BE32" s="111">
        <f t="shared" si="31"/>
        <v>0.9</v>
      </c>
      <c r="BF32" s="111"/>
      <c r="BG32" s="151">
        <v>1</v>
      </c>
      <c r="BH32" s="65"/>
      <c r="BI32" s="108"/>
      <c r="BJ32" s="18" t="s">
        <v>278</v>
      </c>
      <c r="BK32" s="1"/>
      <c r="BL32" s="1"/>
      <c r="BM32" s="1"/>
      <c r="BN32" s="1"/>
      <c r="BO32" s="1"/>
      <c r="BP32" s="14"/>
      <c r="BQ32" s="14"/>
      <c r="BR32" s="14"/>
      <c r="BS32" s="14"/>
      <c r="BT32" s="14"/>
      <c r="BU32" s="14"/>
      <c r="BV32" s="14"/>
      <c r="BW32" s="14"/>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row>
    <row r="33" spans="1:135" ht="14.25" customHeight="1">
      <c r="A33" s="18"/>
      <c r="B33" s="18" t="s">
        <v>145</v>
      </c>
      <c r="C33" s="19" t="s">
        <v>154</v>
      </c>
      <c r="D33" s="18" t="s">
        <v>166</v>
      </c>
      <c r="E33" s="18"/>
      <c r="F33" s="19" t="s">
        <v>156</v>
      </c>
      <c r="G33" s="18" t="s">
        <v>153</v>
      </c>
      <c r="H33" s="114"/>
      <c r="I33" s="151">
        <f t="shared" ref="I33:BE33" si="32">CG52</f>
        <v>4.8999999999999998E-4</v>
      </c>
      <c r="J33" s="151">
        <f t="shared" si="32"/>
        <v>1E-3</v>
      </c>
      <c r="K33" s="151">
        <f t="shared" si="32"/>
        <v>7.0000000000000001E-3</v>
      </c>
      <c r="L33" s="151">
        <f t="shared" si="32"/>
        <v>2.4E-2</v>
      </c>
      <c r="M33" s="151">
        <f t="shared" si="32"/>
        <v>3.7999999999999999E-2</v>
      </c>
      <c r="N33" s="151">
        <f t="shared" si="32"/>
        <v>6.9000000000000006E-2</v>
      </c>
      <c r="O33" s="151">
        <f t="shared" si="32"/>
        <v>9.8000000000000004E-2</v>
      </c>
      <c r="P33" s="151">
        <f t="shared" si="32"/>
        <v>0.13490000000000002</v>
      </c>
      <c r="Q33" s="151">
        <f t="shared" si="32"/>
        <v>0.1825</v>
      </c>
      <c r="R33" s="151">
        <f t="shared" si="32"/>
        <v>0.22199999999999998</v>
      </c>
      <c r="S33" s="151">
        <f t="shared" si="32"/>
        <v>0.26600000000000001</v>
      </c>
      <c r="T33" s="151">
        <f t="shared" si="32"/>
        <v>0.31979999999999997</v>
      </c>
      <c r="U33" s="151">
        <f t="shared" si="32"/>
        <v>0.376</v>
      </c>
      <c r="V33" s="151">
        <f t="shared" si="32"/>
        <v>0.43460000000000004</v>
      </c>
      <c r="W33" s="151">
        <f t="shared" si="32"/>
        <v>0.47309999999999997</v>
      </c>
      <c r="X33" s="151">
        <f t="shared" si="32"/>
        <v>0.51122500000000004</v>
      </c>
      <c r="Y33" s="151">
        <f t="shared" si="32"/>
        <v>0.53676000000000001</v>
      </c>
      <c r="Z33" s="151">
        <f t="shared" si="32"/>
        <v>0.55341000000000007</v>
      </c>
      <c r="AA33" s="151">
        <f t="shared" si="32"/>
        <v>0.56000000000000005</v>
      </c>
      <c r="AB33" s="151">
        <f t="shared" si="32"/>
        <v>0.57199999999999995</v>
      </c>
      <c r="AC33" s="151">
        <f t="shared" si="32"/>
        <v>0.57799999999999996</v>
      </c>
      <c r="AD33" s="151">
        <f t="shared" si="32"/>
        <v>0.58399999999999996</v>
      </c>
      <c r="AE33" s="151">
        <f t="shared" si="32"/>
        <v>0.59</v>
      </c>
      <c r="AF33" s="151">
        <f t="shared" si="32"/>
        <v>0.59799999999999998</v>
      </c>
      <c r="AG33" s="151">
        <f t="shared" si="32"/>
        <v>0.60199999999999998</v>
      </c>
      <c r="AH33" s="151">
        <f t="shared" si="32"/>
        <v>0.60699999999999998</v>
      </c>
      <c r="AI33" s="151">
        <f t="shared" si="32"/>
        <v>0.61499999999999999</v>
      </c>
      <c r="AJ33" s="151">
        <f t="shared" si="32"/>
        <v>0.61799999999999999</v>
      </c>
      <c r="AK33" s="152">
        <f t="shared" si="32"/>
        <v>0.62</v>
      </c>
      <c r="AL33" s="151">
        <f t="shared" si="32"/>
        <v>0.62</v>
      </c>
      <c r="AM33" s="151">
        <f t="shared" si="32"/>
        <v>0.62</v>
      </c>
      <c r="AN33" s="151">
        <f t="shared" si="32"/>
        <v>0.62</v>
      </c>
      <c r="AO33" s="151">
        <f t="shared" si="32"/>
        <v>0.62</v>
      </c>
      <c r="AP33" s="151">
        <f t="shared" si="32"/>
        <v>0.62</v>
      </c>
      <c r="AQ33" s="151">
        <f t="shared" si="32"/>
        <v>0.62</v>
      </c>
      <c r="AR33" s="151">
        <f t="shared" si="32"/>
        <v>0.62</v>
      </c>
      <c r="AS33" s="151">
        <f t="shared" si="32"/>
        <v>0.62</v>
      </c>
      <c r="AT33" s="151">
        <f t="shared" si="32"/>
        <v>0.62</v>
      </c>
      <c r="AU33" s="151">
        <f t="shared" si="32"/>
        <v>0.62</v>
      </c>
      <c r="AV33" s="151">
        <f t="shared" si="32"/>
        <v>0.62</v>
      </c>
      <c r="AW33" s="151">
        <f t="shared" si="32"/>
        <v>0.62</v>
      </c>
      <c r="AX33" s="151">
        <f t="shared" si="32"/>
        <v>0.62</v>
      </c>
      <c r="AY33" s="151">
        <f t="shared" si="32"/>
        <v>0.62</v>
      </c>
      <c r="AZ33" s="151">
        <f t="shared" si="32"/>
        <v>0.62</v>
      </c>
      <c r="BA33" s="151">
        <f t="shared" si="32"/>
        <v>0.62</v>
      </c>
      <c r="BB33" s="151">
        <f t="shared" si="32"/>
        <v>0.62</v>
      </c>
      <c r="BC33" s="151">
        <f t="shared" si="32"/>
        <v>0.62</v>
      </c>
      <c r="BD33" s="151">
        <f t="shared" si="32"/>
        <v>0.62</v>
      </c>
      <c r="BE33" s="151">
        <f t="shared" si="32"/>
        <v>0.62</v>
      </c>
      <c r="BF33" s="151"/>
      <c r="BG33" s="151">
        <f>ED52</f>
        <v>0</v>
      </c>
      <c r="BH33" s="65"/>
      <c r="BI33" s="108"/>
      <c r="BJ33" s="18" t="s">
        <v>278</v>
      </c>
      <c r="BK33" s="1"/>
      <c r="BL33" s="1"/>
      <c r="BM33" s="1"/>
      <c r="BN33" s="1"/>
      <c r="BO33" s="1"/>
      <c r="BP33" s="14"/>
      <c r="BQ33" s="14"/>
      <c r="BR33" s="14"/>
      <c r="BS33" s="14"/>
      <c r="BT33" s="14"/>
      <c r="BU33" s="14"/>
      <c r="BV33" s="14"/>
      <c r="BW33" s="14"/>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row>
    <row r="34" spans="1:135" ht="14.25" customHeight="1">
      <c r="A34" s="18"/>
      <c r="B34" s="18" t="s">
        <v>145</v>
      </c>
      <c r="C34" s="19" t="s">
        <v>154</v>
      </c>
      <c r="D34" s="18" t="s">
        <v>167</v>
      </c>
      <c r="E34" s="18"/>
      <c r="F34" s="19" t="s">
        <v>156</v>
      </c>
      <c r="G34" s="18" t="s">
        <v>153</v>
      </c>
      <c r="H34" s="114"/>
      <c r="I34" s="151">
        <f t="shared" ref="I34:BE34" si="33">AVERAGE(I29,I33)</f>
        <v>4.95E-4</v>
      </c>
      <c r="J34" s="151">
        <f t="shared" si="33"/>
        <v>8.9999999999999998E-4</v>
      </c>
      <c r="K34" s="151">
        <f t="shared" si="33"/>
        <v>4.2500000000000003E-3</v>
      </c>
      <c r="L34" s="151">
        <f t="shared" si="33"/>
        <v>1.4E-2</v>
      </c>
      <c r="M34" s="151">
        <f t="shared" si="33"/>
        <v>2.4E-2</v>
      </c>
      <c r="N34" s="151">
        <f t="shared" si="33"/>
        <v>4.4500000000000005E-2</v>
      </c>
      <c r="O34" s="151">
        <f t="shared" si="33"/>
        <v>6.3E-2</v>
      </c>
      <c r="P34" s="151">
        <f t="shared" si="33"/>
        <v>8.6450000000000013E-2</v>
      </c>
      <c r="Q34" s="151">
        <f t="shared" si="33"/>
        <v>0.11713441568749999</v>
      </c>
      <c r="R34" s="151">
        <f t="shared" si="33"/>
        <v>0.14313474076968746</v>
      </c>
      <c r="S34" s="151">
        <f t="shared" si="33"/>
        <v>0.17175449736824311</v>
      </c>
      <c r="T34" s="151">
        <f t="shared" si="33"/>
        <v>0.2050305349114469</v>
      </c>
      <c r="U34" s="151">
        <f t="shared" si="33"/>
        <v>0.23956936396764855</v>
      </c>
      <c r="V34" s="151">
        <f t="shared" si="33"/>
        <v>0.27537145305103944</v>
      </c>
      <c r="W34" s="151">
        <f t="shared" si="33"/>
        <v>0.30181482013865202</v>
      </c>
      <c r="X34" s="151">
        <f t="shared" si="33"/>
        <v>0.32814116911081448</v>
      </c>
      <c r="Y34" s="151">
        <f t="shared" si="33"/>
        <v>0.34824352495219513</v>
      </c>
      <c r="Z34" s="151">
        <f t="shared" si="33"/>
        <v>0.36429341947882116</v>
      </c>
      <c r="AA34" s="151">
        <f t="shared" si="33"/>
        <v>0.37506847050231246</v>
      </c>
      <c r="AB34" s="151">
        <f t="shared" si="33"/>
        <v>0.38862113232555162</v>
      </c>
      <c r="AC34" s="151">
        <f t="shared" si="33"/>
        <v>0.39957024887653714</v>
      </c>
      <c r="AD34" s="151">
        <f t="shared" si="33"/>
        <v>0.41059629106472439</v>
      </c>
      <c r="AE34" s="151">
        <f t="shared" si="33"/>
        <v>0.42137328346646186</v>
      </c>
      <c r="AF34" s="151">
        <f t="shared" si="33"/>
        <v>0.43355325956681035</v>
      </c>
      <c r="AG34" s="151">
        <f t="shared" si="33"/>
        <v>0.44018386076799981</v>
      </c>
      <c r="AH34" s="151">
        <f t="shared" si="33"/>
        <v>0.44735740414971203</v>
      </c>
      <c r="AI34" s="151">
        <f t="shared" si="33"/>
        <v>0.45607420336872218</v>
      </c>
      <c r="AJ34" s="151">
        <f t="shared" si="33"/>
        <v>0.46233457414481866</v>
      </c>
      <c r="AK34" s="152">
        <f t="shared" si="33"/>
        <v>0.46780236866875446</v>
      </c>
      <c r="AL34" s="151">
        <f t="shared" si="33"/>
        <v>0.46780236866875446</v>
      </c>
      <c r="AM34" s="151">
        <f t="shared" si="33"/>
        <v>0.46780236866875446</v>
      </c>
      <c r="AN34" s="151">
        <f t="shared" si="33"/>
        <v>0.46780236866875446</v>
      </c>
      <c r="AO34" s="151">
        <f t="shared" si="33"/>
        <v>0.46780236866875446</v>
      </c>
      <c r="AP34" s="151">
        <f t="shared" si="33"/>
        <v>0.46780236866875446</v>
      </c>
      <c r="AQ34" s="151">
        <f t="shared" si="33"/>
        <v>0.46780236866875446</v>
      </c>
      <c r="AR34" s="151">
        <f t="shared" si="33"/>
        <v>0.46780236866875446</v>
      </c>
      <c r="AS34" s="151">
        <f t="shared" si="33"/>
        <v>0.46780236866875446</v>
      </c>
      <c r="AT34" s="151">
        <f t="shared" si="33"/>
        <v>0.46780236866875446</v>
      </c>
      <c r="AU34" s="151">
        <f t="shared" si="33"/>
        <v>0.46780236866875446</v>
      </c>
      <c r="AV34" s="151">
        <f t="shared" si="33"/>
        <v>0.46780236866875446</v>
      </c>
      <c r="AW34" s="151">
        <f t="shared" si="33"/>
        <v>0.46780236866875446</v>
      </c>
      <c r="AX34" s="151">
        <f t="shared" si="33"/>
        <v>0.46780236866875446</v>
      </c>
      <c r="AY34" s="151">
        <f t="shared" si="33"/>
        <v>0.46780236866875446</v>
      </c>
      <c r="AZ34" s="151">
        <f t="shared" si="33"/>
        <v>0.46780236866875446</v>
      </c>
      <c r="BA34" s="151">
        <f t="shared" si="33"/>
        <v>0.46780236866875446</v>
      </c>
      <c r="BB34" s="151">
        <f t="shared" si="33"/>
        <v>0.46780236866875446</v>
      </c>
      <c r="BC34" s="151">
        <f t="shared" si="33"/>
        <v>0.46780236866875446</v>
      </c>
      <c r="BD34" s="151">
        <f t="shared" si="33"/>
        <v>0.46780236866875446</v>
      </c>
      <c r="BE34" s="151">
        <f t="shared" si="33"/>
        <v>0.46780236866875446</v>
      </c>
      <c r="BF34" s="151"/>
      <c r="BG34" s="151">
        <v>0.70599999999999996</v>
      </c>
      <c r="BH34" s="65"/>
      <c r="BI34" s="108"/>
      <c r="BJ34" s="18" t="s">
        <v>304</v>
      </c>
      <c r="BK34" s="1"/>
      <c r="BL34" s="14" t="s">
        <v>305</v>
      </c>
      <c r="BM34" s="14" t="s">
        <v>269</v>
      </c>
      <c r="BN34" s="14">
        <v>2021</v>
      </c>
      <c r="BO34" s="14"/>
      <c r="BP34" s="14"/>
      <c r="BQ34" s="14"/>
      <c r="BR34" s="14"/>
      <c r="BS34" s="14"/>
      <c r="BT34" s="14"/>
      <c r="BU34" s="14"/>
      <c r="BV34" s="14"/>
      <c r="BW34" s="14"/>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row>
    <row r="35" spans="1:135" ht="14.25" customHeight="1">
      <c r="A35" s="18"/>
      <c r="B35" s="18" t="s">
        <v>145</v>
      </c>
      <c r="C35" s="19" t="s">
        <v>154</v>
      </c>
      <c r="D35" s="18" t="s">
        <v>172</v>
      </c>
      <c r="E35" s="18"/>
      <c r="F35" s="19" t="s">
        <v>156</v>
      </c>
      <c r="G35" s="18" t="s">
        <v>153</v>
      </c>
      <c r="H35" s="114"/>
      <c r="I35" s="151">
        <f t="shared" ref="I35:BE35" si="34">I29*2</f>
        <v>1E-3</v>
      </c>
      <c r="J35" s="151">
        <f t="shared" si="34"/>
        <v>1.6000000000000001E-3</v>
      </c>
      <c r="K35" s="151">
        <f t="shared" si="34"/>
        <v>3.0000000000000001E-3</v>
      </c>
      <c r="L35" s="151">
        <f t="shared" si="34"/>
        <v>8.0000000000000002E-3</v>
      </c>
      <c r="M35" s="151">
        <f t="shared" si="34"/>
        <v>0.02</v>
      </c>
      <c r="N35" s="151">
        <f t="shared" si="34"/>
        <v>0.04</v>
      </c>
      <c r="O35" s="151">
        <f t="shared" si="34"/>
        <v>5.6000000000000001E-2</v>
      </c>
      <c r="P35" s="151">
        <f t="shared" si="34"/>
        <v>7.5999999999999998E-2</v>
      </c>
      <c r="Q35" s="151">
        <f t="shared" si="34"/>
        <v>0.10353766274999998</v>
      </c>
      <c r="R35" s="151">
        <f t="shared" si="34"/>
        <v>0.12853896307874996</v>
      </c>
      <c r="S35" s="151">
        <f t="shared" si="34"/>
        <v>0.15501798947297243</v>
      </c>
      <c r="T35" s="151">
        <f t="shared" si="34"/>
        <v>0.18052213964578762</v>
      </c>
      <c r="U35" s="151">
        <f t="shared" si="34"/>
        <v>0.20627745587059418</v>
      </c>
      <c r="V35" s="151">
        <f t="shared" si="34"/>
        <v>0.23228581220415762</v>
      </c>
      <c r="W35" s="151">
        <f t="shared" si="34"/>
        <v>0.26105928055460809</v>
      </c>
      <c r="X35" s="151">
        <f t="shared" si="34"/>
        <v>0.29011467644325795</v>
      </c>
      <c r="Y35" s="151">
        <f t="shared" si="34"/>
        <v>0.31945409980878042</v>
      </c>
      <c r="Z35" s="151">
        <f t="shared" si="34"/>
        <v>0.35035367791528449</v>
      </c>
      <c r="AA35" s="151">
        <f t="shared" si="34"/>
        <v>0.38027388200924966</v>
      </c>
      <c r="AB35" s="151">
        <f t="shared" si="34"/>
        <v>0.41048452930220669</v>
      </c>
      <c r="AC35" s="151">
        <f t="shared" si="34"/>
        <v>0.44228099550614874</v>
      </c>
      <c r="AD35" s="151">
        <f t="shared" si="34"/>
        <v>0.4743851642588976</v>
      </c>
      <c r="AE35" s="151">
        <f t="shared" si="34"/>
        <v>0.50549313386584749</v>
      </c>
      <c r="AF35" s="151">
        <f t="shared" si="34"/>
        <v>0.53821303826724143</v>
      </c>
      <c r="AG35" s="151">
        <f t="shared" si="34"/>
        <v>0.55673544307199929</v>
      </c>
      <c r="AH35" s="151">
        <f t="shared" si="34"/>
        <v>0.57542961659884817</v>
      </c>
      <c r="AI35" s="151">
        <f t="shared" si="34"/>
        <v>0.59429681347488872</v>
      </c>
      <c r="AJ35" s="151">
        <f t="shared" si="34"/>
        <v>0.61333829657927463</v>
      </c>
      <c r="AK35" s="152">
        <f t="shared" si="34"/>
        <v>0.63120947467501776</v>
      </c>
      <c r="AL35" s="151">
        <f t="shared" si="34"/>
        <v>0.63120947467501776</v>
      </c>
      <c r="AM35" s="151">
        <f t="shared" si="34"/>
        <v>0.63120947467501776</v>
      </c>
      <c r="AN35" s="151">
        <f t="shared" si="34"/>
        <v>0.63120947467501776</v>
      </c>
      <c r="AO35" s="151">
        <f t="shared" si="34"/>
        <v>0.63120947467501776</v>
      </c>
      <c r="AP35" s="151">
        <f t="shared" si="34"/>
        <v>0.63120947467501776</v>
      </c>
      <c r="AQ35" s="151">
        <f t="shared" si="34"/>
        <v>0.63120947467501776</v>
      </c>
      <c r="AR35" s="151">
        <f t="shared" si="34"/>
        <v>0.63120947467501776</v>
      </c>
      <c r="AS35" s="151">
        <f t="shared" si="34"/>
        <v>0.63120947467501776</v>
      </c>
      <c r="AT35" s="151">
        <f t="shared" si="34"/>
        <v>0.63120947467501776</v>
      </c>
      <c r="AU35" s="151">
        <f t="shared" si="34"/>
        <v>0.63120947467501776</v>
      </c>
      <c r="AV35" s="151">
        <f t="shared" si="34"/>
        <v>0.63120947467501776</v>
      </c>
      <c r="AW35" s="151">
        <f t="shared" si="34"/>
        <v>0.63120947467501776</v>
      </c>
      <c r="AX35" s="151">
        <f t="shared" si="34"/>
        <v>0.63120947467501776</v>
      </c>
      <c r="AY35" s="151">
        <f t="shared" si="34"/>
        <v>0.63120947467501776</v>
      </c>
      <c r="AZ35" s="151">
        <f t="shared" si="34"/>
        <v>0.63120947467501776</v>
      </c>
      <c r="BA35" s="151">
        <f t="shared" si="34"/>
        <v>0.63120947467501776</v>
      </c>
      <c r="BB35" s="151">
        <f t="shared" si="34"/>
        <v>0.63120947467501776</v>
      </c>
      <c r="BC35" s="151">
        <f t="shared" si="34"/>
        <v>0.63120947467501776</v>
      </c>
      <c r="BD35" s="151">
        <f t="shared" si="34"/>
        <v>0.63120947467501776</v>
      </c>
      <c r="BE35" s="151">
        <f t="shared" si="34"/>
        <v>0.63120947467501776</v>
      </c>
      <c r="BF35" s="151"/>
      <c r="BG35" s="151">
        <v>0.93899999999999995</v>
      </c>
      <c r="BH35" s="65"/>
      <c r="BI35" s="108"/>
      <c r="BJ35" s="18" t="s">
        <v>173</v>
      </c>
      <c r="BK35" s="14"/>
      <c r="BL35" s="14" t="s">
        <v>306</v>
      </c>
      <c r="BM35" s="1" t="s">
        <v>307</v>
      </c>
      <c r="BN35" s="14">
        <v>7098</v>
      </c>
      <c r="BO35" s="14"/>
      <c r="BP35" s="14"/>
      <c r="BQ35" s="14"/>
      <c r="BR35" s="14"/>
      <c r="BS35" s="14"/>
      <c r="BT35" s="14"/>
      <c r="BU35" s="14"/>
      <c r="BV35" s="14"/>
      <c r="BW35" s="14"/>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row>
    <row r="36" spans="1:135" ht="14.25" customHeight="1">
      <c r="A36" s="18"/>
      <c r="B36" s="18" t="s">
        <v>145</v>
      </c>
      <c r="C36" s="19"/>
      <c r="D36" s="18" t="s">
        <v>308</v>
      </c>
      <c r="E36" s="18"/>
      <c r="F36" s="19" t="s">
        <v>184</v>
      </c>
      <c r="G36" s="18"/>
      <c r="H36" s="114"/>
      <c r="I36" s="151">
        <v>4.0000000000000001E-3</v>
      </c>
      <c r="J36" s="151">
        <v>7.0000000000000001E-3</v>
      </c>
      <c r="K36" s="151">
        <v>1.0999999999999999E-2</v>
      </c>
      <c r="L36" s="151">
        <v>1.4E-2</v>
      </c>
      <c r="M36" s="151">
        <v>1.7999999999999999E-2</v>
      </c>
      <c r="N36" s="151">
        <v>2.1000000000000001E-2</v>
      </c>
      <c r="O36" s="151">
        <v>2.5000000000000001E-2</v>
      </c>
      <c r="P36" s="151">
        <v>2.8000000000000001E-2</v>
      </c>
      <c r="Q36" s="151">
        <v>3.1E-2</v>
      </c>
      <c r="R36" s="151">
        <v>3.5000000000000003E-2</v>
      </c>
      <c r="S36" s="151">
        <v>3.7999999999999999E-2</v>
      </c>
      <c r="T36" s="151">
        <v>4.2000000000000003E-2</v>
      </c>
      <c r="U36" s="151">
        <v>4.4999999999999998E-2</v>
      </c>
      <c r="V36" s="151">
        <v>4.9000000000000002E-2</v>
      </c>
      <c r="W36" s="151">
        <v>5.1999999999999998E-2</v>
      </c>
      <c r="X36" s="151">
        <v>5.5E-2</v>
      </c>
      <c r="Y36" s="151">
        <v>5.8999999999999997E-2</v>
      </c>
      <c r="Z36" s="151">
        <v>6.2E-2</v>
      </c>
      <c r="AA36" s="151">
        <v>6.6000000000000003E-2</v>
      </c>
      <c r="AB36" s="151">
        <v>6.9000000000000006E-2</v>
      </c>
      <c r="AC36" s="151">
        <v>7.2999999999999995E-2</v>
      </c>
      <c r="AD36" s="151">
        <v>7.5999999999999998E-2</v>
      </c>
      <c r="AE36" s="151">
        <v>7.9000000000000001E-2</v>
      </c>
      <c r="AF36" s="151">
        <v>8.3000000000000004E-2</v>
      </c>
      <c r="AG36" s="151">
        <v>8.5999999999999993E-2</v>
      </c>
      <c r="AH36" s="151">
        <v>0.09</v>
      </c>
      <c r="AI36" s="151">
        <v>9.2999999999999999E-2</v>
      </c>
      <c r="AJ36" s="151">
        <v>9.7000000000000003E-2</v>
      </c>
      <c r="AK36" s="152">
        <v>0.1</v>
      </c>
      <c r="AL36" s="111">
        <f t="shared" ref="AL36:BE36" si="35">AK36</f>
        <v>0.1</v>
      </c>
      <c r="AM36" s="111">
        <f t="shared" si="35"/>
        <v>0.1</v>
      </c>
      <c r="AN36" s="111">
        <f t="shared" si="35"/>
        <v>0.1</v>
      </c>
      <c r="AO36" s="111">
        <f t="shared" si="35"/>
        <v>0.1</v>
      </c>
      <c r="AP36" s="111">
        <f t="shared" si="35"/>
        <v>0.1</v>
      </c>
      <c r="AQ36" s="111">
        <f t="shared" si="35"/>
        <v>0.1</v>
      </c>
      <c r="AR36" s="111">
        <f t="shared" si="35"/>
        <v>0.1</v>
      </c>
      <c r="AS36" s="111">
        <f t="shared" si="35"/>
        <v>0.1</v>
      </c>
      <c r="AT36" s="111">
        <f t="shared" si="35"/>
        <v>0.1</v>
      </c>
      <c r="AU36" s="111">
        <f t="shared" si="35"/>
        <v>0.1</v>
      </c>
      <c r="AV36" s="111">
        <f t="shared" si="35"/>
        <v>0.1</v>
      </c>
      <c r="AW36" s="111">
        <f t="shared" si="35"/>
        <v>0.1</v>
      </c>
      <c r="AX36" s="111">
        <f t="shared" si="35"/>
        <v>0.1</v>
      </c>
      <c r="AY36" s="111">
        <f t="shared" si="35"/>
        <v>0.1</v>
      </c>
      <c r="AZ36" s="111">
        <f t="shared" si="35"/>
        <v>0.1</v>
      </c>
      <c r="BA36" s="111">
        <f t="shared" si="35"/>
        <v>0.1</v>
      </c>
      <c r="BB36" s="111">
        <f t="shared" si="35"/>
        <v>0.1</v>
      </c>
      <c r="BC36" s="111">
        <f t="shared" si="35"/>
        <v>0.1</v>
      </c>
      <c r="BD36" s="111">
        <f t="shared" si="35"/>
        <v>0.1</v>
      </c>
      <c r="BE36" s="111">
        <f t="shared" si="35"/>
        <v>0.1</v>
      </c>
      <c r="BF36" s="111"/>
      <c r="BG36" s="151">
        <v>0.1</v>
      </c>
      <c r="BH36" s="65"/>
      <c r="BI36" s="108"/>
      <c r="BJ36" s="18" t="s">
        <v>186</v>
      </c>
      <c r="BK36" s="14"/>
      <c r="BL36" s="14" t="s">
        <v>309</v>
      </c>
      <c r="BM36" s="1" t="s">
        <v>310</v>
      </c>
      <c r="BN36" s="14">
        <v>8443</v>
      </c>
      <c r="BO36" s="132" t="s">
        <v>311</v>
      </c>
      <c r="BP36" s="14"/>
      <c r="BQ36" s="14"/>
      <c r="BR36" s="14"/>
      <c r="BS36" s="14"/>
      <c r="BT36" s="14"/>
      <c r="BU36" s="14"/>
      <c r="BV36" s="14"/>
      <c r="BW36" s="14"/>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row>
    <row r="37" spans="1:135" ht="14.25" customHeight="1">
      <c r="A37" s="18"/>
      <c r="B37" s="18" t="s">
        <v>145</v>
      </c>
      <c r="C37" s="19"/>
      <c r="D37" s="18" t="s">
        <v>312</v>
      </c>
      <c r="E37" s="18"/>
      <c r="F37" s="19" t="s">
        <v>184</v>
      </c>
      <c r="G37" s="18"/>
      <c r="H37" s="114"/>
      <c r="I37" s="153">
        <v>0</v>
      </c>
      <c r="J37" s="151">
        <v>0.01</v>
      </c>
      <c r="K37" s="151">
        <v>1.0999999999999999E-2</v>
      </c>
      <c r="L37" s="151">
        <v>1.2E-2</v>
      </c>
      <c r="M37" s="151">
        <v>1.4E-2</v>
      </c>
      <c r="N37" s="151">
        <v>1.4999999999999999E-2</v>
      </c>
      <c r="O37" s="151">
        <v>1.7000000000000001E-2</v>
      </c>
      <c r="P37" s="151">
        <v>1.7999999999999999E-2</v>
      </c>
      <c r="Q37" s="151">
        <v>0.02</v>
      </c>
      <c r="R37" s="151">
        <v>2.1000000000000001E-2</v>
      </c>
      <c r="S37" s="151">
        <v>2.3E-2</v>
      </c>
      <c r="T37" s="151">
        <v>2.4E-2</v>
      </c>
      <c r="U37" s="151">
        <v>2.5999999999999999E-2</v>
      </c>
      <c r="V37" s="151">
        <v>2.7E-2</v>
      </c>
      <c r="W37" s="151">
        <v>2.9000000000000001E-2</v>
      </c>
      <c r="X37" s="151">
        <v>0.03</v>
      </c>
      <c r="Y37" s="151">
        <v>3.2000000000000001E-2</v>
      </c>
      <c r="Z37" s="151">
        <v>3.3000000000000002E-2</v>
      </c>
      <c r="AA37" s="151">
        <v>3.5000000000000003E-2</v>
      </c>
      <c r="AB37" s="151">
        <v>3.5999999999999997E-2</v>
      </c>
      <c r="AC37" s="151">
        <v>3.7999999999999999E-2</v>
      </c>
      <c r="AD37" s="151">
        <v>3.9E-2</v>
      </c>
      <c r="AE37" s="151">
        <v>4.1000000000000002E-2</v>
      </c>
      <c r="AF37" s="151">
        <v>4.2000000000000003E-2</v>
      </c>
      <c r="AG37" s="151">
        <v>4.3999999999999997E-2</v>
      </c>
      <c r="AH37" s="151">
        <v>4.4999999999999998E-2</v>
      </c>
      <c r="AI37" s="151">
        <v>4.7E-2</v>
      </c>
      <c r="AJ37" s="151">
        <v>4.8000000000000001E-2</v>
      </c>
      <c r="AK37" s="152">
        <v>0.05</v>
      </c>
      <c r="AL37" s="111">
        <f t="shared" ref="AL37:BE37" si="36">AK37</f>
        <v>0.05</v>
      </c>
      <c r="AM37" s="111">
        <f t="shared" si="36"/>
        <v>0.05</v>
      </c>
      <c r="AN37" s="111">
        <f t="shared" si="36"/>
        <v>0.05</v>
      </c>
      <c r="AO37" s="111">
        <f t="shared" si="36"/>
        <v>0.05</v>
      </c>
      <c r="AP37" s="111">
        <f t="shared" si="36"/>
        <v>0.05</v>
      </c>
      <c r="AQ37" s="111">
        <f t="shared" si="36"/>
        <v>0.05</v>
      </c>
      <c r="AR37" s="111">
        <f t="shared" si="36"/>
        <v>0.05</v>
      </c>
      <c r="AS37" s="111">
        <f t="shared" si="36"/>
        <v>0.05</v>
      </c>
      <c r="AT37" s="111">
        <f t="shared" si="36"/>
        <v>0.05</v>
      </c>
      <c r="AU37" s="111">
        <f t="shared" si="36"/>
        <v>0.05</v>
      </c>
      <c r="AV37" s="111">
        <f t="shared" si="36"/>
        <v>0.05</v>
      </c>
      <c r="AW37" s="111">
        <f t="shared" si="36"/>
        <v>0.05</v>
      </c>
      <c r="AX37" s="111">
        <f t="shared" si="36"/>
        <v>0.05</v>
      </c>
      <c r="AY37" s="111">
        <f t="shared" si="36"/>
        <v>0.05</v>
      </c>
      <c r="AZ37" s="111">
        <f t="shared" si="36"/>
        <v>0.05</v>
      </c>
      <c r="BA37" s="111">
        <f t="shared" si="36"/>
        <v>0.05</v>
      </c>
      <c r="BB37" s="111">
        <f t="shared" si="36"/>
        <v>0.05</v>
      </c>
      <c r="BC37" s="111">
        <f t="shared" si="36"/>
        <v>0.05</v>
      </c>
      <c r="BD37" s="111">
        <f t="shared" si="36"/>
        <v>0.05</v>
      </c>
      <c r="BE37" s="111">
        <f t="shared" si="36"/>
        <v>0.05</v>
      </c>
      <c r="BF37" s="111"/>
      <c r="BG37" s="151">
        <v>0.05</v>
      </c>
      <c r="BH37" s="65"/>
      <c r="BI37" s="108"/>
      <c r="BJ37" s="18" t="s">
        <v>313</v>
      </c>
      <c r="BK37" s="14"/>
      <c r="BL37" s="14"/>
      <c r="BM37" s="14"/>
      <c r="BN37" s="14"/>
      <c r="BO37" s="14"/>
      <c r="BP37" s="14"/>
      <c r="BQ37" s="14"/>
      <c r="BR37" s="14"/>
      <c r="BS37" s="14"/>
      <c r="BT37" s="14"/>
      <c r="BU37" s="14"/>
      <c r="BV37" s="14"/>
      <c r="BW37" s="14"/>
      <c r="BX37" s="18"/>
      <c r="BY37" s="18"/>
      <c r="BZ37" s="18"/>
      <c r="CA37" s="18"/>
      <c r="CB37" s="18"/>
      <c r="CC37" s="18"/>
      <c r="CD37" s="18"/>
      <c r="CE37" s="18"/>
      <c r="CF37" s="18"/>
      <c r="CG37" s="18"/>
      <c r="CH37" s="18"/>
      <c r="CI37" s="18"/>
      <c r="CJ37" s="18"/>
      <c r="CK37" s="18"/>
      <c r="CL37" s="18"/>
      <c r="CM37" s="18">
        <v>1.0049999999999999</v>
      </c>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row>
    <row r="38" spans="1:135" ht="14.25" customHeight="1">
      <c r="A38" s="18"/>
      <c r="B38" s="18" t="s">
        <v>145</v>
      </c>
      <c r="C38" s="19"/>
      <c r="D38" s="18" t="s">
        <v>191</v>
      </c>
      <c r="E38" s="18"/>
      <c r="F38" s="19" t="s">
        <v>184</v>
      </c>
      <c r="G38" s="18"/>
      <c r="H38" s="114"/>
      <c r="I38" s="151">
        <v>7.0000000000000001E-3</v>
      </c>
      <c r="J38" s="151">
        <v>0.01</v>
      </c>
      <c r="K38" s="151">
        <v>1.4E-2</v>
      </c>
      <c r="L38" s="151">
        <v>1.7999999999999999E-2</v>
      </c>
      <c r="M38" s="151">
        <v>2.1000000000000001E-2</v>
      </c>
      <c r="N38" s="151">
        <v>2.5000000000000001E-2</v>
      </c>
      <c r="O38" s="151">
        <v>2.9000000000000001E-2</v>
      </c>
      <c r="P38" s="151">
        <v>3.2000000000000001E-2</v>
      </c>
      <c r="Q38" s="151">
        <v>3.5999999999999997E-2</v>
      </c>
      <c r="R38" s="151">
        <v>0.04</v>
      </c>
      <c r="S38" s="151">
        <v>4.3999999999999997E-2</v>
      </c>
      <c r="T38" s="151">
        <v>4.7E-2</v>
      </c>
      <c r="U38" s="151">
        <v>5.0999999999999997E-2</v>
      </c>
      <c r="V38" s="151">
        <v>5.5E-2</v>
      </c>
      <c r="W38" s="151">
        <v>5.8000000000000003E-2</v>
      </c>
      <c r="X38" s="151">
        <v>6.2E-2</v>
      </c>
      <c r="Y38" s="151">
        <v>6.6000000000000003E-2</v>
      </c>
      <c r="Z38" s="151">
        <v>6.9000000000000006E-2</v>
      </c>
      <c r="AA38" s="151">
        <v>7.2999999999999995E-2</v>
      </c>
      <c r="AB38" s="151">
        <v>7.6999999999999999E-2</v>
      </c>
      <c r="AC38" s="151">
        <v>0.08</v>
      </c>
      <c r="AD38" s="151">
        <v>8.4000000000000005E-2</v>
      </c>
      <c r="AE38" s="151">
        <v>8.7999999999999995E-2</v>
      </c>
      <c r="AF38" s="151">
        <v>9.1999999999999998E-2</v>
      </c>
      <c r="AG38" s="151">
        <v>9.5000000000000001E-2</v>
      </c>
      <c r="AH38" s="151">
        <v>9.9000000000000005E-2</v>
      </c>
      <c r="AI38" s="151">
        <v>0.10299999999999999</v>
      </c>
      <c r="AJ38" s="151">
        <v>0.106</v>
      </c>
      <c r="AK38" s="152">
        <v>0.11</v>
      </c>
      <c r="AL38" s="111">
        <f t="shared" ref="AL38:BE38" si="37">AK38</f>
        <v>0.11</v>
      </c>
      <c r="AM38" s="111">
        <f t="shared" si="37"/>
        <v>0.11</v>
      </c>
      <c r="AN38" s="111">
        <f t="shared" si="37"/>
        <v>0.11</v>
      </c>
      <c r="AO38" s="111">
        <f t="shared" si="37"/>
        <v>0.11</v>
      </c>
      <c r="AP38" s="111">
        <f t="shared" si="37"/>
        <v>0.11</v>
      </c>
      <c r="AQ38" s="111">
        <f t="shared" si="37"/>
        <v>0.11</v>
      </c>
      <c r="AR38" s="111">
        <f t="shared" si="37"/>
        <v>0.11</v>
      </c>
      <c r="AS38" s="111">
        <f t="shared" si="37"/>
        <v>0.11</v>
      </c>
      <c r="AT38" s="111">
        <f t="shared" si="37"/>
        <v>0.11</v>
      </c>
      <c r="AU38" s="111">
        <f t="shared" si="37"/>
        <v>0.11</v>
      </c>
      <c r="AV38" s="111">
        <f t="shared" si="37"/>
        <v>0.11</v>
      </c>
      <c r="AW38" s="111">
        <f t="shared" si="37"/>
        <v>0.11</v>
      </c>
      <c r="AX38" s="111">
        <f t="shared" si="37"/>
        <v>0.11</v>
      </c>
      <c r="AY38" s="111">
        <f t="shared" si="37"/>
        <v>0.11</v>
      </c>
      <c r="AZ38" s="111">
        <f t="shared" si="37"/>
        <v>0.11</v>
      </c>
      <c r="BA38" s="111">
        <f t="shared" si="37"/>
        <v>0.11</v>
      </c>
      <c r="BB38" s="111">
        <f t="shared" si="37"/>
        <v>0.11</v>
      </c>
      <c r="BC38" s="111">
        <f t="shared" si="37"/>
        <v>0.11</v>
      </c>
      <c r="BD38" s="111">
        <f t="shared" si="37"/>
        <v>0.11</v>
      </c>
      <c r="BE38" s="111">
        <f t="shared" si="37"/>
        <v>0.11</v>
      </c>
      <c r="BF38" s="111"/>
      <c r="BG38" s="151">
        <v>0.11</v>
      </c>
      <c r="BH38" s="65"/>
      <c r="BI38" s="108"/>
      <c r="BJ38" s="18" t="s">
        <v>192</v>
      </c>
      <c r="BK38" s="14" t="s">
        <v>314</v>
      </c>
      <c r="BL38" s="14" t="s">
        <v>315</v>
      </c>
      <c r="BM38" s="14" t="s">
        <v>316</v>
      </c>
      <c r="BN38" s="14">
        <v>36607</v>
      </c>
      <c r="BO38" s="14">
        <f>BN38-BN39</f>
        <v>12958</v>
      </c>
      <c r="BP38" s="14"/>
      <c r="BQ38" s="14"/>
      <c r="BR38" s="14"/>
      <c r="BS38" s="14"/>
      <c r="BT38" s="14"/>
      <c r="BU38" s="14"/>
      <c r="BV38" s="14"/>
      <c r="BW38" s="14"/>
      <c r="BX38" s="18"/>
      <c r="BY38" s="18"/>
      <c r="BZ38" s="18"/>
      <c r="CA38" s="18"/>
      <c r="CB38" s="18"/>
      <c r="CC38" s="18"/>
      <c r="CD38" s="18"/>
      <c r="CE38" s="18"/>
      <c r="CF38" s="18"/>
      <c r="CG38" s="18"/>
      <c r="CH38" s="18"/>
      <c r="CI38" s="18"/>
      <c r="CJ38" s="18"/>
      <c r="CK38" s="18"/>
      <c r="CL38" s="18">
        <v>0.6</v>
      </c>
      <c r="CM38" s="18">
        <f t="shared" ref="CM38:ED38" si="38">CL38*$CM$37</f>
        <v>0.60299999999999987</v>
      </c>
      <c r="CN38" s="18">
        <f t="shared" si="38"/>
        <v>0.60601499999999986</v>
      </c>
      <c r="CO38" s="18">
        <f t="shared" si="38"/>
        <v>0.60904507499999982</v>
      </c>
      <c r="CP38" s="18">
        <f t="shared" si="38"/>
        <v>0.61209030037499979</v>
      </c>
      <c r="CQ38" s="18">
        <f t="shared" si="38"/>
        <v>0.61515075187687474</v>
      </c>
      <c r="CR38" s="18">
        <f t="shared" si="38"/>
        <v>0.61822650563625903</v>
      </c>
      <c r="CS38" s="18">
        <f t="shared" si="38"/>
        <v>0.6213176381644403</v>
      </c>
      <c r="CT38" s="18">
        <f t="shared" si="38"/>
        <v>0.6244242263552624</v>
      </c>
      <c r="CU38" s="18">
        <f t="shared" si="38"/>
        <v>0.62754634748703864</v>
      </c>
      <c r="CV38" s="18">
        <f t="shared" si="38"/>
        <v>0.63068407922447378</v>
      </c>
      <c r="CW38" s="18">
        <f t="shared" si="38"/>
        <v>0.6338374996205961</v>
      </c>
      <c r="CX38" s="18">
        <f t="shared" si="38"/>
        <v>0.63700668711869901</v>
      </c>
      <c r="CY38" s="18">
        <f t="shared" si="38"/>
        <v>0.64019172055429241</v>
      </c>
      <c r="CZ38" s="18">
        <f t="shared" si="38"/>
        <v>0.64339267915706377</v>
      </c>
      <c r="DA38" s="18">
        <f t="shared" si="38"/>
        <v>0.64660964255284903</v>
      </c>
      <c r="DB38" s="18">
        <f t="shared" si="38"/>
        <v>0.64984269076561318</v>
      </c>
      <c r="DC38" s="18">
        <f t="shared" si="38"/>
        <v>0.65309190421944119</v>
      </c>
      <c r="DD38" s="18">
        <f t="shared" si="38"/>
        <v>0.65635736374053832</v>
      </c>
      <c r="DE38" s="18">
        <f t="shared" si="38"/>
        <v>0.65963915055924094</v>
      </c>
      <c r="DF38" s="18">
        <f t="shared" si="38"/>
        <v>0.66293734631203705</v>
      </c>
      <c r="DG38" s="18">
        <f t="shared" si="38"/>
        <v>0.66625203304359715</v>
      </c>
      <c r="DH38" s="18">
        <f t="shared" si="38"/>
        <v>0.66958329320881504</v>
      </c>
      <c r="DI38" s="18">
        <f t="shared" si="38"/>
        <v>0.67293120967485909</v>
      </c>
      <c r="DJ38" s="18">
        <f t="shared" si="38"/>
        <v>0.6762958657232333</v>
      </c>
      <c r="DK38" s="18">
        <f t="shared" si="38"/>
        <v>0.6796773450518494</v>
      </c>
      <c r="DL38" s="18">
        <f t="shared" si="38"/>
        <v>0.68307573177710856</v>
      </c>
      <c r="DM38" s="18">
        <f t="shared" si="38"/>
        <v>0.68649111043599398</v>
      </c>
      <c r="DN38" s="18">
        <f t="shared" si="38"/>
        <v>0.68992356598817384</v>
      </c>
      <c r="DO38" s="18">
        <f t="shared" si="38"/>
        <v>0.69337318381811464</v>
      </c>
      <c r="DP38" s="18">
        <f t="shared" si="38"/>
        <v>0.69684004973720515</v>
      </c>
      <c r="DQ38" s="18">
        <f t="shared" si="38"/>
        <v>0.70032424998589105</v>
      </c>
      <c r="DR38" s="18">
        <f t="shared" si="38"/>
        <v>0.70382587123582041</v>
      </c>
      <c r="DS38" s="18">
        <f t="shared" si="38"/>
        <v>0.70734500059199945</v>
      </c>
      <c r="DT38" s="18">
        <f t="shared" si="38"/>
        <v>0.71088172559495932</v>
      </c>
      <c r="DU38" s="18">
        <f t="shared" si="38"/>
        <v>0.71443613422293406</v>
      </c>
      <c r="DV38" s="18">
        <f t="shared" si="38"/>
        <v>0.7180083148940487</v>
      </c>
      <c r="DW38" s="18">
        <f t="shared" si="38"/>
        <v>0.72159835646851889</v>
      </c>
      <c r="DX38" s="18">
        <f t="shared" si="38"/>
        <v>0.72520634825086139</v>
      </c>
      <c r="DY38" s="18">
        <f t="shared" si="38"/>
        <v>0.72883237999211559</v>
      </c>
      <c r="DZ38" s="18">
        <f t="shared" si="38"/>
        <v>0.73247654189207612</v>
      </c>
      <c r="EA38" s="18">
        <f t="shared" si="38"/>
        <v>0.7361389246015364</v>
      </c>
      <c r="EB38" s="18">
        <f t="shared" si="38"/>
        <v>0.73981961922454398</v>
      </c>
      <c r="EC38" s="18">
        <f t="shared" si="38"/>
        <v>0.74351871732066666</v>
      </c>
      <c r="ED38" s="18">
        <f t="shared" si="38"/>
        <v>0.74723631090726994</v>
      </c>
      <c r="EE38" s="18"/>
    </row>
    <row r="39" spans="1:135" ht="14.25" customHeight="1">
      <c r="A39" s="18"/>
      <c r="B39" s="18" t="s">
        <v>145</v>
      </c>
      <c r="C39" s="19" t="s">
        <v>317</v>
      </c>
      <c r="D39" s="18" t="s">
        <v>155</v>
      </c>
      <c r="E39" s="18"/>
      <c r="F39" s="19" t="s">
        <v>156</v>
      </c>
      <c r="G39" s="18"/>
      <c r="H39" s="114"/>
      <c r="I39" s="151">
        <f t="shared" ref="I39:AK39" si="39">CG43</f>
        <v>1.2999999999999999E-3</v>
      </c>
      <c r="J39" s="151">
        <f t="shared" si="39"/>
        <v>5.0000000000000001E-3</v>
      </c>
      <c r="K39" s="151">
        <f t="shared" si="39"/>
        <v>0.01</v>
      </c>
      <c r="L39" s="151">
        <f t="shared" si="39"/>
        <v>1.4999999999999999E-2</v>
      </c>
      <c r="M39" s="151">
        <f t="shared" si="39"/>
        <v>2.1000000000000001E-2</v>
      </c>
      <c r="N39" s="151">
        <f t="shared" si="39"/>
        <v>3.0199999999999998E-2</v>
      </c>
      <c r="O39" s="151">
        <f t="shared" si="39"/>
        <v>3.8629000000000011E-2</v>
      </c>
      <c r="P39" s="151">
        <f t="shared" si="39"/>
        <v>4.7972935000000008E-2</v>
      </c>
      <c r="Q39" s="151">
        <f t="shared" si="39"/>
        <v>5.8431168625000016E-2</v>
      </c>
      <c r="R39" s="151">
        <f t="shared" si="39"/>
        <v>7.3210518460625026E-2</v>
      </c>
      <c r="S39" s="151">
        <f t="shared" si="39"/>
        <v>9.0091005263513796E-2</v>
      </c>
      <c r="T39" s="151">
        <f t="shared" si="39"/>
        <v>0.11073893017710618</v>
      </c>
      <c r="U39" s="151">
        <f t="shared" si="39"/>
        <v>0.12726127206470295</v>
      </c>
      <c r="V39" s="151">
        <f t="shared" si="39"/>
        <v>0.14113709389792117</v>
      </c>
      <c r="W39" s="151">
        <f t="shared" si="39"/>
        <v>0.15475035972269596</v>
      </c>
      <c r="X39" s="151">
        <f t="shared" si="39"/>
        <v>0.16513266177837105</v>
      </c>
      <c r="Y39" s="151">
        <f t="shared" si="39"/>
        <v>0.1731229500956098</v>
      </c>
      <c r="Z39" s="151">
        <f t="shared" si="39"/>
        <v>0.18012316104235776</v>
      </c>
      <c r="AA39" s="151">
        <f t="shared" si="39"/>
        <v>0.18561305899537517</v>
      </c>
      <c r="AB39" s="151">
        <f t="shared" si="39"/>
        <v>0.19250773534889665</v>
      </c>
      <c r="AC39" s="151">
        <f t="shared" si="39"/>
        <v>0.19960950224692564</v>
      </c>
      <c r="AD39" s="151">
        <f t="shared" si="39"/>
        <v>0.20655741787055121</v>
      </c>
      <c r="AE39" s="151">
        <f t="shared" si="39"/>
        <v>0.21300343306707625</v>
      </c>
      <c r="AF39" s="151">
        <f t="shared" si="39"/>
        <v>0.2196434808663793</v>
      </c>
      <c r="AG39" s="151">
        <f t="shared" si="39"/>
        <v>0.22238227846400033</v>
      </c>
      <c r="AH39" s="151">
        <f t="shared" si="39"/>
        <v>0.2250351917005759</v>
      </c>
      <c r="AI39" s="151">
        <f t="shared" si="39"/>
        <v>0.22760159326255569</v>
      </c>
      <c r="AJ39" s="151">
        <f t="shared" si="39"/>
        <v>0.23008085171036274</v>
      </c>
      <c r="AK39" s="152">
        <f t="shared" si="39"/>
        <v>0.23214526266249108</v>
      </c>
      <c r="AL39" s="151">
        <f t="shared" ref="AL39:BE39" si="40">AK39</f>
        <v>0.23214526266249108</v>
      </c>
      <c r="AM39" s="151">
        <f t="shared" si="40"/>
        <v>0.23214526266249108</v>
      </c>
      <c r="AN39" s="151">
        <f t="shared" si="40"/>
        <v>0.23214526266249108</v>
      </c>
      <c r="AO39" s="151">
        <f t="shared" si="40"/>
        <v>0.23214526266249108</v>
      </c>
      <c r="AP39" s="151">
        <f t="shared" si="40"/>
        <v>0.23214526266249108</v>
      </c>
      <c r="AQ39" s="151">
        <f t="shared" si="40"/>
        <v>0.23214526266249108</v>
      </c>
      <c r="AR39" s="151">
        <f t="shared" si="40"/>
        <v>0.23214526266249108</v>
      </c>
      <c r="AS39" s="151">
        <f t="shared" si="40"/>
        <v>0.23214526266249108</v>
      </c>
      <c r="AT39" s="151">
        <f t="shared" si="40"/>
        <v>0.23214526266249108</v>
      </c>
      <c r="AU39" s="151">
        <f t="shared" si="40"/>
        <v>0.23214526266249108</v>
      </c>
      <c r="AV39" s="151">
        <f t="shared" si="40"/>
        <v>0.23214526266249108</v>
      </c>
      <c r="AW39" s="151">
        <f t="shared" si="40"/>
        <v>0.23214526266249108</v>
      </c>
      <c r="AX39" s="151">
        <f t="shared" si="40"/>
        <v>0.23214526266249108</v>
      </c>
      <c r="AY39" s="151">
        <f t="shared" si="40"/>
        <v>0.23214526266249108</v>
      </c>
      <c r="AZ39" s="151">
        <f t="shared" si="40"/>
        <v>0.23214526266249108</v>
      </c>
      <c r="BA39" s="151">
        <f t="shared" si="40"/>
        <v>0.23214526266249108</v>
      </c>
      <c r="BB39" s="151">
        <f t="shared" si="40"/>
        <v>0.23214526266249108</v>
      </c>
      <c r="BC39" s="151">
        <f t="shared" si="40"/>
        <v>0.23214526266249108</v>
      </c>
      <c r="BD39" s="151">
        <f t="shared" si="40"/>
        <v>0.23214526266249108</v>
      </c>
      <c r="BE39" s="151">
        <f t="shared" si="40"/>
        <v>0.23214526266249108</v>
      </c>
      <c r="BF39" s="151"/>
      <c r="BG39" s="151"/>
      <c r="BH39" s="65"/>
      <c r="BI39" s="108"/>
      <c r="BJ39" s="18"/>
      <c r="BK39" s="14"/>
      <c r="BL39" s="14"/>
      <c r="BM39" s="14" t="s">
        <v>318</v>
      </c>
      <c r="BN39" s="14">
        <v>23649</v>
      </c>
      <c r="BO39" s="14"/>
      <c r="BP39" s="19"/>
      <c r="BQ39" s="19"/>
      <c r="BR39" s="19"/>
      <c r="BS39" s="19"/>
      <c r="BT39" s="19"/>
      <c r="BU39" s="19"/>
      <c r="BV39" s="19"/>
      <c r="BW39" s="19"/>
      <c r="BX39" s="18"/>
      <c r="BY39" s="18"/>
      <c r="BZ39" s="18"/>
      <c r="CA39" s="18"/>
      <c r="CB39" s="18"/>
      <c r="CC39" s="18"/>
      <c r="CD39" s="18"/>
      <c r="CE39" s="18"/>
      <c r="CF39" s="18"/>
      <c r="CG39" s="18">
        <v>2022</v>
      </c>
      <c r="CH39" s="18">
        <v>2023</v>
      </c>
      <c r="CI39" s="18">
        <v>2024</v>
      </c>
      <c r="CJ39" s="18">
        <v>2025</v>
      </c>
      <c r="CK39" s="18">
        <v>2026</v>
      </c>
      <c r="CL39" s="18">
        <v>2027</v>
      </c>
      <c r="CM39" s="18">
        <v>2028</v>
      </c>
      <c r="CN39" s="18">
        <v>2029</v>
      </c>
      <c r="CO39" s="18">
        <v>2030</v>
      </c>
      <c r="CP39" s="18">
        <v>2031</v>
      </c>
      <c r="CQ39" s="18">
        <v>2032</v>
      </c>
      <c r="CR39" s="18">
        <v>2033</v>
      </c>
      <c r="CS39" s="18">
        <v>2034</v>
      </c>
      <c r="CT39" s="18">
        <v>2035</v>
      </c>
      <c r="CU39" s="18">
        <v>2036</v>
      </c>
      <c r="CV39" s="18">
        <v>2037</v>
      </c>
      <c r="CW39" s="18">
        <v>2038</v>
      </c>
      <c r="CX39" s="18">
        <v>2039</v>
      </c>
      <c r="CY39" s="18">
        <v>2040</v>
      </c>
      <c r="CZ39" s="18">
        <v>2041</v>
      </c>
      <c r="DA39" s="18">
        <v>2042</v>
      </c>
      <c r="DB39" s="18">
        <v>2043</v>
      </c>
      <c r="DC39" s="18">
        <v>2044</v>
      </c>
      <c r="DD39" s="18">
        <v>2045</v>
      </c>
      <c r="DE39" s="18">
        <v>2046</v>
      </c>
      <c r="DF39" s="18">
        <v>2047</v>
      </c>
      <c r="DG39" s="18">
        <v>2048</v>
      </c>
      <c r="DH39" s="18">
        <v>2049</v>
      </c>
      <c r="DI39" s="18">
        <v>2050</v>
      </c>
      <c r="DJ39" s="18">
        <v>2051</v>
      </c>
      <c r="DK39" s="18">
        <v>2052</v>
      </c>
      <c r="DL39" s="18">
        <v>2053</v>
      </c>
      <c r="DM39" s="18">
        <v>2054</v>
      </c>
      <c r="DN39" s="18">
        <v>2055</v>
      </c>
      <c r="DO39" s="18">
        <v>2056</v>
      </c>
      <c r="DP39" s="18">
        <v>2057</v>
      </c>
      <c r="DQ39" s="18">
        <v>2058</v>
      </c>
      <c r="DR39" s="18">
        <v>2059</v>
      </c>
      <c r="DS39" s="18">
        <v>2060</v>
      </c>
      <c r="DT39" s="18">
        <v>2061</v>
      </c>
      <c r="DU39" s="18">
        <v>2062</v>
      </c>
      <c r="DV39" s="18">
        <v>2063</v>
      </c>
      <c r="DW39" s="18">
        <v>2064</v>
      </c>
      <c r="DX39" s="18">
        <v>2065</v>
      </c>
      <c r="DY39" s="18">
        <v>2066</v>
      </c>
      <c r="DZ39" s="18">
        <v>2067</v>
      </c>
      <c r="EA39" s="18">
        <v>2068</v>
      </c>
      <c r="EB39" s="18">
        <v>2069</v>
      </c>
      <c r="EC39" s="18">
        <v>2070</v>
      </c>
      <c r="ED39" s="18">
        <v>2071</v>
      </c>
      <c r="EE39" s="18"/>
    </row>
    <row r="40" spans="1:135" ht="14.25" customHeight="1">
      <c r="A40" s="18"/>
      <c r="B40" s="18" t="s">
        <v>145</v>
      </c>
      <c r="C40" s="19" t="s">
        <v>317</v>
      </c>
      <c r="D40" s="18" t="s">
        <v>158</v>
      </c>
      <c r="E40" s="18"/>
      <c r="F40" s="19" t="s">
        <v>156</v>
      </c>
      <c r="G40" s="18"/>
      <c r="H40" s="114"/>
      <c r="I40" s="151">
        <f t="shared" ref="I40:BE40" si="41">I39</f>
        <v>1.2999999999999999E-3</v>
      </c>
      <c r="J40" s="151">
        <f t="shared" si="41"/>
        <v>5.0000000000000001E-3</v>
      </c>
      <c r="K40" s="151">
        <f t="shared" si="41"/>
        <v>0.01</v>
      </c>
      <c r="L40" s="151">
        <f t="shared" si="41"/>
        <v>1.4999999999999999E-2</v>
      </c>
      <c r="M40" s="151">
        <f t="shared" si="41"/>
        <v>2.1000000000000001E-2</v>
      </c>
      <c r="N40" s="151">
        <f t="shared" si="41"/>
        <v>3.0199999999999998E-2</v>
      </c>
      <c r="O40" s="151">
        <f t="shared" si="41"/>
        <v>3.8629000000000011E-2</v>
      </c>
      <c r="P40" s="151">
        <f t="shared" si="41"/>
        <v>4.7972935000000008E-2</v>
      </c>
      <c r="Q40" s="151">
        <f t="shared" si="41"/>
        <v>5.8431168625000016E-2</v>
      </c>
      <c r="R40" s="151">
        <f t="shared" si="41"/>
        <v>7.3210518460625026E-2</v>
      </c>
      <c r="S40" s="151">
        <f t="shared" si="41"/>
        <v>9.0091005263513796E-2</v>
      </c>
      <c r="T40" s="151">
        <f t="shared" si="41"/>
        <v>0.11073893017710618</v>
      </c>
      <c r="U40" s="151">
        <f t="shared" si="41"/>
        <v>0.12726127206470295</v>
      </c>
      <c r="V40" s="151">
        <f t="shared" si="41"/>
        <v>0.14113709389792117</v>
      </c>
      <c r="W40" s="151">
        <f t="shared" si="41"/>
        <v>0.15475035972269596</v>
      </c>
      <c r="X40" s="151">
        <f t="shared" si="41"/>
        <v>0.16513266177837105</v>
      </c>
      <c r="Y40" s="151">
        <f t="shared" si="41"/>
        <v>0.1731229500956098</v>
      </c>
      <c r="Z40" s="151">
        <f t="shared" si="41"/>
        <v>0.18012316104235776</v>
      </c>
      <c r="AA40" s="151">
        <f t="shared" si="41"/>
        <v>0.18561305899537517</v>
      </c>
      <c r="AB40" s="151">
        <f t="shared" si="41"/>
        <v>0.19250773534889665</v>
      </c>
      <c r="AC40" s="151">
        <f t="shared" si="41"/>
        <v>0.19960950224692564</v>
      </c>
      <c r="AD40" s="151">
        <f t="shared" si="41"/>
        <v>0.20655741787055121</v>
      </c>
      <c r="AE40" s="151">
        <f t="shared" si="41"/>
        <v>0.21300343306707625</v>
      </c>
      <c r="AF40" s="151">
        <f t="shared" si="41"/>
        <v>0.2196434808663793</v>
      </c>
      <c r="AG40" s="151">
        <f t="shared" si="41"/>
        <v>0.22238227846400033</v>
      </c>
      <c r="AH40" s="151">
        <f t="shared" si="41"/>
        <v>0.2250351917005759</v>
      </c>
      <c r="AI40" s="151">
        <f t="shared" si="41"/>
        <v>0.22760159326255569</v>
      </c>
      <c r="AJ40" s="151">
        <f t="shared" si="41"/>
        <v>0.23008085171036274</v>
      </c>
      <c r="AK40" s="152">
        <f t="shared" si="41"/>
        <v>0.23214526266249108</v>
      </c>
      <c r="AL40" s="151">
        <f t="shared" si="41"/>
        <v>0.23214526266249108</v>
      </c>
      <c r="AM40" s="151">
        <f t="shared" si="41"/>
        <v>0.23214526266249108</v>
      </c>
      <c r="AN40" s="151">
        <f t="shared" si="41"/>
        <v>0.23214526266249108</v>
      </c>
      <c r="AO40" s="151">
        <f t="shared" si="41"/>
        <v>0.23214526266249108</v>
      </c>
      <c r="AP40" s="151">
        <f t="shared" si="41"/>
        <v>0.23214526266249108</v>
      </c>
      <c r="AQ40" s="151">
        <f t="shared" si="41"/>
        <v>0.23214526266249108</v>
      </c>
      <c r="AR40" s="151">
        <f t="shared" si="41"/>
        <v>0.23214526266249108</v>
      </c>
      <c r="AS40" s="151">
        <f t="shared" si="41"/>
        <v>0.23214526266249108</v>
      </c>
      <c r="AT40" s="151">
        <f t="shared" si="41"/>
        <v>0.23214526266249108</v>
      </c>
      <c r="AU40" s="151">
        <f t="shared" si="41"/>
        <v>0.23214526266249108</v>
      </c>
      <c r="AV40" s="151">
        <f t="shared" si="41"/>
        <v>0.23214526266249108</v>
      </c>
      <c r="AW40" s="151">
        <f t="shared" si="41"/>
        <v>0.23214526266249108</v>
      </c>
      <c r="AX40" s="151">
        <f t="shared" si="41"/>
        <v>0.23214526266249108</v>
      </c>
      <c r="AY40" s="151">
        <f t="shared" si="41"/>
        <v>0.23214526266249108</v>
      </c>
      <c r="AZ40" s="151">
        <f t="shared" si="41"/>
        <v>0.23214526266249108</v>
      </c>
      <c r="BA40" s="151">
        <f t="shared" si="41"/>
        <v>0.23214526266249108</v>
      </c>
      <c r="BB40" s="151">
        <f t="shared" si="41"/>
        <v>0.23214526266249108</v>
      </c>
      <c r="BC40" s="151">
        <f t="shared" si="41"/>
        <v>0.23214526266249108</v>
      </c>
      <c r="BD40" s="151">
        <f t="shared" si="41"/>
        <v>0.23214526266249108</v>
      </c>
      <c r="BE40" s="151">
        <f t="shared" si="41"/>
        <v>0.23214526266249108</v>
      </c>
      <c r="BF40" s="151"/>
      <c r="BG40" s="151"/>
      <c r="BH40" s="65"/>
      <c r="BI40" s="108"/>
      <c r="BJ40" s="18"/>
      <c r="BK40" s="14"/>
      <c r="BL40" s="14"/>
      <c r="BM40" s="14"/>
      <c r="BN40" s="14"/>
      <c r="BO40" s="14">
        <v>2021</v>
      </c>
      <c r="BP40" s="14">
        <v>2022</v>
      </c>
      <c r="BQ40" s="14">
        <v>2023</v>
      </c>
      <c r="BR40" s="14">
        <v>2024</v>
      </c>
      <c r="BS40" s="14">
        <v>2025</v>
      </c>
      <c r="BT40" s="14"/>
      <c r="BU40" s="14"/>
      <c r="BV40" s="14"/>
      <c r="BW40" s="14"/>
      <c r="BX40" s="18"/>
      <c r="BY40" s="18"/>
      <c r="BZ40" s="18"/>
      <c r="CA40" s="18"/>
      <c r="CB40" s="18"/>
      <c r="CC40" s="18"/>
      <c r="CD40" s="18"/>
      <c r="CE40" s="18"/>
      <c r="CF40" s="18"/>
      <c r="CG40" s="151">
        <f>'Políticas anunciadas'!I37</f>
        <v>5.0000000000000001E-4</v>
      </c>
      <c r="CH40" s="151">
        <f>'Políticas anunciadas'!J37</f>
        <v>1E-3</v>
      </c>
      <c r="CI40" s="151">
        <f>'Políticas anunciadas'!K37</f>
        <v>2E-3</v>
      </c>
      <c r="CJ40" s="151">
        <f>'Políticas anunciadas'!L37</f>
        <v>3.5000000000000001E-3</v>
      </c>
      <c r="CK40" s="151">
        <f>'Políticas anunciadas'!M37</f>
        <v>5.0000000000000001E-3</v>
      </c>
      <c r="CL40" s="151">
        <v>4.2999999999999997E-2</v>
      </c>
      <c r="CM40" s="151">
        <v>5.7000000000000002E-2</v>
      </c>
      <c r="CN40" s="151">
        <v>7.0999999999999994E-2</v>
      </c>
      <c r="CO40" s="151">
        <v>8.5000000000000006E-2</v>
      </c>
      <c r="CP40" s="151">
        <v>0.105</v>
      </c>
      <c r="CQ40" s="151">
        <v>0.126</v>
      </c>
      <c r="CR40" s="151">
        <v>0.14599999999999999</v>
      </c>
      <c r="CS40" s="151">
        <v>0.16600000000000001</v>
      </c>
      <c r="CT40" s="151">
        <v>0.186</v>
      </c>
      <c r="CU40" s="151">
        <v>0.20799999999999999</v>
      </c>
      <c r="CV40" s="151">
        <v>0.23</v>
      </c>
      <c r="CW40" s="151">
        <v>0.252</v>
      </c>
      <c r="CX40" s="151">
        <v>0.27500000000000002</v>
      </c>
      <c r="CY40" s="151">
        <v>0.29699999999999999</v>
      </c>
      <c r="CZ40" s="151">
        <v>0.31900000000000001</v>
      </c>
      <c r="DA40" s="151">
        <v>0.34200000000000003</v>
      </c>
      <c r="DB40" s="151">
        <v>0.36499999999999999</v>
      </c>
      <c r="DC40" s="151">
        <v>0.38700000000000001</v>
      </c>
      <c r="DD40" s="151">
        <v>0.41</v>
      </c>
      <c r="DE40" s="151">
        <v>0.42199999999999999</v>
      </c>
      <c r="DF40" s="151">
        <v>0.434</v>
      </c>
      <c r="DG40" s="151">
        <v>0.44600000000000001</v>
      </c>
      <c r="DH40" s="151">
        <v>0.45800000000000002</v>
      </c>
      <c r="DI40" s="151">
        <v>0.46899999999999997</v>
      </c>
      <c r="DJ40" s="111">
        <v>0.46899999999999997</v>
      </c>
      <c r="DK40" s="111">
        <v>0.46899999999999997</v>
      </c>
      <c r="DL40" s="111">
        <v>0.46899999999999997</v>
      </c>
      <c r="DM40" s="111">
        <v>0.46899999999999997</v>
      </c>
      <c r="DN40" s="111">
        <v>0.46899999999999997</v>
      </c>
      <c r="DO40" s="111">
        <v>0.46899999999999997</v>
      </c>
      <c r="DP40" s="111">
        <v>0.46899999999999997</v>
      </c>
      <c r="DQ40" s="111">
        <v>0.46899999999999997</v>
      </c>
      <c r="DR40" s="111">
        <v>0.46899999999999997</v>
      </c>
      <c r="DS40" s="111">
        <v>0.46899999999999997</v>
      </c>
      <c r="DT40" s="111">
        <v>0.46899999999999997</v>
      </c>
      <c r="DU40" s="111">
        <v>0.46899999999999997</v>
      </c>
      <c r="DV40" s="111">
        <v>0.46899999999999997</v>
      </c>
      <c r="DW40" s="111">
        <v>0.46899999999999997</v>
      </c>
      <c r="DX40" s="111">
        <v>0.46899999999999997</v>
      </c>
      <c r="DY40" s="111">
        <v>0.46899999999999997</v>
      </c>
      <c r="DZ40" s="111">
        <v>0.46899999999999997</v>
      </c>
      <c r="EA40" s="111">
        <v>0.46899999999999997</v>
      </c>
      <c r="EB40" s="111">
        <v>0.46899999999999997</v>
      </c>
      <c r="EC40" s="111">
        <v>0.46899999999999997</v>
      </c>
      <c r="ED40" s="151">
        <v>0.46899999999999997</v>
      </c>
      <c r="EE40" s="18"/>
    </row>
    <row r="41" spans="1:135" ht="14.25" customHeight="1">
      <c r="A41" s="18"/>
      <c r="B41" s="18" t="s">
        <v>145</v>
      </c>
      <c r="C41" s="19" t="s">
        <v>317</v>
      </c>
      <c r="D41" s="18" t="s">
        <v>159</v>
      </c>
      <c r="E41" s="18"/>
      <c r="F41" s="19" t="s">
        <v>156</v>
      </c>
      <c r="G41" s="18"/>
      <c r="H41" s="114"/>
      <c r="I41" s="151">
        <f t="shared" ref="I41:AK41" si="42">CG49</f>
        <v>5.0000000000000001E-4</v>
      </c>
      <c r="J41" s="151">
        <f t="shared" si="42"/>
        <v>6.0000000000000001E-3</v>
      </c>
      <c r="K41" s="151">
        <f t="shared" si="42"/>
        <v>1.2E-2</v>
      </c>
      <c r="L41" s="151">
        <f t="shared" si="42"/>
        <v>1.9E-2</v>
      </c>
      <c r="M41" s="151">
        <f t="shared" si="42"/>
        <v>2.5000000000000001E-2</v>
      </c>
      <c r="N41" s="151">
        <f t="shared" si="42"/>
        <v>3.2000000000000001E-2</v>
      </c>
      <c r="O41" s="151">
        <f t="shared" si="42"/>
        <v>4.2000000000000003E-2</v>
      </c>
      <c r="P41" s="151">
        <f t="shared" si="42"/>
        <v>0.05</v>
      </c>
      <c r="Q41" s="151">
        <f t="shared" si="42"/>
        <v>0.06</v>
      </c>
      <c r="R41" s="151">
        <f t="shared" si="42"/>
        <v>6.8000000000000005E-2</v>
      </c>
      <c r="S41" s="151">
        <f t="shared" si="42"/>
        <v>7.8E-2</v>
      </c>
      <c r="T41" s="151">
        <f t="shared" si="42"/>
        <v>0.09</v>
      </c>
      <c r="U41" s="151">
        <f t="shared" si="42"/>
        <v>0.1012</v>
      </c>
      <c r="V41" s="151">
        <f t="shared" si="42"/>
        <v>0.11220000000000001</v>
      </c>
      <c r="W41" s="151">
        <f t="shared" si="42"/>
        <v>0.125</v>
      </c>
      <c r="X41" s="151">
        <f t="shared" si="42"/>
        <v>0.13400000000000001</v>
      </c>
      <c r="Y41" s="151">
        <f t="shared" si="42"/>
        <v>0.14599999999999999</v>
      </c>
      <c r="Z41" s="151">
        <f t="shared" si="42"/>
        <v>0.155</v>
      </c>
      <c r="AA41" s="151">
        <f t="shared" si="42"/>
        <v>0.16500000000000001</v>
      </c>
      <c r="AB41" s="151">
        <f t="shared" si="42"/>
        <v>0.16900000000000001</v>
      </c>
      <c r="AC41" s="151">
        <f t="shared" si="42"/>
        <v>0.17199999999999999</v>
      </c>
      <c r="AD41" s="151">
        <f t="shared" si="42"/>
        <v>0.17499999999999999</v>
      </c>
      <c r="AE41" s="151">
        <f t="shared" si="42"/>
        <v>0.17599999999999999</v>
      </c>
      <c r="AF41" s="151">
        <f t="shared" si="42"/>
        <v>0.17799999999999999</v>
      </c>
      <c r="AG41" s="151">
        <f t="shared" si="42"/>
        <v>0.18</v>
      </c>
      <c r="AH41" s="151">
        <f t="shared" si="42"/>
        <v>0.18</v>
      </c>
      <c r="AI41" s="151">
        <f t="shared" si="42"/>
        <v>0.17899999999999999</v>
      </c>
      <c r="AJ41" s="151">
        <f t="shared" si="42"/>
        <v>0.17599999999999999</v>
      </c>
      <c r="AK41" s="152">
        <f t="shared" si="42"/>
        <v>0.17299999999999999</v>
      </c>
      <c r="AL41" s="151">
        <f t="shared" ref="AL41:BE41" si="43">AK41</f>
        <v>0.17299999999999999</v>
      </c>
      <c r="AM41" s="151">
        <f t="shared" si="43"/>
        <v>0.17299999999999999</v>
      </c>
      <c r="AN41" s="151">
        <f t="shared" si="43"/>
        <v>0.17299999999999999</v>
      </c>
      <c r="AO41" s="151">
        <f t="shared" si="43"/>
        <v>0.17299999999999999</v>
      </c>
      <c r="AP41" s="151">
        <f t="shared" si="43"/>
        <v>0.17299999999999999</v>
      </c>
      <c r="AQ41" s="151">
        <f t="shared" si="43"/>
        <v>0.17299999999999999</v>
      </c>
      <c r="AR41" s="151">
        <f t="shared" si="43"/>
        <v>0.17299999999999999</v>
      </c>
      <c r="AS41" s="151">
        <f t="shared" si="43"/>
        <v>0.17299999999999999</v>
      </c>
      <c r="AT41" s="151">
        <f t="shared" si="43"/>
        <v>0.17299999999999999</v>
      </c>
      <c r="AU41" s="151">
        <f t="shared" si="43"/>
        <v>0.17299999999999999</v>
      </c>
      <c r="AV41" s="151">
        <f t="shared" si="43"/>
        <v>0.17299999999999999</v>
      </c>
      <c r="AW41" s="151">
        <f t="shared" si="43"/>
        <v>0.17299999999999999</v>
      </c>
      <c r="AX41" s="151">
        <f t="shared" si="43"/>
        <v>0.17299999999999999</v>
      </c>
      <c r="AY41" s="151">
        <f t="shared" si="43"/>
        <v>0.17299999999999999</v>
      </c>
      <c r="AZ41" s="151">
        <f t="shared" si="43"/>
        <v>0.17299999999999999</v>
      </c>
      <c r="BA41" s="151">
        <f t="shared" si="43"/>
        <v>0.17299999999999999</v>
      </c>
      <c r="BB41" s="151">
        <f t="shared" si="43"/>
        <v>0.17299999999999999</v>
      </c>
      <c r="BC41" s="151">
        <f t="shared" si="43"/>
        <v>0.17299999999999999</v>
      </c>
      <c r="BD41" s="151">
        <f t="shared" si="43"/>
        <v>0.17299999999999999</v>
      </c>
      <c r="BE41" s="151">
        <f t="shared" si="43"/>
        <v>0.17299999999999999</v>
      </c>
      <c r="BF41" s="151"/>
      <c r="BG41" s="151"/>
      <c r="BH41" s="65"/>
      <c r="BI41" s="108"/>
      <c r="BJ41" s="18"/>
      <c r="BK41" s="19"/>
      <c r="BL41" s="18" t="s">
        <v>319</v>
      </c>
      <c r="BM41" s="19" t="s">
        <v>320</v>
      </c>
      <c r="BN41" s="19">
        <f>BN38-BN39-BN36</f>
        <v>4515</v>
      </c>
      <c r="BO41" s="91">
        <f>BN41/(BN41+BN36)</f>
        <v>0.34843340021608271</v>
      </c>
      <c r="BP41" s="91">
        <f t="shared" ref="BP41:BR41" si="44">BO41+($BS$41-$BO$41)/($BS$40-$BO$40)</f>
        <v>0.36632505016206202</v>
      </c>
      <c r="BQ41" s="91">
        <f t="shared" si="44"/>
        <v>0.38421670010804132</v>
      </c>
      <c r="BR41" s="91">
        <f t="shared" si="44"/>
        <v>0.40210835005402062</v>
      </c>
      <c r="BS41" s="43">
        <v>0.42</v>
      </c>
      <c r="BT41" s="19"/>
      <c r="BU41" s="19"/>
      <c r="BV41" s="19"/>
      <c r="BW41" s="19"/>
      <c r="BX41" s="18"/>
      <c r="BY41" s="18"/>
      <c r="BZ41" s="18"/>
      <c r="CA41" s="18"/>
      <c r="CB41" s="18"/>
      <c r="CC41" s="18"/>
      <c r="CD41" s="18"/>
      <c r="CE41" s="18"/>
      <c r="CF41" s="18"/>
      <c r="CG41" s="151">
        <v>1.2999999999999999E-3</v>
      </c>
      <c r="CH41" s="151">
        <v>2.5000000000000001E-3</v>
      </c>
      <c r="CI41" s="151">
        <v>5.0000000000000001E-3</v>
      </c>
      <c r="CJ41" s="151">
        <v>7.4999999999999997E-3</v>
      </c>
      <c r="CK41" s="151">
        <v>0.01</v>
      </c>
      <c r="CL41" s="151">
        <v>1.2999999999999999E-2</v>
      </c>
      <c r="CM41" s="151">
        <v>1.6E-2</v>
      </c>
      <c r="CN41" s="151">
        <v>0.02</v>
      </c>
      <c r="CO41" s="151">
        <v>2.52E-2</v>
      </c>
      <c r="CP41" s="151">
        <v>3.2480000000000002E-2</v>
      </c>
      <c r="CQ41" s="151">
        <v>4.1600000000000005E-2</v>
      </c>
      <c r="CR41" s="151">
        <v>5.5E-2</v>
      </c>
      <c r="CS41" s="151">
        <v>6.4400000000000013E-2</v>
      </c>
      <c r="CT41" s="151">
        <v>7.1279999999999996E-2</v>
      </c>
      <c r="CU41" s="151">
        <v>7.7280000000000001E-2</v>
      </c>
      <c r="CV41" s="151">
        <v>8.0190000000000011E-2</v>
      </c>
      <c r="CW41" s="151">
        <v>8.0850000000000005E-2</v>
      </c>
      <c r="CX41" s="151">
        <v>8.0299999999999996E-2</v>
      </c>
      <c r="CY41" s="151">
        <v>7.8750000000000001E-2</v>
      </c>
      <c r="CZ41" s="151">
        <v>7.8750000000000001E-2</v>
      </c>
      <c r="DA41" s="151">
        <v>7.8750000000000001E-2</v>
      </c>
      <c r="DB41" s="151">
        <v>7.8750000000000001E-2</v>
      </c>
      <c r="DC41" s="151">
        <v>7.8750000000000001E-2</v>
      </c>
      <c r="DD41" s="151">
        <v>7.8750000000000001E-2</v>
      </c>
      <c r="DE41" s="151">
        <v>7.8750000000000001E-2</v>
      </c>
      <c r="DF41" s="151">
        <v>7.8750000000000001E-2</v>
      </c>
      <c r="DG41" s="151">
        <v>7.8750000000000001E-2</v>
      </c>
      <c r="DH41" s="151">
        <v>7.8750000000000001E-2</v>
      </c>
      <c r="DI41" s="151">
        <v>7.8750000000000001E-2</v>
      </c>
      <c r="DJ41" s="151">
        <v>7.8750000000000001E-2</v>
      </c>
      <c r="DK41" s="151">
        <v>7.8750000000000001E-2</v>
      </c>
      <c r="DL41" s="151">
        <v>7.8750000000000001E-2</v>
      </c>
      <c r="DM41" s="151">
        <v>7.8750000000000001E-2</v>
      </c>
      <c r="DN41" s="151">
        <v>7.8750000000000001E-2</v>
      </c>
      <c r="DO41" s="151">
        <v>7.8750000000000001E-2</v>
      </c>
      <c r="DP41" s="151">
        <v>7.8750000000000001E-2</v>
      </c>
      <c r="DQ41" s="151">
        <v>7.8750000000000001E-2</v>
      </c>
      <c r="DR41" s="151">
        <v>7.8750000000000001E-2</v>
      </c>
      <c r="DS41" s="151">
        <v>7.8750000000000001E-2</v>
      </c>
      <c r="DT41" s="151">
        <v>7.8750000000000001E-2</v>
      </c>
      <c r="DU41" s="111">
        <f t="shared" ref="DU41:ED41" si="45">DT41</f>
        <v>7.8750000000000001E-2</v>
      </c>
      <c r="DV41" s="111">
        <f t="shared" si="45"/>
        <v>7.8750000000000001E-2</v>
      </c>
      <c r="DW41" s="111">
        <f t="shared" si="45"/>
        <v>7.8750000000000001E-2</v>
      </c>
      <c r="DX41" s="111">
        <f t="shared" si="45"/>
        <v>7.8750000000000001E-2</v>
      </c>
      <c r="DY41" s="111">
        <f t="shared" si="45"/>
        <v>7.8750000000000001E-2</v>
      </c>
      <c r="DZ41" s="111">
        <f t="shared" si="45"/>
        <v>7.8750000000000001E-2</v>
      </c>
      <c r="EA41" s="111">
        <f t="shared" si="45"/>
        <v>7.8750000000000001E-2</v>
      </c>
      <c r="EB41" s="111">
        <f t="shared" si="45"/>
        <v>7.8750000000000001E-2</v>
      </c>
      <c r="EC41" s="111">
        <f t="shared" si="45"/>
        <v>7.8750000000000001E-2</v>
      </c>
      <c r="ED41" s="111">
        <f t="shared" si="45"/>
        <v>7.8750000000000001E-2</v>
      </c>
      <c r="EE41" s="18"/>
    </row>
    <row r="42" spans="1:135" ht="14.25" customHeight="1">
      <c r="A42" s="18"/>
      <c r="B42" s="18" t="s">
        <v>145</v>
      </c>
      <c r="C42" s="19" t="s">
        <v>317</v>
      </c>
      <c r="D42" s="18" t="s">
        <v>166</v>
      </c>
      <c r="E42" s="18"/>
      <c r="F42" s="19" t="s">
        <v>156</v>
      </c>
      <c r="G42" s="18"/>
      <c r="H42" s="114"/>
      <c r="I42" s="151">
        <f t="shared" ref="I42:BE42" si="46">CG53</f>
        <v>2.0999999999999998E-4</v>
      </c>
      <c r="J42" s="151">
        <f t="shared" si="46"/>
        <v>5.0000000000000001E-4</v>
      </c>
      <c r="K42" s="151">
        <f t="shared" si="46"/>
        <v>6.0000000000000001E-3</v>
      </c>
      <c r="L42" s="151">
        <f t="shared" si="46"/>
        <v>1.6E-2</v>
      </c>
      <c r="M42" s="151">
        <f t="shared" si="46"/>
        <v>2.1999999999999999E-2</v>
      </c>
      <c r="N42" s="151">
        <f t="shared" si="46"/>
        <v>3.1E-2</v>
      </c>
      <c r="O42" s="151">
        <f t="shared" si="46"/>
        <v>4.2000000000000003E-2</v>
      </c>
      <c r="P42" s="151">
        <f t="shared" si="46"/>
        <v>5.5099999999999996E-2</v>
      </c>
      <c r="Q42" s="151">
        <f t="shared" si="46"/>
        <v>6.7500000000000004E-2</v>
      </c>
      <c r="R42" s="151">
        <f t="shared" si="46"/>
        <v>7.8E-2</v>
      </c>
      <c r="S42" s="151">
        <f t="shared" si="46"/>
        <v>8.3999999999999991E-2</v>
      </c>
      <c r="T42" s="151">
        <f t="shared" si="46"/>
        <v>9.0199999999999989E-2</v>
      </c>
      <c r="U42" s="151">
        <f t="shared" si="46"/>
        <v>9.4E-2</v>
      </c>
      <c r="V42" s="151">
        <f t="shared" si="46"/>
        <v>9.5399999999999999E-2</v>
      </c>
      <c r="W42" s="151">
        <f t="shared" si="46"/>
        <v>9.69E-2</v>
      </c>
      <c r="X42" s="151">
        <f t="shared" si="46"/>
        <v>9.8500000000000004E-2</v>
      </c>
      <c r="Y42" s="151">
        <f t="shared" si="46"/>
        <v>0.10100000000000001</v>
      </c>
      <c r="Z42" s="151">
        <f t="shared" si="46"/>
        <v>0.10299999999999999</v>
      </c>
      <c r="AA42" s="151">
        <f t="shared" si="46"/>
        <v>0.106</v>
      </c>
      <c r="AB42" s="151">
        <f t="shared" si="46"/>
        <v>0.108</v>
      </c>
      <c r="AC42" s="151">
        <f t="shared" si="46"/>
        <v>0.11</v>
      </c>
      <c r="AD42" s="151">
        <f t="shared" si="46"/>
        <v>0.112</v>
      </c>
      <c r="AE42" s="151">
        <f t="shared" si="46"/>
        <v>0.113</v>
      </c>
      <c r="AF42" s="151">
        <f t="shared" si="46"/>
        <v>0.114</v>
      </c>
      <c r="AG42" s="151">
        <f t="shared" si="46"/>
        <v>0.115</v>
      </c>
      <c r="AH42" s="151">
        <f t="shared" si="46"/>
        <v>0.11616049645866199</v>
      </c>
      <c r="AI42" s="151">
        <f t="shared" si="46"/>
        <v>0.11864828303850154</v>
      </c>
      <c r="AJ42" s="151">
        <f t="shared" si="46"/>
        <v>0.11961290322580644</v>
      </c>
      <c r="AK42" s="152">
        <f t="shared" si="46"/>
        <v>0.12</v>
      </c>
      <c r="AL42" s="151">
        <f t="shared" si="46"/>
        <v>0.12</v>
      </c>
      <c r="AM42" s="151">
        <f t="shared" si="46"/>
        <v>0.12</v>
      </c>
      <c r="AN42" s="151">
        <f t="shared" si="46"/>
        <v>0.12</v>
      </c>
      <c r="AO42" s="151">
        <f t="shared" si="46"/>
        <v>0.12</v>
      </c>
      <c r="AP42" s="151">
        <f t="shared" si="46"/>
        <v>0.12</v>
      </c>
      <c r="AQ42" s="151">
        <f t="shared" si="46"/>
        <v>0.12</v>
      </c>
      <c r="AR42" s="151">
        <f t="shared" si="46"/>
        <v>0.12</v>
      </c>
      <c r="AS42" s="151">
        <f t="shared" si="46"/>
        <v>0.12</v>
      </c>
      <c r="AT42" s="151">
        <f t="shared" si="46"/>
        <v>0.12</v>
      </c>
      <c r="AU42" s="151">
        <f t="shared" si="46"/>
        <v>0.12</v>
      </c>
      <c r="AV42" s="151">
        <f t="shared" si="46"/>
        <v>0.12</v>
      </c>
      <c r="AW42" s="151">
        <f t="shared" si="46"/>
        <v>0.12</v>
      </c>
      <c r="AX42" s="151">
        <f t="shared" si="46"/>
        <v>0.12</v>
      </c>
      <c r="AY42" s="151">
        <f t="shared" si="46"/>
        <v>0.12</v>
      </c>
      <c r="AZ42" s="151">
        <f t="shared" si="46"/>
        <v>0.12</v>
      </c>
      <c r="BA42" s="151">
        <f t="shared" si="46"/>
        <v>0.12</v>
      </c>
      <c r="BB42" s="151">
        <f t="shared" si="46"/>
        <v>0.12</v>
      </c>
      <c r="BC42" s="151">
        <f t="shared" si="46"/>
        <v>0.12</v>
      </c>
      <c r="BD42" s="151">
        <f t="shared" si="46"/>
        <v>0.12</v>
      </c>
      <c r="BE42" s="151">
        <f t="shared" si="46"/>
        <v>0.12</v>
      </c>
      <c r="BF42" s="151"/>
      <c r="BG42" s="151"/>
      <c r="BH42" s="65"/>
      <c r="BI42" s="108"/>
      <c r="BJ42" s="18"/>
      <c r="BK42" s="14"/>
      <c r="BL42" s="14"/>
      <c r="BM42" s="19" t="s">
        <v>321</v>
      </c>
      <c r="BN42" s="14"/>
      <c r="BO42" s="91">
        <f t="shared" ref="BO42:BR42" si="47">1-BO41</f>
        <v>0.65156659978391729</v>
      </c>
      <c r="BP42" s="91">
        <f t="shared" si="47"/>
        <v>0.63367494983793793</v>
      </c>
      <c r="BQ42" s="91">
        <f t="shared" si="47"/>
        <v>0.61578329989195868</v>
      </c>
      <c r="BR42" s="91">
        <f t="shared" si="47"/>
        <v>0.59789164994597943</v>
      </c>
      <c r="BS42" s="43">
        <v>0.57999999999999996</v>
      </c>
      <c r="BT42" s="19"/>
      <c r="BU42" s="19"/>
      <c r="BV42" s="19"/>
      <c r="BW42" s="19"/>
      <c r="BX42" s="18"/>
      <c r="BY42" s="18"/>
      <c r="BZ42" s="18"/>
      <c r="CA42" s="18"/>
      <c r="CB42" s="18"/>
      <c r="CC42" s="18"/>
      <c r="CD42" s="18"/>
      <c r="CE42" s="18"/>
      <c r="CF42" s="18"/>
      <c r="CG42" s="151">
        <v>5.0000000000000001E-4</v>
      </c>
      <c r="CH42" s="151">
        <v>8.0000000000000004E-4</v>
      </c>
      <c r="CI42" s="151">
        <v>1.5E-3</v>
      </c>
      <c r="CJ42" s="151">
        <v>4.0000000000000001E-3</v>
      </c>
      <c r="CK42" s="151">
        <v>0.01</v>
      </c>
      <c r="CL42" s="111">
        <v>0.02</v>
      </c>
      <c r="CM42" s="111">
        <v>2.8000000000000001E-2</v>
      </c>
      <c r="CN42" s="111">
        <v>3.7999999999999999E-2</v>
      </c>
      <c r="CO42" s="111">
        <f t="shared" ref="CO42:ED42" si="48">CO40*CO38</f>
        <v>5.1768831374999991E-2</v>
      </c>
      <c r="CP42" s="111">
        <f t="shared" si="48"/>
        <v>6.4269481539374979E-2</v>
      </c>
      <c r="CQ42" s="111">
        <f t="shared" si="48"/>
        <v>7.7508994736486217E-2</v>
      </c>
      <c r="CR42" s="111">
        <f t="shared" si="48"/>
        <v>9.0261069822893808E-2</v>
      </c>
      <c r="CS42" s="111">
        <f t="shared" si="48"/>
        <v>0.10313872793529709</v>
      </c>
      <c r="CT42" s="111">
        <f t="shared" si="48"/>
        <v>0.11614290610207881</v>
      </c>
      <c r="CU42" s="111">
        <f t="shared" si="48"/>
        <v>0.13052964027730404</v>
      </c>
      <c r="CV42" s="111">
        <f t="shared" si="48"/>
        <v>0.14505733822162897</v>
      </c>
      <c r="CW42" s="111">
        <f t="shared" si="48"/>
        <v>0.15972704990439021</v>
      </c>
      <c r="CX42" s="111">
        <f t="shared" si="48"/>
        <v>0.17517683895764224</v>
      </c>
      <c r="CY42" s="111">
        <f t="shared" si="48"/>
        <v>0.19013694100462483</v>
      </c>
      <c r="CZ42" s="111">
        <f t="shared" si="48"/>
        <v>0.20524226465110335</v>
      </c>
      <c r="DA42" s="111">
        <f t="shared" si="48"/>
        <v>0.22114049775307437</v>
      </c>
      <c r="DB42" s="111">
        <f t="shared" si="48"/>
        <v>0.2371925821294488</v>
      </c>
      <c r="DC42" s="111">
        <f t="shared" si="48"/>
        <v>0.25274656693292374</v>
      </c>
      <c r="DD42" s="111">
        <f t="shared" si="48"/>
        <v>0.26910651913362071</v>
      </c>
      <c r="DE42" s="111">
        <f t="shared" si="48"/>
        <v>0.27836772153599965</v>
      </c>
      <c r="DF42" s="111">
        <f t="shared" si="48"/>
        <v>0.28771480829942409</v>
      </c>
      <c r="DG42" s="111">
        <f t="shared" si="48"/>
        <v>0.29714840673744436</v>
      </c>
      <c r="DH42" s="111">
        <f t="shared" si="48"/>
        <v>0.30666914828963732</v>
      </c>
      <c r="DI42" s="111">
        <f t="shared" si="48"/>
        <v>0.31560473733750888</v>
      </c>
      <c r="DJ42" s="111">
        <f t="shared" si="48"/>
        <v>0.3171827610241964</v>
      </c>
      <c r="DK42" s="111">
        <f t="shared" si="48"/>
        <v>0.31876867482931737</v>
      </c>
      <c r="DL42" s="111">
        <f t="shared" si="48"/>
        <v>0.3203625182034639</v>
      </c>
      <c r="DM42" s="111">
        <f t="shared" si="48"/>
        <v>0.32196433079448117</v>
      </c>
      <c r="DN42" s="111">
        <f t="shared" si="48"/>
        <v>0.3235741524484535</v>
      </c>
      <c r="DO42" s="111">
        <f t="shared" si="48"/>
        <v>0.32519202321069574</v>
      </c>
      <c r="DP42" s="111">
        <f t="shared" si="48"/>
        <v>0.32681798332674922</v>
      </c>
      <c r="DQ42" s="111">
        <f t="shared" si="48"/>
        <v>0.32845207324338288</v>
      </c>
      <c r="DR42" s="111">
        <f t="shared" si="48"/>
        <v>0.33009433360959978</v>
      </c>
      <c r="DS42" s="111">
        <f t="shared" si="48"/>
        <v>0.33174480527764771</v>
      </c>
      <c r="DT42" s="111">
        <f t="shared" si="48"/>
        <v>0.33340352930403588</v>
      </c>
      <c r="DU42" s="111">
        <f t="shared" si="48"/>
        <v>0.33507054695055605</v>
      </c>
      <c r="DV42" s="111">
        <f t="shared" si="48"/>
        <v>0.33674589968530882</v>
      </c>
      <c r="DW42" s="111">
        <f t="shared" si="48"/>
        <v>0.33842962918373531</v>
      </c>
      <c r="DX42" s="111">
        <f t="shared" si="48"/>
        <v>0.34012177732965398</v>
      </c>
      <c r="DY42" s="111">
        <f t="shared" si="48"/>
        <v>0.34182238621630218</v>
      </c>
      <c r="DZ42" s="111">
        <f t="shared" si="48"/>
        <v>0.34353149814738365</v>
      </c>
      <c r="EA42" s="111">
        <f t="shared" si="48"/>
        <v>0.34524915563812053</v>
      </c>
      <c r="EB42" s="111">
        <f t="shared" si="48"/>
        <v>0.34697540141631111</v>
      </c>
      <c r="EC42" s="111">
        <f t="shared" si="48"/>
        <v>0.34871027842339264</v>
      </c>
      <c r="ED42" s="111">
        <f t="shared" si="48"/>
        <v>0.3504538298155096</v>
      </c>
      <c r="EE42" s="18"/>
    </row>
    <row r="43" spans="1:135" ht="14.25" customHeight="1">
      <c r="A43" s="18"/>
      <c r="B43" s="18" t="s">
        <v>145</v>
      </c>
      <c r="C43" s="19" t="s">
        <v>317</v>
      </c>
      <c r="D43" s="18" t="s">
        <v>167</v>
      </c>
      <c r="E43" s="18"/>
      <c r="F43" s="19" t="s">
        <v>156</v>
      </c>
      <c r="G43" s="18"/>
      <c r="H43" s="114"/>
      <c r="I43" s="151">
        <f>AVERAGE(I39,D42)</f>
        <v>1.2999999999999999E-3</v>
      </c>
      <c r="J43" s="151">
        <v>2E-3</v>
      </c>
      <c r="K43" s="151">
        <v>4.0000000000000001E-3</v>
      </c>
      <c r="L43" s="151">
        <v>6.0000000000000001E-3</v>
      </c>
      <c r="M43" s="151">
        <v>8.0000000000000002E-3</v>
      </c>
      <c r="N43" s="151">
        <v>1.0999999999999999E-2</v>
      </c>
      <c r="O43" s="151">
        <f t="shared" ref="O43:BE43" si="49">AVERAGE(O39,J42)</f>
        <v>1.9564500000000005E-2</v>
      </c>
      <c r="P43" s="151">
        <f t="shared" si="49"/>
        <v>2.6986467500000003E-2</v>
      </c>
      <c r="Q43" s="151">
        <f t="shared" si="49"/>
        <v>3.7215584312500008E-2</v>
      </c>
      <c r="R43" s="151">
        <f t="shared" si="49"/>
        <v>4.7605259230312516E-2</v>
      </c>
      <c r="S43" s="151">
        <f t="shared" si="49"/>
        <v>6.0545502631756898E-2</v>
      </c>
      <c r="T43" s="151">
        <f t="shared" si="49"/>
        <v>7.6369465088553093E-2</v>
      </c>
      <c r="U43" s="151">
        <f t="shared" si="49"/>
        <v>9.1180636032351464E-2</v>
      </c>
      <c r="V43" s="151">
        <f t="shared" si="49"/>
        <v>0.10431854694896059</v>
      </c>
      <c r="W43" s="151">
        <f t="shared" si="49"/>
        <v>0.11637517986134799</v>
      </c>
      <c r="X43" s="151">
        <f t="shared" si="49"/>
        <v>0.12456633088918552</v>
      </c>
      <c r="Y43" s="151">
        <f t="shared" si="49"/>
        <v>0.1316614750478049</v>
      </c>
      <c r="Z43" s="151">
        <f t="shared" si="49"/>
        <v>0.13706158052117889</v>
      </c>
      <c r="AA43" s="151">
        <f t="shared" si="49"/>
        <v>0.14050652949768758</v>
      </c>
      <c r="AB43" s="151">
        <f t="shared" si="49"/>
        <v>0.14470386767444832</v>
      </c>
      <c r="AC43" s="151">
        <f t="shared" si="49"/>
        <v>0.14905475112346284</v>
      </c>
      <c r="AD43" s="151">
        <f t="shared" si="49"/>
        <v>0.15377870893527562</v>
      </c>
      <c r="AE43" s="151">
        <f t="shared" si="49"/>
        <v>0.15800171653353812</v>
      </c>
      <c r="AF43" s="151">
        <f t="shared" si="49"/>
        <v>0.16282174043318964</v>
      </c>
      <c r="AG43" s="151">
        <f t="shared" si="49"/>
        <v>0.16519113923200016</v>
      </c>
      <c r="AH43" s="151">
        <f t="shared" si="49"/>
        <v>0.16751759585028794</v>
      </c>
      <c r="AI43" s="151">
        <f t="shared" si="49"/>
        <v>0.16980079663127784</v>
      </c>
      <c r="AJ43" s="151">
        <f t="shared" si="49"/>
        <v>0.17154042585518137</v>
      </c>
      <c r="AK43" s="152">
        <f t="shared" si="49"/>
        <v>0.17307263133124554</v>
      </c>
      <c r="AL43" s="151">
        <f t="shared" si="49"/>
        <v>0.17357263133124554</v>
      </c>
      <c r="AM43" s="151">
        <f t="shared" si="49"/>
        <v>0.17415287956057654</v>
      </c>
      <c r="AN43" s="151">
        <f t="shared" si="49"/>
        <v>0.17539677285049632</v>
      </c>
      <c r="AO43" s="151">
        <f t="shared" si="49"/>
        <v>0.17587908294414875</v>
      </c>
      <c r="AP43" s="151">
        <f t="shared" si="49"/>
        <v>0.17607263133124554</v>
      </c>
      <c r="AQ43" s="151">
        <f t="shared" si="49"/>
        <v>0.17607263133124554</v>
      </c>
      <c r="AR43" s="151">
        <f t="shared" si="49"/>
        <v>0.17607263133124554</v>
      </c>
      <c r="AS43" s="151">
        <f t="shared" si="49"/>
        <v>0.17607263133124554</v>
      </c>
      <c r="AT43" s="151">
        <f t="shared" si="49"/>
        <v>0.17607263133124554</v>
      </c>
      <c r="AU43" s="151">
        <f t="shared" si="49"/>
        <v>0.17607263133124554</v>
      </c>
      <c r="AV43" s="151">
        <f t="shared" si="49"/>
        <v>0.17607263133124554</v>
      </c>
      <c r="AW43" s="151">
        <f t="shared" si="49"/>
        <v>0.17607263133124554</v>
      </c>
      <c r="AX43" s="151">
        <f t="shared" si="49"/>
        <v>0.17607263133124554</v>
      </c>
      <c r="AY43" s="151">
        <f t="shared" si="49"/>
        <v>0.17607263133124554</v>
      </c>
      <c r="AZ43" s="151">
        <f t="shared" si="49"/>
        <v>0.17607263133124554</v>
      </c>
      <c r="BA43" s="151">
        <f t="shared" si="49"/>
        <v>0.17607263133124554</v>
      </c>
      <c r="BB43" s="151">
        <f t="shared" si="49"/>
        <v>0.17607263133124554</v>
      </c>
      <c r="BC43" s="151">
        <f t="shared" si="49"/>
        <v>0.17607263133124554</v>
      </c>
      <c r="BD43" s="151">
        <f t="shared" si="49"/>
        <v>0.17607263133124554</v>
      </c>
      <c r="BE43" s="151">
        <f t="shared" si="49"/>
        <v>0.17607263133124554</v>
      </c>
      <c r="BF43" s="151"/>
      <c r="BG43" s="151"/>
      <c r="BH43" s="65"/>
      <c r="BI43" s="108"/>
      <c r="BJ43" s="18"/>
      <c r="BK43" s="107"/>
      <c r="BL43" s="18"/>
      <c r="BM43" s="18"/>
      <c r="BN43" s="18"/>
      <c r="BO43" s="18"/>
      <c r="BP43" s="18" t="s">
        <v>199</v>
      </c>
      <c r="BQ43" s="18"/>
      <c r="BR43" s="18"/>
      <c r="BS43" s="18"/>
      <c r="BT43" s="18"/>
      <c r="BU43" s="18"/>
      <c r="BV43" s="18"/>
      <c r="BW43" s="18"/>
      <c r="BX43" s="18"/>
      <c r="BY43" s="18"/>
      <c r="BZ43" s="18"/>
      <c r="CA43" s="18"/>
      <c r="CB43" s="18"/>
      <c r="CC43" s="18"/>
      <c r="CD43" s="18"/>
      <c r="CE43" s="18"/>
      <c r="CF43" s="18"/>
      <c r="CG43" s="151">
        <v>1.2999999999999999E-3</v>
      </c>
      <c r="CH43" s="151">
        <v>5.0000000000000001E-3</v>
      </c>
      <c r="CI43" s="151">
        <v>0.01</v>
      </c>
      <c r="CJ43" s="151">
        <v>1.4999999999999999E-2</v>
      </c>
      <c r="CK43" s="151">
        <v>2.1000000000000001E-2</v>
      </c>
      <c r="CL43" s="111">
        <f t="shared" ref="CL43:ED43" si="50">CL41+CL40*(1-CL38)</f>
        <v>3.0199999999999998E-2</v>
      </c>
      <c r="CM43" s="111">
        <f t="shared" si="50"/>
        <v>3.8629000000000011E-2</v>
      </c>
      <c r="CN43" s="111">
        <f t="shared" si="50"/>
        <v>4.7972935000000008E-2</v>
      </c>
      <c r="CO43" s="111">
        <f t="shared" si="50"/>
        <v>5.8431168625000016E-2</v>
      </c>
      <c r="CP43" s="111">
        <f t="shared" si="50"/>
        <v>7.3210518460625026E-2</v>
      </c>
      <c r="CQ43" s="111">
        <f t="shared" si="50"/>
        <v>9.0091005263513796E-2</v>
      </c>
      <c r="CR43" s="111">
        <f t="shared" si="50"/>
        <v>0.11073893017710618</v>
      </c>
      <c r="CS43" s="111">
        <f t="shared" si="50"/>
        <v>0.12726127206470295</v>
      </c>
      <c r="CT43" s="111">
        <f t="shared" si="50"/>
        <v>0.14113709389792117</v>
      </c>
      <c r="CU43" s="111">
        <f t="shared" si="50"/>
        <v>0.15475035972269596</v>
      </c>
      <c r="CV43" s="111">
        <f t="shared" si="50"/>
        <v>0.16513266177837105</v>
      </c>
      <c r="CW43" s="111">
        <f t="shared" si="50"/>
        <v>0.1731229500956098</v>
      </c>
      <c r="CX43" s="111">
        <f t="shared" si="50"/>
        <v>0.18012316104235776</v>
      </c>
      <c r="CY43" s="111">
        <f t="shared" si="50"/>
        <v>0.18561305899537517</v>
      </c>
      <c r="CZ43" s="111">
        <f t="shared" si="50"/>
        <v>0.19250773534889665</v>
      </c>
      <c r="DA43" s="111">
        <f t="shared" si="50"/>
        <v>0.19960950224692564</v>
      </c>
      <c r="DB43" s="111">
        <f t="shared" si="50"/>
        <v>0.20655741787055121</v>
      </c>
      <c r="DC43" s="111">
        <f t="shared" si="50"/>
        <v>0.21300343306707625</v>
      </c>
      <c r="DD43" s="111">
        <f t="shared" si="50"/>
        <v>0.2196434808663793</v>
      </c>
      <c r="DE43" s="111">
        <f t="shared" si="50"/>
        <v>0.22238227846400033</v>
      </c>
      <c r="DF43" s="111">
        <f t="shared" si="50"/>
        <v>0.2250351917005759</v>
      </c>
      <c r="DG43" s="111">
        <f t="shared" si="50"/>
        <v>0.22760159326255569</v>
      </c>
      <c r="DH43" s="111">
        <f t="shared" si="50"/>
        <v>0.23008085171036274</v>
      </c>
      <c r="DI43" s="111">
        <f t="shared" si="50"/>
        <v>0.23214526266249108</v>
      </c>
      <c r="DJ43" s="111">
        <f t="shared" si="50"/>
        <v>0.23056723897580356</v>
      </c>
      <c r="DK43" s="111">
        <f t="shared" si="50"/>
        <v>0.22898132517068265</v>
      </c>
      <c r="DL43" s="111">
        <f t="shared" si="50"/>
        <v>0.22738748179653606</v>
      </c>
      <c r="DM43" s="111">
        <f t="shared" si="50"/>
        <v>0.22578566920551879</v>
      </c>
      <c r="DN43" s="111">
        <f t="shared" si="50"/>
        <v>0.22417584755154646</v>
      </c>
      <c r="DO43" s="111">
        <f t="shared" si="50"/>
        <v>0.22255797678930422</v>
      </c>
      <c r="DP43" s="111">
        <f t="shared" si="50"/>
        <v>0.2209320166732508</v>
      </c>
      <c r="DQ43" s="111">
        <f t="shared" si="50"/>
        <v>0.21929792675661708</v>
      </c>
      <c r="DR43" s="111">
        <f t="shared" si="50"/>
        <v>0.21765566639040024</v>
      </c>
      <c r="DS43" s="111">
        <f t="shared" si="50"/>
        <v>0.21600519472235225</v>
      </c>
      <c r="DT43" s="111">
        <f t="shared" si="50"/>
        <v>0.21434647069596408</v>
      </c>
      <c r="DU43" s="111">
        <f t="shared" si="50"/>
        <v>0.21267945304944391</v>
      </c>
      <c r="DV43" s="111">
        <f t="shared" si="50"/>
        <v>0.21100410031469113</v>
      </c>
      <c r="DW43" s="111">
        <f t="shared" si="50"/>
        <v>0.20932037081626464</v>
      </c>
      <c r="DX43" s="111">
        <f t="shared" si="50"/>
        <v>0.20762822267034597</v>
      </c>
      <c r="DY43" s="111">
        <f t="shared" si="50"/>
        <v>0.20592761378369778</v>
      </c>
      <c r="DZ43" s="111">
        <f t="shared" si="50"/>
        <v>0.20421850185261631</v>
      </c>
      <c r="EA43" s="111">
        <f t="shared" si="50"/>
        <v>0.20250084436187943</v>
      </c>
      <c r="EB43" s="111">
        <f t="shared" si="50"/>
        <v>0.20077459858368887</v>
      </c>
      <c r="EC43" s="111">
        <f t="shared" si="50"/>
        <v>0.19903972157660732</v>
      </c>
      <c r="ED43" s="111">
        <f t="shared" si="50"/>
        <v>0.19729617018449039</v>
      </c>
      <c r="EE43" s="18"/>
    </row>
    <row r="44" spans="1:135" ht="14.25" customHeight="1">
      <c r="A44" s="18"/>
      <c r="B44" s="18" t="s">
        <v>145</v>
      </c>
      <c r="C44" s="19" t="s">
        <v>317</v>
      </c>
      <c r="D44" s="18" t="s">
        <v>172</v>
      </c>
      <c r="E44" s="18"/>
      <c r="F44" s="19" t="s">
        <v>156</v>
      </c>
      <c r="G44" s="18"/>
      <c r="H44" s="114"/>
      <c r="I44" s="151">
        <f t="shared" ref="I44:BE44" si="51">I39*2</f>
        <v>2.5999999999999999E-3</v>
      </c>
      <c r="J44" s="151">
        <f t="shared" si="51"/>
        <v>0.01</v>
      </c>
      <c r="K44" s="151">
        <f t="shared" si="51"/>
        <v>0.02</v>
      </c>
      <c r="L44" s="151">
        <f t="shared" si="51"/>
        <v>0.03</v>
      </c>
      <c r="M44" s="151">
        <f t="shared" si="51"/>
        <v>4.2000000000000003E-2</v>
      </c>
      <c r="N44" s="151">
        <f t="shared" si="51"/>
        <v>6.0399999999999995E-2</v>
      </c>
      <c r="O44" s="151">
        <f t="shared" si="51"/>
        <v>7.7258000000000021E-2</v>
      </c>
      <c r="P44" s="151">
        <f t="shared" si="51"/>
        <v>9.5945870000000016E-2</v>
      </c>
      <c r="Q44" s="151">
        <f t="shared" si="51"/>
        <v>0.11686233725000003</v>
      </c>
      <c r="R44" s="151">
        <f t="shared" si="51"/>
        <v>0.14642103692125005</v>
      </c>
      <c r="S44" s="151">
        <f t="shared" si="51"/>
        <v>0.18018201052702759</v>
      </c>
      <c r="T44" s="151">
        <f t="shared" si="51"/>
        <v>0.22147786035421235</v>
      </c>
      <c r="U44" s="151">
        <f t="shared" si="51"/>
        <v>0.25452254412940589</v>
      </c>
      <c r="V44" s="151">
        <f t="shared" si="51"/>
        <v>0.28227418779584235</v>
      </c>
      <c r="W44" s="151">
        <f t="shared" si="51"/>
        <v>0.30950071944539193</v>
      </c>
      <c r="X44" s="151">
        <f t="shared" si="51"/>
        <v>0.3302653235567421</v>
      </c>
      <c r="Y44" s="151">
        <f t="shared" si="51"/>
        <v>0.34624590019121959</v>
      </c>
      <c r="Z44" s="151">
        <f t="shared" si="51"/>
        <v>0.36024632208471552</v>
      </c>
      <c r="AA44" s="151">
        <f t="shared" si="51"/>
        <v>0.37122611799075034</v>
      </c>
      <c r="AB44" s="151">
        <f t="shared" si="51"/>
        <v>0.38501547069779329</v>
      </c>
      <c r="AC44" s="151">
        <f t="shared" si="51"/>
        <v>0.39921900449385128</v>
      </c>
      <c r="AD44" s="151">
        <f t="shared" si="51"/>
        <v>0.41311483574110242</v>
      </c>
      <c r="AE44" s="151">
        <f t="shared" si="51"/>
        <v>0.42600686613415251</v>
      </c>
      <c r="AF44" s="151">
        <f t="shared" si="51"/>
        <v>0.43928696173275861</v>
      </c>
      <c r="AG44" s="151">
        <f t="shared" si="51"/>
        <v>0.44476455692800065</v>
      </c>
      <c r="AH44" s="151">
        <f t="shared" si="51"/>
        <v>0.4500703834011518</v>
      </c>
      <c r="AI44" s="151">
        <f t="shared" si="51"/>
        <v>0.45520318652511138</v>
      </c>
      <c r="AJ44" s="151">
        <f t="shared" si="51"/>
        <v>0.46016170342072549</v>
      </c>
      <c r="AK44" s="152">
        <f t="shared" si="51"/>
        <v>0.46429052532498216</v>
      </c>
      <c r="AL44" s="151">
        <f t="shared" si="51"/>
        <v>0.46429052532498216</v>
      </c>
      <c r="AM44" s="151">
        <f t="shared" si="51"/>
        <v>0.46429052532498216</v>
      </c>
      <c r="AN44" s="151">
        <f t="shared" si="51"/>
        <v>0.46429052532498216</v>
      </c>
      <c r="AO44" s="151">
        <f t="shared" si="51"/>
        <v>0.46429052532498216</v>
      </c>
      <c r="AP44" s="151">
        <f t="shared" si="51"/>
        <v>0.46429052532498216</v>
      </c>
      <c r="AQ44" s="151">
        <f t="shared" si="51"/>
        <v>0.46429052532498216</v>
      </c>
      <c r="AR44" s="151">
        <f t="shared" si="51"/>
        <v>0.46429052532498216</v>
      </c>
      <c r="AS44" s="151">
        <f t="shared" si="51"/>
        <v>0.46429052532498216</v>
      </c>
      <c r="AT44" s="151">
        <f t="shared" si="51"/>
        <v>0.46429052532498216</v>
      </c>
      <c r="AU44" s="151">
        <f t="shared" si="51"/>
        <v>0.46429052532498216</v>
      </c>
      <c r="AV44" s="151">
        <f t="shared" si="51"/>
        <v>0.46429052532498216</v>
      </c>
      <c r="AW44" s="151">
        <f t="shared" si="51"/>
        <v>0.46429052532498216</v>
      </c>
      <c r="AX44" s="151">
        <f t="shared" si="51"/>
        <v>0.46429052532498216</v>
      </c>
      <c r="AY44" s="151">
        <f t="shared" si="51"/>
        <v>0.46429052532498216</v>
      </c>
      <c r="AZ44" s="151">
        <f t="shared" si="51"/>
        <v>0.46429052532498216</v>
      </c>
      <c r="BA44" s="151">
        <f t="shared" si="51"/>
        <v>0.46429052532498216</v>
      </c>
      <c r="BB44" s="151">
        <f t="shared" si="51"/>
        <v>0.46429052532498216</v>
      </c>
      <c r="BC44" s="151">
        <f t="shared" si="51"/>
        <v>0.46429052532498216</v>
      </c>
      <c r="BD44" s="151">
        <f t="shared" si="51"/>
        <v>0.46429052532498216</v>
      </c>
      <c r="BE44" s="151">
        <f t="shared" si="51"/>
        <v>0.46429052532498216</v>
      </c>
      <c r="BF44" s="151"/>
      <c r="BG44" s="151"/>
      <c r="BH44" s="65"/>
      <c r="BI44" s="108"/>
      <c r="BJ44" s="18"/>
      <c r="BK44" s="107"/>
      <c r="BL44" s="18"/>
      <c r="BM44" s="18">
        <v>2021</v>
      </c>
      <c r="BN44" s="18" t="s">
        <v>322</v>
      </c>
      <c r="BO44" s="18"/>
      <c r="BP44" s="18" t="s">
        <v>202</v>
      </c>
      <c r="BQ44" s="18" t="s">
        <v>323</v>
      </c>
      <c r="BR44" s="154" t="s">
        <v>324</v>
      </c>
      <c r="BS44" s="18"/>
      <c r="BT44" s="18"/>
      <c r="BU44" s="18"/>
      <c r="BV44" s="18"/>
      <c r="BW44" s="18"/>
      <c r="BX44" s="18"/>
      <c r="BY44" s="18"/>
      <c r="BZ44" s="18"/>
      <c r="CA44" s="18"/>
      <c r="CB44" s="18"/>
      <c r="CC44" s="18"/>
      <c r="CD44" s="18"/>
      <c r="CE44" s="18"/>
      <c r="CF44" s="18"/>
      <c r="CG44" s="65"/>
      <c r="CH44" s="65"/>
      <c r="CI44" s="65"/>
      <c r="CJ44" s="65"/>
      <c r="CK44" s="65"/>
      <c r="CL44" s="65"/>
      <c r="CM44" s="65"/>
      <c r="CN44" s="65"/>
      <c r="CO44" s="65"/>
      <c r="CP44" s="65"/>
      <c r="CQ44" s="65"/>
      <c r="CR44" s="65"/>
      <c r="CS44" s="65"/>
      <c r="CT44" s="65"/>
      <c r="CU44" s="65"/>
      <c r="CV44" s="65"/>
      <c r="CW44" s="65"/>
      <c r="CX44" s="65"/>
      <c r="CY44" s="65"/>
      <c r="CZ44" s="65"/>
      <c r="DA44" s="65"/>
      <c r="DB44" s="65"/>
      <c r="DC44" s="65"/>
      <c r="DD44" s="65"/>
      <c r="DE44" s="65"/>
      <c r="DF44" s="65"/>
      <c r="DG44" s="65"/>
      <c r="DH44" s="65"/>
      <c r="DI44" s="65"/>
      <c r="DJ44" s="54"/>
      <c r="DK44" s="54"/>
      <c r="DL44" s="54"/>
      <c r="DM44" s="54"/>
      <c r="DN44" s="54"/>
      <c r="DO44" s="54"/>
      <c r="DP44" s="54"/>
      <c r="DQ44" s="54"/>
      <c r="DR44" s="54"/>
      <c r="DS44" s="54"/>
      <c r="DT44" s="54"/>
      <c r="DU44" s="54"/>
      <c r="DV44" s="54"/>
      <c r="DW44" s="54"/>
      <c r="DX44" s="54"/>
      <c r="DY44" s="54"/>
      <c r="DZ44" s="54"/>
      <c r="EA44" s="54"/>
      <c r="EB44" s="54"/>
      <c r="EC44" s="54"/>
      <c r="ED44" s="18"/>
      <c r="EE44" s="18"/>
    </row>
    <row r="45" spans="1:135" ht="14.25" customHeight="1">
      <c r="A45" s="18"/>
      <c r="B45" s="18" t="s">
        <v>194</v>
      </c>
      <c r="C45" s="19" t="s">
        <v>154</v>
      </c>
      <c r="D45" s="18"/>
      <c r="E45" s="18"/>
      <c r="F45" s="19" t="s">
        <v>156</v>
      </c>
      <c r="G45" s="18" t="s">
        <v>153</v>
      </c>
      <c r="H45" s="114"/>
      <c r="I45" s="151">
        <v>4.0000000000000001E-3</v>
      </c>
      <c r="J45" s="151">
        <v>6.0000000000000001E-3</v>
      </c>
      <c r="K45" s="151">
        <v>8.0000000000000002E-3</v>
      </c>
      <c r="L45" s="151">
        <v>0.01</v>
      </c>
      <c r="M45" s="151">
        <v>1.4E-2</v>
      </c>
      <c r="N45" s="151">
        <v>1.7999999999999999E-2</v>
      </c>
      <c r="O45" s="151">
        <v>2.1999999999999999E-2</v>
      </c>
      <c r="P45" s="151">
        <v>2.5999999999999999E-2</v>
      </c>
      <c r="Q45" s="151">
        <v>0.03</v>
      </c>
      <c r="R45" s="151">
        <v>3.4000000000000002E-2</v>
      </c>
      <c r="S45" s="151">
        <v>3.7999999999999999E-2</v>
      </c>
      <c r="T45" s="151">
        <v>4.2000000000000003E-2</v>
      </c>
      <c r="U45" s="151">
        <v>4.5999999999999999E-2</v>
      </c>
      <c r="V45" s="151">
        <v>0.05</v>
      </c>
      <c r="W45" s="151">
        <v>0.06</v>
      </c>
      <c r="X45" s="151">
        <v>7.0000000000000007E-2</v>
      </c>
      <c r="Y45" s="151">
        <v>0.08</v>
      </c>
      <c r="Z45" s="151">
        <v>0.09</v>
      </c>
      <c r="AA45" s="151">
        <v>0.1</v>
      </c>
      <c r="AB45" s="151">
        <v>0.14899999999999999</v>
      </c>
      <c r="AC45" s="151">
        <v>0.19800000000000001</v>
      </c>
      <c r="AD45" s="151">
        <v>0.247</v>
      </c>
      <c r="AE45" s="151">
        <v>0.29599999999999999</v>
      </c>
      <c r="AF45" s="151">
        <v>0.34499999999999997</v>
      </c>
      <c r="AG45" s="151">
        <v>0.35599999999999998</v>
      </c>
      <c r="AH45" s="151">
        <v>0.36699999999999999</v>
      </c>
      <c r="AI45" s="151">
        <v>0.378</v>
      </c>
      <c r="AJ45" s="151">
        <v>0.38900000000000001</v>
      </c>
      <c r="AK45" s="152">
        <v>0.4</v>
      </c>
      <c r="AL45" s="111">
        <f t="shared" ref="AL45:BE45" si="52">AK45</f>
        <v>0.4</v>
      </c>
      <c r="AM45" s="111">
        <f t="shared" si="52"/>
        <v>0.4</v>
      </c>
      <c r="AN45" s="111">
        <f t="shared" si="52"/>
        <v>0.4</v>
      </c>
      <c r="AO45" s="111">
        <f t="shared" si="52"/>
        <v>0.4</v>
      </c>
      <c r="AP45" s="111">
        <f t="shared" si="52"/>
        <v>0.4</v>
      </c>
      <c r="AQ45" s="111">
        <f t="shared" si="52"/>
        <v>0.4</v>
      </c>
      <c r="AR45" s="111">
        <f t="shared" si="52"/>
        <v>0.4</v>
      </c>
      <c r="AS45" s="111">
        <f t="shared" si="52"/>
        <v>0.4</v>
      </c>
      <c r="AT45" s="111">
        <f t="shared" si="52"/>
        <v>0.4</v>
      </c>
      <c r="AU45" s="111">
        <f t="shared" si="52"/>
        <v>0.4</v>
      </c>
      <c r="AV45" s="111">
        <f t="shared" si="52"/>
        <v>0.4</v>
      </c>
      <c r="AW45" s="111">
        <f t="shared" si="52"/>
        <v>0.4</v>
      </c>
      <c r="AX45" s="111">
        <f t="shared" si="52"/>
        <v>0.4</v>
      </c>
      <c r="AY45" s="111">
        <f t="shared" si="52"/>
        <v>0.4</v>
      </c>
      <c r="AZ45" s="111">
        <f t="shared" si="52"/>
        <v>0.4</v>
      </c>
      <c r="BA45" s="111">
        <f t="shared" si="52"/>
        <v>0.4</v>
      </c>
      <c r="BB45" s="111">
        <f t="shared" si="52"/>
        <v>0.4</v>
      </c>
      <c r="BC45" s="111">
        <f t="shared" si="52"/>
        <v>0.4</v>
      </c>
      <c r="BD45" s="111">
        <f t="shared" si="52"/>
        <v>0.4</v>
      </c>
      <c r="BE45" s="111">
        <f t="shared" si="52"/>
        <v>0.4</v>
      </c>
      <c r="BF45" s="111"/>
      <c r="BG45" s="151">
        <v>0.4</v>
      </c>
      <c r="BH45" s="65"/>
      <c r="BI45" s="108"/>
      <c r="BJ45" s="18" t="s">
        <v>278</v>
      </c>
      <c r="BK45" s="111"/>
      <c r="BL45" s="18"/>
      <c r="BM45" s="18">
        <v>2488939</v>
      </c>
      <c r="BN45" s="107">
        <f>BM45/SUM(BM45:BM47)</f>
        <v>8.7480717480372686E-2</v>
      </c>
      <c r="BO45" s="18"/>
      <c r="BP45" s="18"/>
      <c r="BQ45" s="18"/>
      <c r="BR45" s="18"/>
      <c r="BS45" s="18"/>
      <c r="BT45" s="18"/>
      <c r="BU45" s="18"/>
      <c r="BV45" s="18"/>
      <c r="BW45" s="18"/>
      <c r="BX45" s="18"/>
      <c r="BY45" s="18"/>
      <c r="BZ45" s="18"/>
      <c r="CA45" s="18"/>
      <c r="CB45" s="18"/>
      <c r="CC45" s="18"/>
      <c r="CD45" s="18"/>
      <c r="CE45" s="18"/>
      <c r="CF45" s="18"/>
      <c r="CG45" s="65"/>
      <c r="CH45" s="65"/>
      <c r="CI45" s="65"/>
      <c r="CJ45" s="65"/>
      <c r="CK45" s="65"/>
      <c r="CL45" s="65"/>
      <c r="CM45" s="65"/>
      <c r="CN45" s="65"/>
      <c r="CO45" s="65"/>
      <c r="CP45" s="65"/>
      <c r="CQ45" s="65"/>
      <c r="CR45" s="65"/>
      <c r="CS45" s="65"/>
      <c r="CT45" s="65"/>
      <c r="CU45" s="65"/>
      <c r="CV45" s="65"/>
      <c r="CW45" s="65"/>
      <c r="CX45" s="65"/>
      <c r="CY45" s="65"/>
      <c r="CZ45" s="65"/>
      <c r="DA45" s="65"/>
      <c r="DB45" s="65"/>
      <c r="DC45" s="65"/>
      <c r="DD45" s="65"/>
      <c r="DE45" s="65"/>
      <c r="DF45" s="65"/>
      <c r="DG45" s="65"/>
      <c r="DH45" s="65"/>
      <c r="DI45" s="65"/>
      <c r="DJ45" s="54"/>
      <c r="DK45" s="54"/>
      <c r="DL45" s="54"/>
      <c r="DM45" s="54"/>
      <c r="DN45" s="54"/>
      <c r="DO45" s="54"/>
      <c r="DP45" s="54"/>
      <c r="DQ45" s="54"/>
      <c r="DR45" s="54"/>
      <c r="DS45" s="54"/>
      <c r="DT45" s="54"/>
      <c r="DU45" s="54"/>
      <c r="DV45" s="54"/>
      <c r="DW45" s="54"/>
      <c r="DX45" s="54"/>
      <c r="DY45" s="54"/>
      <c r="DZ45" s="54"/>
      <c r="EA45" s="54"/>
      <c r="EB45" s="54"/>
      <c r="EC45" s="54"/>
      <c r="ED45" s="18"/>
      <c r="EE45" s="18"/>
    </row>
    <row r="46" spans="1:135" ht="14.25" customHeight="1">
      <c r="A46" s="18"/>
      <c r="B46" s="18" t="s">
        <v>199</v>
      </c>
      <c r="C46" s="19" t="s">
        <v>154</v>
      </c>
      <c r="D46" s="18"/>
      <c r="E46" s="18"/>
      <c r="F46" s="19" t="s">
        <v>156</v>
      </c>
      <c r="G46" s="18" t="s">
        <v>153</v>
      </c>
      <c r="H46" s="114"/>
      <c r="I46" s="151">
        <v>0</v>
      </c>
      <c r="J46" s="151">
        <v>0</v>
      </c>
      <c r="K46" s="151">
        <v>1E-3</v>
      </c>
      <c r="L46" s="151">
        <v>1E-3</v>
      </c>
      <c r="M46" s="151">
        <v>2E-3</v>
      </c>
      <c r="N46" s="151">
        <v>4.0000000000000001E-3</v>
      </c>
      <c r="O46" s="151">
        <v>5.0000000000000001E-3</v>
      </c>
      <c r="P46" s="151">
        <v>7.0000000000000001E-3</v>
      </c>
      <c r="Q46" s="151">
        <v>8.0000000000000002E-3</v>
      </c>
      <c r="R46" s="151">
        <v>1.2E-2</v>
      </c>
      <c r="S46" s="151">
        <v>1.6E-2</v>
      </c>
      <c r="T46" s="151">
        <v>0.02</v>
      </c>
      <c r="U46" s="151">
        <v>2.4E-2</v>
      </c>
      <c r="V46" s="151">
        <v>2.8000000000000001E-2</v>
      </c>
      <c r="W46" s="151">
        <v>3.9E-2</v>
      </c>
      <c r="X46" s="151">
        <v>4.9000000000000002E-2</v>
      </c>
      <c r="Y46" s="151">
        <v>0.06</v>
      </c>
      <c r="Z46" s="151">
        <v>7.0999999999999994E-2</v>
      </c>
      <c r="AA46" s="151">
        <v>8.2000000000000003E-2</v>
      </c>
      <c r="AB46" s="151">
        <v>9.1999999999999998E-2</v>
      </c>
      <c r="AC46" s="151">
        <v>0.10299999999999999</v>
      </c>
      <c r="AD46" s="151">
        <v>0.113</v>
      </c>
      <c r="AE46" s="151">
        <v>0.123</v>
      </c>
      <c r="AF46" s="151">
        <v>0.13300000000000001</v>
      </c>
      <c r="AG46" s="151">
        <v>0.14499999999999999</v>
      </c>
      <c r="AH46" s="151">
        <v>0.157</v>
      </c>
      <c r="AI46" s="151">
        <v>0.16900000000000001</v>
      </c>
      <c r="AJ46" s="151">
        <v>0.18099999999999999</v>
      </c>
      <c r="AK46" s="152">
        <v>0.192</v>
      </c>
      <c r="AL46" s="111">
        <f t="shared" ref="AL46:BE46" si="53">AK46</f>
        <v>0.192</v>
      </c>
      <c r="AM46" s="111">
        <f t="shared" si="53"/>
        <v>0.192</v>
      </c>
      <c r="AN46" s="111">
        <f t="shared" si="53"/>
        <v>0.192</v>
      </c>
      <c r="AO46" s="111">
        <f t="shared" si="53"/>
        <v>0.192</v>
      </c>
      <c r="AP46" s="111">
        <f t="shared" si="53"/>
        <v>0.192</v>
      </c>
      <c r="AQ46" s="111">
        <f t="shared" si="53"/>
        <v>0.192</v>
      </c>
      <c r="AR46" s="111">
        <f t="shared" si="53"/>
        <v>0.192</v>
      </c>
      <c r="AS46" s="111">
        <f t="shared" si="53"/>
        <v>0.192</v>
      </c>
      <c r="AT46" s="111">
        <f t="shared" si="53"/>
        <v>0.192</v>
      </c>
      <c r="AU46" s="111">
        <f t="shared" si="53"/>
        <v>0.192</v>
      </c>
      <c r="AV46" s="111">
        <f t="shared" si="53"/>
        <v>0.192</v>
      </c>
      <c r="AW46" s="111">
        <f t="shared" si="53"/>
        <v>0.192</v>
      </c>
      <c r="AX46" s="111">
        <f t="shared" si="53"/>
        <v>0.192</v>
      </c>
      <c r="AY46" s="111">
        <f t="shared" si="53"/>
        <v>0.192</v>
      </c>
      <c r="AZ46" s="111">
        <f t="shared" si="53"/>
        <v>0.192</v>
      </c>
      <c r="BA46" s="111">
        <f t="shared" si="53"/>
        <v>0.192</v>
      </c>
      <c r="BB46" s="111">
        <f t="shared" si="53"/>
        <v>0.192</v>
      </c>
      <c r="BC46" s="111">
        <f t="shared" si="53"/>
        <v>0.192</v>
      </c>
      <c r="BD46" s="111">
        <f t="shared" si="53"/>
        <v>0.192</v>
      </c>
      <c r="BE46" s="111">
        <f t="shared" si="53"/>
        <v>0.192</v>
      </c>
      <c r="BF46" s="111"/>
      <c r="BG46" s="151">
        <v>0.192</v>
      </c>
      <c r="BH46" s="65"/>
      <c r="BI46" s="108"/>
      <c r="BJ46" s="18" t="s">
        <v>278</v>
      </c>
      <c r="BK46" s="107"/>
      <c r="BL46" s="18"/>
      <c r="BM46" s="18">
        <v>12480067</v>
      </c>
      <c r="BN46" s="107">
        <f>BM46/SUM(BM45:BM47)</f>
        <v>0.43864683520292069</v>
      </c>
      <c r="BO46" s="18"/>
      <c r="BP46" s="18"/>
      <c r="BQ46" s="18"/>
      <c r="BR46" s="18"/>
      <c r="BS46" s="18"/>
      <c r="BT46" s="18"/>
      <c r="BU46" s="18"/>
      <c r="BV46" s="18" t="s">
        <v>59</v>
      </c>
      <c r="BW46" s="18" t="s">
        <v>325</v>
      </c>
      <c r="BX46" s="18"/>
      <c r="BY46" s="18" t="s">
        <v>326</v>
      </c>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row>
    <row r="47" spans="1:135" ht="14.25" customHeight="1">
      <c r="A47" s="18"/>
      <c r="B47" s="18" t="s">
        <v>202</v>
      </c>
      <c r="C47" s="19" t="s">
        <v>154</v>
      </c>
      <c r="D47" s="18"/>
      <c r="E47" s="18"/>
      <c r="F47" s="19" t="s">
        <v>156</v>
      </c>
      <c r="G47" s="18" t="s">
        <v>153</v>
      </c>
      <c r="H47" s="114"/>
      <c r="I47" s="151">
        <v>0</v>
      </c>
      <c r="J47" s="151">
        <v>0</v>
      </c>
      <c r="K47" s="151">
        <v>0</v>
      </c>
      <c r="L47" s="151">
        <v>1E-3</v>
      </c>
      <c r="M47" s="151">
        <v>2E-3</v>
      </c>
      <c r="N47" s="151">
        <v>3.0000000000000001E-3</v>
      </c>
      <c r="O47" s="151">
        <v>4.0000000000000001E-3</v>
      </c>
      <c r="P47" s="151">
        <v>6.0000000000000001E-3</v>
      </c>
      <c r="Q47" s="151">
        <v>7.0000000000000001E-3</v>
      </c>
      <c r="R47" s="151">
        <v>8.0000000000000002E-3</v>
      </c>
      <c r="S47" s="151">
        <v>0.01</v>
      </c>
      <c r="T47" s="151">
        <v>1.0999999999999999E-2</v>
      </c>
      <c r="U47" s="151">
        <v>1.2E-2</v>
      </c>
      <c r="V47" s="151">
        <v>1.4E-2</v>
      </c>
      <c r="W47" s="151">
        <v>2.3E-2</v>
      </c>
      <c r="X47" s="151">
        <v>3.3000000000000002E-2</v>
      </c>
      <c r="Y47" s="151">
        <v>4.2000000000000003E-2</v>
      </c>
      <c r="Z47" s="151">
        <v>5.1999999999999998E-2</v>
      </c>
      <c r="AA47" s="151">
        <v>6.0999999999999999E-2</v>
      </c>
      <c r="AB47" s="151">
        <v>6.4000000000000001E-2</v>
      </c>
      <c r="AC47" s="151">
        <v>6.8000000000000005E-2</v>
      </c>
      <c r="AD47" s="151">
        <v>7.0999999999999994E-2</v>
      </c>
      <c r="AE47" s="151">
        <v>7.4999999999999997E-2</v>
      </c>
      <c r="AF47" s="151">
        <v>7.8E-2</v>
      </c>
      <c r="AG47" s="151">
        <v>8.2000000000000003E-2</v>
      </c>
      <c r="AH47" s="151">
        <v>8.5000000000000006E-2</v>
      </c>
      <c r="AI47" s="151">
        <v>8.7999999999999995E-2</v>
      </c>
      <c r="AJ47" s="151">
        <v>9.1999999999999998E-2</v>
      </c>
      <c r="AK47" s="152">
        <v>9.5000000000000001E-2</v>
      </c>
      <c r="AL47" s="111">
        <f t="shared" ref="AL47:BE47" si="54">AK47</f>
        <v>9.5000000000000001E-2</v>
      </c>
      <c r="AM47" s="111">
        <f t="shared" si="54"/>
        <v>9.5000000000000001E-2</v>
      </c>
      <c r="AN47" s="111">
        <f t="shared" si="54"/>
        <v>9.5000000000000001E-2</v>
      </c>
      <c r="AO47" s="111">
        <f t="shared" si="54"/>
        <v>9.5000000000000001E-2</v>
      </c>
      <c r="AP47" s="111">
        <f t="shared" si="54"/>
        <v>9.5000000000000001E-2</v>
      </c>
      <c r="AQ47" s="111">
        <f t="shared" si="54"/>
        <v>9.5000000000000001E-2</v>
      </c>
      <c r="AR47" s="111">
        <f t="shared" si="54"/>
        <v>9.5000000000000001E-2</v>
      </c>
      <c r="AS47" s="111">
        <f t="shared" si="54"/>
        <v>9.5000000000000001E-2</v>
      </c>
      <c r="AT47" s="111">
        <f t="shared" si="54"/>
        <v>9.5000000000000001E-2</v>
      </c>
      <c r="AU47" s="111">
        <f t="shared" si="54"/>
        <v>9.5000000000000001E-2</v>
      </c>
      <c r="AV47" s="111">
        <f t="shared" si="54"/>
        <v>9.5000000000000001E-2</v>
      </c>
      <c r="AW47" s="111">
        <f t="shared" si="54"/>
        <v>9.5000000000000001E-2</v>
      </c>
      <c r="AX47" s="111">
        <f t="shared" si="54"/>
        <v>9.5000000000000001E-2</v>
      </c>
      <c r="AY47" s="111">
        <f t="shared" si="54"/>
        <v>9.5000000000000001E-2</v>
      </c>
      <c r="AZ47" s="111">
        <f t="shared" si="54"/>
        <v>9.5000000000000001E-2</v>
      </c>
      <c r="BA47" s="111">
        <f t="shared" si="54"/>
        <v>9.5000000000000001E-2</v>
      </c>
      <c r="BB47" s="111">
        <f t="shared" si="54"/>
        <v>9.5000000000000001E-2</v>
      </c>
      <c r="BC47" s="111">
        <f t="shared" si="54"/>
        <v>9.5000000000000001E-2</v>
      </c>
      <c r="BD47" s="111">
        <f t="shared" si="54"/>
        <v>9.5000000000000001E-2</v>
      </c>
      <c r="BE47" s="111">
        <f t="shared" si="54"/>
        <v>9.5000000000000001E-2</v>
      </c>
      <c r="BF47" s="111"/>
      <c r="BG47" s="151">
        <v>9.5000000000000001E-2</v>
      </c>
      <c r="BH47" s="65"/>
      <c r="BI47" s="108"/>
      <c r="BJ47" s="18" t="s">
        <v>278</v>
      </c>
      <c r="BK47" s="107"/>
      <c r="BL47" s="18"/>
      <c r="BM47" s="18">
        <v>13482281</v>
      </c>
      <c r="BN47" s="107">
        <f>BM47/SUM(BM45:BM47)</f>
        <v>0.47387244731670664</v>
      </c>
      <c r="BO47" s="18"/>
      <c r="BP47" s="18"/>
      <c r="BQ47" s="18"/>
      <c r="BR47" s="18"/>
      <c r="BS47" s="18"/>
      <c r="BT47" s="18"/>
      <c r="BU47" s="18"/>
      <c r="BV47" s="18" t="s">
        <v>327</v>
      </c>
      <c r="BW47" s="18">
        <v>0</v>
      </c>
      <c r="BX47" s="111">
        <f t="shared" ref="BX47:BX52" si="55">BW47/BW$52</f>
        <v>0</v>
      </c>
      <c r="BY47" s="18">
        <v>0</v>
      </c>
      <c r="BZ47" s="111">
        <f t="shared" ref="BZ47:BZ52" si="56">BY47/BY$52</f>
        <v>0</v>
      </c>
      <c r="CA47" s="18"/>
      <c r="CB47" s="18"/>
      <c r="CC47" s="18"/>
      <c r="CD47" s="18"/>
      <c r="CE47" s="18"/>
      <c r="CF47" s="18"/>
      <c r="CG47" s="151">
        <v>2E-3</v>
      </c>
      <c r="CH47" s="151">
        <v>6.0000000000000001E-3</v>
      </c>
      <c r="CI47" s="151">
        <v>8.9999999999999993E-3</v>
      </c>
      <c r="CJ47" s="151">
        <v>1.2E-2</v>
      </c>
      <c r="CK47" s="151">
        <v>2.1000000000000001E-2</v>
      </c>
      <c r="CL47" s="151">
        <v>0.03</v>
      </c>
      <c r="CM47" s="151">
        <v>3.9E-2</v>
      </c>
      <c r="CN47" s="151">
        <v>4.9000000000000002E-2</v>
      </c>
      <c r="CO47" s="151">
        <v>5.8000000000000003E-2</v>
      </c>
      <c r="CP47" s="151">
        <v>7.0000000000000007E-2</v>
      </c>
      <c r="CQ47" s="151">
        <v>8.2000000000000003E-2</v>
      </c>
      <c r="CR47" s="151">
        <v>9.4E-2</v>
      </c>
      <c r="CS47" s="151">
        <v>0.106</v>
      </c>
      <c r="CT47" s="151">
        <v>0.11799999999999999</v>
      </c>
      <c r="CU47" s="151">
        <v>0.13400000000000001</v>
      </c>
      <c r="CV47" s="151">
        <v>0.15</v>
      </c>
      <c r="CW47" s="151">
        <v>0.16600000000000001</v>
      </c>
      <c r="CX47" s="151">
        <v>0.182</v>
      </c>
      <c r="CY47" s="151">
        <v>0.19800000000000001</v>
      </c>
      <c r="CZ47" s="151">
        <v>0.23400000000000001</v>
      </c>
      <c r="DA47" s="151">
        <v>0.27</v>
      </c>
      <c r="DB47" s="151">
        <v>0.30599999999999999</v>
      </c>
      <c r="DC47" s="151">
        <v>0.34200000000000003</v>
      </c>
      <c r="DD47" s="151">
        <v>0.377</v>
      </c>
      <c r="DE47" s="151">
        <v>0.38900000000000001</v>
      </c>
      <c r="DF47" s="151">
        <v>0.4</v>
      </c>
      <c r="DG47" s="151">
        <v>0.41199999999999998</v>
      </c>
      <c r="DH47" s="151">
        <v>0.42299999999999999</v>
      </c>
      <c r="DI47" s="151">
        <v>0.435</v>
      </c>
      <c r="DJ47" s="111">
        <v>0.435</v>
      </c>
      <c r="DK47" s="111">
        <v>0.435</v>
      </c>
      <c r="DL47" s="111">
        <v>0.435</v>
      </c>
      <c r="DM47" s="111">
        <v>0.435</v>
      </c>
      <c r="DN47" s="111">
        <v>0.435</v>
      </c>
      <c r="DO47" s="111">
        <v>0.435</v>
      </c>
      <c r="DP47" s="111">
        <v>0.435</v>
      </c>
      <c r="DQ47" s="111">
        <v>0.435</v>
      </c>
      <c r="DR47" s="111">
        <v>0.435</v>
      </c>
      <c r="DS47" s="111">
        <v>0.435</v>
      </c>
      <c r="DT47" s="111">
        <v>0.435</v>
      </c>
      <c r="DU47" s="111">
        <v>0.435</v>
      </c>
      <c r="DV47" s="111">
        <v>0.435</v>
      </c>
      <c r="DW47" s="111">
        <v>0.435</v>
      </c>
      <c r="DX47" s="111">
        <v>0.435</v>
      </c>
      <c r="DY47" s="111">
        <v>0.435</v>
      </c>
      <c r="DZ47" s="111">
        <v>0.435</v>
      </c>
      <c r="EA47" s="111">
        <v>0.435</v>
      </c>
      <c r="EB47" s="111">
        <v>0.435</v>
      </c>
      <c r="EC47" s="111">
        <v>0.435</v>
      </c>
      <c r="ED47" s="151">
        <v>0.435</v>
      </c>
      <c r="EE47" s="18"/>
    </row>
    <row r="48" spans="1:135" ht="14.25" customHeight="1">
      <c r="A48" s="18"/>
      <c r="B48" s="18" t="s">
        <v>194</v>
      </c>
      <c r="C48" s="19" t="s">
        <v>328</v>
      </c>
      <c r="D48" s="18"/>
      <c r="E48" s="18"/>
      <c r="F48" s="19" t="s">
        <v>156</v>
      </c>
      <c r="G48" s="18" t="s">
        <v>153</v>
      </c>
      <c r="H48" s="114"/>
      <c r="I48" s="151">
        <v>0</v>
      </c>
      <c r="J48" s="151">
        <v>0</v>
      </c>
      <c r="K48" s="151">
        <v>0</v>
      </c>
      <c r="L48" s="151">
        <v>0</v>
      </c>
      <c r="M48" s="151">
        <v>0</v>
      </c>
      <c r="N48" s="151">
        <v>0</v>
      </c>
      <c r="O48" s="151">
        <v>0</v>
      </c>
      <c r="P48" s="151">
        <v>0</v>
      </c>
      <c r="Q48" s="151">
        <v>0</v>
      </c>
      <c r="R48" s="151">
        <v>0</v>
      </c>
      <c r="S48" s="151">
        <v>0</v>
      </c>
      <c r="T48" s="151">
        <v>0</v>
      </c>
      <c r="U48" s="151">
        <v>0</v>
      </c>
      <c r="V48" s="151">
        <v>0</v>
      </c>
      <c r="W48" s="151">
        <v>0</v>
      </c>
      <c r="X48" s="151">
        <v>0</v>
      </c>
      <c r="Y48" s="151">
        <v>0</v>
      </c>
      <c r="Z48" s="151">
        <v>0</v>
      </c>
      <c r="AA48" s="151">
        <v>0</v>
      </c>
      <c r="AB48" s="151">
        <v>0</v>
      </c>
      <c r="AC48" s="151">
        <v>0</v>
      </c>
      <c r="AD48" s="151">
        <v>0</v>
      </c>
      <c r="AE48" s="151">
        <v>0</v>
      </c>
      <c r="AF48" s="151">
        <v>0</v>
      </c>
      <c r="AG48" s="151">
        <v>0</v>
      </c>
      <c r="AH48" s="151">
        <v>0</v>
      </c>
      <c r="AI48" s="151">
        <v>0</v>
      </c>
      <c r="AJ48" s="151">
        <v>0</v>
      </c>
      <c r="AK48" s="152">
        <v>0</v>
      </c>
      <c r="AL48" s="111">
        <f t="shared" ref="AL48:BE48" si="57">AK48</f>
        <v>0</v>
      </c>
      <c r="AM48" s="111">
        <f t="shared" si="57"/>
        <v>0</v>
      </c>
      <c r="AN48" s="111">
        <f t="shared" si="57"/>
        <v>0</v>
      </c>
      <c r="AO48" s="111">
        <f t="shared" si="57"/>
        <v>0</v>
      </c>
      <c r="AP48" s="111">
        <f t="shared" si="57"/>
        <v>0</v>
      </c>
      <c r="AQ48" s="111">
        <f t="shared" si="57"/>
        <v>0</v>
      </c>
      <c r="AR48" s="111">
        <f t="shared" si="57"/>
        <v>0</v>
      </c>
      <c r="AS48" s="111">
        <f t="shared" si="57"/>
        <v>0</v>
      </c>
      <c r="AT48" s="111">
        <f t="shared" si="57"/>
        <v>0</v>
      </c>
      <c r="AU48" s="111">
        <f t="shared" si="57"/>
        <v>0</v>
      </c>
      <c r="AV48" s="111">
        <f t="shared" si="57"/>
        <v>0</v>
      </c>
      <c r="AW48" s="111">
        <f t="shared" si="57"/>
        <v>0</v>
      </c>
      <c r="AX48" s="111">
        <f t="shared" si="57"/>
        <v>0</v>
      </c>
      <c r="AY48" s="111">
        <f t="shared" si="57"/>
        <v>0</v>
      </c>
      <c r="AZ48" s="111">
        <f t="shared" si="57"/>
        <v>0</v>
      </c>
      <c r="BA48" s="111">
        <f t="shared" si="57"/>
        <v>0</v>
      </c>
      <c r="BB48" s="111">
        <f t="shared" si="57"/>
        <v>0</v>
      </c>
      <c r="BC48" s="111">
        <f t="shared" si="57"/>
        <v>0</v>
      </c>
      <c r="BD48" s="111">
        <f t="shared" si="57"/>
        <v>0</v>
      </c>
      <c r="BE48" s="111">
        <f t="shared" si="57"/>
        <v>0</v>
      </c>
      <c r="BF48" s="111"/>
      <c r="BG48" s="151">
        <v>0</v>
      </c>
      <c r="BH48" s="65"/>
      <c r="BI48" s="108"/>
      <c r="BJ48" s="18" t="s">
        <v>278</v>
      </c>
      <c r="BK48" s="18" t="s">
        <v>329</v>
      </c>
      <c r="BL48" s="18" t="s">
        <v>330</v>
      </c>
      <c r="BM48" s="18"/>
      <c r="BN48" s="18"/>
      <c r="BO48" s="18"/>
      <c r="BP48" s="18" t="s">
        <v>145</v>
      </c>
      <c r="BQ48" s="18"/>
      <c r="BR48" s="18"/>
      <c r="BS48" s="18"/>
      <c r="BT48" s="18"/>
      <c r="BU48" s="18"/>
      <c r="BV48" s="18" t="s">
        <v>331</v>
      </c>
      <c r="BW48" s="18">
        <v>1136540</v>
      </c>
      <c r="BX48" s="111">
        <f t="shared" si="55"/>
        <v>0.45894791760468712</v>
      </c>
      <c r="BY48" s="18">
        <v>1236025</v>
      </c>
      <c r="BZ48" s="111">
        <f t="shared" si="56"/>
        <v>0.45151185833919327</v>
      </c>
      <c r="CA48" s="18"/>
      <c r="CB48" s="18">
        <v>46</v>
      </c>
      <c r="CC48" s="18"/>
      <c r="CD48" s="18"/>
      <c r="CE48" s="18"/>
      <c r="CF48" s="18"/>
      <c r="CG48" s="108">
        <f t="shared" ref="CG48:CH48" si="58">CG50-CG49</f>
        <v>1.7000000000000001E-3</v>
      </c>
      <c r="CH48" s="108">
        <f t="shared" si="58"/>
        <v>4.9999999999999992E-3</v>
      </c>
      <c r="CI48" s="108">
        <v>8.0000000000000002E-3</v>
      </c>
      <c r="CJ48" s="108">
        <v>0.01</v>
      </c>
      <c r="CK48" s="108">
        <f t="shared" ref="CK48:CO48" si="59">CK50-CK49</f>
        <v>1.6E-2</v>
      </c>
      <c r="CL48" s="108">
        <f t="shared" si="59"/>
        <v>2.3E-2</v>
      </c>
      <c r="CM48" s="108">
        <f t="shared" si="59"/>
        <v>2.7000000000000003E-2</v>
      </c>
      <c r="CN48" s="108">
        <f t="shared" si="59"/>
        <v>3.6999999999999991E-2</v>
      </c>
      <c r="CO48" s="108">
        <f t="shared" si="59"/>
        <v>4.300000000000001E-2</v>
      </c>
      <c r="CP48" s="108">
        <v>5.1999999999999998E-2</v>
      </c>
      <c r="CQ48" s="108">
        <v>6.5000000000000002E-2</v>
      </c>
      <c r="CR48" s="108">
        <v>7.8E-2</v>
      </c>
      <c r="CS48" s="108">
        <v>0.09</v>
      </c>
      <c r="CT48" s="108">
        <v>0.10199999999999999</v>
      </c>
      <c r="CU48" s="108">
        <v>0.11799999999999999</v>
      </c>
      <c r="CV48" s="108">
        <v>0.13</v>
      </c>
      <c r="CW48" s="108">
        <v>0.14000000000000001</v>
      </c>
      <c r="CX48" s="108">
        <v>0.158</v>
      </c>
      <c r="CY48" s="108">
        <v>0.17199999999999999</v>
      </c>
      <c r="CZ48" s="108">
        <v>0.19</v>
      </c>
      <c r="DA48" s="108">
        <f t="shared" ref="DA48:DD48" si="60">DA50-DA49</f>
        <v>0.22050000000000003</v>
      </c>
      <c r="DB48" s="108">
        <f t="shared" si="60"/>
        <v>0.2535</v>
      </c>
      <c r="DC48" s="108">
        <f t="shared" si="60"/>
        <v>0.28850000000000003</v>
      </c>
      <c r="DD48" s="108">
        <f t="shared" si="60"/>
        <v>0.32150000000000001</v>
      </c>
      <c r="DE48" s="108">
        <v>0.34</v>
      </c>
      <c r="DF48" s="108">
        <v>0.35</v>
      </c>
      <c r="DG48" s="108">
        <v>0.36199999999999999</v>
      </c>
      <c r="DH48" s="108">
        <f>DH50-DH49</f>
        <v>0.3695</v>
      </c>
      <c r="DI48" s="108">
        <v>0.375</v>
      </c>
      <c r="DJ48" s="108"/>
      <c r="DK48" s="108"/>
      <c r="DL48" s="108"/>
      <c r="DM48" s="108"/>
      <c r="DN48" s="108"/>
      <c r="DO48" s="108"/>
      <c r="DP48" s="108"/>
      <c r="DQ48" s="108"/>
      <c r="DR48" s="108"/>
      <c r="DS48" s="108"/>
      <c r="DT48" s="108"/>
      <c r="DU48" s="111"/>
      <c r="DV48" s="111"/>
      <c r="DW48" s="111"/>
      <c r="DX48" s="111"/>
      <c r="DY48" s="111"/>
      <c r="DZ48" s="111"/>
      <c r="EA48" s="111"/>
      <c r="EB48" s="111"/>
      <c r="EC48" s="111"/>
      <c r="ED48" s="151"/>
      <c r="EE48" s="18"/>
    </row>
    <row r="49" spans="1:135" ht="14.25" customHeight="1">
      <c r="A49" s="18"/>
      <c r="B49" s="18" t="s">
        <v>199</v>
      </c>
      <c r="C49" s="19" t="s">
        <v>328</v>
      </c>
      <c r="D49" s="18"/>
      <c r="E49" s="18"/>
      <c r="F49" s="19" t="s">
        <v>156</v>
      </c>
      <c r="G49" s="18" t="s">
        <v>153</v>
      </c>
      <c r="H49" s="114"/>
      <c r="I49" s="151">
        <v>0</v>
      </c>
      <c r="J49" s="151">
        <v>0</v>
      </c>
      <c r="K49" s="151">
        <v>0</v>
      </c>
      <c r="L49" s="151">
        <v>0</v>
      </c>
      <c r="M49" s="151">
        <v>0</v>
      </c>
      <c r="N49" s="151">
        <v>0</v>
      </c>
      <c r="O49" s="151">
        <v>0</v>
      </c>
      <c r="P49" s="151">
        <v>0</v>
      </c>
      <c r="Q49" s="151">
        <v>0</v>
      </c>
      <c r="R49" s="151">
        <v>0</v>
      </c>
      <c r="S49" s="151">
        <v>0</v>
      </c>
      <c r="T49" s="151">
        <v>0</v>
      </c>
      <c r="U49" s="151">
        <v>0</v>
      </c>
      <c r="V49" s="151">
        <v>0</v>
      </c>
      <c r="W49" s="151">
        <v>0</v>
      </c>
      <c r="X49" s="151">
        <v>0</v>
      </c>
      <c r="Y49" s="151">
        <v>0</v>
      </c>
      <c r="Z49" s="151">
        <v>0</v>
      </c>
      <c r="AA49" s="151">
        <v>0</v>
      </c>
      <c r="AB49" s="151">
        <v>0</v>
      </c>
      <c r="AC49" s="151">
        <v>0</v>
      </c>
      <c r="AD49" s="151">
        <v>0</v>
      </c>
      <c r="AE49" s="151">
        <v>0</v>
      </c>
      <c r="AF49" s="151">
        <v>0</v>
      </c>
      <c r="AG49" s="151">
        <v>0</v>
      </c>
      <c r="AH49" s="151">
        <v>0</v>
      </c>
      <c r="AI49" s="151">
        <v>0</v>
      </c>
      <c r="AJ49" s="151">
        <v>0</v>
      </c>
      <c r="AK49" s="152">
        <v>0</v>
      </c>
      <c r="AL49" s="111">
        <f t="shared" ref="AL49:BE49" si="61">AK49</f>
        <v>0</v>
      </c>
      <c r="AM49" s="111">
        <f t="shared" si="61"/>
        <v>0</v>
      </c>
      <c r="AN49" s="111">
        <f t="shared" si="61"/>
        <v>0</v>
      </c>
      <c r="AO49" s="111">
        <f t="shared" si="61"/>
        <v>0</v>
      </c>
      <c r="AP49" s="111">
        <f t="shared" si="61"/>
        <v>0</v>
      </c>
      <c r="AQ49" s="111">
        <f t="shared" si="61"/>
        <v>0</v>
      </c>
      <c r="AR49" s="111">
        <f t="shared" si="61"/>
        <v>0</v>
      </c>
      <c r="AS49" s="111">
        <f t="shared" si="61"/>
        <v>0</v>
      </c>
      <c r="AT49" s="111">
        <f t="shared" si="61"/>
        <v>0</v>
      </c>
      <c r="AU49" s="111">
        <f t="shared" si="61"/>
        <v>0</v>
      </c>
      <c r="AV49" s="111">
        <f t="shared" si="61"/>
        <v>0</v>
      </c>
      <c r="AW49" s="111">
        <f t="shared" si="61"/>
        <v>0</v>
      </c>
      <c r="AX49" s="111">
        <f t="shared" si="61"/>
        <v>0</v>
      </c>
      <c r="AY49" s="111">
        <f t="shared" si="61"/>
        <v>0</v>
      </c>
      <c r="AZ49" s="111">
        <f t="shared" si="61"/>
        <v>0</v>
      </c>
      <c r="BA49" s="111">
        <f t="shared" si="61"/>
        <v>0</v>
      </c>
      <c r="BB49" s="111">
        <f t="shared" si="61"/>
        <v>0</v>
      </c>
      <c r="BC49" s="111">
        <f t="shared" si="61"/>
        <v>0</v>
      </c>
      <c r="BD49" s="111">
        <f t="shared" si="61"/>
        <v>0</v>
      </c>
      <c r="BE49" s="111">
        <f t="shared" si="61"/>
        <v>0</v>
      </c>
      <c r="BF49" s="111"/>
      <c r="BG49" s="151">
        <v>0</v>
      </c>
      <c r="BH49" s="65"/>
      <c r="BI49" s="108"/>
      <c r="BJ49" s="18" t="s">
        <v>278</v>
      </c>
      <c r="BK49" s="18" t="s">
        <v>332</v>
      </c>
      <c r="BL49" s="18"/>
      <c r="BM49" s="18"/>
      <c r="BN49" s="18"/>
      <c r="BO49" s="18"/>
      <c r="BP49" s="18" t="s">
        <v>194</v>
      </c>
      <c r="BQ49" s="18"/>
      <c r="BR49" s="18"/>
      <c r="BS49" s="18"/>
      <c r="BT49" s="18"/>
      <c r="BU49" s="18"/>
      <c r="BV49" s="18" t="s">
        <v>333</v>
      </c>
      <c r="BW49" s="18">
        <v>1214864</v>
      </c>
      <c r="BX49" s="111">
        <f t="shared" si="55"/>
        <v>0.49057604921331466</v>
      </c>
      <c r="BY49" s="18">
        <v>1366016</v>
      </c>
      <c r="BZ49" s="111">
        <f t="shared" si="56"/>
        <v>0.49899672149112795</v>
      </c>
      <c r="CA49" s="18"/>
      <c r="CB49" s="18">
        <v>49</v>
      </c>
      <c r="CC49" s="18"/>
      <c r="CD49" s="18"/>
      <c r="CE49" s="18"/>
      <c r="CF49" s="18"/>
      <c r="CG49" s="151">
        <v>5.0000000000000001E-4</v>
      </c>
      <c r="CH49" s="151">
        <v>6.0000000000000001E-3</v>
      </c>
      <c r="CI49" s="151">
        <v>1.2E-2</v>
      </c>
      <c r="CJ49" s="151">
        <v>1.9E-2</v>
      </c>
      <c r="CK49" s="151">
        <v>2.5000000000000001E-2</v>
      </c>
      <c r="CL49" s="151">
        <v>3.2000000000000001E-2</v>
      </c>
      <c r="CM49" s="151">
        <v>4.2000000000000003E-2</v>
      </c>
      <c r="CN49" s="151">
        <v>0.05</v>
      </c>
      <c r="CO49" s="151">
        <v>0.06</v>
      </c>
      <c r="CP49" s="151">
        <v>6.8000000000000005E-2</v>
      </c>
      <c r="CQ49" s="151">
        <v>7.8E-2</v>
      </c>
      <c r="CR49" s="151">
        <v>0.09</v>
      </c>
      <c r="CS49" s="151">
        <v>0.1012</v>
      </c>
      <c r="CT49" s="151">
        <v>0.11220000000000001</v>
      </c>
      <c r="CU49" s="151">
        <v>0.125</v>
      </c>
      <c r="CV49" s="151">
        <v>0.13400000000000001</v>
      </c>
      <c r="CW49" s="151">
        <v>0.14599999999999999</v>
      </c>
      <c r="CX49" s="151">
        <v>0.155</v>
      </c>
      <c r="CY49" s="151">
        <v>0.16500000000000001</v>
      </c>
      <c r="CZ49" s="151">
        <v>0.16900000000000001</v>
      </c>
      <c r="DA49" s="151">
        <v>0.17199999999999999</v>
      </c>
      <c r="DB49" s="151">
        <v>0.17499999999999999</v>
      </c>
      <c r="DC49" s="151">
        <v>0.17599999999999999</v>
      </c>
      <c r="DD49" s="151">
        <v>0.17799999999999999</v>
      </c>
      <c r="DE49" s="151">
        <v>0.18</v>
      </c>
      <c r="DF49" s="151">
        <v>0.18</v>
      </c>
      <c r="DG49" s="151">
        <v>0.17899999999999999</v>
      </c>
      <c r="DH49" s="151">
        <v>0.17599999999999999</v>
      </c>
      <c r="DI49" s="151">
        <v>0.17299999999999999</v>
      </c>
      <c r="DJ49" s="151"/>
      <c r="DK49" s="151"/>
      <c r="DL49" s="151"/>
      <c r="DM49" s="151"/>
      <c r="DN49" s="151"/>
      <c r="DO49" s="151"/>
      <c r="DP49" s="151"/>
      <c r="DQ49" s="151"/>
      <c r="DR49" s="151"/>
      <c r="DS49" s="151"/>
      <c r="DT49" s="151"/>
      <c r="DU49" s="18"/>
      <c r="DV49" s="18"/>
      <c r="DW49" s="18"/>
      <c r="DX49" s="18"/>
      <c r="DY49" s="18"/>
      <c r="DZ49" s="18"/>
      <c r="EA49" s="18"/>
      <c r="EB49" s="18"/>
      <c r="EC49" s="18"/>
      <c r="ED49" s="18"/>
      <c r="EE49" s="18"/>
    </row>
    <row r="50" spans="1:135" ht="14.25" customHeight="1">
      <c r="A50" s="18"/>
      <c r="B50" s="18" t="s">
        <v>202</v>
      </c>
      <c r="C50" s="19" t="s">
        <v>328</v>
      </c>
      <c r="D50" s="18"/>
      <c r="E50" s="18"/>
      <c r="F50" s="19" t="s">
        <v>156</v>
      </c>
      <c r="G50" s="18" t="s">
        <v>153</v>
      </c>
      <c r="H50" s="114"/>
      <c r="I50" s="151">
        <v>0</v>
      </c>
      <c r="J50" s="151">
        <v>0</v>
      </c>
      <c r="K50" s="151">
        <v>0</v>
      </c>
      <c r="L50" s="151">
        <v>0</v>
      </c>
      <c r="M50" s="151">
        <v>0</v>
      </c>
      <c r="N50" s="151">
        <v>0</v>
      </c>
      <c r="O50" s="151">
        <v>0</v>
      </c>
      <c r="P50" s="151">
        <v>0</v>
      </c>
      <c r="Q50" s="151">
        <v>0</v>
      </c>
      <c r="R50" s="151">
        <v>2E-3</v>
      </c>
      <c r="S50" s="151">
        <v>4.0000000000000001E-3</v>
      </c>
      <c r="T50" s="151">
        <v>6.0000000000000001E-3</v>
      </c>
      <c r="U50" s="151">
        <v>8.0000000000000002E-3</v>
      </c>
      <c r="V50" s="151">
        <v>0.01</v>
      </c>
      <c r="W50" s="151">
        <v>1.4E-2</v>
      </c>
      <c r="X50" s="151">
        <v>1.7999999999999999E-2</v>
      </c>
      <c r="Y50" s="151">
        <v>2.3E-2</v>
      </c>
      <c r="Z50" s="151">
        <v>2.7E-2</v>
      </c>
      <c r="AA50" s="151">
        <v>3.1E-2</v>
      </c>
      <c r="AB50" s="151">
        <v>3.5000000000000003E-2</v>
      </c>
      <c r="AC50" s="151">
        <v>3.9E-2</v>
      </c>
      <c r="AD50" s="151">
        <v>4.2999999999999997E-2</v>
      </c>
      <c r="AE50" s="151">
        <v>4.7E-2</v>
      </c>
      <c r="AF50" s="151">
        <v>5.0999999999999997E-2</v>
      </c>
      <c r="AG50" s="151">
        <v>5.5E-2</v>
      </c>
      <c r="AH50" s="151">
        <v>5.8999999999999997E-2</v>
      </c>
      <c r="AI50" s="151">
        <v>6.3E-2</v>
      </c>
      <c r="AJ50" s="151">
        <v>6.7000000000000004E-2</v>
      </c>
      <c r="AK50" s="152">
        <v>7.0999999999999994E-2</v>
      </c>
      <c r="AL50" s="111">
        <f t="shared" ref="AL50:BE50" si="62">AK50</f>
        <v>7.0999999999999994E-2</v>
      </c>
      <c r="AM50" s="111">
        <f t="shared" si="62"/>
        <v>7.0999999999999994E-2</v>
      </c>
      <c r="AN50" s="111">
        <f t="shared" si="62"/>
        <v>7.0999999999999994E-2</v>
      </c>
      <c r="AO50" s="111">
        <f t="shared" si="62"/>
        <v>7.0999999999999994E-2</v>
      </c>
      <c r="AP50" s="111">
        <f t="shared" si="62"/>
        <v>7.0999999999999994E-2</v>
      </c>
      <c r="AQ50" s="111">
        <f t="shared" si="62"/>
        <v>7.0999999999999994E-2</v>
      </c>
      <c r="AR50" s="111">
        <f t="shared" si="62"/>
        <v>7.0999999999999994E-2</v>
      </c>
      <c r="AS50" s="111">
        <f t="shared" si="62"/>
        <v>7.0999999999999994E-2</v>
      </c>
      <c r="AT50" s="111">
        <f t="shared" si="62"/>
        <v>7.0999999999999994E-2</v>
      </c>
      <c r="AU50" s="111">
        <f t="shared" si="62"/>
        <v>7.0999999999999994E-2</v>
      </c>
      <c r="AV50" s="111">
        <f t="shared" si="62"/>
        <v>7.0999999999999994E-2</v>
      </c>
      <c r="AW50" s="111">
        <f t="shared" si="62"/>
        <v>7.0999999999999994E-2</v>
      </c>
      <c r="AX50" s="111">
        <f t="shared" si="62"/>
        <v>7.0999999999999994E-2</v>
      </c>
      <c r="AY50" s="111">
        <f t="shared" si="62"/>
        <v>7.0999999999999994E-2</v>
      </c>
      <c r="AZ50" s="111">
        <f t="shared" si="62"/>
        <v>7.0999999999999994E-2</v>
      </c>
      <c r="BA50" s="111">
        <f t="shared" si="62"/>
        <v>7.0999999999999994E-2</v>
      </c>
      <c r="BB50" s="111">
        <f t="shared" si="62"/>
        <v>7.0999999999999994E-2</v>
      </c>
      <c r="BC50" s="111">
        <f t="shared" si="62"/>
        <v>7.0999999999999994E-2</v>
      </c>
      <c r="BD50" s="111">
        <f t="shared" si="62"/>
        <v>7.0999999999999994E-2</v>
      </c>
      <c r="BE50" s="111">
        <f t="shared" si="62"/>
        <v>7.0999999999999994E-2</v>
      </c>
      <c r="BF50" s="111"/>
      <c r="BG50" s="151">
        <v>7.0999999999999994E-2</v>
      </c>
      <c r="BH50" s="65"/>
      <c r="BI50" s="108"/>
      <c r="BJ50" s="18" t="s">
        <v>278</v>
      </c>
      <c r="BK50" s="107"/>
      <c r="BL50" s="18"/>
      <c r="BM50" s="18"/>
      <c r="BN50" s="18"/>
      <c r="BO50" s="18"/>
      <c r="BP50" s="18" t="s">
        <v>199</v>
      </c>
      <c r="BQ50" s="18"/>
      <c r="BR50" s="18"/>
      <c r="BS50" s="18"/>
      <c r="BT50" s="18"/>
      <c r="BU50" s="18"/>
      <c r="BV50" s="18" t="s">
        <v>334</v>
      </c>
      <c r="BW50" s="18">
        <v>5876</v>
      </c>
      <c r="BX50" s="111">
        <f t="shared" si="55"/>
        <v>2.372796350190175E-3</v>
      </c>
      <c r="BY50" s="18">
        <v>5462</v>
      </c>
      <c r="BZ50" s="111">
        <f t="shared" si="56"/>
        <v>1.9952329202473037E-3</v>
      </c>
      <c r="CA50" s="18"/>
      <c r="CB50" s="18">
        <v>0.25</v>
      </c>
      <c r="CC50" s="18"/>
      <c r="CD50" s="18"/>
      <c r="CE50" s="18"/>
      <c r="CF50" s="18"/>
      <c r="CG50" s="108">
        <v>2.2000000000000001E-3</v>
      </c>
      <c r="CH50" s="108">
        <v>1.0999999999999999E-2</v>
      </c>
      <c r="CI50" s="108">
        <v>1.7999999999999999E-2</v>
      </c>
      <c r="CJ50" s="108">
        <v>2.7E-2</v>
      </c>
      <c r="CK50" s="108">
        <v>4.1000000000000002E-2</v>
      </c>
      <c r="CL50" s="108">
        <v>5.5E-2</v>
      </c>
      <c r="CM50" s="108">
        <v>6.9000000000000006E-2</v>
      </c>
      <c r="CN50" s="108">
        <v>8.6999999999999994E-2</v>
      </c>
      <c r="CO50" s="108">
        <v>0.10300000000000001</v>
      </c>
      <c r="CP50" s="108">
        <v>0.126</v>
      </c>
      <c r="CQ50" s="108">
        <v>0.15479999999999999</v>
      </c>
      <c r="CR50" s="108">
        <v>0.184</v>
      </c>
      <c r="CS50" s="108">
        <v>0.2072</v>
      </c>
      <c r="CT50" s="108">
        <v>0.23020000000000002</v>
      </c>
      <c r="CU50" s="108">
        <v>0.25369999999999998</v>
      </c>
      <c r="CV50" s="108">
        <v>0.27554999999999996</v>
      </c>
      <c r="CW50" s="108">
        <v>0.29305000000000003</v>
      </c>
      <c r="CX50" s="108">
        <v>0.307925</v>
      </c>
      <c r="CY50" s="108">
        <v>0.32050000000000001</v>
      </c>
      <c r="CZ50" s="108">
        <v>0.35649999999999998</v>
      </c>
      <c r="DA50" s="108">
        <v>0.39250000000000002</v>
      </c>
      <c r="DB50" s="108">
        <v>0.42849999999999999</v>
      </c>
      <c r="DC50" s="108">
        <v>0.46450000000000002</v>
      </c>
      <c r="DD50" s="108">
        <v>0.4995</v>
      </c>
      <c r="DE50" s="108">
        <v>0.51149999999999995</v>
      </c>
      <c r="DF50" s="108">
        <v>0.52249999999999996</v>
      </c>
      <c r="DG50" s="108">
        <v>0.53449999999999998</v>
      </c>
      <c r="DH50" s="108">
        <v>0.54549999999999998</v>
      </c>
      <c r="DI50" s="108">
        <v>0.5575</v>
      </c>
      <c r="DJ50" s="108"/>
      <c r="DK50" s="108"/>
      <c r="DL50" s="108"/>
      <c r="DM50" s="108"/>
      <c r="DN50" s="108"/>
      <c r="DO50" s="108"/>
      <c r="DP50" s="108"/>
      <c r="DQ50" s="108"/>
      <c r="DR50" s="108"/>
      <c r="DS50" s="108"/>
      <c r="DT50" s="108"/>
      <c r="DU50" s="18"/>
      <c r="DV50" s="18"/>
      <c r="DW50" s="18"/>
      <c r="DX50" s="18"/>
      <c r="DY50" s="18"/>
      <c r="DZ50" s="18"/>
      <c r="EA50" s="18"/>
      <c r="EB50" s="18"/>
      <c r="EC50" s="18"/>
      <c r="ED50" s="18"/>
      <c r="EE50" s="18"/>
    </row>
    <row r="51" spans="1:135" ht="14.25" customHeight="1">
      <c r="A51" s="18"/>
      <c r="B51" s="18" t="s">
        <v>194</v>
      </c>
      <c r="C51" s="19" t="s">
        <v>128</v>
      </c>
      <c r="D51" s="18"/>
      <c r="E51" s="18"/>
      <c r="F51" s="19" t="s">
        <v>156</v>
      </c>
      <c r="G51" s="18" t="s">
        <v>153</v>
      </c>
      <c r="H51" s="114"/>
      <c r="I51" s="151">
        <v>0</v>
      </c>
      <c r="J51" s="151">
        <v>0</v>
      </c>
      <c r="K51" s="151">
        <v>0</v>
      </c>
      <c r="L51" s="151">
        <v>0</v>
      </c>
      <c r="M51" s="151">
        <v>0</v>
      </c>
      <c r="N51" s="151">
        <v>0</v>
      </c>
      <c r="O51" s="151">
        <v>0</v>
      </c>
      <c r="P51" s="151">
        <v>0</v>
      </c>
      <c r="Q51" s="151">
        <v>0</v>
      </c>
      <c r="R51" s="151">
        <v>0</v>
      </c>
      <c r="S51" s="151">
        <v>0</v>
      </c>
      <c r="T51" s="151">
        <v>0</v>
      </c>
      <c r="U51" s="151">
        <v>0</v>
      </c>
      <c r="V51" s="151">
        <v>0</v>
      </c>
      <c r="W51" s="151">
        <v>0</v>
      </c>
      <c r="X51" s="151">
        <v>0</v>
      </c>
      <c r="Y51" s="151">
        <v>0</v>
      </c>
      <c r="Z51" s="151">
        <v>0</v>
      </c>
      <c r="AA51" s="151">
        <v>0</v>
      </c>
      <c r="AB51" s="151">
        <v>0</v>
      </c>
      <c r="AC51" s="151">
        <v>0</v>
      </c>
      <c r="AD51" s="151">
        <v>0</v>
      </c>
      <c r="AE51" s="151">
        <v>0</v>
      </c>
      <c r="AF51" s="151">
        <v>0</v>
      </c>
      <c r="AG51" s="151">
        <v>0</v>
      </c>
      <c r="AH51" s="151">
        <v>0</v>
      </c>
      <c r="AI51" s="151">
        <v>0</v>
      </c>
      <c r="AJ51" s="151">
        <v>0</v>
      </c>
      <c r="AK51" s="152">
        <v>0</v>
      </c>
      <c r="AL51" s="111">
        <f t="shared" ref="AL51:BE51" si="63">AK51</f>
        <v>0</v>
      </c>
      <c r="AM51" s="111">
        <f t="shared" si="63"/>
        <v>0</v>
      </c>
      <c r="AN51" s="111">
        <f t="shared" si="63"/>
        <v>0</v>
      </c>
      <c r="AO51" s="111">
        <f t="shared" si="63"/>
        <v>0</v>
      </c>
      <c r="AP51" s="111">
        <f t="shared" si="63"/>
        <v>0</v>
      </c>
      <c r="AQ51" s="111">
        <f t="shared" si="63"/>
        <v>0</v>
      </c>
      <c r="AR51" s="111">
        <f t="shared" si="63"/>
        <v>0</v>
      </c>
      <c r="AS51" s="111">
        <f t="shared" si="63"/>
        <v>0</v>
      </c>
      <c r="AT51" s="111">
        <f t="shared" si="63"/>
        <v>0</v>
      </c>
      <c r="AU51" s="111">
        <f t="shared" si="63"/>
        <v>0</v>
      </c>
      <c r="AV51" s="111">
        <f t="shared" si="63"/>
        <v>0</v>
      </c>
      <c r="AW51" s="111">
        <f t="shared" si="63"/>
        <v>0</v>
      </c>
      <c r="AX51" s="111">
        <f t="shared" si="63"/>
        <v>0</v>
      </c>
      <c r="AY51" s="111">
        <f t="shared" si="63"/>
        <v>0</v>
      </c>
      <c r="AZ51" s="111">
        <f t="shared" si="63"/>
        <v>0</v>
      </c>
      <c r="BA51" s="111">
        <f t="shared" si="63"/>
        <v>0</v>
      </c>
      <c r="BB51" s="111">
        <f t="shared" si="63"/>
        <v>0</v>
      </c>
      <c r="BC51" s="111">
        <f t="shared" si="63"/>
        <v>0</v>
      </c>
      <c r="BD51" s="111">
        <f t="shared" si="63"/>
        <v>0</v>
      </c>
      <c r="BE51" s="111">
        <f t="shared" si="63"/>
        <v>0</v>
      </c>
      <c r="BF51" s="111"/>
      <c r="BG51" s="151">
        <v>0</v>
      </c>
      <c r="BH51" s="65"/>
      <c r="BI51" s="108"/>
      <c r="BJ51" s="18"/>
      <c r="BK51" s="107"/>
      <c r="BL51" s="18"/>
      <c r="BM51" s="18"/>
      <c r="BN51" s="18"/>
      <c r="BO51" s="18"/>
      <c r="BP51" s="18" t="s">
        <v>202</v>
      </c>
      <c r="BQ51" s="18" t="s">
        <v>335</v>
      </c>
      <c r="BR51" s="18"/>
      <c r="BS51" s="18"/>
      <c r="BT51" s="18"/>
      <c r="BU51" s="18"/>
      <c r="BV51" s="18" t="s">
        <v>336</v>
      </c>
      <c r="BW51" s="18">
        <v>119123</v>
      </c>
      <c r="BX51" s="111">
        <f t="shared" si="55"/>
        <v>4.8103236831808067E-2</v>
      </c>
      <c r="BY51" s="18">
        <v>130022</v>
      </c>
      <c r="BZ51" s="111">
        <f t="shared" si="56"/>
        <v>4.7496187249431512E-2</v>
      </c>
      <c r="CA51" s="18"/>
      <c r="CB51" s="18">
        <v>4.75</v>
      </c>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row>
    <row r="52" spans="1:135" ht="14.25" customHeight="1">
      <c r="A52" s="18"/>
      <c r="B52" s="18" t="s">
        <v>199</v>
      </c>
      <c r="C52" s="19" t="s">
        <v>128</v>
      </c>
      <c r="D52" s="18"/>
      <c r="E52" s="18"/>
      <c r="F52" s="19" t="s">
        <v>156</v>
      </c>
      <c r="G52" s="18" t="s">
        <v>153</v>
      </c>
      <c r="H52" s="114"/>
      <c r="I52" s="151">
        <v>0</v>
      </c>
      <c r="J52" s="151">
        <v>0</v>
      </c>
      <c r="K52" s="151">
        <v>0</v>
      </c>
      <c r="L52" s="151">
        <v>0</v>
      </c>
      <c r="M52" s="151">
        <v>0</v>
      </c>
      <c r="N52" s="151">
        <v>0</v>
      </c>
      <c r="O52" s="151">
        <v>0</v>
      </c>
      <c r="P52" s="151">
        <v>0</v>
      </c>
      <c r="Q52" s="151">
        <v>0</v>
      </c>
      <c r="R52" s="151">
        <v>0</v>
      </c>
      <c r="S52" s="151">
        <v>0</v>
      </c>
      <c r="T52" s="151">
        <v>0</v>
      </c>
      <c r="U52" s="151">
        <v>0</v>
      </c>
      <c r="V52" s="151">
        <v>0</v>
      </c>
      <c r="W52" s="151">
        <v>0</v>
      </c>
      <c r="X52" s="151">
        <v>0</v>
      </c>
      <c r="Y52" s="151">
        <v>0</v>
      </c>
      <c r="Z52" s="151">
        <v>0</v>
      </c>
      <c r="AA52" s="151">
        <v>0</v>
      </c>
      <c r="AB52" s="151">
        <v>0</v>
      </c>
      <c r="AC52" s="151">
        <v>0</v>
      </c>
      <c r="AD52" s="151">
        <v>0</v>
      </c>
      <c r="AE52" s="151">
        <v>0</v>
      </c>
      <c r="AF52" s="151">
        <v>0</v>
      </c>
      <c r="AG52" s="151">
        <v>0</v>
      </c>
      <c r="AH52" s="151">
        <v>0</v>
      </c>
      <c r="AI52" s="151">
        <v>0</v>
      </c>
      <c r="AJ52" s="151">
        <v>0</v>
      </c>
      <c r="AK52" s="152">
        <v>0</v>
      </c>
      <c r="AL52" s="111">
        <f t="shared" ref="AL52:BE52" si="64">AK52</f>
        <v>0</v>
      </c>
      <c r="AM52" s="111">
        <f t="shared" si="64"/>
        <v>0</v>
      </c>
      <c r="AN52" s="111">
        <f t="shared" si="64"/>
        <v>0</v>
      </c>
      <c r="AO52" s="111">
        <f t="shared" si="64"/>
        <v>0</v>
      </c>
      <c r="AP52" s="111">
        <f t="shared" si="64"/>
        <v>0</v>
      </c>
      <c r="AQ52" s="111">
        <f t="shared" si="64"/>
        <v>0</v>
      </c>
      <c r="AR52" s="111">
        <f t="shared" si="64"/>
        <v>0</v>
      </c>
      <c r="AS52" s="111">
        <f t="shared" si="64"/>
        <v>0</v>
      </c>
      <c r="AT52" s="111">
        <f t="shared" si="64"/>
        <v>0</v>
      </c>
      <c r="AU52" s="111">
        <f t="shared" si="64"/>
        <v>0</v>
      </c>
      <c r="AV52" s="111">
        <f t="shared" si="64"/>
        <v>0</v>
      </c>
      <c r="AW52" s="111">
        <f t="shared" si="64"/>
        <v>0</v>
      </c>
      <c r="AX52" s="111">
        <f t="shared" si="64"/>
        <v>0</v>
      </c>
      <c r="AY52" s="111">
        <f t="shared" si="64"/>
        <v>0</v>
      </c>
      <c r="AZ52" s="111">
        <f t="shared" si="64"/>
        <v>0</v>
      </c>
      <c r="BA52" s="111">
        <f t="shared" si="64"/>
        <v>0</v>
      </c>
      <c r="BB52" s="111">
        <f t="shared" si="64"/>
        <v>0</v>
      </c>
      <c r="BC52" s="111">
        <f t="shared" si="64"/>
        <v>0</v>
      </c>
      <c r="BD52" s="111">
        <f t="shared" si="64"/>
        <v>0</v>
      </c>
      <c r="BE52" s="111">
        <f t="shared" si="64"/>
        <v>0</v>
      </c>
      <c r="BF52" s="111"/>
      <c r="BG52" s="151">
        <v>0</v>
      </c>
      <c r="BH52" s="65"/>
      <c r="BI52" s="108"/>
      <c r="BJ52" s="18"/>
      <c r="BK52" s="18"/>
      <c r="BL52" s="18"/>
      <c r="BM52" s="18"/>
      <c r="BN52" s="18"/>
      <c r="BO52" s="18"/>
      <c r="BP52" s="18"/>
      <c r="BQ52" s="18"/>
      <c r="BR52" s="18"/>
      <c r="BS52" s="18"/>
      <c r="BT52" s="18"/>
      <c r="BU52" s="18"/>
      <c r="BV52" s="102" t="s">
        <v>337</v>
      </c>
      <c r="BW52" s="102">
        <v>2476403</v>
      </c>
      <c r="BX52" s="107">
        <f t="shared" si="55"/>
        <v>1</v>
      </c>
      <c r="BY52" s="102">
        <v>2737525</v>
      </c>
      <c r="BZ52" s="107">
        <f t="shared" si="56"/>
        <v>1</v>
      </c>
      <c r="CA52" s="18"/>
      <c r="CB52" s="18"/>
      <c r="CC52" s="18"/>
      <c r="CD52" s="18"/>
      <c r="CE52" s="18"/>
      <c r="CF52" s="18" t="s">
        <v>338</v>
      </c>
      <c r="CG52" s="151">
        <v>4.8999999999999998E-4</v>
      </c>
      <c r="CH52" s="151">
        <v>1E-3</v>
      </c>
      <c r="CI52" s="151">
        <v>7.0000000000000001E-3</v>
      </c>
      <c r="CJ52" s="151">
        <v>2.4E-2</v>
      </c>
      <c r="CK52" s="151">
        <v>3.7999999999999999E-2</v>
      </c>
      <c r="CL52" s="151">
        <v>6.9000000000000006E-2</v>
      </c>
      <c r="CM52" s="151">
        <v>9.8000000000000004E-2</v>
      </c>
      <c r="CN52" s="151">
        <v>0.13490000000000002</v>
      </c>
      <c r="CO52" s="151">
        <v>0.1825</v>
      </c>
      <c r="CP52" s="151">
        <v>0.22199999999999998</v>
      </c>
      <c r="CQ52" s="151">
        <v>0.26600000000000001</v>
      </c>
      <c r="CR52" s="151">
        <v>0.31979999999999997</v>
      </c>
      <c r="CS52" s="151">
        <v>0.376</v>
      </c>
      <c r="CT52" s="151">
        <v>0.43460000000000004</v>
      </c>
      <c r="CU52" s="151">
        <v>0.47309999999999997</v>
      </c>
      <c r="CV52" s="151">
        <v>0.51122500000000004</v>
      </c>
      <c r="CW52" s="151">
        <v>0.53676000000000001</v>
      </c>
      <c r="CX52" s="151">
        <v>0.55341000000000007</v>
      </c>
      <c r="CY52" s="151">
        <v>0.56000000000000005</v>
      </c>
      <c r="CZ52" s="151">
        <v>0.57199999999999995</v>
      </c>
      <c r="DA52" s="151">
        <v>0.57799999999999996</v>
      </c>
      <c r="DB52" s="151">
        <v>0.58399999999999996</v>
      </c>
      <c r="DC52" s="151">
        <v>0.59</v>
      </c>
      <c r="DD52" s="151">
        <v>0.59799999999999998</v>
      </c>
      <c r="DE52" s="151">
        <v>0.60199999999999998</v>
      </c>
      <c r="DF52" s="151">
        <v>0.60699999999999998</v>
      </c>
      <c r="DG52" s="151">
        <v>0.61499999999999999</v>
      </c>
      <c r="DH52" s="151">
        <v>0.61799999999999999</v>
      </c>
      <c r="DI52" s="151">
        <v>0.62</v>
      </c>
      <c r="DJ52" s="151">
        <f t="shared" ref="DJ52:EC52" si="65">DI52</f>
        <v>0.62</v>
      </c>
      <c r="DK52" s="151">
        <f t="shared" si="65"/>
        <v>0.62</v>
      </c>
      <c r="DL52" s="151">
        <f t="shared" si="65"/>
        <v>0.62</v>
      </c>
      <c r="DM52" s="151">
        <f t="shared" si="65"/>
        <v>0.62</v>
      </c>
      <c r="DN52" s="151">
        <f t="shared" si="65"/>
        <v>0.62</v>
      </c>
      <c r="DO52" s="151">
        <f t="shared" si="65"/>
        <v>0.62</v>
      </c>
      <c r="DP52" s="151">
        <f t="shared" si="65"/>
        <v>0.62</v>
      </c>
      <c r="DQ52" s="151">
        <f t="shared" si="65"/>
        <v>0.62</v>
      </c>
      <c r="DR52" s="151">
        <f t="shared" si="65"/>
        <v>0.62</v>
      </c>
      <c r="DS52" s="151">
        <f t="shared" si="65"/>
        <v>0.62</v>
      </c>
      <c r="DT52" s="151">
        <f t="shared" si="65"/>
        <v>0.62</v>
      </c>
      <c r="DU52" s="151">
        <f t="shared" si="65"/>
        <v>0.62</v>
      </c>
      <c r="DV52" s="151">
        <f t="shared" si="65"/>
        <v>0.62</v>
      </c>
      <c r="DW52" s="151">
        <f t="shared" si="65"/>
        <v>0.62</v>
      </c>
      <c r="DX52" s="151">
        <f t="shared" si="65"/>
        <v>0.62</v>
      </c>
      <c r="DY52" s="151">
        <f t="shared" si="65"/>
        <v>0.62</v>
      </c>
      <c r="DZ52" s="151">
        <f t="shared" si="65"/>
        <v>0.62</v>
      </c>
      <c r="EA52" s="151">
        <f t="shared" si="65"/>
        <v>0.62</v>
      </c>
      <c r="EB52" s="151">
        <f t="shared" si="65"/>
        <v>0.62</v>
      </c>
      <c r="EC52" s="151">
        <f t="shared" si="65"/>
        <v>0.62</v>
      </c>
      <c r="ED52" s="18"/>
      <c r="EE52" s="18"/>
    </row>
    <row r="53" spans="1:135" ht="14.25" customHeight="1">
      <c r="A53" s="18"/>
      <c r="B53" s="18" t="s">
        <v>202</v>
      </c>
      <c r="C53" s="19" t="s">
        <v>128</v>
      </c>
      <c r="D53" s="18"/>
      <c r="E53" s="18"/>
      <c r="F53" s="19" t="s">
        <v>156</v>
      </c>
      <c r="G53" s="18" t="s">
        <v>153</v>
      </c>
      <c r="H53" s="114"/>
      <c r="I53" s="151">
        <v>0</v>
      </c>
      <c r="J53" s="151">
        <v>0</v>
      </c>
      <c r="K53" s="151">
        <v>0</v>
      </c>
      <c r="L53" s="151">
        <v>0</v>
      </c>
      <c r="M53" s="151">
        <v>0</v>
      </c>
      <c r="N53" s="151">
        <v>0</v>
      </c>
      <c r="O53" s="151">
        <v>0</v>
      </c>
      <c r="P53" s="151">
        <v>0</v>
      </c>
      <c r="Q53" s="151">
        <v>0</v>
      </c>
      <c r="R53" s="151">
        <v>0</v>
      </c>
      <c r="S53" s="151">
        <v>0</v>
      </c>
      <c r="T53" s="151">
        <v>0</v>
      </c>
      <c r="U53" s="151">
        <v>0</v>
      </c>
      <c r="V53" s="151">
        <v>0</v>
      </c>
      <c r="W53" s="151">
        <v>0</v>
      </c>
      <c r="X53" s="151">
        <v>0</v>
      </c>
      <c r="Y53" s="151">
        <v>0</v>
      </c>
      <c r="Z53" s="151">
        <v>0</v>
      </c>
      <c r="AA53" s="151">
        <v>0</v>
      </c>
      <c r="AB53" s="151">
        <v>0</v>
      </c>
      <c r="AC53" s="151">
        <v>0</v>
      </c>
      <c r="AD53" s="151">
        <v>0</v>
      </c>
      <c r="AE53" s="151">
        <v>0</v>
      </c>
      <c r="AF53" s="151">
        <v>0</v>
      </c>
      <c r="AG53" s="151">
        <v>0</v>
      </c>
      <c r="AH53" s="151">
        <v>0</v>
      </c>
      <c r="AI53" s="151">
        <v>0</v>
      </c>
      <c r="AJ53" s="151">
        <v>0</v>
      </c>
      <c r="AK53" s="152">
        <v>0</v>
      </c>
      <c r="AL53" s="111">
        <f t="shared" ref="AL53:BE53" si="66">AK53</f>
        <v>0</v>
      </c>
      <c r="AM53" s="111">
        <f t="shared" si="66"/>
        <v>0</v>
      </c>
      <c r="AN53" s="111">
        <f t="shared" si="66"/>
        <v>0</v>
      </c>
      <c r="AO53" s="111">
        <f t="shared" si="66"/>
        <v>0</v>
      </c>
      <c r="AP53" s="111">
        <f t="shared" si="66"/>
        <v>0</v>
      </c>
      <c r="AQ53" s="111">
        <f t="shared" si="66"/>
        <v>0</v>
      </c>
      <c r="AR53" s="111">
        <f t="shared" si="66"/>
        <v>0</v>
      </c>
      <c r="AS53" s="111">
        <f t="shared" si="66"/>
        <v>0</v>
      </c>
      <c r="AT53" s="111">
        <f t="shared" si="66"/>
        <v>0</v>
      </c>
      <c r="AU53" s="111">
        <f t="shared" si="66"/>
        <v>0</v>
      </c>
      <c r="AV53" s="111">
        <f t="shared" si="66"/>
        <v>0</v>
      </c>
      <c r="AW53" s="111">
        <f t="shared" si="66"/>
        <v>0</v>
      </c>
      <c r="AX53" s="111">
        <f t="shared" si="66"/>
        <v>0</v>
      </c>
      <c r="AY53" s="111">
        <f t="shared" si="66"/>
        <v>0</v>
      </c>
      <c r="AZ53" s="111">
        <f t="shared" si="66"/>
        <v>0</v>
      </c>
      <c r="BA53" s="111">
        <f t="shared" si="66"/>
        <v>0</v>
      </c>
      <c r="BB53" s="111">
        <f t="shared" si="66"/>
        <v>0</v>
      </c>
      <c r="BC53" s="111">
        <f t="shared" si="66"/>
        <v>0</v>
      </c>
      <c r="BD53" s="111">
        <f t="shared" si="66"/>
        <v>0</v>
      </c>
      <c r="BE53" s="111">
        <f t="shared" si="66"/>
        <v>0</v>
      </c>
      <c r="BF53" s="111"/>
      <c r="BG53" s="151">
        <v>0</v>
      </c>
      <c r="BH53" s="25"/>
      <c r="BI53" s="108"/>
      <c r="BJ53" s="18"/>
      <c r="BK53" s="18"/>
      <c r="BL53" s="18"/>
      <c r="BM53" s="18"/>
      <c r="BN53" s="18"/>
      <c r="BO53" s="18"/>
      <c r="BP53" s="18"/>
      <c r="BQ53" s="18"/>
      <c r="BR53" s="18"/>
      <c r="BS53" s="18"/>
      <c r="BT53" s="18"/>
      <c r="BU53" s="18"/>
      <c r="BV53" s="18"/>
      <c r="BW53" s="18"/>
      <c r="BX53" s="18"/>
      <c r="BY53" s="18"/>
      <c r="BZ53" s="18"/>
      <c r="CA53" s="18"/>
      <c r="CB53" s="18"/>
      <c r="CC53" s="18"/>
      <c r="CD53" s="18"/>
      <c r="CE53" s="18"/>
      <c r="CF53" s="18" t="s">
        <v>339</v>
      </c>
      <c r="CG53" s="108">
        <v>2.0999999999999998E-4</v>
      </c>
      <c r="CH53" s="108">
        <v>5.0000000000000001E-4</v>
      </c>
      <c r="CI53" s="108">
        <v>6.0000000000000001E-3</v>
      </c>
      <c r="CJ53" s="108">
        <v>1.6E-2</v>
      </c>
      <c r="CK53" s="108">
        <v>2.1999999999999999E-2</v>
      </c>
      <c r="CL53" s="108">
        <v>3.1E-2</v>
      </c>
      <c r="CM53" s="108">
        <v>4.2000000000000003E-2</v>
      </c>
      <c r="CN53" s="108">
        <v>5.5099999999999996E-2</v>
      </c>
      <c r="CO53" s="108">
        <v>6.7500000000000004E-2</v>
      </c>
      <c r="CP53" s="108">
        <v>7.8E-2</v>
      </c>
      <c r="CQ53" s="108">
        <v>8.3999999999999991E-2</v>
      </c>
      <c r="CR53" s="108">
        <v>9.0199999999999989E-2</v>
      </c>
      <c r="CS53" s="108">
        <v>9.4E-2</v>
      </c>
      <c r="CT53" s="108">
        <v>9.5399999999999999E-2</v>
      </c>
      <c r="CU53" s="108">
        <v>9.69E-2</v>
      </c>
      <c r="CV53" s="108">
        <v>9.8500000000000004E-2</v>
      </c>
      <c r="CW53" s="108">
        <v>0.10100000000000001</v>
      </c>
      <c r="CX53" s="108">
        <v>0.10299999999999999</v>
      </c>
      <c r="CY53" s="108">
        <v>0.106</v>
      </c>
      <c r="CZ53" s="108">
        <v>0.108</v>
      </c>
      <c r="DA53" s="108">
        <v>0.11</v>
      </c>
      <c r="DB53" s="108">
        <v>0.112</v>
      </c>
      <c r="DC53" s="108">
        <v>0.113</v>
      </c>
      <c r="DD53" s="108">
        <v>0.114</v>
      </c>
      <c r="DE53" s="108">
        <v>0.115</v>
      </c>
      <c r="DF53" s="108">
        <f t="shared" ref="DF53:DH53" si="67">DG53*DF52/$DI$52</f>
        <v>0.11616049645866199</v>
      </c>
      <c r="DG53" s="108">
        <f t="shared" si="67"/>
        <v>0.11864828303850154</v>
      </c>
      <c r="DH53" s="108">
        <f t="shared" si="67"/>
        <v>0.11961290322580644</v>
      </c>
      <c r="DI53" s="107">
        <v>0.12</v>
      </c>
      <c r="DJ53" s="107">
        <f t="shared" ref="DJ53:EC53" si="68">DI53</f>
        <v>0.12</v>
      </c>
      <c r="DK53" s="107">
        <f t="shared" si="68"/>
        <v>0.12</v>
      </c>
      <c r="DL53" s="107">
        <f t="shared" si="68"/>
        <v>0.12</v>
      </c>
      <c r="DM53" s="107">
        <f t="shared" si="68"/>
        <v>0.12</v>
      </c>
      <c r="DN53" s="107">
        <f t="shared" si="68"/>
        <v>0.12</v>
      </c>
      <c r="DO53" s="107">
        <f t="shared" si="68"/>
        <v>0.12</v>
      </c>
      <c r="DP53" s="107">
        <f t="shared" si="68"/>
        <v>0.12</v>
      </c>
      <c r="DQ53" s="107">
        <f t="shared" si="68"/>
        <v>0.12</v>
      </c>
      <c r="DR53" s="107">
        <f t="shared" si="68"/>
        <v>0.12</v>
      </c>
      <c r="DS53" s="107">
        <f t="shared" si="68"/>
        <v>0.12</v>
      </c>
      <c r="DT53" s="107">
        <f t="shared" si="68"/>
        <v>0.12</v>
      </c>
      <c r="DU53" s="107">
        <f t="shared" si="68"/>
        <v>0.12</v>
      </c>
      <c r="DV53" s="107">
        <f t="shared" si="68"/>
        <v>0.12</v>
      </c>
      <c r="DW53" s="107">
        <f t="shared" si="68"/>
        <v>0.12</v>
      </c>
      <c r="DX53" s="107">
        <f t="shared" si="68"/>
        <v>0.12</v>
      </c>
      <c r="DY53" s="107">
        <f t="shared" si="68"/>
        <v>0.12</v>
      </c>
      <c r="DZ53" s="107">
        <f t="shared" si="68"/>
        <v>0.12</v>
      </c>
      <c r="EA53" s="107">
        <f t="shared" si="68"/>
        <v>0.12</v>
      </c>
      <c r="EB53" s="107">
        <f t="shared" si="68"/>
        <v>0.12</v>
      </c>
      <c r="EC53" s="107">
        <f t="shared" si="68"/>
        <v>0.12</v>
      </c>
      <c r="ED53" s="18"/>
      <c r="EE53" s="18"/>
    </row>
    <row r="54" spans="1:135" ht="14.25" customHeight="1">
      <c r="A54" s="18"/>
      <c r="B54" s="18" t="s">
        <v>145</v>
      </c>
      <c r="C54" s="19" t="s">
        <v>340</v>
      </c>
      <c r="D54" s="18" t="s">
        <v>341</v>
      </c>
      <c r="E54" s="18"/>
      <c r="F54" s="19" t="s">
        <v>342</v>
      </c>
      <c r="G54" s="18" t="s">
        <v>153</v>
      </c>
      <c r="H54" s="114"/>
      <c r="I54" s="155">
        <v>2.5000000000000001E-2</v>
      </c>
      <c r="J54" s="155">
        <v>0.05</v>
      </c>
      <c r="K54" s="155">
        <v>7.1999999999999995E-2</v>
      </c>
      <c r="L54" s="155">
        <v>9.5000000000000001E-2</v>
      </c>
      <c r="M54" s="155">
        <v>0.11</v>
      </c>
      <c r="N54" s="155">
        <v>0.13</v>
      </c>
      <c r="O54" s="155">
        <v>0.16</v>
      </c>
      <c r="P54" s="155">
        <v>0.18</v>
      </c>
      <c r="Q54" s="155">
        <v>0.21</v>
      </c>
      <c r="R54" s="155">
        <v>0.24</v>
      </c>
      <c r="S54" s="155">
        <v>0.27</v>
      </c>
      <c r="T54" s="155">
        <v>0.3</v>
      </c>
      <c r="U54" s="155">
        <v>0.33</v>
      </c>
      <c r="V54" s="155">
        <v>0.35</v>
      </c>
      <c r="W54" s="155">
        <v>0.37</v>
      </c>
      <c r="X54" s="155">
        <v>0.38</v>
      </c>
      <c r="Y54" s="155">
        <v>0.39</v>
      </c>
      <c r="Z54" s="155">
        <v>0.4</v>
      </c>
      <c r="AA54" s="155">
        <v>0.41</v>
      </c>
      <c r="AB54" s="155">
        <v>0.42</v>
      </c>
      <c r="AC54" s="155">
        <v>0.42</v>
      </c>
      <c r="AD54" s="155">
        <v>0.43</v>
      </c>
      <c r="AE54" s="155">
        <v>0.43</v>
      </c>
      <c r="AF54" s="155">
        <v>0.43</v>
      </c>
      <c r="AG54" s="155">
        <v>0.44</v>
      </c>
      <c r="AH54" s="155">
        <v>0.44</v>
      </c>
      <c r="AI54" s="155">
        <v>0.44</v>
      </c>
      <c r="AJ54" s="155">
        <v>0.45</v>
      </c>
      <c r="AK54" s="156">
        <v>0.45</v>
      </c>
      <c r="AL54" s="157">
        <v>0.45</v>
      </c>
      <c r="AM54" s="157">
        <v>0.45</v>
      </c>
      <c r="AN54" s="157">
        <v>0.45</v>
      </c>
      <c r="AO54" s="157">
        <v>0.45</v>
      </c>
      <c r="AP54" s="157">
        <v>0.45</v>
      </c>
      <c r="AQ54" s="157">
        <v>0.45</v>
      </c>
      <c r="AR54" s="157">
        <v>0.45</v>
      </c>
      <c r="AS54" s="157">
        <v>0.45</v>
      </c>
      <c r="AT54" s="157">
        <v>0.45</v>
      </c>
      <c r="AU54" s="157">
        <v>0.45</v>
      </c>
      <c r="AV54" s="157">
        <v>0.45</v>
      </c>
      <c r="AW54" s="157">
        <v>0.45</v>
      </c>
      <c r="AX54" s="157">
        <v>0.45</v>
      </c>
      <c r="AY54" s="157">
        <v>0.45</v>
      </c>
      <c r="AZ54" s="157">
        <v>0.45</v>
      </c>
      <c r="BA54" s="157">
        <v>0.45</v>
      </c>
      <c r="BB54" s="157">
        <v>0.45</v>
      </c>
      <c r="BC54" s="157">
        <v>0.45</v>
      </c>
      <c r="BD54" s="157">
        <v>0.45</v>
      </c>
      <c r="BE54" s="157">
        <v>0.45</v>
      </c>
      <c r="BF54" s="157"/>
      <c r="BG54" s="151">
        <v>0.58699999999999997</v>
      </c>
      <c r="BH54" s="25"/>
      <c r="BI54" s="108"/>
      <c r="BJ54" s="18" t="s">
        <v>343</v>
      </c>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C54" s="18"/>
      <c r="ED54" s="18"/>
      <c r="EE54" s="18"/>
    </row>
    <row r="55" spans="1:135" ht="14.25" customHeight="1">
      <c r="A55" s="18"/>
      <c r="B55" s="18" t="s">
        <v>194</v>
      </c>
      <c r="C55" s="19" t="s">
        <v>340</v>
      </c>
      <c r="D55" s="18" t="s">
        <v>344</v>
      </c>
      <c r="E55" s="18"/>
      <c r="F55" s="19" t="s">
        <v>345</v>
      </c>
      <c r="G55" s="18" t="s">
        <v>153</v>
      </c>
      <c r="H55" s="114"/>
      <c r="I55" s="155">
        <v>0.05</v>
      </c>
      <c r="J55" s="155">
        <v>0.06</v>
      </c>
      <c r="K55" s="155">
        <v>6.8000000000000005E-2</v>
      </c>
      <c r="L55" s="155">
        <v>0.08</v>
      </c>
      <c r="M55" s="155">
        <v>8.5000000000000006E-2</v>
      </c>
      <c r="N55" s="155">
        <v>9.1999999999999998E-2</v>
      </c>
      <c r="O55" s="155">
        <v>9.9000000000000005E-2</v>
      </c>
      <c r="P55" s="155">
        <v>0.108</v>
      </c>
      <c r="Q55" s="155">
        <v>0.115</v>
      </c>
      <c r="R55" s="155">
        <v>0.12</v>
      </c>
      <c r="S55" s="155">
        <v>0.126</v>
      </c>
      <c r="T55" s="155">
        <v>0.128</v>
      </c>
      <c r="U55" s="155">
        <v>0.13200000000000001</v>
      </c>
      <c r="V55" s="155">
        <v>0.13600000000000001</v>
      </c>
      <c r="W55" s="155">
        <v>0.14000000000000001</v>
      </c>
      <c r="X55" s="155">
        <v>0.14299999999999999</v>
      </c>
      <c r="Y55" s="155">
        <v>0.14699999999999999</v>
      </c>
      <c r="Z55" s="155">
        <v>0.151</v>
      </c>
      <c r="AA55" s="155">
        <v>0.154</v>
      </c>
      <c r="AB55" s="155">
        <v>0.16</v>
      </c>
      <c r="AC55" s="155">
        <v>0.16500000000000001</v>
      </c>
      <c r="AD55" s="155">
        <v>0.16800000000000001</v>
      </c>
      <c r="AE55" s="155">
        <v>0.17399999999999999</v>
      </c>
      <c r="AF55" s="155">
        <v>0.18</v>
      </c>
      <c r="AG55" s="155">
        <v>0.185</v>
      </c>
      <c r="AH55" s="155">
        <v>0.19</v>
      </c>
      <c r="AI55" s="155">
        <v>0.19400000000000001</v>
      </c>
      <c r="AJ55" s="155">
        <v>0.19700000000000001</v>
      </c>
      <c r="AK55" s="158">
        <v>0.2</v>
      </c>
      <c r="AL55" s="157">
        <v>0.2</v>
      </c>
      <c r="AM55" s="157">
        <v>0.2</v>
      </c>
      <c r="AN55" s="157">
        <v>0.2</v>
      </c>
      <c r="AO55" s="157">
        <v>0.2</v>
      </c>
      <c r="AP55" s="157">
        <v>0.2</v>
      </c>
      <c r="AQ55" s="157">
        <v>0.2</v>
      </c>
      <c r="AR55" s="157">
        <v>0.2</v>
      </c>
      <c r="AS55" s="157">
        <v>0.2</v>
      </c>
      <c r="AT55" s="157">
        <v>0.2</v>
      </c>
      <c r="AU55" s="157">
        <v>0.2</v>
      </c>
      <c r="AV55" s="157">
        <v>0.2</v>
      </c>
      <c r="AW55" s="157">
        <v>0.2</v>
      </c>
      <c r="AX55" s="157">
        <v>0.2</v>
      </c>
      <c r="AY55" s="157">
        <v>0.2</v>
      </c>
      <c r="AZ55" s="157">
        <v>0.2</v>
      </c>
      <c r="BA55" s="157">
        <v>0.2</v>
      </c>
      <c r="BB55" s="157">
        <v>0.2</v>
      </c>
      <c r="BC55" s="157">
        <v>0.2</v>
      </c>
      <c r="BD55" s="157">
        <v>0.2</v>
      </c>
      <c r="BE55" s="157">
        <v>0.2</v>
      </c>
      <c r="BF55" s="157"/>
      <c r="BG55" s="153">
        <v>0.27</v>
      </c>
      <c r="BH55" s="25"/>
      <c r="BI55" s="108"/>
      <c r="BJ55" s="18" t="s">
        <v>346</v>
      </c>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v>0.98</v>
      </c>
      <c r="DI55" s="18"/>
      <c r="DJ55" s="18"/>
      <c r="DK55" s="18"/>
      <c r="DL55" s="18"/>
      <c r="DM55" s="18"/>
      <c r="DN55" s="18"/>
      <c r="DO55" s="18"/>
      <c r="DP55" s="18"/>
      <c r="DQ55" s="18"/>
      <c r="DR55" s="18"/>
      <c r="DS55" s="18"/>
      <c r="DT55" s="18"/>
      <c r="DU55" s="18"/>
      <c r="DV55" s="18"/>
      <c r="DW55" s="18"/>
      <c r="DX55" s="18"/>
      <c r="DY55" s="18"/>
      <c r="DZ55" s="18"/>
      <c r="EA55" s="18"/>
      <c r="EB55" s="18"/>
      <c r="EC55" s="18"/>
      <c r="ED55" s="18"/>
      <c r="EE55" s="18"/>
    </row>
    <row r="56" spans="1:135" ht="14.25" customHeight="1">
      <c r="A56" s="18"/>
      <c r="B56" s="18" t="s">
        <v>199</v>
      </c>
      <c r="C56" s="19" t="s">
        <v>340</v>
      </c>
      <c r="D56" s="18" t="s">
        <v>344</v>
      </c>
      <c r="E56" s="18"/>
      <c r="F56" s="19" t="s">
        <v>345</v>
      </c>
      <c r="G56" s="18" t="s">
        <v>153</v>
      </c>
      <c r="H56" s="114"/>
      <c r="I56" s="155">
        <v>0.05</v>
      </c>
      <c r="J56" s="155">
        <v>0.06</v>
      </c>
      <c r="K56" s="155">
        <v>6.8000000000000005E-2</v>
      </c>
      <c r="L56" s="155">
        <v>0.08</v>
      </c>
      <c r="M56" s="155">
        <v>8.5000000000000006E-2</v>
      </c>
      <c r="N56" s="155">
        <v>9.1999999999999998E-2</v>
      </c>
      <c r="O56" s="155">
        <v>9.9000000000000005E-2</v>
      </c>
      <c r="P56" s="155">
        <v>0.108</v>
      </c>
      <c r="Q56" s="155">
        <v>0.115</v>
      </c>
      <c r="R56" s="155">
        <v>0.12</v>
      </c>
      <c r="S56" s="155">
        <v>0.126</v>
      </c>
      <c r="T56" s="155">
        <v>0.128</v>
      </c>
      <c r="U56" s="155">
        <v>0.13200000000000001</v>
      </c>
      <c r="V56" s="155">
        <v>0.13600000000000001</v>
      </c>
      <c r="W56" s="155">
        <v>0.14000000000000001</v>
      </c>
      <c r="X56" s="155">
        <v>0.14299999999999999</v>
      </c>
      <c r="Y56" s="155">
        <v>0.14699999999999999</v>
      </c>
      <c r="Z56" s="155">
        <v>0.151</v>
      </c>
      <c r="AA56" s="155">
        <v>0.154</v>
      </c>
      <c r="AB56" s="155">
        <v>0.16</v>
      </c>
      <c r="AC56" s="155">
        <v>0.16500000000000001</v>
      </c>
      <c r="AD56" s="155">
        <v>0.16800000000000001</v>
      </c>
      <c r="AE56" s="155">
        <v>0.17399999999999999</v>
      </c>
      <c r="AF56" s="155">
        <v>0.18</v>
      </c>
      <c r="AG56" s="155">
        <v>0.185</v>
      </c>
      <c r="AH56" s="155">
        <v>0.19</v>
      </c>
      <c r="AI56" s="155">
        <v>0.19400000000000001</v>
      </c>
      <c r="AJ56" s="155">
        <v>0.19700000000000001</v>
      </c>
      <c r="AK56" s="158">
        <v>0.2</v>
      </c>
      <c r="AL56" s="157">
        <v>0.2</v>
      </c>
      <c r="AM56" s="157">
        <v>0.2</v>
      </c>
      <c r="AN56" s="157">
        <v>0.2</v>
      </c>
      <c r="AO56" s="157">
        <v>0.2</v>
      </c>
      <c r="AP56" s="157">
        <v>0.2</v>
      </c>
      <c r="AQ56" s="157">
        <v>0.2</v>
      </c>
      <c r="AR56" s="157">
        <v>0.2</v>
      </c>
      <c r="AS56" s="157">
        <v>0.2</v>
      </c>
      <c r="AT56" s="157">
        <v>0.2</v>
      </c>
      <c r="AU56" s="157">
        <v>0.2</v>
      </c>
      <c r="AV56" s="157">
        <v>0.2</v>
      </c>
      <c r="AW56" s="157">
        <v>0.2</v>
      </c>
      <c r="AX56" s="157">
        <v>0.2</v>
      </c>
      <c r="AY56" s="157">
        <v>0.2</v>
      </c>
      <c r="AZ56" s="157">
        <v>0.2</v>
      </c>
      <c r="BA56" s="157">
        <v>0.2</v>
      </c>
      <c r="BB56" s="157">
        <v>0.2</v>
      </c>
      <c r="BC56" s="157">
        <v>0.2</v>
      </c>
      <c r="BD56" s="157">
        <v>0.2</v>
      </c>
      <c r="BE56" s="157">
        <v>0.2</v>
      </c>
      <c r="BF56" s="157"/>
      <c r="BG56" s="153">
        <v>0.27</v>
      </c>
      <c r="BH56" s="25"/>
      <c r="BI56" s="108"/>
      <c r="BJ56" s="18"/>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row>
    <row r="57" spans="1:135" ht="14.25" customHeight="1">
      <c r="A57" s="18"/>
      <c r="B57" s="18" t="s">
        <v>202</v>
      </c>
      <c r="C57" s="19" t="s">
        <v>340</v>
      </c>
      <c r="D57" s="18" t="s">
        <v>344</v>
      </c>
      <c r="E57" s="18"/>
      <c r="F57" s="19" t="s">
        <v>345</v>
      </c>
      <c r="G57" s="18" t="s">
        <v>153</v>
      </c>
      <c r="H57" s="114"/>
      <c r="I57" s="155">
        <v>0.05</v>
      </c>
      <c r="J57" s="155">
        <v>0.06</v>
      </c>
      <c r="K57" s="155">
        <v>6.8000000000000005E-2</v>
      </c>
      <c r="L57" s="155">
        <v>0.08</v>
      </c>
      <c r="M57" s="155">
        <v>8.5000000000000006E-2</v>
      </c>
      <c r="N57" s="155">
        <v>9.1999999999999998E-2</v>
      </c>
      <c r="O57" s="155">
        <v>9.9000000000000005E-2</v>
      </c>
      <c r="P57" s="155">
        <v>0.108</v>
      </c>
      <c r="Q57" s="155">
        <v>0.115</v>
      </c>
      <c r="R57" s="155">
        <v>0.12</v>
      </c>
      <c r="S57" s="155">
        <v>0.126</v>
      </c>
      <c r="T57" s="155">
        <v>0.128</v>
      </c>
      <c r="U57" s="155">
        <v>0.13200000000000001</v>
      </c>
      <c r="V57" s="155">
        <v>0.13600000000000001</v>
      </c>
      <c r="W57" s="155">
        <v>0.14000000000000001</v>
      </c>
      <c r="X57" s="155">
        <v>0.14299999999999999</v>
      </c>
      <c r="Y57" s="155">
        <v>0.14699999999999999</v>
      </c>
      <c r="Z57" s="155">
        <v>0.151</v>
      </c>
      <c r="AA57" s="155">
        <v>0.154</v>
      </c>
      <c r="AB57" s="155">
        <v>0.16</v>
      </c>
      <c r="AC57" s="155">
        <v>0.16500000000000001</v>
      </c>
      <c r="AD57" s="155">
        <v>0.16800000000000001</v>
      </c>
      <c r="AE57" s="155">
        <v>0.17399999999999999</v>
      </c>
      <c r="AF57" s="155">
        <v>0.18</v>
      </c>
      <c r="AG57" s="155">
        <v>0.185</v>
      </c>
      <c r="AH57" s="155">
        <v>0.19</v>
      </c>
      <c r="AI57" s="155">
        <v>0.19400000000000001</v>
      </c>
      <c r="AJ57" s="155">
        <v>0.19700000000000001</v>
      </c>
      <c r="AK57" s="158">
        <v>0.2</v>
      </c>
      <c r="AL57" s="157">
        <v>0.2</v>
      </c>
      <c r="AM57" s="157">
        <v>0.2</v>
      </c>
      <c r="AN57" s="157">
        <v>0.2</v>
      </c>
      <c r="AO57" s="157">
        <v>0.2</v>
      </c>
      <c r="AP57" s="157">
        <v>0.2</v>
      </c>
      <c r="AQ57" s="157">
        <v>0.2</v>
      </c>
      <c r="AR57" s="157">
        <v>0.2</v>
      </c>
      <c r="AS57" s="157">
        <v>0.2</v>
      </c>
      <c r="AT57" s="157">
        <v>0.2</v>
      </c>
      <c r="AU57" s="157">
        <v>0.2</v>
      </c>
      <c r="AV57" s="157">
        <v>0.2</v>
      </c>
      <c r="AW57" s="157">
        <v>0.2</v>
      </c>
      <c r="AX57" s="157">
        <v>0.2</v>
      </c>
      <c r="AY57" s="157">
        <v>0.2</v>
      </c>
      <c r="AZ57" s="157">
        <v>0.2</v>
      </c>
      <c r="BA57" s="157">
        <v>0.2</v>
      </c>
      <c r="BB57" s="157">
        <v>0.2</v>
      </c>
      <c r="BC57" s="157">
        <v>0.2</v>
      </c>
      <c r="BD57" s="157">
        <v>0.2</v>
      </c>
      <c r="BE57" s="157">
        <v>0.2</v>
      </c>
      <c r="BF57" s="157"/>
      <c r="BG57" s="153">
        <v>0.27</v>
      </c>
      <c r="BH57" s="25"/>
      <c r="BI57" s="10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row>
    <row r="58" spans="1:135" ht="14.25" customHeight="1">
      <c r="A58" s="18"/>
      <c r="B58" s="18"/>
      <c r="C58" s="19"/>
      <c r="D58" s="18"/>
      <c r="E58" s="18"/>
      <c r="F58" s="19"/>
      <c r="G58" s="18"/>
      <c r="H58" s="114"/>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40"/>
      <c r="AL58" s="141"/>
      <c r="AM58" s="141"/>
      <c r="AN58" s="141"/>
      <c r="AO58" s="141"/>
      <c r="AP58" s="141"/>
      <c r="AQ58" s="141"/>
      <c r="AR58" s="141"/>
      <c r="AS58" s="141"/>
      <c r="AT58" s="141"/>
      <c r="AU58" s="141"/>
      <c r="AV58" s="141"/>
      <c r="AW58" s="141"/>
      <c r="AX58" s="141"/>
      <c r="AY58" s="141"/>
      <c r="AZ58" s="141"/>
      <c r="BA58" s="141"/>
      <c r="BB58" s="141"/>
      <c r="BC58" s="141"/>
      <c r="BD58" s="141"/>
      <c r="BE58" s="141"/>
      <c r="BF58" s="141"/>
      <c r="BG58" s="18"/>
      <c r="BH58" s="1"/>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row>
    <row r="59" spans="1:135" ht="14.25" customHeight="1">
      <c r="A59" s="18"/>
      <c r="B59" s="18"/>
      <c r="C59" s="19" t="s">
        <v>347</v>
      </c>
      <c r="D59" s="18"/>
      <c r="E59" s="18"/>
      <c r="F59" s="19" t="s">
        <v>205</v>
      </c>
      <c r="G59" s="18" t="s">
        <v>153</v>
      </c>
      <c r="H59" s="114"/>
      <c r="I59" s="107">
        <v>0</v>
      </c>
      <c r="J59" s="111">
        <v>3.0000000000000001E-3</v>
      </c>
      <c r="K59" s="111">
        <v>7.0000000000000001E-3</v>
      </c>
      <c r="L59" s="111">
        <v>1.0999999999999999E-2</v>
      </c>
      <c r="M59" s="111">
        <f t="shared" ref="M59:AI59" si="69">L59*CB29</f>
        <v>1.3199999999999998E-2</v>
      </c>
      <c r="N59" s="111">
        <f t="shared" si="69"/>
        <v>1.5713279999999996E-2</v>
      </c>
      <c r="O59" s="111">
        <f t="shared" si="69"/>
        <v>1.8555447803903991E-2</v>
      </c>
      <c r="P59" s="111">
        <f t="shared" si="69"/>
        <v>2.1736404242639239E-2</v>
      </c>
      <c r="Q59" s="111">
        <f t="shared" si="69"/>
        <v>2.525896999077645E-2</v>
      </c>
      <c r="R59" s="111">
        <f t="shared" si="69"/>
        <v>2.9117577746986981E-2</v>
      </c>
      <c r="S59" s="111">
        <f t="shared" si="69"/>
        <v>3.329710861084733E-2</v>
      </c>
      <c r="T59" s="111">
        <f t="shared" si="69"/>
        <v>3.7771955890858071E-2</v>
      </c>
      <c r="U59" s="111">
        <f t="shared" si="69"/>
        <v>4.2505398986664271E-2</v>
      </c>
      <c r="V59" s="111">
        <f t="shared" si="69"/>
        <v>4.7449363666793191E-2</v>
      </c>
      <c r="W59" s="111">
        <f t="shared" si="69"/>
        <v>5.25446326520837E-2</v>
      </c>
      <c r="X59" s="111">
        <f t="shared" si="69"/>
        <v>5.7721552019354673E-2</v>
      </c>
      <c r="Y59" s="111">
        <f t="shared" si="69"/>
        <v>6.2901255183707441E-2</v>
      </c>
      <c r="Z59" s="111">
        <f t="shared" si="69"/>
        <v>6.7997398253261232E-2</v>
      </c>
      <c r="AA59" s="111">
        <f t="shared" si="69"/>
        <v>7.2918370014449882E-2</v>
      </c>
      <c r="AB59" s="111">
        <f t="shared" si="69"/>
        <v>7.7569908725540634E-2</v>
      </c>
      <c r="AC59" s="111">
        <f t="shared" si="69"/>
        <v>8.1858028540522196E-2</v>
      </c>
      <c r="AD59" s="111">
        <f t="shared" si="69"/>
        <v>8.5692133084333336E-2</v>
      </c>
      <c r="AE59" s="111">
        <f t="shared" si="69"/>
        <v>8.8988174636489739E-2</v>
      </c>
      <c r="AF59" s="111">
        <f t="shared" si="69"/>
        <v>9.1671706381755494E-2</v>
      </c>
      <c r="AG59" s="111">
        <f t="shared" si="69"/>
        <v>9.368067353880595E-2</v>
      </c>
      <c r="AH59" s="111">
        <f t="shared" si="69"/>
        <v>9.4967797475836044E-2</v>
      </c>
      <c r="AI59" s="111">
        <f t="shared" si="69"/>
        <v>9.5502424982523829E-2</v>
      </c>
      <c r="AJ59" s="111">
        <v>9.6500000000000002E-2</v>
      </c>
      <c r="AK59" s="139">
        <v>9.7000000000000003E-2</v>
      </c>
      <c r="AL59" s="141">
        <f t="shared" ref="AL59:BE59" si="70">AK59</f>
        <v>9.7000000000000003E-2</v>
      </c>
      <c r="AM59" s="141">
        <f t="shared" si="70"/>
        <v>9.7000000000000003E-2</v>
      </c>
      <c r="AN59" s="141">
        <f t="shared" si="70"/>
        <v>9.7000000000000003E-2</v>
      </c>
      <c r="AO59" s="141">
        <f t="shared" si="70"/>
        <v>9.7000000000000003E-2</v>
      </c>
      <c r="AP59" s="141">
        <f t="shared" si="70"/>
        <v>9.7000000000000003E-2</v>
      </c>
      <c r="AQ59" s="141">
        <f t="shared" si="70"/>
        <v>9.7000000000000003E-2</v>
      </c>
      <c r="AR59" s="141">
        <f t="shared" si="70"/>
        <v>9.7000000000000003E-2</v>
      </c>
      <c r="AS59" s="141">
        <f t="shared" si="70"/>
        <v>9.7000000000000003E-2</v>
      </c>
      <c r="AT59" s="141">
        <f t="shared" si="70"/>
        <v>9.7000000000000003E-2</v>
      </c>
      <c r="AU59" s="141">
        <f t="shared" si="70"/>
        <v>9.7000000000000003E-2</v>
      </c>
      <c r="AV59" s="141">
        <f t="shared" si="70"/>
        <v>9.7000000000000003E-2</v>
      </c>
      <c r="AW59" s="141">
        <f t="shared" si="70"/>
        <v>9.7000000000000003E-2</v>
      </c>
      <c r="AX59" s="141">
        <f t="shared" si="70"/>
        <v>9.7000000000000003E-2</v>
      </c>
      <c r="AY59" s="141">
        <f t="shared" si="70"/>
        <v>9.7000000000000003E-2</v>
      </c>
      <c r="AZ59" s="141">
        <f t="shared" si="70"/>
        <v>9.7000000000000003E-2</v>
      </c>
      <c r="BA59" s="141">
        <f t="shared" si="70"/>
        <v>9.7000000000000003E-2</v>
      </c>
      <c r="BB59" s="141">
        <f t="shared" si="70"/>
        <v>9.7000000000000003E-2</v>
      </c>
      <c r="BC59" s="141">
        <f t="shared" si="70"/>
        <v>9.7000000000000003E-2</v>
      </c>
      <c r="BD59" s="141">
        <f t="shared" si="70"/>
        <v>9.7000000000000003E-2</v>
      </c>
      <c r="BE59" s="141">
        <f t="shared" si="70"/>
        <v>9.7000000000000003E-2</v>
      </c>
      <c r="BF59" s="141"/>
      <c r="BG59" s="141">
        <f>BE59</f>
        <v>9.7000000000000003E-2</v>
      </c>
      <c r="BH59" s="1"/>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row>
    <row r="60" spans="1:135" ht="14.25" customHeight="1">
      <c r="A60" s="18"/>
      <c r="B60" s="18"/>
      <c r="C60" s="19" t="s">
        <v>348</v>
      </c>
      <c r="D60" s="18" t="s">
        <v>208</v>
      </c>
      <c r="E60" s="18"/>
      <c r="F60" s="19"/>
      <c r="G60" s="18"/>
      <c r="H60" s="114"/>
      <c r="I60" s="108"/>
      <c r="J60" s="18"/>
      <c r="K60" s="111"/>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40"/>
      <c r="AL60" s="141"/>
      <c r="AM60" s="141"/>
      <c r="AN60" s="141"/>
      <c r="AO60" s="141"/>
      <c r="AP60" s="141"/>
      <c r="AQ60" s="141"/>
      <c r="AR60" s="141"/>
      <c r="AS60" s="141"/>
      <c r="AT60" s="141"/>
      <c r="AU60" s="141"/>
      <c r="AV60" s="141"/>
      <c r="AW60" s="141"/>
      <c r="AX60" s="141"/>
      <c r="AY60" s="141"/>
      <c r="AZ60" s="141"/>
      <c r="BA60" s="141"/>
      <c r="BB60" s="141"/>
      <c r="BC60" s="141"/>
      <c r="BD60" s="141"/>
      <c r="BE60" s="141"/>
      <c r="BF60" s="141"/>
      <c r="BG60" s="18"/>
      <c r="BH60" s="1"/>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row>
    <row r="61" spans="1:135" ht="14.25" customHeight="1">
      <c r="A61" s="18"/>
      <c r="B61" s="18"/>
      <c r="C61" s="19"/>
      <c r="D61" s="18"/>
      <c r="E61" s="18"/>
      <c r="F61" s="19"/>
      <c r="G61" s="18"/>
      <c r="H61" s="114"/>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40"/>
      <c r="AL61" s="141"/>
      <c r="AM61" s="141"/>
      <c r="AN61" s="141"/>
      <c r="AO61" s="141"/>
      <c r="AP61" s="141"/>
      <c r="AQ61" s="141"/>
      <c r="AR61" s="141"/>
      <c r="AS61" s="141"/>
      <c r="AT61" s="141"/>
      <c r="AU61" s="141"/>
      <c r="AV61" s="141"/>
      <c r="AW61" s="141"/>
      <c r="AX61" s="141"/>
      <c r="AY61" s="141"/>
      <c r="AZ61" s="141"/>
      <c r="BA61" s="141"/>
      <c r="BB61" s="141"/>
      <c r="BC61" s="141"/>
      <c r="BD61" s="141"/>
      <c r="BE61" s="141"/>
      <c r="BF61" s="141"/>
      <c r="BG61" s="18"/>
      <c r="BH61" s="1"/>
      <c r="BI61" s="18"/>
      <c r="BJ61" s="18"/>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row>
    <row r="62" spans="1:135" ht="14.25" customHeight="1">
      <c r="A62" s="159" t="s">
        <v>212</v>
      </c>
      <c r="B62" s="143"/>
      <c r="C62" s="160" t="s">
        <v>349</v>
      </c>
      <c r="D62" s="161" t="str">
        <f>'Políticas anunciadas'!D59</f>
        <v>Electricidad</v>
      </c>
      <c r="E62" s="162">
        <f>'Políticas anunciadas'!E59</f>
        <v>0</v>
      </c>
      <c r="F62" s="160" t="str">
        <f>'Políticas anunciadas'!F59</f>
        <v>Porcentaje de reducción de demanda relativo a la proyección base</v>
      </c>
      <c r="G62" s="143"/>
      <c r="H62" s="163"/>
      <c r="I62" s="164">
        <v>0.14700000000000002</v>
      </c>
      <c r="J62" s="164">
        <v>0.17150000000000001</v>
      </c>
      <c r="K62" s="164">
        <v>0.19599999999999998</v>
      </c>
      <c r="L62" s="164">
        <v>0.2205</v>
      </c>
      <c r="M62" s="164">
        <v>0.22259999999999999</v>
      </c>
      <c r="N62" s="164">
        <v>0.22470000000000001</v>
      </c>
      <c r="O62" s="164">
        <v>0.2268</v>
      </c>
      <c r="P62" s="164">
        <v>0.22890000000000002</v>
      </c>
      <c r="Q62" s="164">
        <v>0.23100000000000001</v>
      </c>
      <c r="R62" s="164">
        <v>0.23520000000000002</v>
      </c>
      <c r="S62" s="164">
        <v>0.23940000000000003</v>
      </c>
      <c r="T62" s="164">
        <v>0.24360000000000001</v>
      </c>
      <c r="U62" s="164">
        <v>0.24780000000000002</v>
      </c>
      <c r="V62" s="164">
        <v>0.252</v>
      </c>
      <c r="W62" s="164">
        <v>0.252</v>
      </c>
      <c r="X62" s="164">
        <v>0.252</v>
      </c>
      <c r="Y62" s="164">
        <v>0.252</v>
      </c>
      <c r="Z62" s="164">
        <v>0.252</v>
      </c>
      <c r="AA62" s="164">
        <v>0.252</v>
      </c>
      <c r="AB62" s="164">
        <v>0.252</v>
      </c>
      <c r="AC62" s="164">
        <v>0.252</v>
      </c>
      <c r="AD62" s="164">
        <v>0.252</v>
      </c>
      <c r="AE62" s="164">
        <v>0.252</v>
      </c>
      <c r="AF62" s="164">
        <v>0.252</v>
      </c>
      <c r="AG62" s="164">
        <v>0.252</v>
      </c>
      <c r="AH62" s="164">
        <v>0.252</v>
      </c>
      <c r="AI62" s="164">
        <v>0.252</v>
      </c>
      <c r="AJ62" s="164">
        <v>0.252</v>
      </c>
      <c r="AK62" s="165">
        <v>0.252</v>
      </c>
      <c r="AL62" s="166">
        <v>0.252</v>
      </c>
      <c r="AM62" s="166">
        <v>0.252</v>
      </c>
      <c r="AN62" s="166">
        <v>0.252</v>
      </c>
      <c r="AO62" s="166">
        <v>0.252</v>
      </c>
      <c r="AP62" s="166">
        <v>0.252</v>
      </c>
      <c r="AQ62" s="166">
        <v>0.252</v>
      </c>
      <c r="AR62" s="166">
        <v>0.252</v>
      </c>
      <c r="AS62" s="166">
        <v>0.252</v>
      </c>
      <c r="AT62" s="166">
        <v>0.252</v>
      </c>
      <c r="AU62" s="166">
        <v>0.252</v>
      </c>
      <c r="AV62" s="166">
        <v>0.252</v>
      </c>
      <c r="AW62" s="166">
        <v>0.252</v>
      </c>
      <c r="AX62" s="166">
        <v>0.252</v>
      </c>
      <c r="AY62" s="166">
        <v>0.252</v>
      </c>
      <c r="AZ62" s="166">
        <v>0.252</v>
      </c>
      <c r="BA62" s="166">
        <v>0.252</v>
      </c>
      <c r="BB62" s="166">
        <v>0.252</v>
      </c>
      <c r="BC62" s="166">
        <v>0.252</v>
      </c>
      <c r="BD62" s="166">
        <v>0.252</v>
      </c>
      <c r="BE62" s="166">
        <v>0.252</v>
      </c>
      <c r="BF62" s="166"/>
      <c r="BG62" s="167">
        <v>0.16259999999999999</v>
      </c>
      <c r="BH62" s="168">
        <v>0.16930000000000001</v>
      </c>
      <c r="BI62" s="143" t="s">
        <v>350</v>
      </c>
      <c r="BJ62" s="143"/>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row>
    <row r="63" spans="1:135" ht="14.25" customHeight="1">
      <c r="A63" s="109"/>
      <c r="B63" s="18"/>
      <c r="C63" s="112" t="s">
        <v>219</v>
      </c>
      <c r="D63" s="169" t="s">
        <v>220</v>
      </c>
      <c r="E63" s="113" t="s">
        <v>351</v>
      </c>
      <c r="F63" s="112"/>
      <c r="G63" s="129"/>
      <c r="H63" s="170"/>
      <c r="I63" s="129">
        <v>0</v>
      </c>
      <c r="J63" s="129">
        <v>1.67E-2</v>
      </c>
      <c r="K63" s="129">
        <v>3.3300000000000003E-2</v>
      </c>
      <c r="L63" s="129">
        <v>0.05</v>
      </c>
      <c r="M63" s="151">
        <v>0.09</v>
      </c>
      <c r="N63" s="129">
        <v>0.13</v>
      </c>
      <c r="O63" s="129">
        <v>0.17</v>
      </c>
      <c r="P63" s="129">
        <v>0.21</v>
      </c>
      <c r="Q63" s="129">
        <v>0.25</v>
      </c>
      <c r="R63" s="129">
        <v>0.28999999999999998</v>
      </c>
      <c r="S63" s="129">
        <v>0.33</v>
      </c>
      <c r="T63" s="129">
        <v>0.37</v>
      </c>
      <c r="U63" s="129">
        <v>0.41</v>
      </c>
      <c r="V63" s="129">
        <v>0.45</v>
      </c>
      <c r="W63" s="129">
        <v>0.5</v>
      </c>
      <c r="X63" s="129">
        <v>0.55000000000000004</v>
      </c>
      <c r="Y63" s="129">
        <v>0.6</v>
      </c>
      <c r="Z63" s="129">
        <v>0.65</v>
      </c>
      <c r="AA63" s="129">
        <v>0.7</v>
      </c>
      <c r="AB63" s="129">
        <v>0.73</v>
      </c>
      <c r="AC63" s="129">
        <v>0.76</v>
      </c>
      <c r="AD63" s="129">
        <v>0.79</v>
      </c>
      <c r="AE63" s="129">
        <v>0.82</v>
      </c>
      <c r="AF63" s="129">
        <v>0.85</v>
      </c>
      <c r="AG63" s="129">
        <v>0.87</v>
      </c>
      <c r="AH63" s="129">
        <v>0.89</v>
      </c>
      <c r="AI63" s="129">
        <v>0.91</v>
      </c>
      <c r="AJ63" s="129">
        <v>0.93</v>
      </c>
      <c r="AK63" s="130">
        <v>0.95</v>
      </c>
      <c r="AL63" s="111">
        <f t="shared" ref="AL63:BE63" si="71">_xlfn.FORECAST.LINEAR(AL$1,$BG63:$BH63,$BG$1:$BH$1)</f>
        <v>0.95</v>
      </c>
      <c r="AM63" s="111">
        <f t="shared" si="71"/>
        <v>0.95</v>
      </c>
      <c r="AN63" s="111">
        <f t="shared" si="71"/>
        <v>0.95</v>
      </c>
      <c r="AO63" s="111">
        <f t="shared" si="71"/>
        <v>0.95</v>
      </c>
      <c r="AP63" s="111">
        <f t="shared" si="71"/>
        <v>0.95</v>
      </c>
      <c r="AQ63" s="111">
        <f t="shared" si="71"/>
        <v>0.95</v>
      </c>
      <c r="AR63" s="111">
        <f t="shared" si="71"/>
        <v>0.95</v>
      </c>
      <c r="AS63" s="111">
        <f t="shared" si="71"/>
        <v>0.95</v>
      </c>
      <c r="AT63" s="111">
        <f t="shared" si="71"/>
        <v>0.95</v>
      </c>
      <c r="AU63" s="111">
        <f t="shared" si="71"/>
        <v>0.95</v>
      </c>
      <c r="AV63" s="111">
        <f t="shared" si="71"/>
        <v>0.95</v>
      </c>
      <c r="AW63" s="111">
        <f t="shared" si="71"/>
        <v>0.95</v>
      </c>
      <c r="AX63" s="111">
        <f t="shared" si="71"/>
        <v>0.95</v>
      </c>
      <c r="AY63" s="111">
        <f t="shared" si="71"/>
        <v>0.95</v>
      </c>
      <c r="AZ63" s="111">
        <f t="shared" si="71"/>
        <v>0.95</v>
      </c>
      <c r="BA63" s="111">
        <f t="shared" si="71"/>
        <v>0.95</v>
      </c>
      <c r="BB63" s="111">
        <f t="shared" si="71"/>
        <v>0.95</v>
      </c>
      <c r="BC63" s="111">
        <f t="shared" si="71"/>
        <v>0.95</v>
      </c>
      <c r="BD63" s="111">
        <f t="shared" si="71"/>
        <v>0.95</v>
      </c>
      <c r="BE63" s="111">
        <f t="shared" si="71"/>
        <v>0.95</v>
      </c>
      <c r="BF63" s="111"/>
      <c r="BG63" s="171">
        <v>0.95</v>
      </c>
      <c r="BH63" s="172">
        <v>0.95</v>
      </c>
      <c r="BI63" s="18" t="s">
        <v>352</v>
      </c>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row>
    <row r="64" spans="1:135" ht="14.25" customHeight="1">
      <c r="A64" s="173"/>
      <c r="B64" s="18"/>
      <c r="C64" s="112" t="s">
        <v>353</v>
      </c>
      <c r="D64" s="169" t="s">
        <v>58</v>
      </c>
      <c r="E64" s="113" t="s">
        <v>354</v>
      </c>
      <c r="F64" s="112"/>
      <c r="G64" s="129"/>
      <c r="H64" s="170"/>
      <c r="I64" s="129">
        <v>0</v>
      </c>
      <c r="J64" s="129">
        <v>6.7000000000000002E-3</v>
      </c>
      <c r="K64" s="129">
        <v>1.3299999999999999E-2</v>
      </c>
      <c r="L64" s="129">
        <v>0.02</v>
      </c>
      <c r="M64" s="129">
        <v>4.5999999999999999E-2</v>
      </c>
      <c r="N64" s="129">
        <v>7.1999999999999995E-2</v>
      </c>
      <c r="O64" s="129">
        <v>9.8000000000000004E-2</v>
      </c>
      <c r="P64" s="129">
        <v>0.124</v>
      </c>
      <c r="Q64" s="129">
        <v>0.15</v>
      </c>
      <c r="R64" s="129">
        <v>0.18</v>
      </c>
      <c r="S64" s="129">
        <v>0.21</v>
      </c>
      <c r="T64" s="129">
        <v>0.24</v>
      </c>
      <c r="U64" s="129">
        <v>0.27</v>
      </c>
      <c r="V64" s="129">
        <v>0.3</v>
      </c>
      <c r="W64" s="129">
        <v>0.32600000000000001</v>
      </c>
      <c r="X64" s="129">
        <v>0.35199999999999998</v>
      </c>
      <c r="Y64" s="129">
        <v>0.378</v>
      </c>
      <c r="Z64" s="129">
        <v>0.40400000000000003</v>
      </c>
      <c r="AA64" s="129">
        <v>0.43</v>
      </c>
      <c r="AB64" s="129">
        <v>0.44800000000000001</v>
      </c>
      <c r="AC64" s="129">
        <v>0.46600000000000003</v>
      </c>
      <c r="AD64" s="129">
        <v>0.48399999999999999</v>
      </c>
      <c r="AE64" s="129">
        <v>0.502</v>
      </c>
      <c r="AF64" s="129">
        <v>0.52</v>
      </c>
      <c r="AG64" s="129">
        <v>0.53600000000000003</v>
      </c>
      <c r="AH64" s="129">
        <v>0.55200000000000005</v>
      </c>
      <c r="AI64" s="129">
        <v>0.56799999999999995</v>
      </c>
      <c r="AJ64" s="129">
        <v>0.58399999999999996</v>
      </c>
      <c r="AK64" s="130">
        <v>0.6</v>
      </c>
      <c r="AL64" s="111">
        <f t="shared" ref="AL64:BE64" si="72">_xlfn.FORECAST.LINEAR(AL$1,$BG64:$BH64,$BG$1:$BH$1)</f>
        <v>0.60200000000000031</v>
      </c>
      <c r="AM64" s="111">
        <f t="shared" si="72"/>
        <v>0.60400000000000009</v>
      </c>
      <c r="AN64" s="111">
        <f t="shared" si="72"/>
        <v>0.60599999999999987</v>
      </c>
      <c r="AO64" s="111">
        <f t="shared" si="72"/>
        <v>0.60800000000000054</v>
      </c>
      <c r="AP64" s="111">
        <f t="shared" si="72"/>
        <v>0.61000000000000032</v>
      </c>
      <c r="AQ64" s="111">
        <f t="shared" si="72"/>
        <v>0.6120000000000001</v>
      </c>
      <c r="AR64" s="111">
        <f t="shared" si="72"/>
        <v>0.61399999999999988</v>
      </c>
      <c r="AS64" s="111">
        <f t="shared" si="72"/>
        <v>0.61599999999999966</v>
      </c>
      <c r="AT64" s="111">
        <f t="shared" si="72"/>
        <v>0.61800000000000033</v>
      </c>
      <c r="AU64" s="111">
        <f t="shared" si="72"/>
        <v>0.62000000000000011</v>
      </c>
      <c r="AV64" s="111">
        <f t="shared" si="72"/>
        <v>0.62199999999999989</v>
      </c>
      <c r="AW64" s="111">
        <f t="shared" si="72"/>
        <v>0.62400000000000055</v>
      </c>
      <c r="AX64" s="111">
        <f t="shared" si="72"/>
        <v>0.62600000000000033</v>
      </c>
      <c r="AY64" s="111">
        <f t="shared" si="72"/>
        <v>0.62800000000000011</v>
      </c>
      <c r="AZ64" s="111">
        <f t="shared" si="72"/>
        <v>0.62999999999999989</v>
      </c>
      <c r="BA64" s="111">
        <f t="shared" si="72"/>
        <v>0.63199999999999967</v>
      </c>
      <c r="BB64" s="111">
        <f t="shared" si="72"/>
        <v>0.63400000000000034</v>
      </c>
      <c r="BC64" s="111">
        <f t="shared" si="72"/>
        <v>0.63600000000000012</v>
      </c>
      <c r="BD64" s="111">
        <f t="shared" si="72"/>
        <v>0.6379999999999999</v>
      </c>
      <c r="BE64" s="111">
        <f t="shared" si="72"/>
        <v>0.64000000000000057</v>
      </c>
      <c r="BF64" s="111"/>
      <c r="BG64" s="171">
        <v>0.6</v>
      </c>
      <c r="BH64" s="172">
        <v>0.64</v>
      </c>
      <c r="BI64" s="18" t="s">
        <v>355</v>
      </c>
      <c r="BJ64" s="18" t="s">
        <v>356</v>
      </c>
      <c r="BK64" s="18" t="s">
        <v>242</v>
      </c>
      <c r="BL64" s="18" t="s">
        <v>357</v>
      </c>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row>
    <row r="65" spans="1:135" ht="14.25" customHeight="1">
      <c r="A65" s="18"/>
      <c r="B65" s="18"/>
      <c r="C65" s="19"/>
      <c r="D65" s="18"/>
      <c r="E65" s="18"/>
      <c r="F65" s="19"/>
      <c r="G65" s="18"/>
      <c r="H65" s="114"/>
      <c r="I65" s="18"/>
      <c r="J65" s="18"/>
      <c r="K65" s="18"/>
      <c r="L65" s="18"/>
      <c r="M65" s="18"/>
      <c r="N65" s="18"/>
      <c r="O65" s="18"/>
      <c r="P65" s="18"/>
      <c r="Q65" s="174"/>
      <c r="R65" s="18"/>
      <c r="S65" s="18"/>
      <c r="T65" s="18"/>
      <c r="U65" s="18"/>
      <c r="V65" s="18"/>
      <c r="W65" s="18"/>
      <c r="X65" s="18"/>
      <c r="Y65" s="18"/>
      <c r="Z65" s="18"/>
      <c r="AA65" s="18"/>
      <c r="AB65" s="18"/>
      <c r="AC65" s="18"/>
      <c r="AD65" s="18"/>
      <c r="AE65" s="18"/>
      <c r="AF65" s="18"/>
      <c r="AG65" s="18"/>
      <c r="AH65" s="18"/>
      <c r="AI65" s="18"/>
      <c r="AJ65" s="18"/>
      <c r="AK65" s="140"/>
      <c r="AL65" s="111"/>
      <c r="AM65" s="111"/>
      <c r="AN65" s="111"/>
      <c r="AO65" s="111"/>
      <c r="AP65" s="111"/>
      <c r="AQ65" s="111"/>
      <c r="AR65" s="111"/>
      <c r="AS65" s="111"/>
      <c r="AT65" s="111"/>
      <c r="AU65" s="111"/>
      <c r="AV65" s="111"/>
      <c r="AW65" s="111"/>
      <c r="AX65" s="111"/>
      <c r="AY65" s="111"/>
      <c r="AZ65" s="111"/>
      <c r="BA65" s="111"/>
      <c r="BB65" s="111"/>
      <c r="BC65" s="111"/>
      <c r="BD65" s="111"/>
      <c r="BE65" s="111"/>
      <c r="BF65" s="111"/>
      <c r="BG65" s="18"/>
      <c r="BH65" s="1"/>
      <c r="BI65" s="129">
        <v>0.40899999999999997</v>
      </c>
      <c r="BJ65" s="18"/>
      <c r="BK65" s="18"/>
      <c r="BL65" s="10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row>
    <row r="66" spans="1:135" ht="14.25" customHeight="1">
      <c r="A66" s="159" t="s">
        <v>225</v>
      </c>
      <c r="B66" s="175"/>
      <c r="C66" s="176" t="s">
        <v>226</v>
      </c>
      <c r="D66" s="175"/>
      <c r="E66" s="143"/>
      <c r="F66" s="47"/>
      <c r="G66" s="143"/>
      <c r="H66" s="163"/>
      <c r="I66" s="143"/>
      <c r="J66" s="143"/>
      <c r="K66" s="143"/>
      <c r="L66" s="143"/>
      <c r="M66" s="143"/>
      <c r="N66" s="143"/>
      <c r="O66" s="143"/>
      <c r="P66" s="143"/>
      <c r="Q66" s="143"/>
      <c r="R66" s="143"/>
      <c r="S66" s="143"/>
      <c r="T66" s="143"/>
      <c r="U66" s="143"/>
      <c r="V66" s="143"/>
      <c r="W66" s="143"/>
      <c r="X66" s="143"/>
      <c r="Y66" s="143"/>
      <c r="Z66" s="143"/>
      <c r="AA66" s="143"/>
      <c r="AB66" s="143"/>
      <c r="AC66" s="143"/>
      <c r="AD66" s="143"/>
      <c r="AE66" s="143"/>
      <c r="AF66" s="143"/>
      <c r="AG66" s="143"/>
      <c r="AH66" s="143"/>
      <c r="AI66" s="143"/>
      <c r="AJ66" s="143"/>
      <c r="AK66" s="177"/>
      <c r="AL66" s="166"/>
      <c r="AM66" s="166"/>
      <c r="AN66" s="166"/>
      <c r="AO66" s="166"/>
      <c r="AP66" s="166"/>
      <c r="AQ66" s="166"/>
      <c r="AR66" s="166"/>
      <c r="AS66" s="166"/>
      <c r="AT66" s="166"/>
      <c r="AU66" s="166"/>
      <c r="AV66" s="166"/>
      <c r="AW66" s="166"/>
      <c r="AX66" s="166"/>
      <c r="AY66" s="166"/>
      <c r="AZ66" s="166"/>
      <c r="BA66" s="166"/>
      <c r="BB66" s="166"/>
      <c r="BC66" s="166"/>
      <c r="BD66" s="166"/>
      <c r="BE66" s="166"/>
      <c r="BF66" s="166"/>
      <c r="BG66" s="143"/>
      <c r="BH66" s="75"/>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c r="DY66" s="18"/>
      <c r="DZ66" s="18"/>
      <c r="EA66" s="18"/>
      <c r="EB66" s="18"/>
      <c r="EC66" s="18"/>
      <c r="ED66" s="18"/>
      <c r="EE66" s="18"/>
    </row>
    <row r="67" spans="1:135" ht="14.25" customHeight="1">
      <c r="A67" s="109"/>
      <c r="B67" s="173"/>
      <c r="C67" s="178" t="s">
        <v>213</v>
      </c>
      <c r="D67" s="109" t="s">
        <v>214</v>
      </c>
      <c r="E67" s="18"/>
      <c r="F67" s="19" t="s">
        <v>215</v>
      </c>
      <c r="G67" s="18"/>
      <c r="H67" s="114"/>
      <c r="I67" s="151">
        <v>0</v>
      </c>
      <c r="J67" s="151">
        <v>4.0000000000000002E-4</v>
      </c>
      <c r="K67" s="151">
        <v>8.0000000000000004E-4</v>
      </c>
      <c r="L67" s="151">
        <v>1.1999999999999999E-3</v>
      </c>
      <c r="M67" s="151">
        <v>1.8E-3</v>
      </c>
      <c r="N67" s="151">
        <v>2.5000000000000001E-3</v>
      </c>
      <c r="O67" s="151">
        <v>3.0999999999999999E-3</v>
      </c>
      <c r="P67" s="151">
        <v>3.7000000000000002E-3</v>
      </c>
      <c r="Q67" s="151">
        <v>4.3E-3</v>
      </c>
      <c r="R67" s="151">
        <v>5.1999999999999998E-3</v>
      </c>
      <c r="S67" s="151">
        <v>6.0000000000000001E-3</v>
      </c>
      <c r="T67" s="151">
        <v>6.7999999999999996E-3</v>
      </c>
      <c r="U67" s="151">
        <v>7.6E-3</v>
      </c>
      <c r="V67" s="151">
        <v>8.5000000000000006E-3</v>
      </c>
      <c r="W67" s="151">
        <v>9.1999999999999998E-3</v>
      </c>
      <c r="X67" s="151">
        <v>0.01</v>
      </c>
      <c r="Y67" s="151">
        <v>1.0699999999999999E-2</v>
      </c>
      <c r="Z67" s="151">
        <v>1.15E-2</v>
      </c>
      <c r="AA67" s="151">
        <v>1.2200000000000001E-2</v>
      </c>
      <c r="AB67" s="151">
        <v>1.2800000000000001E-2</v>
      </c>
      <c r="AC67" s="151">
        <v>1.35E-2</v>
      </c>
      <c r="AD67" s="151">
        <v>1.41E-2</v>
      </c>
      <c r="AE67" s="151">
        <v>1.47E-2</v>
      </c>
      <c r="AF67" s="151">
        <v>1.5299999999999999E-2</v>
      </c>
      <c r="AG67" s="151">
        <v>1.55E-2</v>
      </c>
      <c r="AH67" s="151">
        <v>1.5800000000000002E-2</v>
      </c>
      <c r="AI67" s="151">
        <v>1.61E-2</v>
      </c>
      <c r="AJ67" s="151">
        <v>1.6400000000000001E-2</v>
      </c>
      <c r="AK67" s="152">
        <v>1.67E-2</v>
      </c>
      <c r="AL67" s="111">
        <f t="shared" ref="AL67:BE67" si="73">_xlfn.FORECAST.LINEAR(AL$1,$BG67:$BH67,$BG$1:$BH$1)</f>
        <v>1.6805000000000014E-2</v>
      </c>
      <c r="AM67" s="111">
        <f t="shared" si="73"/>
        <v>1.6910000000000008E-2</v>
      </c>
      <c r="AN67" s="111">
        <f t="shared" si="73"/>
        <v>1.7015000000000002E-2</v>
      </c>
      <c r="AO67" s="111">
        <f t="shared" si="73"/>
        <v>1.7119999999999996E-2</v>
      </c>
      <c r="AP67" s="111">
        <f t="shared" si="73"/>
        <v>1.7225000000000018E-2</v>
      </c>
      <c r="AQ67" s="111">
        <f t="shared" si="73"/>
        <v>1.7330000000000012E-2</v>
      </c>
      <c r="AR67" s="111">
        <f t="shared" si="73"/>
        <v>1.7435000000000006E-2</v>
      </c>
      <c r="AS67" s="111">
        <f t="shared" si="73"/>
        <v>1.754E-2</v>
      </c>
      <c r="AT67" s="111">
        <f t="shared" si="73"/>
        <v>1.7644999999999994E-2</v>
      </c>
      <c r="AU67" s="111">
        <f t="shared" si="73"/>
        <v>1.7750000000000016E-2</v>
      </c>
      <c r="AV67" s="111">
        <f t="shared" si="73"/>
        <v>1.785500000000001E-2</v>
      </c>
      <c r="AW67" s="111">
        <f t="shared" si="73"/>
        <v>1.7960000000000004E-2</v>
      </c>
      <c r="AX67" s="111">
        <f t="shared" si="73"/>
        <v>1.8064999999999998E-2</v>
      </c>
      <c r="AY67" s="111">
        <f t="shared" si="73"/>
        <v>1.8170000000000019E-2</v>
      </c>
      <c r="AZ67" s="111">
        <f t="shared" si="73"/>
        <v>1.8275000000000013E-2</v>
      </c>
      <c r="BA67" s="111">
        <f t="shared" si="73"/>
        <v>1.8380000000000007E-2</v>
      </c>
      <c r="BB67" s="111">
        <f t="shared" si="73"/>
        <v>1.8485000000000001E-2</v>
      </c>
      <c r="BC67" s="111">
        <f t="shared" si="73"/>
        <v>1.8589999999999995E-2</v>
      </c>
      <c r="BD67" s="111">
        <f t="shared" si="73"/>
        <v>1.8695000000000017E-2</v>
      </c>
      <c r="BE67" s="111">
        <f t="shared" si="73"/>
        <v>1.8800000000000011E-2</v>
      </c>
      <c r="BF67" s="111"/>
      <c r="BG67" s="152">
        <v>1.67E-2</v>
      </c>
      <c r="BH67" s="172">
        <v>1.8800000000000001E-2</v>
      </c>
      <c r="BI67" s="143" t="s">
        <v>231</v>
      </c>
      <c r="BJ67" s="143" t="s">
        <v>358</v>
      </c>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row>
    <row r="68" spans="1:135" ht="14.25" customHeight="1">
      <c r="A68" s="90"/>
      <c r="B68" s="1"/>
      <c r="C68" s="27" t="s">
        <v>226</v>
      </c>
      <c r="D68" s="1" t="s">
        <v>214</v>
      </c>
      <c r="E68" s="1"/>
      <c r="F68" s="1" t="s">
        <v>215</v>
      </c>
      <c r="G68" s="1"/>
      <c r="H68" s="35"/>
      <c r="I68" s="65">
        <v>0.04</v>
      </c>
      <c r="J68" s="65">
        <f t="shared" ref="J68:K68" si="74">I68+($L68-$I68)/($L$1-$I$1)</f>
        <v>4.3333333333333335E-2</v>
      </c>
      <c r="K68" s="65">
        <f t="shared" si="74"/>
        <v>4.6666666666666669E-2</v>
      </c>
      <c r="L68" s="65">
        <v>0.05</v>
      </c>
      <c r="M68" s="65">
        <f t="shared" ref="M68:P68" si="75">L68+($Q68-$L68)/($Q$1-$L$1)</f>
        <v>5.2000000000000005E-2</v>
      </c>
      <c r="N68" s="65">
        <f t="shared" si="75"/>
        <v>5.4000000000000006E-2</v>
      </c>
      <c r="O68" s="65">
        <f t="shared" si="75"/>
        <v>5.6000000000000008E-2</v>
      </c>
      <c r="P68" s="65">
        <f t="shared" si="75"/>
        <v>5.800000000000001E-2</v>
      </c>
      <c r="Q68" s="65">
        <v>0.06</v>
      </c>
      <c r="R68" s="65">
        <f t="shared" ref="R68:U68" si="76">Q68+($V68-$Q68)/($V$1-$Q$1)</f>
        <v>6.1800000000000001E-2</v>
      </c>
      <c r="S68" s="65">
        <f t="shared" si="76"/>
        <v>6.3600000000000004E-2</v>
      </c>
      <c r="T68" s="65">
        <f t="shared" si="76"/>
        <v>6.54E-2</v>
      </c>
      <c r="U68" s="65">
        <f t="shared" si="76"/>
        <v>6.7199999999999996E-2</v>
      </c>
      <c r="V68" s="65">
        <v>6.9000000000000006E-2</v>
      </c>
      <c r="W68" s="65">
        <f t="shared" ref="W68:BE68" si="77">V68</f>
        <v>6.9000000000000006E-2</v>
      </c>
      <c r="X68" s="65">
        <f t="shared" si="77"/>
        <v>6.9000000000000006E-2</v>
      </c>
      <c r="Y68" s="65">
        <f t="shared" si="77"/>
        <v>6.9000000000000006E-2</v>
      </c>
      <c r="Z68" s="65">
        <f t="shared" si="77"/>
        <v>6.9000000000000006E-2</v>
      </c>
      <c r="AA68" s="65">
        <f t="shared" si="77"/>
        <v>6.9000000000000006E-2</v>
      </c>
      <c r="AB68" s="65">
        <f t="shared" si="77"/>
        <v>6.9000000000000006E-2</v>
      </c>
      <c r="AC68" s="65">
        <f t="shared" si="77"/>
        <v>6.9000000000000006E-2</v>
      </c>
      <c r="AD68" s="65">
        <f t="shared" si="77"/>
        <v>6.9000000000000006E-2</v>
      </c>
      <c r="AE68" s="65">
        <f t="shared" si="77"/>
        <v>6.9000000000000006E-2</v>
      </c>
      <c r="AF68" s="65">
        <f t="shared" si="77"/>
        <v>6.9000000000000006E-2</v>
      </c>
      <c r="AG68" s="65">
        <f t="shared" si="77"/>
        <v>6.9000000000000006E-2</v>
      </c>
      <c r="AH68" s="65">
        <f t="shared" si="77"/>
        <v>6.9000000000000006E-2</v>
      </c>
      <c r="AI68" s="65">
        <f t="shared" si="77"/>
        <v>6.9000000000000006E-2</v>
      </c>
      <c r="AJ68" s="65">
        <f t="shared" si="77"/>
        <v>6.9000000000000006E-2</v>
      </c>
      <c r="AK68" s="65">
        <f t="shared" si="77"/>
        <v>6.9000000000000006E-2</v>
      </c>
      <c r="AL68" s="65">
        <f t="shared" si="77"/>
        <v>6.9000000000000006E-2</v>
      </c>
      <c r="AM68" s="65">
        <f t="shared" si="77"/>
        <v>6.9000000000000006E-2</v>
      </c>
      <c r="AN68" s="65">
        <f t="shared" si="77"/>
        <v>6.9000000000000006E-2</v>
      </c>
      <c r="AO68" s="65">
        <f t="shared" si="77"/>
        <v>6.9000000000000006E-2</v>
      </c>
      <c r="AP68" s="65">
        <f t="shared" si="77"/>
        <v>6.9000000000000006E-2</v>
      </c>
      <c r="AQ68" s="65">
        <f t="shared" si="77"/>
        <v>6.9000000000000006E-2</v>
      </c>
      <c r="AR68" s="65">
        <f t="shared" si="77"/>
        <v>6.9000000000000006E-2</v>
      </c>
      <c r="AS68" s="65">
        <f t="shared" si="77"/>
        <v>6.9000000000000006E-2</v>
      </c>
      <c r="AT68" s="65">
        <f t="shared" si="77"/>
        <v>6.9000000000000006E-2</v>
      </c>
      <c r="AU68" s="65">
        <f t="shared" si="77"/>
        <v>6.9000000000000006E-2</v>
      </c>
      <c r="AV68" s="65">
        <f t="shared" si="77"/>
        <v>6.9000000000000006E-2</v>
      </c>
      <c r="AW68" s="65">
        <f t="shared" si="77"/>
        <v>6.9000000000000006E-2</v>
      </c>
      <c r="AX68" s="65">
        <f t="shared" si="77"/>
        <v>6.9000000000000006E-2</v>
      </c>
      <c r="AY68" s="65">
        <f t="shared" si="77"/>
        <v>6.9000000000000006E-2</v>
      </c>
      <c r="AZ68" s="65">
        <f t="shared" si="77"/>
        <v>6.9000000000000006E-2</v>
      </c>
      <c r="BA68" s="65">
        <f t="shared" si="77"/>
        <v>6.9000000000000006E-2</v>
      </c>
      <c r="BB68" s="65">
        <f t="shared" si="77"/>
        <v>6.9000000000000006E-2</v>
      </c>
      <c r="BC68" s="65">
        <f t="shared" si="77"/>
        <v>6.9000000000000006E-2</v>
      </c>
      <c r="BD68" s="65">
        <f t="shared" si="77"/>
        <v>6.9000000000000006E-2</v>
      </c>
      <c r="BE68" s="65">
        <f t="shared" si="77"/>
        <v>6.9000000000000006E-2</v>
      </c>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t="s">
        <v>227</v>
      </c>
      <c r="CG68" s="1">
        <v>13621</v>
      </c>
      <c r="CH68" s="65" t="e">
        <f>CG68/$CG$58</f>
        <v>#DIV/0!</v>
      </c>
      <c r="CI68" s="1" t="s">
        <v>228</v>
      </c>
      <c r="CJ68" s="1"/>
      <c r="CK68" s="91" t="e">
        <f>CH68*CJ69/CI69</f>
        <v>#DIV/0!</v>
      </c>
      <c r="CL68" s="1" t="s">
        <v>227</v>
      </c>
      <c r="CM68" s="56" t="e">
        <f>$CM$58*CK68</f>
        <v>#DIV/0!</v>
      </c>
      <c r="CN68" s="1"/>
      <c r="CO68" s="1" t="s">
        <v>227</v>
      </c>
      <c r="CP68" s="56" t="e">
        <f>CM68*(77/110)</f>
        <v>#DIV/0!</v>
      </c>
      <c r="CQ68" s="1">
        <v>10.1</v>
      </c>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row>
    <row r="69" spans="1:135" ht="14.25" customHeight="1">
      <c r="A69" s="18"/>
      <c r="B69" s="18"/>
      <c r="C69" s="19" t="s">
        <v>359</v>
      </c>
      <c r="D69" s="18"/>
      <c r="E69" s="18"/>
      <c r="F69" s="19" t="s">
        <v>230</v>
      </c>
      <c r="G69" s="18"/>
      <c r="H69" s="114"/>
      <c r="I69" s="18">
        <v>140</v>
      </c>
      <c r="J69" s="18">
        <v>140</v>
      </c>
      <c r="K69" s="18">
        <v>140</v>
      </c>
      <c r="L69" s="18">
        <v>600</v>
      </c>
      <c r="M69" s="18">
        <v>600</v>
      </c>
      <c r="N69" s="18">
        <v>600</v>
      </c>
      <c r="O69" s="18">
        <v>600</v>
      </c>
      <c r="P69" s="18">
        <v>600</v>
      </c>
      <c r="Q69" s="18">
        <v>600</v>
      </c>
      <c r="R69" s="18">
        <v>600</v>
      </c>
      <c r="S69" s="18">
        <v>600</v>
      </c>
      <c r="T69" s="18">
        <v>600</v>
      </c>
      <c r="U69" s="18">
        <v>600</v>
      </c>
      <c r="V69" s="18">
        <v>600</v>
      </c>
      <c r="W69" s="18">
        <v>600</v>
      </c>
      <c r="X69" s="18">
        <v>600</v>
      </c>
      <c r="Y69" s="18">
        <v>600</v>
      </c>
      <c r="Z69" s="18">
        <v>600</v>
      </c>
      <c r="AA69" s="18">
        <v>600</v>
      </c>
      <c r="AB69" s="18">
        <v>600</v>
      </c>
      <c r="AC69" s="18">
        <v>600</v>
      </c>
      <c r="AD69" s="18">
        <v>600</v>
      </c>
      <c r="AE69" s="18">
        <v>600</v>
      </c>
      <c r="AF69" s="18">
        <v>600</v>
      </c>
      <c r="AG69" s="18">
        <v>600</v>
      </c>
      <c r="AH69" s="18">
        <v>600</v>
      </c>
      <c r="AI69" s="18">
        <v>600</v>
      </c>
      <c r="AJ69" s="18">
        <v>600</v>
      </c>
      <c r="AK69" s="140">
        <v>600</v>
      </c>
      <c r="AL69" s="18">
        <v>600</v>
      </c>
      <c r="AM69" s="18">
        <v>600</v>
      </c>
      <c r="AN69" s="18">
        <v>600</v>
      </c>
      <c r="AO69" s="18">
        <v>600</v>
      </c>
      <c r="AP69" s="18">
        <v>600</v>
      </c>
      <c r="AQ69" s="18">
        <v>600</v>
      </c>
      <c r="AR69" s="18">
        <v>600</v>
      </c>
      <c r="AS69" s="18">
        <v>600</v>
      </c>
      <c r="AT69" s="18">
        <v>600</v>
      </c>
      <c r="AU69" s="18">
        <v>600</v>
      </c>
      <c r="AV69" s="18">
        <v>600</v>
      </c>
      <c r="AW69" s="18">
        <v>600</v>
      </c>
      <c r="AX69" s="18">
        <v>600</v>
      </c>
      <c r="AY69" s="18">
        <v>600</v>
      </c>
      <c r="AZ69" s="18">
        <v>600</v>
      </c>
      <c r="BA69" s="18">
        <v>600</v>
      </c>
      <c r="BB69" s="18">
        <v>600</v>
      </c>
      <c r="BC69" s="18">
        <v>600</v>
      </c>
      <c r="BD69" s="18">
        <v>600</v>
      </c>
      <c r="BE69" s="18">
        <v>600</v>
      </c>
      <c r="BF69" s="18"/>
      <c r="BG69" s="140">
        <v>600</v>
      </c>
      <c r="BH69" s="179"/>
      <c r="BI69" s="18" t="s">
        <v>360</v>
      </c>
      <c r="BJ69" s="18" t="s">
        <v>361</v>
      </c>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row>
    <row r="70" spans="1:135" ht="14.25" customHeight="1">
      <c r="A70" s="109"/>
      <c r="B70" s="18"/>
      <c r="C70" s="112" t="s">
        <v>362</v>
      </c>
      <c r="D70" s="169" t="s">
        <v>35</v>
      </c>
      <c r="E70" s="113" t="s">
        <v>363</v>
      </c>
      <c r="F70" s="112" t="s">
        <v>12</v>
      </c>
      <c r="G70" s="113"/>
      <c r="H70" s="180"/>
      <c r="I70" s="113">
        <v>0</v>
      </c>
      <c r="J70" s="113">
        <v>0</v>
      </c>
      <c r="K70" s="113">
        <v>0</v>
      </c>
      <c r="L70" s="113">
        <v>0</v>
      </c>
      <c r="M70" s="113">
        <v>0</v>
      </c>
      <c r="N70" s="113">
        <v>0</v>
      </c>
      <c r="O70" s="113">
        <v>0</v>
      </c>
      <c r="P70" s="113">
        <v>0</v>
      </c>
      <c r="Q70" s="113">
        <v>6.0000000000000001E-3</v>
      </c>
      <c r="R70" s="113">
        <v>6.0000000000000001E-3</v>
      </c>
      <c r="S70" s="113">
        <v>6.0000000000000001E-3</v>
      </c>
      <c r="T70" s="113">
        <v>6.0000000000000001E-3</v>
      </c>
      <c r="U70" s="113">
        <v>1.2E-2</v>
      </c>
      <c r="V70" s="113">
        <v>1.2E-2</v>
      </c>
      <c r="W70" s="113">
        <v>1.2E-2</v>
      </c>
      <c r="X70" s="113">
        <v>1.2E-2</v>
      </c>
      <c r="Y70" s="113">
        <v>2.4E-2</v>
      </c>
      <c r="Z70" s="113">
        <v>2.4E-2</v>
      </c>
      <c r="AA70" s="113">
        <v>2.4E-2</v>
      </c>
      <c r="AB70" s="113">
        <v>2.4E-2</v>
      </c>
      <c r="AC70" s="113">
        <v>0.05</v>
      </c>
      <c r="AD70" s="113">
        <v>0.05</v>
      </c>
      <c r="AE70" s="113">
        <v>0.05</v>
      </c>
      <c r="AF70" s="113">
        <v>0.05</v>
      </c>
      <c r="AG70" s="113">
        <v>0.09</v>
      </c>
      <c r="AH70" s="113">
        <v>0.09</v>
      </c>
      <c r="AI70" s="113">
        <v>0.09</v>
      </c>
      <c r="AJ70" s="113">
        <v>0.09</v>
      </c>
      <c r="AK70" s="181">
        <v>0.18</v>
      </c>
      <c r="AL70" s="116">
        <f t="shared" ref="AL70:BE70" si="78">AK70</f>
        <v>0.18</v>
      </c>
      <c r="AM70" s="116">
        <f t="shared" si="78"/>
        <v>0.18</v>
      </c>
      <c r="AN70" s="116">
        <f t="shared" si="78"/>
        <v>0.18</v>
      </c>
      <c r="AO70" s="116">
        <f t="shared" si="78"/>
        <v>0.18</v>
      </c>
      <c r="AP70" s="116">
        <f t="shared" si="78"/>
        <v>0.18</v>
      </c>
      <c r="AQ70" s="116">
        <f t="shared" si="78"/>
        <v>0.18</v>
      </c>
      <c r="AR70" s="116">
        <f t="shared" si="78"/>
        <v>0.18</v>
      </c>
      <c r="AS70" s="116">
        <f t="shared" si="78"/>
        <v>0.18</v>
      </c>
      <c r="AT70" s="116">
        <f t="shared" si="78"/>
        <v>0.18</v>
      </c>
      <c r="AU70" s="116">
        <f t="shared" si="78"/>
        <v>0.18</v>
      </c>
      <c r="AV70" s="116">
        <f t="shared" si="78"/>
        <v>0.18</v>
      </c>
      <c r="AW70" s="116">
        <f t="shared" si="78"/>
        <v>0.18</v>
      </c>
      <c r="AX70" s="116">
        <f t="shared" si="78"/>
        <v>0.18</v>
      </c>
      <c r="AY70" s="116">
        <f t="shared" si="78"/>
        <v>0.18</v>
      </c>
      <c r="AZ70" s="116">
        <f t="shared" si="78"/>
        <v>0.18</v>
      </c>
      <c r="BA70" s="116">
        <f t="shared" si="78"/>
        <v>0.18</v>
      </c>
      <c r="BB70" s="116">
        <f t="shared" si="78"/>
        <v>0.18</v>
      </c>
      <c r="BC70" s="116">
        <f t="shared" si="78"/>
        <v>0.18</v>
      </c>
      <c r="BD70" s="116">
        <f t="shared" si="78"/>
        <v>0.18</v>
      </c>
      <c r="BE70" s="116">
        <f t="shared" si="78"/>
        <v>0.18</v>
      </c>
      <c r="BF70" s="116"/>
      <c r="BG70" s="181">
        <v>0.18</v>
      </c>
      <c r="BH70" s="179"/>
      <c r="BI70" s="18" t="s">
        <v>364</v>
      </c>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row>
    <row r="71" spans="1:135" ht="14.25" customHeight="1">
      <c r="A71" s="109"/>
      <c r="B71" s="18"/>
      <c r="C71" s="112" t="s">
        <v>219</v>
      </c>
      <c r="D71" s="169" t="s">
        <v>220</v>
      </c>
      <c r="E71" s="113" t="s">
        <v>365</v>
      </c>
      <c r="F71" s="112" t="s">
        <v>366</v>
      </c>
      <c r="G71" s="18"/>
      <c r="H71" s="114"/>
      <c r="I71" s="108">
        <v>0</v>
      </c>
      <c r="J71" s="108">
        <v>8.3000000000000001E-3</v>
      </c>
      <c r="K71" s="108">
        <v>1.67E-2</v>
      </c>
      <c r="L71" s="108">
        <v>2.5000000000000001E-2</v>
      </c>
      <c r="M71" s="108">
        <v>0.03</v>
      </c>
      <c r="N71" s="108">
        <v>3.5000000000000003E-2</v>
      </c>
      <c r="O71" s="108">
        <v>0.04</v>
      </c>
      <c r="P71" s="108">
        <v>4.4999999999999998E-2</v>
      </c>
      <c r="Q71" s="108">
        <v>0.05</v>
      </c>
      <c r="R71" s="108">
        <v>6.4000000000000001E-2</v>
      </c>
      <c r="S71" s="108">
        <v>7.8E-2</v>
      </c>
      <c r="T71" s="108">
        <v>9.1999999999999998E-2</v>
      </c>
      <c r="U71" s="108">
        <v>0.106</v>
      </c>
      <c r="V71" s="108">
        <v>0.12</v>
      </c>
      <c r="W71" s="108">
        <v>0.14599999999999999</v>
      </c>
      <c r="X71" s="108">
        <v>0.17199999999999999</v>
      </c>
      <c r="Y71" s="108">
        <v>0.19800000000000001</v>
      </c>
      <c r="Z71" s="108">
        <v>0.224</v>
      </c>
      <c r="AA71" s="108">
        <v>0.25</v>
      </c>
      <c r="AB71" s="108">
        <v>0.26100000000000001</v>
      </c>
      <c r="AC71" s="108">
        <v>0.27200000000000002</v>
      </c>
      <c r="AD71" s="108">
        <v>0.28299999999999997</v>
      </c>
      <c r="AE71" s="108">
        <v>0.29399999999999998</v>
      </c>
      <c r="AF71" s="108">
        <v>0.31</v>
      </c>
      <c r="AG71" s="108">
        <v>0.31</v>
      </c>
      <c r="AH71" s="108">
        <v>0.315</v>
      </c>
      <c r="AI71" s="108">
        <v>0.32</v>
      </c>
      <c r="AJ71" s="108">
        <v>0.32500000000000001</v>
      </c>
      <c r="AK71" s="147">
        <v>0.33</v>
      </c>
      <c r="AL71" s="108">
        <v>0.37096083743842401</v>
      </c>
      <c r="AM71" s="108">
        <v>0.38484098522167498</v>
      </c>
      <c r="AN71" s="108">
        <v>0.39872113300492601</v>
      </c>
      <c r="AO71" s="108">
        <v>0.41260128078817798</v>
      </c>
      <c r="AP71" s="108">
        <v>0.42648142857142901</v>
      </c>
      <c r="AQ71" s="108">
        <v>0.44036157635467998</v>
      </c>
      <c r="AR71" s="108">
        <v>0.45424172413793101</v>
      </c>
      <c r="AS71" s="108">
        <v>0.46812187192118299</v>
      </c>
      <c r="AT71" s="108">
        <v>0.48200201970443401</v>
      </c>
      <c r="AU71" s="108">
        <v>0.49588216748768499</v>
      </c>
      <c r="AV71" s="108">
        <v>0.50976231527093596</v>
      </c>
      <c r="AW71" s="108">
        <v>0.52364246305418705</v>
      </c>
      <c r="AX71" s="108">
        <v>0.53752261083743902</v>
      </c>
      <c r="AY71" s="108">
        <v>0.55140275862068999</v>
      </c>
      <c r="AZ71" s="108">
        <v>0.56528290640394097</v>
      </c>
      <c r="BA71" s="108">
        <v>0.57916305418719205</v>
      </c>
      <c r="BB71" s="108">
        <v>0.59304320197044402</v>
      </c>
      <c r="BC71" s="108">
        <v>0.606923349753695</v>
      </c>
      <c r="BD71" s="108">
        <v>0.62080349753694597</v>
      </c>
      <c r="BE71" s="108">
        <v>0.63468364532019705</v>
      </c>
      <c r="BF71" s="108"/>
      <c r="BG71" s="147">
        <v>0.33</v>
      </c>
      <c r="BH71" s="172">
        <v>0.63468364532019705</v>
      </c>
      <c r="BI71" s="116" t="s">
        <v>367</v>
      </c>
      <c r="BJ71" s="116" t="s">
        <v>241</v>
      </c>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row>
    <row r="72" spans="1:135" ht="14.25" customHeight="1">
      <c r="A72" s="109"/>
      <c r="B72" s="18"/>
      <c r="C72" s="112" t="s">
        <v>368</v>
      </c>
      <c r="D72" s="169" t="s">
        <v>61</v>
      </c>
      <c r="E72" s="113" t="s">
        <v>369</v>
      </c>
      <c r="F72" s="112" t="s">
        <v>370</v>
      </c>
      <c r="G72" s="18"/>
      <c r="H72" s="114"/>
      <c r="I72" s="108">
        <v>0</v>
      </c>
      <c r="J72" s="108">
        <v>0.01</v>
      </c>
      <c r="K72" s="108">
        <v>0.02</v>
      </c>
      <c r="L72" s="108">
        <v>0.03</v>
      </c>
      <c r="M72" s="108">
        <v>4.2000000000000003E-2</v>
      </c>
      <c r="N72" s="108">
        <v>5.3999999999999999E-2</v>
      </c>
      <c r="O72" s="108">
        <v>6.6000000000000003E-2</v>
      </c>
      <c r="P72" s="108">
        <v>7.8E-2</v>
      </c>
      <c r="Q72" s="108">
        <v>0.09</v>
      </c>
      <c r="R72" s="108">
        <v>0.104</v>
      </c>
      <c r="S72" s="108">
        <v>0.11799999999999999</v>
      </c>
      <c r="T72" s="108">
        <v>0.13200000000000001</v>
      </c>
      <c r="U72" s="108">
        <v>0.14599999999999999</v>
      </c>
      <c r="V72" s="108">
        <v>0.16</v>
      </c>
      <c r="W72" s="108">
        <v>0.17199999999999999</v>
      </c>
      <c r="X72" s="108">
        <v>0.184</v>
      </c>
      <c r="Y72" s="108">
        <v>0.19600000000000001</v>
      </c>
      <c r="Z72" s="108">
        <v>0.20799999999999999</v>
      </c>
      <c r="AA72" s="108">
        <v>0.22</v>
      </c>
      <c r="AB72" s="108">
        <v>0.23</v>
      </c>
      <c r="AC72" s="108">
        <v>0.24</v>
      </c>
      <c r="AD72" s="108">
        <v>0.25</v>
      </c>
      <c r="AE72" s="108">
        <v>0.26</v>
      </c>
      <c r="AF72" s="108">
        <v>0.27</v>
      </c>
      <c r="AG72" s="108">
        <v>0.27600000000000002</v>
      </c>
      <c r="AH72" s="108">
        <v>0.28199999999999997</v>
      </c>
      <c r="AI72" s="108">
        <v>0.28799999999999998</v>
      </c>
      <c r="AJ72" s="108">
        <v>0.29399999999999998</v>
      </c>
      <c r="AK72" s="147">
        <v>0.3</v>
      </c>
      <c r="AL72" s="108">
        <v>0.334261083743843</v>
      </c>
      <c r="AM72" s="108">
        <v>0.345694581280789</v>
      </c>
      <c r="AN72" s="108">
        <v>0.35712807881773401</v>
      </c>
      <c r="AO72" s="108">
        <v>0.36856157635468001</v>
      </c>
      <c r="AP72" s="108">
        <v>0.37999507389162601</v>
      </c>
      <c r="AQ72" s="108">
        <v>0.39142857142857201</v>
      </c>
      <c r="AR72" s="108">
        <v>0.40286206896551802</v>
      </c>
      <c r="AS72" s="108">
        <v>0.41429556650246302</v>
      </c>
      <c r="AT72" s="108">
        <v>0.42572906403940902</v>
      </c>
      <c r="AU72" s="108">
        <v>0.43716256157635502</v>
      </c>
      <c r="AV72" s="108">
        <v>0.44859605911330103</v>
      </c>
      <c r="AW72" s="108">
        <v>0.46002955665024697</v>
      </c>
      <c r="AX72" s="108">
        <v>0.47146305418719198</v>
      </c>
      <c r="AY72" s="108">
        <v>0.48289655172413798</v>
      </c>
      <c r="AZ72" s="108">
        <v>0.49433004926108398</v>
      </c>
      <c r="BA72" s="108">
        <v>0.50576354679803004</v>
      </c>
      <c r="BB72" s="108">
        <v>0.51719704433497604</v>
      </c>
      <c r="BC72" s="108">
        <v>0.52863054187192204</v>
      </c>
      <c r="BD72" s="108">
        <v>0.54006403940886705</v>
      </c>
      <c r="BE72" s="108">
        <v>0.55149753694581305</v>
      </c>
      <c r="BF72" s="108"/>
      <c r="BG72" s="147">
        <v>0.3</v>
      </c>
      <c r="BH72" s="172">
        <v>0.55149753694581305</v>
      </c>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c r="ED72" s="18"/>
      <c r="EE72" s="18"/>
    </row>
    <row r="73" spans="1:135" ht="14.25" customHeight="1">
      <c r="A73" s="109"/>
      <c r="B73" s="18"/>
      <c r="C73" s="112" t="s">
        <v>371</v>
      </c>
      <c r="D73" s="169" t="s">
        <v>372</v>
      </c>
      <c r="E73" s="113" t="s">
        <v>373</v>
      </c>
      <c r="F73" s="112" t="s">
        <v>374</v>
      </c>
      <c r="G73" s="18"/>
      <c r="H73" s="114"/>
      <c r="I73" s="108">
        <v>0</v>
      </c>
      <c r="J73" s="108">
        <v>1.6999999999999999E-3</v>
      </c>
      <c r="K73" s="108">
        <v>3.3E-3</v>
      </c>
      <c r="L73" s="108">
        <v>5.0000000000000001E-3</v>
      </c>
      <c r="M73" s="108">
        <v>0.01</v>
      </c>
      <c r="N73" s="108">
        <v>1.4999999999999999E-2</v>
      </c>
      <c r="O73" s="108">
        <v>0.02</v>
      </c>
      <c r="P73" s="108">
        <v>2.5000000000000001E-2</v>
      </c>
      <c r="Q73" s="108">
        <v>0.03</v>
      </c>
      <c r="R73" s="108">
        <v>3.7999999999999999E-2</v>
      </c>
      <c r="S73" s="108">
        <v>4.5999999999999999E-2</v>
      </c>
      <c r="T73" s="108">
        <v>5.3999999999999999E-2</v>
      </c>
      <c r="U73" s="108">
        <v>6.2E-2</v>
      </c>
      <c r="V73" s="108">
        <v>7.0000000000000007E-2</v>
      </c>
      <c r="W73" s="108">
        <v>7.8E-2</v>
      </c>
      <c r="X73" s="108">
        <v>8.5999999999999993E-2</v>
      </c>
      <c r="Y73" s="108">
        <v>9.4E-2</v>
      </c>
      <c r="Z73" s="108">
        <v>0.10199999999999999</v>
      </c>
      <c r="AA73" s="108">
        <v>0.11</v>
      </c>
      <c r="AB73" s="108">
        <v>0.11600000000000001</v>
      </c>
      <c r="AC73" s="108">
        <v>0.122</v>
      </c>
      <c r="AD73" s="108">
        <v>0.128</v>
      </c>
      <c r="AE73" s="108">
        <v>0.13400000000000001</v>
      </c>
      <c r="AF73" s="108">
        <v>0.14000000000000001</v>
      </c>
      <c r="AG73" s="108">
        <v>0.14199999999999999</v>
      </c>
      <c r="AH73" s="108">
        <v>0.14399999999999999</v>
      </c>
      <c r="AI73" s="108">
        <v>0.14599999999999999</v>
      </c>
      <c r="AJ73" s="108">
        <v>0.14799999999999999</v>
      </c>
      <c r="AK73" s="147">
        <v>0.15</v>
      </c>
      <c r="AL73" s="108">
        <v>0.17071403940886701</v>
      </c>
      <c r="AM73" s="108">
        <v>0.176991527093596</v>
      </c>
      <c r="AN73" s="108">
        <v>0.183269014778325</v>
      </c>
      <c r="AO73" s="108">
        <v>0.18954650246305399</v>
      </c>
      <c r="AP73" s="108">
        <v>0.19582399014778301</v>
      </c>
      <c r="AQ73" s="108">
        <v>0.20210147783251201</v>
      </c>
      <c r="AR73" s="108">
        <v>0.208378965517241</v>
      </c>
      <c r="AS73" s="108">
        <v>0.21465645320196999</v>
      </c>
      <c r="AT73" s="108">
        <v>0.22093394088669899</v>
      </c>
      <c r="AU73" s="108">
        <v>0.22721142857142901</v>
      </c>
      <c r="AV73" s="108">
        <v>0.233488916256158</v>
      </c>
      <c r="AW73" s="108">
        <v>0.239766403940887</v>
      </c>
      <c r="AX73" s="108">
        <v>0.24604389162561599</v>
      </c>
      <c r="AY73" s="108">
        <v>0.25232137931034498</v>
      </c>
      <c r="AZ73" s="108">
        <v>0.25859886699507401</v>
      </c>
      <c r="BA73" s="108">
        <v>0.26487635467980303</v>
      </c>
      <c r="BB73" s="108">
        <v>0.27115384236453199</v>
      </c>
      <c r="BC73" s="108">
        <v>0.27743133004926102</v>
      </c>
      <c r="BD73" s="108">
        <v>0.28370881773398998</v>
      </c>
      <c r="BE73" s="108">
        <v>0.289986305418719</v>
      </c>
      <c r="BF73" s="108"/>
      <c r="BG73" s="147">
        <v>0.15</v>
      </c>
      <c r="BH73" s="172">
        <v>0.289986305418719</v>
      </c>
      <c r="BI73" s="113"/>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row>
    <row r="74" spans="1:135" ht="14.25" customHeight="1">
      <c r="A74" s="109"/>
      <c r="B74" s="111"/>
      <c r="C74" s="112" t="s">
        <v>371</v>
      </c>
      <c r="D74" s="169" t="s">
        <v>61</v>
      </c>
      <c r="E74" s="113" t="s">
        <v>369</v>
      </c>
      <c r="F74" s="112" t="s">
        <v>374</v>
      </c>
      <c r="G74" s="111"/>
      <c r="H74" s="182"/>
      <c r="I74" s="108">
        <v>0</v>
      </c>
      <c r="J74" s="108">
        <v>1.6999999999999999E-3</v>
      </c>
      <c r="K74" s="108">
        <v>3.3E-3</v>
      </c>
      <c r="L74" s="108">
        <v>5.0000000000000001E-3</v>
      </c>
      <c r="M74" s="108">
        <v>0.01</v>
      </c>
      <c r="N74" s="108">
        <v>1.4999999999999999E-2</v>
      </c>
      <c r="O74" s="108">
        <v>0.02</v>
      </c>
      <c r="P74" s="108">
        <v>2.5000000000000001E-2</v>
      </c>
      <c r="Q74" s="108">
        <v>0.03</v>
      </c>
      <c r="R74" s="108">
        <v>3.7999999999999999E-2</v>
      </c>
      <c r="S74" s="108">
        <v>4.5999999999999999E-2</v>
      </c>
      <c r="T74" s="108">
        <v>5.3999999999999999E-2</v>
      </c>
      <c r="U74" s="108">
        <v>6.2E-2</v>
      </c>
      <c r="V74" s="108">
        <v>7.0000000000000007E-2</v>
      </c>
      <c r="W74" s="108">
        <v>7.8E-2</v>
      </c>
      <c r="X74" s="108">
        <v>8.5999999999999993E-2</v>
      </c>
      <c r="Y74" s="108">
        <v>9.4E-2</v>
      </c>
      <c r="Z74" s="108">
        <v>0.10199999999999999</v>
      </c>
      <c r="AA74" s="108">
        <v>0.11</v>
      </c>
      <c r="AB74" s="108">
        <v>0.11600000000000001</v>
      </c>
      <c r="AC74" s="108">
        <v>0.122</v>
      </c>
      <c r="AD74" s="108">
        <v>0.128</v>
      </c>
      <c r="AE74" s="108">
        <v>0.13400000000000001</v>
      </c>
      <c r="AF74" s="108">
        <v>0.14000000000000001</v>
      </c>
      <c r="AG74" s="108">
        <v>0.14199999999999999</v>
      </c>
      <c r="AH74" s="108">
        <v>0.14399999999999999</v>
      </c>
      <c r="AI74" s="108">
        <v>0.14599999999999999</v>
      </c>
      <c r="AJ74" s="108">
        <v>0.14799999999999999</v>
      </c>
      <c r="AK74" s="147">
        <v>0.15</v>
      </c>
      <c r="AL74" s="108">
        <v>0.17071403940886701</v>
      </c>
      <c r="AM74" s="108">
        <v>0.176991527093596</v>
      </c>
      <c r="AN74" s="108">
        <v>0.183269014778325</v>
      </c>
      <c r="AO74" s="108">
        <v>0.18954650246305399</v>
      </c>
      <c r="AP74" s="108">
        <v>0.19582399014778301</v>
      </c>
      <c r="AQ74" s="108">
        <v>0.20210147783251201</v>
      </c>
      <c r="AR74" s="108">
        <v>0.208378965517241</v>
      </c>
      <c r="AS74" s="108">
        <v>0.21465645320196999</v>
      </c>
      <c r="AT74" s="108">
        <v>0.22093394088669899</v>
      </c>
      <c r="AU74" s="108">
        <v>0.22721142857142901</v>
      </c>
      <c r="AV74" s="108">
        <v>0.233488916256158</v>
      </c>
      <c r="AW74" s="108">
        <v>0.239766403940887</v>
      </c>
      <c r="AX74" s="108">
        <v>0.24604389162561599</v>
      </c>
      <c r="AY74" s="108">
        <v>0.25232137931034498</v>
      </c>
      <c r="AZ74" s="108">
        <v>0.25859886699507401</v>
      </c>
      <c r="BA74" s="108">
        <v>0.26487635467980303</v>
      </c>
      <c r="BB74" s="108">
        <v>0.27115384236453199</v>
      </c>
      <c r="BC74" s="108">
        <v>0.27743133004926102</v>
      </c>
      <c r="BD74" s="108">
        <v>0.28370881773398998</v>
      </c>
      <c r="BE74" s="108">
        <v>0.289986305418719</v>
      </c>
      <c r="BF74" s="108"/>
      <c r="BG74" s="147">
        <v>0.15</v>
      </c>
      <c r="BH74" s="172">
        <v>0.289986305418719</v>
      </c>
      <c r="BI74" s="113" t="s">
        <v>375</v>
      </c>
      <c r="BJ74" s="18"/>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row>
    <row r="75" spans="1:135" ht="14.25" customHeight="1">
      <c r="A75" s="109"/>
      <c r="B75" s="18"/>
      <c r="C75" s="112" t="s">
        <v>371</v>
      </c>
      <c r="D75" s="169" t="s">
        <v>58</v>
      </c>
      <c r="E75" s="113" t="s">
        <v>376</v>
      </c>
      <c r="F75" s="112" t="s">
        <v>374</v>
      </c>
      <c r="G75" s="18"/>
      <c r="H75" s="114"/>
      <c r="I75" s="108">
        <v>0</v>
      </c>
      <c r="J75" s="108">
        <v>1.6999999999999999E-3</v>
      </c>
      <c r="K75" s="108">
        <v>3.3E-3</v>
      </c>
      <c r="L75" s="108">
        <v>5.0000000000000001E-3</v>
      </c>
      <c r="M75" s="108">
        <v>0.01</v>
      </c>
      <c r="N75" s="108">
        <v>1.4999999999999999E-2</v>
      </c>
      <c r="O75" s="108">
        <v>0.02</v>
      </c>
      <c r="P75" s="108">
        <v>2.5000000000000001E-2</v>
      </c>
      <c r="Q75" s="108">
        <v>0.03</v>
      </c>
      <c r="R75" s="108">
        <v>3.7999999999999999E-2</v>
      </c>
      <c r="S75" s="108">
        <v>4.5999999999999999E-2</v>
      </c>
      <c r="T75" s="108">
        <v>5.3999999999999999E-2</v>
      </c>
      <c r="U75" s="108">
        <v>6.2E-2</v>
      </c>
      <c r="V75" s="108">
        <v>7.0000000000000007E-2</v>
      </c>
      <c r="W75" s="108">
        <v>7.8E-2</v>
      </c>
      <c r="X75" s="108">
        <v>8.5999999999999993E-2</v>
      </c>
      <c r="Y75" s="108">
        <v>9.4E-2</v>
      </c>
      <c r="Z75" s="108">
        <v>0.10199999999999999</v>
      </c>
      <c r="AA75" s="108">
        <v>0.11</v>
      </c>
      <c r="AB75" s="108">
        <v>0.11600000000000001</v>
      </c>
      <c r="AC75" s="108">
        <v>0.122</v>
      </c>
      <c r="AD75" s="108">
        <v>0.128</v>
      </c>
      <c r="AE75" s="108">
        <v>0.13400000000000001</v>
      </c>
      <c r="AF75" s="108">
        <v>0.14000000000000001</v>
      </c>
      <c r="AG75" s="108">
        <v>0.14199999999999999</v>
      </c>
      <c r="AH75" s="108">
        <v>0.14399999999999999</v>
      </c>
      <c r="AI75" s="108">
        <v>0.14599999999999999</v>
      </c>
      <c r="AJ75" s="108">
        <v>0.14799999999999999</v>
      </c>
      <c r="AK75" s="147">
        <v>0.15</v>
      </c>
      <c r="AL75" s="108">
        <v>0.17071403940886701</v>
      </c>
      <c r="AM75" s="108">
        <v>0.176991527093596</v>
      </c>
      <c r="AN75" s="108">
        <v>0.183269014778325</v>
      </c>
      <c r="AO75" s="108">
        <v>0.18954650246305399</v>
      </c>
      <c r="AP75" s="108">
        <v>0.19582399014778301</v>
      </c>
      <c r="AQ75" s="108">
        <v>0.20210147783251201</v>
      </c>
      <c r="AR75" s="108">
        <v>0.208378965517241</v>
      </c>
      <c r="AS75" s="108">
        <v>0.21465645320196999</v>
      </c>
      <c r="AT75" s="108">
        <v>0.22093394088669899</v>
      </c>
      <c r="AU75" s="108">
        <v>0.22721142857142901</v>
      </c>
      <c r="AV75" s="108">
        <v>0.233488916256158</v>
      </c>
      <c r="AW75" s="108">
        <v>0.239766403940887</v>
      </c>
      <c r="AX75" s="108">
        <v>0.24604389162561599</v>
      </c>
      <c r="AY75" s="108">
        <v>0.25232137931034498</v>
      </c>
      <c r="AZ75" s="108">
        <v>0.25859886699507401</v>
      </c>
      <c r="BA75" s="108">
        <v>0.26487635467980303</v>
      </c>
      <c r="BB75" s="108">
        <v>0.27115384236453199</v>
      </c>
      <c r="BC75" s="108">
        <v>0.27743133004926102</v>
      </c>
      <c r="BD75" s="108">
        <v>0.28370881773398998</v>
      </c>
      <c r="BE75" s="108">
        <v>0.289986305418719</v>
      </c>
      <c r="BF75" s="108"/>
      <c r="BG75" s="147">
        <v>0.15</v>
      </c>
      <c r="BH75" s="172">
        <v>0.289986305418719</v>
      </c>
      <c r="BI75" s="113"/>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c r="ED75" s="18"/>
      <c r="EE75" s="18"/>
    </row>
    <row r="76" spans="1:135" ht="14.25" customHeight="1">
      <c r="A76" s="109"/>
      <c r="B76" s="18"/>
      <c r="C76" s="112" t="s">
        <v>371</v>
      </c>
      <c r="D76" s="169" t="s">
        <v>377</v>
      </c>
      <c r="E76" s="113" t="s">
        <v>378</v>
      </c>
      <c r="F76" s="112" t="s">
        <v>374</v>
      </c>
      <c r="G76" s="18"/>
      <c r="H76" s="114"/>
      <c r="I76" s="108">
        <v>0</v>
      </c>
      <c r="J76" s="108">
        <v>1.6999999999999999E-3</v>
      </c>
      <c r="K76" s="108">
        <v>3.3E-3</v>
      </c>
      <c r="L76" s="108">
        <v>5.0000000000000001E-3</v>
      </c>
      <c r="M76" s="108">
        <v>0.01</v>
      </c>
      <c r="N76" s="108">
        <v>1.4999999999999999E-2</v>
      </c>
      <c r="O76" s="108">
        <v>0.02</v>
      </c>
      <c r="P76" s="108">
        <v>2.5000000000000001E-2</v>
      </c>
      <c r="Q76" s="108">
        <v>0.03</v>
      </c>
      <c r="R76" s="108">
        <v>3.7999999999999999E-2</v>
      </c>
      <c r="S76" s="108">
        <v>4.5999999999999999E-2</v>
      </c>
      <c r="T76" s="108">
        <v>5.3999999999999999E-2</v>
      </c>
      <c r="U76" s="108">
        <v>6.2E-2</v>
      </c>
      <c r="V76" s="108">
        <v>7.0000000000000007E-2</v>
      </c>
      <c r="W76" s="108">
        <v>7.8E-2</v>
      </c>
      <c r="X76" s="108">
        <v>8.5999999999999993E-2</v>
      </c>
      <c r="Y76" s="108">
        <v>9.4E-2</v>
      </c>
      <c r="Z76" s="108">
        <v>0.10199999999999999</v>
      </c>
      <c r="AA76" s="108">
        <v>0.11</v>
      </c>
      <c r="AB76" s="108">
        <v>0.11600000000000001</v>
      </c>
      <c r="AC76" s="108">
        <v>0.122</v>
      </c>
      <c r="AD76" s="108">
        <v>0.128</v>
      </c>
      <c r="AE76" s="108">
        <v>0.13400000000000001</v>
      </c>
      <c r="AF76" s="108">
        <v>0.14000000000000001</v>
      </c>
      <c r="AG76" s="108">
        <v>0.14199999999999999</v>
      </c>
      <c r="AH76" s="108">
        <v>0.14399999999999999</v>
      </c>
      <c r="AI76" s="108">
        <v>0.14599999999999999</v>
      </c>
      <c r="AJ76" s="108">
        <v>0.14799999999999999</v>
      </c>
      <c r="AK76" s="147">
        <v>0.15</v>
      </c>
      <c r="AL76" s="108">
        <v>0.17071403940886701</v>
      </c>
      <c r="AM76" s="108">
        <v>0.176991527093596</v>
      </c>
      <c r="AN76" s="108">
        <v>0.183269014778325</v>
      </c>
      <c r="AO76" s="108">
        <v>0.18954650246305399</v>
      </c>
      <c r="AP76" s="108">
        <v>0.19582399014778301</v>
      </c>
      <c r="AQ76" s="108">
        <v>0.20210147783251201</v>
      </c>
      <c r="AR76" s="108">
        <v>0.208378965517241</v>
      </c>
      <c r="AS76" s="108">
        <v>0.21465645320196999</v>
      </c>
      <c r="AT76" s="108">
        <v>0.22093394088669899</v>
      </c>
      <c r="AU76" s="108">
        <v>0.22721142857142901</v>
      </c>
      <c r="AV76" s="108">
        <v>0.233488916256158</v>
      </c>
      <c r="AW76" s="108">
        <v>0.239766403940887</v>
      </c>
      <c r="AX76" s="108">
        <v>0.24604389162561599</v>
      </c>
      <c r="AY76" s="108">
        <v>0.25232137931034498</v>
      </c>
      <c r="AZ76" s="108">
        <v>0.25859886699507401</v>
      </c>
      <c r="BA76" s="108">
        <v>0.26487635467980303</v>
      </c>
      <c r="BB76" s="108">
        <v>0.27115384236453199</v>
      </c>
      <c r="BC76" s="108">
        <v>0.27743133004926102</v>
      </c>
      <c r="BD76" s="108">
        <v>0.28370881773398998</v>
      </c>
      <c r="BE76" s="108">
        <v>0.289986305418719</v>
      </c>
      <c r="BF76" s="108"/>
      <c r="BG76" s="147">
        <v>0.15</v>
      </c>
      <c r="BH76" s="172">
        <v>0.289986305418719</v>
      </c>
      <c r="BI76" s="113" t="s">
        <v>379</v>
      </c>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c r="ED76" s="18"/>
      <c r="EE76" s="18"/>
    </row>
    <row r="77" spans="1:135" ht="14.25" customHeight="1">
      <c r="A77" s="109"/>
      <c r="B77" s="18"/>
      <c r="C77" s="112" t="s">
        <v>371</v>
      </c>
      <c r="D77" s="169" t="s">
        <v>128</v>
      </c>
      <c r="E77" s="113" t="s">
        <v>380</v>
      </c>
      <c r="F77" s="112" t="s">
        <v>374</v>
      </c>
      <c r="G77" s="18"/>
      <c r="H77" s="114"/>
      <c r="I77" s="108">
        <v>0</v>
      </c>
      <c r="J77" s="108">
        <v>1.6999999999999999E-3</v>
      </c>
      <c r="K77" s="108">
        <v>3.3E-3</v>
      </c>
      <c r="L77" s="108">
        <v>5.0000000000000001E-3</v>
      </c>
      <c r="M77" s="108">
        <v>0.01</v>
      </c>
      <c r="N77" s="108">
        <v>1.4999999999999999E-2</v>
      </c>
      <c r="O77" s="108">
        <v>0.02</v>
      </c>
      <c r="P77" s="108">
        <v>2.5000000000000001E-2</v>
      </c>
      <c r="Q77" s="108">
        <v>0.03</v>
      </c>
      <c r="R77" s="108">
        <v>3.7999999999999999E-2</v>
      </c>
      <c r="S77" s="108">
        <v>4.5999999999999999E-2</v>
      </c>
      <c r="T77" s="108">
        <v>5.3999999999999999E-2</v>
      </c>
      <c r="U77" s="108">
        <v>6.2E-2</v>
      </c>
      <c r="V77" s="108">
        <v>7.0000000000000007E-2</v>
      </c>
      <c r="W77" s="108">
        <v>7.8E-2</v>
      </c>
      <c r="X77" s="108">
        <v>8.5999999999999993E-2</v>
      </c>
      <c r="Y77" s="108">
        <v>9.4E-2</v>
      </c>
      <c r="Z77" s="108">
        <v>0.10199999999999999</v>
      </c>
      <c r="AA77" s="108">
        <v>0.11</v>
      </c>
      <c r="AB77" s="108">
        <v>0.11600000000000001</v>
      </c>
      <c r="AC77" s="108">
        <v>0.122</v>
      </c>
      <c r="AD77" s="108">
        <v>0.128</v>
      </c>
      <c r="AE77" s="108">
        <v>0.13400000000000001</v>
      </c>
      <c r="AF77" s="108">
        <v>0.14000000000000001</v>
      </c>
      <c r="AG77" s="108">
        <v>0.14199999999999999</v>
      </c>
      <c r="AH77" s="108">
        <v>0.14399999999999999</v>
      </c>
      <c r="AI77" s="108">
        <v>0.14599999999999999</v>
      </c>
      <c r="AJ77" s="108">
        <v>0.14799999999999999</v>
      </c>
      <c r="AK77" s="147">
        <v>0.15</v>
      </c>
      <c r="AL77" s="108">
        <v>0.17071403940886701</v>
      </c>
      <c r="AM77" s="108">
        <v>0.176991527093596</v>
      </c>
      <c r="AN77" s="108">
        <v>0.183269014778325</v>
      </c>
      <c r="AO77" s="108">
        <v>0.18954650246305399</v>
      </c>
      <c r="AP77" s="108">
        <v>0.19582399014778301</v>
      </c>
      <c r="AQ77" s="108">
        <v>0.20210147783251201</v>
      </c>
      <c r="AR77" s="108">
        <v>0.208378965517241</v>
      </c>
      <c r="AS77" s="108">
        <v>0.21465645320196999</v>
      </c>
      <c r="AT77" s="108">
        <v>0.22093394088669899</v>
      </c>
      <c r="AU77" s="108">
        <v>0.22721142857142901</v>
      </c>
      <c r="AV77" s="108">
        <v>0.233488916256158</v>
      </c>
      <c r="AW77" s="108">
        <v>0.239766403940887</v>
      </c>
      <c r="AX77" s="108">
        <v>0.24604389162561599</v>
      </c>
      <c r="AY77" s="108">
        <v>0.25232137931034498</v>
      </c>
      <c r="AZ77" s="108">
        <v>0.25859886699507401</v>
      </c>
      <c r="BA77" s="108">
        <v>0.26487635467980303</v>
      </c>
      <c r="BB77" s="108">
        <v>0.27115384236453199</v>
      </c>
      <c r="BC77" s="108">
        <v>0.27743133004926102</v>
      </c>
      <c r="BD77" s="108">
        <v>0.28370881773398998</v>
      </c>
      <c r="BE77" s="108">
        <v>0.289986305418719</v>
      </c>
      <c r="BF77" s="108"/>
      <c r="BG77" s="147">
        <v>0.15</v>
      </c>
      <c r="BH77" s="172">
        <v>0.289986305418719</v>
      </c>
      <c r="BI77" s="113"/>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c r="ED77" s="18"/>
      <c r="EE77" s="18"/>
    </row>
    <row r="78" spans="1:135" ht="14.25" customHeight="1">
      <c r="A78" s="109"/>
      <c r="B78" s="18"/>
      <c r="C78" s="112" t="s">
        <v>381</v>
      </c>
      <c r="D78" s="169" t="s">
        <v>382</v>
      </c>
      <c r="E78" s="113" t="s">
        <v>381</v>
      </c>
      <c r="F78" s="112" t="s">
        <v>374</v>
      </c>
      <c r="G78" s="18"/>
      <c r="H78" s="114"/>
      <c r="I78" s="183">
        <v>0</v>
      </c>
      <c r="J78" s="183">
        <v>5.0000000000000001E-3</v>
      </c>
      <c r="K78" s="183">
        <v>0.01</v>
      </c>
      <c r="L78" s="183">
        <v>1.4999999999999999E-2</v>
      </c>
      <c r="M78" s="183">
        <v>2.4E-2</v>
      </c>
      <c r="N78" s="183">
        <v>3.3000000000000002E-2</v>
      </c>
      <c r="O78" s="183">
        <v>4.2000000000000003E-2</v>
      </c>
      <c r="P78" s="183">
        <v>5.0999999999999997E-2</v>
      </c>
      <c r="Q78" s="183">
        <v>0.06</v>
      </c>
      <c r="R78" s="183">
        <v>6.9000000000000006E-2</v>
      </c>
      <c r="S78" s="183">
        <v>7.8E-2</v>
      </c>
      <c r="T78" s="183">
        <v>8.6999999999999994E-2</v>
      </c>
      <c r="U78" s="183">
        <v>9.6000000000000002E-2</v>
      </c>
      <c r="V78" s="183">
        <v>0.105</v>
      </c>
      <c r="W78" s="183">
        <v>0.113</v>
      </c>
      <c r="X78" s="183">
        <v>0.12</v>
      </c>
      <c r="Y78" s="183">
        <v>0.128</v>
      </c>
      <c r="Z78" s="183">
        <v>0.13500000000000001</v>
      </c>
      <c r="AA78" s="183">
        <v>0.14299999999999999</v>
      </c>
      <c r="AB78" s="183">
        <v>0.14899999999999999</v>
      </c>
      <c r="AC78" s="183">
        <v>0.155</v>
      </c>
      <c r="AD78" s="183">
        <v>0.161</v>
      </c>
      <c r="AE78" s="183">
        <v>0.16700000000000001</v>
      </c>
      <c r="AF78" s="183">
        <v>0.17299999999999999</v>
      </c>
      <c r="AG78" s="183">
        <v>0.17599999999999999</v>
      </c>
      <c r="AH78" s="183">
        <v>0.18</v>
      </c>
      <c r="AI78" s="183">
        <v>0.186</v>
      </c>
      <c r="AJ78" s="183">
        <v>0.19500000000000001</v>
      </c>
      <c r="AK78" s="156">
        <v>0.20100000000000001</v>
      </c>
      <c r="AL78" s="183">
        <v>0.214</v>
      </c>
      <c r="AM78" s="183">
        <v>0.221</v>
      </c>
      <c r="AN78" s="183">
        <v>0.22800000000000001</v>
      </c>
      <c r="AO78" s="183">
        <v>0.23499999999999999</v>
      </c>
      <c r="AP78" s="183">
        <v>0.24299999999999999</v>
      </c>
      <c r="AQ78" s="183">
        <v>0.25</v>
      </c>
      <c r="AR78" s="183">
        <v>0.25700000000000001</v>
      </c>
      <c r="AS78" s="183">
        <v>0.26500000000000001</v>
      </c>
      <c r="AT78" s="183">
        <v>0.27200000000000002</v>
      </c>
      <c r="AU78" s="183">
        <v>0.28000000000000003</v>
      </c>
      <c r="AV78" s="183">
        <v>0.28799999999999998</v>
      </c>
      <c r="AW78" s="183">
        <v>0.3</v>
      </c>
      <c r="AX78" s="183">
        <v>0.31</v>
      </c>
      <c r="AY78" s="183">
        <v>0.32</v>
      </c>
      <c r="AZ78" s="183">
        <v>0.33</v>
      </c>
      <c r="BA78" s="183">
        <v>0.33500000000000002</v>
      </c>
      <c r="BB78" s="183">
        <v>0.34</v>
      </c>
      <c r="BC78" s="183">
        <v>0.34399999999999997</v>
      </c>
      <c r="BD78" s="183">
        <v>0.34799999999999998</v>
      </c>
      <c r="BE78" s="183">
        <v>0.35</v>
      </c>
      <c r="BF78" s="183"/>
      <c r="BG78" s="156">
        <v>0.20100000000000001</v>
      </c>
      <c r="BH78" s="172">
        <v>0.35</v>
      </c>
      <c r="BI78" s="113"/>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c r="ED78" s="18"/>
      <c r="EE78" s="18"/>
    </row>
    <row r="79" spans="1:135" ht="14.25" customHeight="1">
      <c r="A79" s="18"/>
      <c r="B79" s="18"/>
      <c r="C79" s="19"/>
      <c r="D79" s="18"/>
      <c r="E79" s="18"/>
      <c r="F79" s="19"/>
      <c r="G79" s="18"/>
      <c r="H79" s="114"/>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40"/>
      <c r="AL79" s="18"/>
      <c r="AM79" s="18"/>
      <c r="AN79" s="18"/>
      <c r="AO79" s="18"/>
      <c r="AP79" s="18"/>
      <c r="AQ79" s="18"/>
      <c r="AR79" s="18"/>
      <c r="AS79" s="18"/>
      <c r="AT79" s="18"/>
      <c r="AU79" s="18"/>
      <c r="AV79" s="18"/>
      <c r="AW79" s="18"/>
      <c r="AX79" s="18"/>
      <c r="AY79" s="18"/>
      <c r="AZ79" s="18"/>
      <c r="BA79" s="18"/>
      <c r="BB79" s="18"/>
      <c r="BC79" s="18"/>
      <c r="BD79" s="18"/>
      <c r="BE79" s="18"/>
      <c r="BF79" s="18"/>
      <c r="BG79" s="140"/>
      <c r="BH79" s="179"/>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row>
    <row r="80" spans="1:135" ht="14.25" customHeight="1">
      <c r="A80" s="159" t="s">
        <v>232</v>
      </c>
      <c r="B80" s="143"/>
      <c r="C80" s="160" t="s">
        <v>383</v>
      </c>
      <c r="D80" s="161" t="s">
        <v>214</v>
      </c>
      <c r="E80" s="162" t="s">
        <v>215</v>
      </c>
      <c r="F80" s="160" t="s">
        <v>384</v>
      </c>
      <c r="G80" s="162"/>
      <c r="H80" s="184"/>
      <c r="I80" s="166">
        <v>0</v>
      </c>
      <c r="J80" s="166">
        <v>4.1399999999999996E-3</v>
      </c>
      <c r="K80" s="166">
        <v>8.3949999999999997E-3</v>
      </c>
      <c r="L80" s="166">
        <v>1.2534999999999999E-2</v>
      </c>
      <c r="M80" s="166">
        <v>2.0009999999999997E-2</v>
      </c>
      <c r="N80" s="166">
        <v>2.7369999999999998E-2</v>
      </c>
      <c r="O80" s="166">
        <v>3.4729999999999997E-2</v>
      </c>
      <c r="P80" s="166">
        <v>4.2089999999999995E-2</v>
      </c>
      <c r="Q80" s="166">
        <v>4.9564999999999998E-2</v>
      </c>
      <c r="R80" s="166">
        <v>5.7729999999999997E-2</v>
      </c>
      <c r="S80" s="166">
        <v>6.5894999999999995E-2</v>
      </c>
      <c r="T80" s="166">
        <v>7.4059999999999987E-2</v>
      </c>
      <c r="U80" s="166">
        <v>8.2339999999999997E-2</v>
      </c>
      <c r="V80" s="166">
        <v>9.0505000000000002E-2</v>
      </c>
      <c r="W80" s="166">
        <v>9.7174999999999997E-2</v>
      </c>
      <c r="X80" s="166">
        <v>0.10384499999999999</v>
      </c>
      <c r="Y80" s="166">
        <v>0.110515</v>
      </c>
      <c r="Z80" s="166">
        <v>0.117185</v>
      </c>
      <c r="AA80" s="166">
        <v>0.12385499999999999</v>
      </c>
      <c r="AB80" s="166">
        <v>0.12845499999999999</v>
      </c>
      <c r="AC80" s="166">
        <v>0.13316999999999998</v>
      </c>
      <c r="AD80" s="166">
        <v>0.13777</v>
      </c>
      <c r="AE80" s="166">
        <v>0.14248499999999997</v>
      </c>
      <c r="AF80" s="166">
        <v>0.1472</v>
      </c>
      <c r="AG80" s="166">
        <v>0.15007499999999999</v>
      </c>
      <c r="AH80" s="166">
        <v>0.15295</v>
      </c>
      <c r="AI80" s="166">
        <v>0.15582499999999999</v>
      </c>
      <c r="AJ80" s="166">
        <v>0.15870000000000001</v>
      </c>
      <c r="AK80" s="185">
        <v>0.161575</v>
      </c>
      <c r="AL80" s="166">
        <v>0.16231100000000004</v>
      </c>
      <c r="AM80" s="166">
        <v>0.163047</v>
      </c>
      <c r="AN80" s="166">
        <v>0.16378300000000023</v>
      </c>
      <c r="AO80" s="166">
        <v>0.16451900000000019</v>
      </c>
      <c r="AP80" s="166">
        <v>0.16525500000000018</v>
      </c>
      <c r="AQ80" s="166">
        <v>0.16599100000000014</v>
      </c>
      <c r="AR80" s="166">
        <v>0.16672700000000013</v>
      </c>
      <c r="AS80" s="166">
        <v>0.16746300000000008</v>
      </c>
      <c r="AT80" s="166">
        <v>0.16819900000000004</v>
      </c>
      <c r="AU80" s="166">
        <v>0.16893500000000003</v>
      </c>
      <c r="AV80" s="166">
        <v>0.16967099999999999</v>
      </c>
      <c r="AW80" s="166">
        <v>0.17040700000000022</v>
      </c>
      <c r="AX80" s="166">
        <v>0.17114300000000018</v>
      </c>
      <c r="AY80" s="166">
        <v>0.17187900000000017</v>
      </c>
      <c r="AZ80" s="166">
        <v>0.17261500000000013</v>
      </c>
      <c r="BA80" s="166">
        <v>0.17335100000000009</v>
      </c>
      <c r="BB80" s="166">
        <v>0.17408700000000008</v>
      </c>
      <c r="BC80" s="166">
        <v>0.17482300000000003</v>
      </c>
      <c r="BD80" s="166">
        <v>0.17555900000000002</v>
      </c>
      <c r="BE80" s="166">
        <v>0.17629499999999998</v>
      </c>
      <c r="BF80" s="166"/>
      <c r="BG80" s="185">
        <v>0.161575</v>
      </c>
      <c r="BH80" s="166">
        <v>0.17629499999999998</v>
      </c>
      <c r="BI80" s="143"/>
      <c r="BJ80" s="143"/>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c r="ED80" s="18"/>
      <c r="EE80" s="18"/>
    </row>
    <row r="81" spans="1:135" ht="14.25" customHeight="1">
      <c r="A81" s="173"/>
      <c r="B81" s="18"/>
      <c r="C81" s="112" t="s">
        <v>368</v>
      </c>
      <c r="D81" s="169" t="s">
        <v>372</v>
      </c>
      <c r="E81" s="113" t="s">
        <v>369</v>
      </c>
      <c r="F81" s="112" t="s">
        <v>385</v>
      </c>
      <c r="G81" s="113"/>
      <c r="H81" s="180"/>
      <c r="I81" s="111">
        <v>0</v>
      </c>
      <c r="J81" s="111">
        <f t="shared" ref="J81:AJ81" si="79">_xlfn.FORECAST.LINEAR(J$1,$BF81:$BG81,$BF$1:$BG$1)</f>
        <v>1.4285714285712459E-2</v>
      </c>
      <c r="K81" s="111">
        <f t="shared" si="79"/>
        <v>2.857142857142847E-2</v>
      </c>
      <c r="L81" s="111">
        <f t="shared" si="79"/>
        <v>4.2857142857140929E-2</v>
      </c>
      <c r="M81" s="111">
        <f t="shared" si="79"/>
        <v>5.714285714285694E-2</v>
      </c>
      <c r="N81" s="111">
        <f t="shared" si="79"/>
        <v>7.1428571428569398E-2</v>
      </c>
      <c r="O81" s="111">
        <f t="shared" si="79"/>
        <v>8.571428571428541E-2</v>
      </c>
      <c r="P81" s="111">
        <f t="shared" si="79"/>
        <v>9.9999999999997868E-2</v>
      </c>
      <c r="Q81" s="111">
        <f t="shared" si="79"/>
        <v>0.11428571428571388</v>
      </c>
      <c r="R81" s="111">
        <f t="shared" si="79"/>
        <v>0.12857142857142634</v>
      </c>
      <c r="S81" s="111">
        <f t="shared" si="79"/>
        <v>0.14285714285714235</v>
      </c>
      <c r="T81" s="111">
        <f t="shared" si="79"/>
        <v>0.15714285714285481</v>
      </c>
      <c r="U81" s="111">
        <f t="shared" si="79"/>
        <v>0.17142857142857082</v>
      </c>
      <c r="V81" s="111">
        <f t="shared" si="79"/>
        <v>0.18571428571428328</v>
      </c>
      <c r="W81" s="111">
        <f t="shared" si="79"/>
        <v>0.19999999999999929</v>
      </c>
      <c r="X81" s="111">
        <f t="shared" si="79"/>
        <v>0.21428571428571175</v>
      </c>
      <c r="Y81" s="111">
        <f t="shared" si="79"/>
        <v>0.22857142857142776</v>
      </c>
      <c r="Z81" s="111">
        <f t="shared" si="79"/>
        <v>0.24285714285714022</v>
      </c>
      <c r="AA81" s="111">
        <f t="shared" si="79"/>
        <v>0.25714285714285623</v>
      </c>
      <c r="AB81" s="111">
        <f t="shared" si="79"/>
        <v>0.27142857142856869</v>
      </c>
      <c r="AC81" s="111">
        <f t="shared" si="79"/>
        <v>0.2857142857142847</v>
      </c>
      <c r="AD81" s="111">
        <f t="shared" si="79"/>
        <v>0.29999999999999716</v>
      </c>
      <c r="AE81" s="111">
        <f t="shared" si="79"/>
        <v>0.31428571428571317</v>
      </c>
      <c r="AF81" s="111">
        <f t="shared" si="79"/>
        <v>0.32857142857142563</v>
      </c>
      <c r="AG81" s="111">
        <f t="shared" si="79"/>
        <v>0.34285714285714164</v>
      </c>
      <c r="AH81" s="111">
        <f t="shared" si="79"/>
        <v>0.3571428571428541</v>
      </c>
      <c r="AI81" s="111">
        <f t="shared" si="79"/>
        <v>0.37142857142857011</v>
      </c>
      <c r="AJ81" s="111">
        <f t="shared" si="79"/>
        <v>0.38571428571428612</v>
      </c>
      <c r="AK81" s="139">
        <v>0.4</v>
      </c>
      <c r="AL81" s="111">
        <f t="shared" ref="AL81:BE81" si="80">_xlfn.FORECAST.LINEAR(AL$1,$BG81:$BH81,$BG$1:$BH$1)</f>
        <v>0.40249999999999986</v>
      </c>
      <c r="AM81" s="111">
        <f t="shared" si="80"/>
        <v>0.40499999999999936</v>
      </c>
      <c r="AN81" s="111">
        <f t="shared" si="80"/>
        <v>0.40749999999999975</v>
      </c>
      <c r="AO81" s="111">
        <f t="shared" si="80"/>
        <v>0.40999999999999925</v>
      </c>
      <c r="AP81" s="111">
        <f t="shared" si="80"/>
        <v>0.41249999999999964</v>
      </c>
      <c r="AQ81" s="111">
        <f t="shared" si="80"/>
        <v>0.41499999999999915</v>
      </c>
      <c r="AR81" s="111">
        <f t="shared" si="80"/>
        <v>0.41749999999999954</v>
      </c>
      <c r="AS81" s="111">
        <f t="shared" si="80"/>
        <v>0.41999999999999993</v>
      </c>
      <c r="AT81" s="111">
        <f t="shared" si="80"/>
        <v>0.42249999999999943</v>
      </c>
      <c r="AU81" s="111">
        <f t="shared" si="80"/>
        <v>0.42499999999999982</v>
      </c>
      <c r="AV81" s="111">
        <f t="shared" si="80"/>
        <v>0.42749999999999932</v>
      </c>
      <c r="AW81" s="111">
        <f t="shared" si="80"/>
        <v>0.42999999999999972</v>
      </c>
      <c r="AX81" s="111">
        <f t="shared" si="80"/>
        <v>0.43249999999999922</v>
      </c>
      <c r="AY81" s="111">
        <f t="shared" si="80"/>
        <v>0.43499999999999961</v>
      </c>
      <c r="AZ81" s="111">
        <f t="shared" si="80"/>
        <v>0.4375</v>
      </c>
      <c r="BA81" s="111">
        <f t="shared" si="80"/>
        <v>0.4399999999999995</v>
      </c>
      <c r="BB81" s="111">
        <f t="shared" si="80"/>
        <v>0.44249999999999989</v>
      </c>
      <c r="BC81" s="111">
        <f t="shared" si="80"/>
        <v>0.4449999999999994</v>
      </c>
      <c r="BD81" s="111">
        <f t="shared" si="80"/>
        <v>0.44749999999999979</v>
      </c>
      <c r="BE81" s="111">
        <f t="shared" si="80"/>
        <v>0.44999999999999929</v>
      </c>
      <c r="BF81" s="111">
        <v>0</v>
      </c>
      <c r="BG81" s="139">
        <v>0.4</v>
      </c>
      <c r="BH81" s="172">
        <v>0.45</v>
      </c>
      <c r="BI81" s="111" t="s">
        <v>386</v>
      </c>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c r="ED81" s="18"/>
      <c r="EE81" s="18"/>
    </row>
    <row r="82" spans="1:135" ht="14.25" customHeight="1">
      <c r="A82" s="173"/>
      <c r="B82" s="18"/>
      <c r="C82" s="112" t="s">
        <v>368</v>
      </c>
      <c r="D82" s="169" t="s">
        <v>61</v>
      </c>
      <c r="E82" s="113" t="s">
        <v>373</v>
      </c>
      <c r="F82" s="112" t="s">
        <v>385</v>
      </c>
      <c r="G82" s="113"/>
      <c r="H82" s="180"/>
      <c r="I82" s="111">
        <v>0</v>
      </c>
      <c r="J82" s="111">
        <f t="shared" ref="J82:AJ82" si="81">_xlfn.FORECAST.LINEAR(J$1,$BF82:$BG82,$BF$1:$BG$1)</f>
        <v>1.4285714285712459E-2</v>
      </c>
      <c r="K82" s="111">
        <f t="shared" si="81"/>
        <v>2.857142857142847E-2</v>
      </c>
      <c r="L82" s="111">
        <f t="shared" si="81"/>
        <v>4.2857142857140929E-2</v>
      </c>
      <c r="M82" s="111">
        <f t="shared" si="81"/>
        <v>5.714285714285694E-2</v>
      </c>
      <c r="N82" s="111">
        <f t="shared" si="81"/>
        <v>7.1428571428569398E-2</v>
      </c>
      <c r="O82" s="111">
        <f t="shared" si="81"/>
        <v>8.571428571428541E-2</v>
      </c>
      <c r="P82" s="111">
        <f t="shared" si="81"/>
        <v>9.9999999999997868E-2</v>
      </c>
      <c r="Q82" s="111">
        <f t="shared" si="81"/>
        <v>0.11428571428571388</v>
      </c>
      <c r="R82" s="111">
        <f t="shared" si="81"/>
        <v>0.12857142857142634</v>
      </c>
      <c r="S82" s="111">
        <f t="shared" si="81"/>
        <v>0.14285714285714235</v>
      </c>
      <c r="T82" s="111">
        <f t="shared" si="81"/>
        <v>0.15714285714285481</v>
      </c>
      <c r="U82" s="111">
        <f t="shared" si="81"/>
        <v>0.17142857142857082</v>
      </c>
      <c r="V82" s="111">
        <f t="shared" si="81"/>
        <v>0.18571428571428328</v>
      </c>
      <c r="W82" s="111">
        <f t="shared" si="81"/>
        <v>0.19999999999999929</v>
      </c>
      <c r="X82" s="111">
        <f t="shared" si="81"/>
        <v>0.21428571428571175</v>
      </c>
      <c r="Y82" s="111">
        <f t="shared" si="81"/>
        <v>0.22857142857142776</v>
      </c>
      <c r="Z82" s="111">
        <f t="shared" si="81"/>
        <v>0.24285714285714022</v>
      </c>
      <c r="AA82" s="111">
        <f t="shared" si="81"/>
        <v>0.25714285714285623</v>
      </c>
      <c r="AB82" s="111">
        <f t="shared" si="81"/>
        <v>0.27142857142856869</v>
      </c>
      <c r="AC82" s="111">
        <f t="shared" si="81"/>
        <v>0.2857142857142847</v>
      </c>
      <c r="AD82" s="111">
        <f t="shared" si="81"/>
        <v>0.29999999999999716</v>
      </c>
      <c r="AE82" s="111">
        <f t="shared" si="81"/>
        <v>0.31428571428571317</v>
      </c>
      <c r="AF82" s="111">
        <f t="shared" si="81"/>
        <v>0.32857142857142563</v>
      </c>
      <c r="AG82" s="111">
        <f t="shared" si="81"/>
        <v>0.34285714285714164</v>
      </c>
      <c r="AH82" s="111">
        <f t="shared" si="81"/>
        <v>0.3571428571428541</v>
      </c>
      <c r="AI82" s="111">
        <f t="shared" si="81"/>
        <v>0.37142857142857011</v>
      </c>
      <c r="AJ82" s="111">
        <f t="shared" si="81"/>
        <v>0.38571428571428612</v>
      </c>
      <c r="AK82" s="139">
        <v>0.4</v>
      </c>
      <c r="AL82" s="111">
        <f t="shared" ref="AL82:BE82" si="82">_xlfn.FORECAST.LINEAR(AL$1,$BG82:$BH82,$BG$1:$BH$1)</f>
        <v>0.40249999999999986</v>
      </c>
      <c r="AM82" s="111">
        <f t="shared" si="82"/>
        <v>0.40499999999999936</v>
      </c>
      <c r="AN82" s="111">
        <f t="shared" si="82"/>
        <v>0.40749999999999975</v>
      </c>
      <c r="AO82" s="111">
        <f t="shared" si="82"/>
        <v>0.40999999999999925</v>
      </c>
      <c r="AP82" s="111">
        <f t="shared" si="82"/>
        <v>0.41249999999999964</v>
      </c>
      <c r="AQ82" s="111">
        <f t="shared" si="82"/>
        <v>0.41499999999999915</v>
      </c>
      <c r="AR82" s="111">
        <f t="shared" si="82"/>
        <v>0.41749999999999954</v>
      </c>
      <c r="AS82" s="111">
        <f t="shared" si="82"/>
        <v>0.41999999999999993</v>
      </c>
      <c r="AT82" s="111">
        <f t="shared" si="82"/>
        <v>0.42249999999999943</v>
      </c>
      <c r="AU82" s="111">
        <f t="shared" si="82"/>
        <v>0.42499999999999982</v>
      </c>
      <c r="AV82" s="111">
        <f t="shared" si="82"/>
        <v>0.42749999999999932</v>
      </c>
      <c r="AW82" s="111">
        <f t="shared" si="82"/>
        <v>0.42999999999999972</v>
      </c>
      <c r="AX82" s="111">
        <f t="shared" si="82"/>
        <v>0.43249999999999922</v>
      </c>
      <c r="AY82" s="111">
        <f t="shared" si="82"/>
        <v>0.43499999999999961</v>
      </c>
      <c r="AZ82" s="111">
        <f t="shared" si="82"/>
        <v>0.4375</v>
      </c>
      <c r="BA82" s="111">
        <f t="shared" si="82"/>
        <v>0.4399999999999995</v>
      </c>
      <c r="BB82" s="111">
        <f t="shared" si="82"/>
        <v>0.44249999999999989</v>
      </c>
      <c r="BC82" s="111">
        <f t="shared" si="82"/>
        <v>0.4449999999999994</v>
      </c>
      <c r="BD82" s="111">
        <f t="shared" si="82"/>
        <v>0.44749999999999979</v>
      </c>
      <c r="BE82" s="111">
        <f t="shared" si="82"/>
        <v>0.44999999999999929</v>
      </c>
      <c r="BF82" s="111">
        <v>0</v>
      </c>
      <c r="BG82" s="139">
        <v>0.4</v>
      </c>
      <c r="BH82" s="172">
        <v>0.45</v>
      </c>
      <c r="BI82" s="111"/>
      <c r="BJ82" s="18"/>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row>
    <row r="83" spans="1:135" ht="14.25" customHeight="1">
      <c r="A83" s="173"/>
      <c r="B83" s="18"/>
      <c r="C83" s="112" t="s">
        <v>387</v>
      </c>
      <c r="D83" s="169" t="s">
        <v>58</v>
      </c>
      <c r="E83" s="113" t="s">
        <v>376</v>
      </c>
      <c r="F83" s="112" t="s">
        <v>366</v>
      </c>
      <c r="G83" s="113"/>
      <c r="H83" s="180"/>
      <c r="I83" s="111">
        <v>0</v>
      </c>
      <c r="J83" s="111">
        <f t="shared" ref="J83:AJ83" si="83">_xlfn.FORECAST.LINEAR(J$1,$BF83:$BG83,$BF$1:$BG$1)</f>
        <v>1.071428571428612E-2</v>
      </c>
      <c r="K83" s="111">
        <f t="shared" si="83"/>
        <v>2.1428571428572241E-2</v>
      </c>
      <c r="L83" s="111">
        <f t="shared" si="83"/>
        <v>3.2142857142858361E-2</v>
      </c>
      <c r="M83" s="111">
        <f t="shared" si="83"/>
        <v>4.2857142857144481E-2</v>
      </c>
      <c r="N83" s="111">
        <f t="shared" si="83"/>
        <v>5.3571428571427049E-2</v>
      </c>
      <c r="O83" s="111">
        <f t="shared" si="83"/>
        <v>6.4285714285713169E-2</v>
      </c>
      <c r="P83" s="111">
        <f t="shared" si="83"/>
        <v>7.4999999999999289E-2</v>
      </c>
      <c r="Q83" s="111">
        <f t="shared" si="83"/>
        <v>8.571428571428541E-2</v>
      </c>
      <c r="R83" s="111">
        <f t="shared" si="83"/>
        <v>9.642857142857153E-2</v>
      </c>
      <c r="S83" s="111">
        <f t="shared" si="83"/>
        <v>0.10714285714285765</v>
      </c>
      <c r="T83" s="111">
        <f t="shared" si="83"/>
        <v>0.11785714285714377</v>
      </c>
      <c r="U83" s="111">
        <f t="shared" si="83"/>
        <v>0.12857142857142989</v>
      </c>
      <c r="V83" s="111">
        <f t="shared" si="83"/>
        <v>0.13928571428571246</v>
      </c>
      <c r="W83" s="111">
        <f t="shared" si="83"/>
        <v>0.14999999999999858</v>
      </c>
      <c r="X83" s="111">
        <f t="shared" si="83"/>
        <v>0.1607142857142847</v>
      </c>
      <c r="Y83" s="111">
        <f t="shared" si="83"/>
        <v>0.17142857142857082</v>
      </c>
      <c r="Z83" s="111">
        <f t="shared" si="83"/>
        <v>0.18214285714285694</v>
      </c>
      <c r="AA83" s="111">
        <f t="shared" si="83"/>
        <v>0.19285714285714306</v>
      </c>
      <c r="AB83" s="111">
        <f t="shared" si="83"/>
        <v>0.20357142857142918</v>
      </c>
      <c r="AC83" s="111">
        <f t="shared" si="83"/>
        <v>0.2142857142857153</v>
      </c>
      <c r="AD83" s="111">
        <f t="shared" si="83"/>
        <v>0.22500000000000142</v>
      </c>
      <c r="AE83" s="111">
        <f t="shared" si="83"/>
        <v>0.23571428571428399</v>
      </c>
      <c r="AF83" s="111">
        <f t="shared" si="83"/>
        <v>0.24642857142857011</v>
      </c>
      <c r="AG83" s="111">
        <f t="shared" si="83"/>
        <v>0.25714285714285623</v>
      </c>
      <c r="AH83" s="111">
        <f t="shared" si="83"/>
        <v>0.26785714285714235</v>
      </c>
      <c r="AI83" s="111">
        <f t="shared" si="83"/>
        <v>0.27857142857142847</v>
      </c>
      <c r="AJ83" s="111">
        <f t="shared" si="83"/>
        <v>0.28928571428571459</v>
      </c>
      <c r="AK83" s="139">
        <v>0.3</v>
      </c>
      <c r="AL83" s="111">
        <f t="shared" ref="AL83:BE83" si="84">_xlfn.FORECAST.LINEAR(AL$1,$BG83:$BH83,$BG$1:$BH$1)</f>
        <v>0.30250000000000021</v>
      </c>
      <c r="AM83" s="111">
        <f t="shared" si="84"/>
        <v>0.30499999999999972</v>
      </c>
      <c r="AN83" s="111">
        <f t="shared" si="84"/>
        <v>0.30750000000000011</v>
      </c>
      <c r="AO83" s="111">
        <f t="shared" si="84"/>
        <v>0.30999999999999961</v>
      </c>
      <c r="AP83" s="111">
        <f t="shared" si="84"/>
        <v>0.3125</v>
      </c>
      <c r="AQ83" s="111">
        <f t="shared" si="84"/>
        <v>0.3149999999999995</v>
      </c>
      <c r="AR83" s="111">
        <f t="shared" si="84"/>
        <v>0.31749999999999989</v>
      </c>
      <c r="AS83" s="111">
        <f t="shared" si="84"/>
        <v>0.32000000000000028</v>
      </c>
      <c r="AT83" s="111">
        <f t="shared" si="84"/>
        <v>0.32249999999999979</v>
      </c>
      <c r="AU83" s="111">
        <f t="shared" si="84"/>
        <v>0.32500000000000018</v>
      </c>
      <c r="AV83" s="111">
        <f t="shared" si="84"/>
        <v>0.32749999999999968</v>
      </c>
      <c r="AW83" s="111">
        <f t="shared" si="84"/>
        <v>0.33000000000000007</v>
      </c>
      <c r="AX83" s="111">
        <f t="shared" si="84"/>
        <v>0.33249999999999957</v>
      </c>
      <c r="AY83" s="111">
        <f t="shared" si="84"/>
        <v>0.33499999999999996</v>
      </c>
      <c r="AZ83" s="111">
        <f t="shared" si="84"/>
        <v>0.33750000000000036</v>
      </c>
      <c r="BA83" s="111">
        <f t="shared" si="84"/>
        <v>0.33999999999999986</v>
      </c>
      <c r="BB83" s="111">
        <f t="shared" si="84"/>
        <v>0.34250000000000025</v>
      </c>
      <c r="BC83" s="111">
        <f t="shared" si="84"/>
        <v>0.34499999999999975</v>
      </c>
      <c r="BD83" s="111">
        <f t="shared" si="84"/>
        <v>0.34750000000000014</v>
      </c>
      <c r="BE83" s="111">
        <f t="shared" si="84"/>
        <v>0.34999999999999964</v>
      </c>
      <c r="BF83" s="111">
        <v>0</v>
      </c>
      <c r="BG83" s="139">
        <v>0.3</v>
      </c>
      <c r="BH83" s="172">
        <v>0.35</v>
      </c>
      <c r="BI83" s="111"/>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c r="ED83" s="18"/>
      <c r="EE83" s="18"/>
    </row>
    <row r="84" spans="1:135" ht="14.25" customHeight="1">
      <c r="A84" s="173"/>
      <c r="B84" s="18"/>
      <c r="C84" s="112" t="s">
        <v>388</v>
      </c>
      <c r="D84" s="169" t="s">
        <v>389</v>
      </c>
      <c r="E84" s="113" t="s">
        <v>390</v>
      </c>
      <c r="F84" s="112" t="s">
        <v>366</v>
      </c>
      <c r="G84" s="113"/>
      <c r="H84" s="180"/>
      <c r="I84" s="111">
        <v>0</v>
      </c>
      <c r="J84" s="111">
        <f t="shared" ref="J84:AJ84" si="85">_xlfn.FORECAST.LINEAR(J$1,$BF84:$BG84,$BF$1:$BG$1)</f>
        <v>1.071428571428612E-2</v>
      </c>
      <c r="K84" s="111">
        <f t="shared" si="85"/>
        <v>2.1428571428572241E-2</v>
      </c>
      <c r="L84" s="111">
        <f t="shared" si="85"/>
        <v>3.2142857142858361E-2</v>
      </c>
      <c r="M84" s="111">
        <f t="shared" si="85"/>
        <v>4.2857142857144481E-2</v>
      </c>
      <c r="N84" s="111">
        <f t="shared" si="85"/>
        <v>5.3571428571427049E-2</v>
      </c>
      <c r="O84" s="111">
        <f t="shared" si="85"/>
        <v>6.4285714285713169E-2</v>
      </c>
      <c r="P84" s="111">
        <f t="shared" si="85"/>
        <v>7.4999999999999289E-2</v>
      </c>
      <c r="Q84" s="111">
        <f t="shared" si="85"/>
        <v>8.571428571428541E-2</v>
      </c>
      <c r="R84" s="111">
        <f t="shared" si="85"/>
        <v>9.642857142857153E-2</v>
      </c>
      <c r="S84" s="111">
        <f t="shared" si="85"/>
        <v>0.10714285714285765</v>
      </c>
      <c r="T84" s="111">
        <f t="shared" si="85"/>
        <v>0.11785714285714377</v>
      </c>
      <c r="U84" s="111">
        <f t="shared" si="85"/>
        <v>0.12857142857142989</v>
      </c>
      <c r="V84" s="111">
        <f t="shared" si="85"/>
        <v>0.13928571428571246</v>
      </c>
      <c r="W84" s="111">
        <f t="shared" si="85"/>
        <v>0.14999999999999858</v>
      </c>
      <c r="X84" s="111">
        <f t="shared" si="85"/>
        <v>0.1607142857142847</v>
      </c>
      <c r="Y84" s="111">
        <f t="shared" si="85"/>
        <v>0.17142857142857082</v>
      </c>
      <c r="Z84" s="111">
        <f t="shared" si="85"/>
        <v>0.18214285714285694</v>
      </c>
      <c r="AA84" s="111">
        <f t="shared" si="85"/>
        <v>0.19285714285714306</v>
      </c>
      <c r="AB84" s="111">
        <f t="shared" si="85"/>
        <v>0.20357142857142918</v>
      </c>
      <c r="AC84" s="111">
        <f t="shared" si="85"/>
        <v>0.2142857142857153</v>
      </c>
      <c r="AD84" s="111">
        <f t="shared" si="85"/>
        <v>0.22500000000000142</v>
      </c>
      <c r="AE84" s="111">
        <f t="shared" si="85"/>
        <v>0.23571428571428399</v>
      </c>
      <c r="AF84" s="111">
        <f t="shared" si="85"/>
        <v>0.24642857142857011</v>
      </c>
      <c r="AG84" s="111">
        <f t="shared" si="85"/>
        <v>0.25714285714285623</v>
      </c>
      <c r="AH84" s="111">
        <f t="shared" si="85"/>
        <v>0.26785714285714235</v>
      </c>
      <c r="AI84" s="111">
        <f t="shared" si="85"/>
        <v>0.27857142857142847</v>
      </c>
      <c r="AJ84" s="111">
        <f t="shared" si="85"/>
        <v>0.28928571428571459</v>
      </c>
      <c r="AK84" s="139">
        <v>0.3</v>
      </c>
      <c r="AL84" s="111">
        <f t="shared" ref="AL84:BE84" si="86">_xlfn.FORECAST.LINEAR(AL$1,$BG84:$BH84,$BG$1:$BH$1)</f>
        <v>0.30250000000000021</v>
      </c>
      <c r="AM84" s="111">
        <f t="shared" si="86"/>
        <v>0.30499999999999972</v>
      </c>
      <c r="AN84" s="111">
        <f t="shared" si="86"/>
        <v>0.30750000000000011</v>
      </c>
      <c r="AO84" s="111">
        <f t="shared" si="86"/>
        <v>0.30999999999999961</v>
      </c>
      <c r="AP84" s="111">
        <f t="shared" si="86"/>
        <v>0.3125</v>
      </c>
      <c r="AQ84" s="111">
        <f t="shared" si="86"/>
        <v>0.3149999999999995</v>
      </c>
      <c r="AR84" s="111">
        <f t="shared" si="86"/>
        <v>0.31749999999999989</v>
      </c>
      <c r="AS84" s="111">
        <f t="shared" si="86"/>
        <v>0.32000000000000028</v>
      </c>
      <c r="AT84" s="111">
        <f t="shared" si="86"/>
        <v>0.32249999999999979</v>
      </c>
      <c r="AU84" s="111">
        <f t="shared" si="86"/>
        <v>0.32500000000000018</v>
      </c>
      <c r="AV84" s="111">
        <f t="shared" si="86"/>
        <v>0.32749999999999968</v>
      </c>
      <c r="AW84" s="111">
        <f t="shared" si="86"/>
        <v>0.33000000000000007</v>
      </c>
      <c r="AX84" s="111">
        <f t="shared" si="86"/>
        <v>0.33249999999999957</v>
      </c>
      <c r="AY84" s="111">
        <f t="shared" si="86"/>
        <v>0.33499999999999996</v>
      </c>
      <c r="AZ84" s="111">
        <f t="shared" si="86"/>
        <v>0.33750000000000036</v>
      </c>
      <c r="BA84" s="111">
        <f t="shared" si="86"/>
        <v>0.33999999999999986</v>
      </c>
      <c r="BB84" s="111">
        <f t="shared" si="86"/>
        <v>0.34250000000000025</v>
      </c>
      <c r="BC84" s="111">
        <f t="shared" si="86"/>
        <v>0.34499999999999975</v>
      </c>
      <c r="BD84" s="111">
        <f t="shared" si="86"/>
        <v>0.34750000000000014</v>
      </c>
      <c r="BE84" s="111">
        <f t="shared" si="86"/>
        <v>0.34999999999999964</v>
      </c>
      <c r="BF84" s="111">
        <v>0</v>
      </c>
      <c r="BG84" s="139">
        <v>0.3</v>
      </c>
      <c r="BH84" s="172">
        <v>0.35</v>
      </c>
      <c r="BI84" s="111"/>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c r="ED84" s="18"/>
      <c r="EE84" s="18"/>
    </row>
    <row r="85" spans="1:135" ht="14.25" customHeight="1">
      <c r="A85" s="1"/>
      <c r="B85" s="1"/>
      <c r="C85" s="27" t="s">
        <v>234</v>
      </c>
      <c r="D85" s="1"/>
      <c r="E85" s="1"/>
      <c r="F85" s="1" t="s">
        <v>235</v>
      </c>
      <c r="G85" s="1"/>
      <c r="H85" s="35"/>
      <c r="I85" s="65">
        <v>0</v>
      </c>
      <c r="J85" s="65">
        <v>2.957142857142857E-3</v>
      </c>
      <c r="K85" s="65">
        <v>5.9964285714285718E-3</v>
      </c>
      <c r="L85" s="65">
        <v>8.9535714285714288E-3</v>
      </c>
      <c r="M85" s="65">
        <v>1.4292857142857142E-2</v>
      </c>
      <c r="N85" s="65">
        <v>1.9550000000000001E-2</v>
      </c>
      <c r="O85" s="65">
        <v>2.4807142857142857E-2</v>
      </c>
      <c r="P85" s="65">
        <v>3.0064285714285714E-2</v>
      </c>
      <c r="Q85" s="65">
        <v>3.540357142857143E-2</v>
      </c>
      <c r="R85" s="65">
        <v>4.1235714285714285E-2</v>
      </c>
      <c r="S85" s="65">
        <v>4.706785714285714E-2</v>
      </c>
      <c r="T85" s="65">
        <v>5.2899999999999996E-2</v>
      </c>
      <c r="U85" s="65">
        <v>5.8814285714285715E-2</v>
      </c>
      <c r="V85" s="65">
        <v>6.4646428571428577E-2</v>
      </c>
      <c r="W85" s="65">
        <v>6.9410714285714284E-2</v>
      </c>
      <c r="X85" s="65">
        <v>7.4175000000000005E-2</v>
      </c>
      <c r="Y85" s="65">
        <v>7.8939285714285726E-2</v>
      </c>
      <c r="Z85" s="65">
        <v>8.3703571428571433E-2</v>
      </c>
      <c r="AA85" s="65">
        <v>8.846785714285714E-2</v>
      </c>
      <c r="AB85" s="65">
        <v>9.175357142857142E-2</v>
      </c>
      <c r="AC85" s="65">
        <v>9.5121428571428565E-2</v>
      </c>
      <c r="AD85" s="65">
        <v>9.840714285714286E-2</v>
      </c>
      <c r="AE85" s="65">
        <v>0.10177499999999999</v>
      </c>
      <c r="AF85" s="65">
        <v>0.10514285714285715</v>
      </c>
      <c r="AG85" s="65">
        <v>0.10719642857142857</v>
      </c>
      <c r="AH85" s="65">
        <v>0.10925000000000001</v>
      </c>
      <c r="AI85" s="65">
        <v>0.11130357142857143</v>
      </c>
      <c r="AJ85" s="65">
        <v>0.11335714285714286</v>
      </c>
      <c r="AK85" s="65">
        <f t="shared" ref="AK85:BE85" si="87">AJ85</f>
        <v>0.11335714285714286</v>
      </c>
      <c r="AL85" s="65">
        <f t="shared" si="87"/>
        <v>0.11335714285714286</v>
      </c>
      <c r="AM85" s="65">
        <f t="shared" si="87"/>
        <v>0.11335714285714286</v>
      </c>
      <c r="AN85" s="65">
        <f t="shared" si="87"/>
        <v>0.11335714285714286</v>
      </c>
      <c r="AO85" s="65">
        <f t="shared" si="87"/>
        <v>0.11335714285714286</v>
      </c>
      <c r="AP85" s="65">
        <f t="shared" si="87"/>
        <v>0.11335714285714286</v>
      </c>
      <c r="AQ85" s="65">
        <f t="shared" si="87"/>
        <v>0.11335714285714286</v>
      </c>
      <c r="AR85" s="65">
        <f t="shared" si="87"/>
        <v>0.11335714285714286</v>
      </c>
      <c r="AS85" s="65">
        <f t="shared" si="87"/>
        <v>0.11335714285714286</v>
      </c>
      <c r="AT85" s="65">
        <f t="shared" si="87"/>
        <v>0.11335714285714286</v>
      </c>
      <c r="AU85" s="65">
        <f t="shared" si="87"/>
        <v>0.11335714285714286</v>
      </c>
      <c r="AV85" s="65">
        <f t="shared" si="87"/>
        <v>0.11335714285714286</v>
      </c>
      <c r="AW85" s="65">
        <f t="shared" si="87"/>
        <v>0.11335714285714286</v>
      </c>
      <c r="AX85" s="65">
        <f t="shared" si="87"/>
        <v>0.11335714285714286</v>
      </c>
      <c r="AY85" s="65">
        <f t="shared" si="87"/>
        <v>0.11335714285714286</v>
      </c>
      <c r="AZ85" s="65">
        <f t="shared" si="87"/>
        <v>0.11335714285714286</v>
      </c>
      <c r="BA85" s="65">
        <f t="shared" si="87"/>
        <v>0.11335714285714286</v>
      </c>
      <c r="BB85" s="65">
        <f t="shared" si="87"/>
        <v>0.11335714285714286</v>
      </c>
      <c r="BC85" s="65">
        <f t="shared" si="87"/>
        <v>0.11335714285714286</v>
      </c>
      <c r="BD85" s="65">
        <f t="shared" si="87"/>
        <v>0.11335714285714286</v>
      </c>
      <c r="BE85" s="65">
        <f t="shared" si="87"/>
        <v>0.11335714285714286</v>
      </c>
      <c r="BF85" s="1"/>
      <c r="BG85" s="1"/>
      <c r="BH85" s="1"/>
      <c r="BI85" s="1"/>
      <c r="BJ85" s="1"/>
      <c r="BK85" s="1"/>
      <c r="BL85" s="1" t="s">
        <v>236</v>
      </c>
      <c r="BM85" s="1"/>
      <c r="BN85" s="1"/>
      <c r="BO85" s="1"/>
      <c r="BP85" s="1"/>
      <c r="BQ85" s="1"/>
      <c r="BR85" s="1"/>
      <c r="BS85" s="1"/>
      <c r="BT85" s="1"/>
      <c r="BU85" s="1"/>
      <c r="BV85" s="1"/>
      <c r="BW85" s="1"/>
      <c r="BX85" s="1"/>
      <c r="BY85" s="1"/>
      <c r="BZ85" s="1"/>
      <c r="CA85" s="1"/>
      <c r="CB85" s="1"/>
      <c r="CC85" s="1"/>
      <c r="CD85" s="1"/>
      <c r="CE85" s="1"/>
      <c r="CF85" s="1" t="s">
        <v>237</v>
      </c>
      <c r="CG85" s="1">
        <v>1370</v>
      </c>
      <c r="CH85" s="65" t="e">
        <f>CG85/$CG$58</f>
        <v>#DIV/0!</v>
      </c>
      <c r="CI85" s="1"/>
      <c r="CJ85" s="1"/>
      <c r="CK85" s="91">
        <f>1-CJ81-CJ83</f>
        <v>1</v>
      </c>
      <c r="CL85" s="1" t="s">
        <v>237</v>
      </c>
      <c r="CM85" s="56">
        <f>CG85*0.005807</f>
        <v>7.9555899999999999</v>
      </c>
      <c r="CN85" s="1"/>
      <c r="CO85" s="1" t="s">
        <v>237</v>
      </c>
      <c r="CP85" s="56">
        <f>CM85*(77/110)</f>
        <v>5.5689129999999993</v>
      </c>
      <c r="CQ85" s="1">
        <v>6.3</v>
      </c>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row>
    <row r="86" spans="1:135" ht="14.25" customHeight="1">
      <c r="A86" s="18"/>
      <c r="B86" s="18"/>
      <c r="C86" s="186"/>
      <c r="D86" s="187"/>
      <c r="E86" s="187"/>
      <c r="F86" s="186"/>
      <c r="G86" s="187"/>
      <c r="H86" s="188"/>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189"/>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87"/>
      <c r="BH86" s="1"/>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c r="ED86" s="18"/>
      <c r="EE86" s="18"/>
    </row>
    <row r="87" spans="1:135" ht="14.25" customHeight="1">
      <c r="A87" s="159" t="s">
        <v>238</v>
      </c>
      <c r="B87" s="175"/>
      <c r="C87" s="176" t="s">
        <v>226</v>
      </c>
      <c r="D87" s="161" t="s">
        <v>214</v>
      </c>
      <c r="E87" s="143"/>
      <c r="F87" s="47" t="s">
        <v>215</v>
      </c>
      <c r="G87" s="143"/>
      <c r="H87" s="163"/>
      <c r="I87" s="146">
        <f>'Políticas anunciadas'!I68</f>
        <v>0.14000000000000001</v>
      </c>
      <c r="J87" s="146">
        <f>'Políticas anunciadas'!J68</f>
        <v>0.16333333333333333</v>
      </c>
      <c r="K87" s="146">
        <f>'Políticas anunciadas'!K68</f>
        <v>0.18666666666666665</v>
      </c>
      <c r="L87" s="146">
        <f>'Políticas anunciadas'!L68</f>
        <v>0.21</v>
      </c>
      <c r="M87" s="146">
        <f>'Políticas anunciadas'!M68</f>
        <v>0.21199999999999999</v>
      </c>
      <c r="N87" s="146">
        <f>'Políticas anunciadas'!N68</f>
        <v>0.214</v>
      </c>
      <c r="O87" s="146">
        <f>'Políticas anunciadas'!O68</f>
        <v>0.216</v>
      </c>
      <c r="P87" s="146">
        <f>'Políticas anunciadas'!P68</f>
        <v>0.218</v>
      </c>
      <c r="Q87" s="146">
        <f>'Políticas anunciadas'!Q68</f>
        <v>0.22</v>
      </c>
      <c r="R87" s="146">
        <f>'Políticas anunciadas'!R68</f>
        <v>0.224</v>
      </c>
      <c r="S87" s="146">
        <f>'Políticas anunciadas'!S68</f>
        <v>0.22800000000000001</v>
      </c>
      <c r="T87" s="146">
        <f>'Políticas anunciadas'!T68</f>
        <v>0.23200000000000001</v>
      </c>
      <c r="U87" s="146">
        <f>'Políticas anunciadas'!U68</f>
        <v>0.23600000000000002</v>
      </c>
      <c r="V87" s="146">
        <f>'Políticas anunciadas'!V68</f>
        <v>0.24</v>
      </c>
      <c r="W87" s="146">
        <f>'Políticas anunciadas'!W68</f>
        <v>0.24</v>
      </c>
      <c r="X87" s="146">
        <f>'Políticas anunciadas'!X68</f>
        <v>0.24</v>
      </c>
      <c r="Y87" s="146">
        <f>'Políticas anunciadas'!Y68</f>
        <v>0.24</v>
      </c>
      <c r="Z87" s="146">
        <f>'Políticas anunciadas'!Z68</f>
        <v>0.24</v>
      </c>
      <c r="AA87" s="146">
        <f>'Políticas anunciadas'!AA68</f>
        <v>0.24</v>
      </c>
      <c r="AB87" s="146">
        <f>'Políticas anunciadas'!AB68</f>
        <v>0.24</v>
      </c>
      <c r="AC87" s="146">
        <f>'Políticas anunciadas'!AC68</f>
        <v>0.24</v>
      </c>
      <c r="AD87" s="146">
        <f>'Políticas anunciadas'!AD68</f>
        <v>0.24</v>
      </c>
      <c r="AE87" s="146">
        <f>'Políticas anunciadas'!AE68</f>
        <v>0.24</v>
      </c>
      <c r="AF87" s="146">
        <f>'Políticas anunciadas'!AF68</f>
        <v>0.24</v>
      </c>
      <c r="AG87" s="146">
        <f>'Políticas anunciadas'!AG68</f>
        <v>0.24</v>
      </c>
      <c r="AH87" s="146">
        <f>'Políticas anunciadas'!AH68</f>
        <v>0.24</v>
      </c>
      <c r="AI87" s="146">
        <f>'Políticas anunciadas'!AI68</f>
        <v>0.24</v>
      </c>
      <c r="AJ87" s="146">
        <f>'Políticas anunciadas'!AJ68</f>
        <v>0.24</v>
      </c>
      <c r="AK87" s="190">
        <f>'Políticas anunciadas'!AK68</f>
        <v>0.24</v>
      </c>
      <c r="AL87" s="166">
        <f t="shared" ref="AL87:BE87" si="88">AK87</f>
        <v>0.24</v>
      </c>
      <c r="AM87" s="166">
        <f t="shared" si="88"/>
        <v>0.24</v>
      </c>
      <c r="AN87" s="166">
        <f t="shared" si="88"/>
        <v>0.24</v>
      </c>
      <c r="AO87" s="166">
        <f t="shared" si="88"/>
        <v>0.24</v>
      </c>
      <c r="AP87" s="166">
        <f t="shared" si="88"/>
        <v>0.24</v>
      </c>
      <c r="AQ87" s="166">
        <f t="shared" si="88"/>
        <v>0.24</v>
      </c>
      <c r="AR87" s="166">
        <f t="shared" si="88"/>
        <v>0.24</v>
      </c>
      <c r="AS87" s="166">
        <f t="shared" si="88"/>
        <v>0.24</v>
      </c>
      <c r="AT87" s="166">
        <f t="shared" si="88"/>
        <v>0.24</v>
      </c>
      <c r="AU87" s="166">
        <f t="shared" si="88"/>
        <v>0.24</v>
      </c>
      <c r="AV87" s="166">
        <f t="shared" si="88"/>
        <v>0.24</v>
      </c>
      <c r="AW87" s="166">
        <f t="shared" si="88"/>
        <v>0.24</v>
      </c>
      <c r="AX87" s="166">
        <f t="shared" si="88"/>
        <v>0.24</v>
      </c>
      <c r="AY87" s="166">
        <f t="shared" si="88"/>
        <v>0.24</v>
      </c>
      <c r="AZ87" s="166">
        <f t="shared" si="88"/>
        <v>0.24</v>
      </c>
      <c r="BA87" s="166">
        <f t="shared" si="88"/>
        <v>0.24</v>
      </c>
      <c r="BB87" s="166">
        <f t="shared" si="88"/>
        <v>0.24</v>
      </c>
      <c r="BC87" s="166">
        <f t="shared" si="88"/>
        <v>0.24</v>
      </c>
      <c r="BD87" s="166">
        <f t="shared" si="88"/>
        <v>0.24</v>
      </c>
      <c r="BE87" s="166">
        <f t="shared" si="88"/>
        <v>0.24</v>
      </c>
      <c r="BF87" s="166"/>
      <c r="BG87" s="143"/>
      <c r="BH87" s="75"/>
      <c r="BI87" s="143" t="s">
        <v>391</v>
      </c>
      <c r="BJ87" s="143"/>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row>
    <row r="88" spans="1:135" ht="14.25" customHeight="1">
      <c r="A88" s="18"/>
      <c r="B88" s="18"/>
      <c r="C88" s="19"/>
      <c r="D88" s="18"/>
      <c r="E88" s="18"/>
      <c r="F88" s="19"/>
      <c r="G88" s="18"/>
      <c r="H88" s="114"/>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40"/>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8"/>
      <c r="BH88" s="1"/>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c r="ED88" s="18"/>
      <c r="EE88" s="18"/>
    </row>
    <row r="89" spans="1:135" ht="14.25" customHeight="1">
      <c r="A89" s="173" t="s">
        <v>240</v>
      </c>
      <c r="B89" s="18"/>
      <c r="C89" s="112" t="s">
        <v>226</v>
      </c>
      <c r="D89" s="169" t="s">
        <v>214</v>
      </c>
      <c r="E89" s="113" t="s">
        <v>215</v>
      </c>
      <c r="F89" s="112" t="s">
        <v>215</v>
      </c>
      <c r="G89" s="18"/>
      <c r="H89" s="114"/>
      <c r="I89" s="108">
        <v>0</v>
      </c>
      <c r="J89" s="108">
        <v>2E-3</v>
      </c>
      <c r="K89" s="108">
        <v>4.0000000000000001E-3</v>
      </c>
      <c r="L89" s="108">
        <v>6.0000000000000001E-3</v>
      </c>
      <c r="M89" s="108">
        <v>0.01</v>
      </c>
      <c r="N89" s="108">
        <v>1.2999999999999999E-2</v>
      </c>
      <c r="O89" s="108">
        <v>1.7000000000000001E-2</v>
      </c>
      <c r="P89" s="108">
        <v>2.1000000000000001E-2</v>
      </c>
      <c r="Q89" s="108">
        <v>2.4E-2</v>
      </c>
      <c r="R89" s="108">
        <v>2.9000000000000001E-2</v>
      </c>
      <c r="S89" s="108">
        <v>3.3000000000000002E-2</v>
      </c>
      <c r="T89" s="108">
        <v>3.6999999999999998E-2</v>
      </c>
      <c r="U89" s="108">
        <v>4.1000000000000002E-2</v>
      </c>
      <c r="V89" s="108">
        <v>4.4999999999999998E-2</v>
      </c>
      <c r="W89" s="108">
        <v>4.9000000000000002E-2</v>
      </c>
      <c r="X89" s="108">
        <v>5.2999999999999999E-2</v>
      </c>
      <c r="Y89" s="108">
        <v>5.7000000000000002E-2</v>
      </c>
      <c r="Z89" s="108">
        <v>6.0999999999999999E-2</v>
      </c>
      <c r="AA89" s="108">
        <v>6.4000000000000001E-2</v>
      </c>
      <c r="AB89" s="108">
        <v>6.7000000000000004E-2</v>
      </c>
      <c r="AC89" s="108">
        <v>7.0000000000000007E-2</v>
      </c>
      <c r="AD89" s="108">
        <v>7.2999999999999995E-2</v>
      </c>
      <c r="AE89" s="108">
        <v>7.5999999999999998E-2</v>
      </c>
      <c r="AF89" s="108">
        <v>7.9000000000000001E-2</v>
      </c>
      <c r="AG89" s="108">
        <v>8.1000000000000003E-2</v>
      </c>
      <c r="AH89" s="108">
        <v>8.2000000000000003E-2</v>
      </c>
      <c r="AI89" s="108">
        <v>8.4000000000000005E-2</v>
      </c>
      <c r="AJ89" s="108">
        <v>8.5000000000000006E-2</v>
      </c>
      <c r="AK89" s="147">
        <v>8.6999999999999994E-2</v>
      </c>
      <c r="AL89" s="111">
        <f t="shared" ref="AL89:BE89" si="89">AK89</f>
        <v>8.6999999999999994E-2</v>
      </c>
      <c r="AM89" s="111">
        <f t="shared" si="89"/>
        <v>8.6999999999999994E-2</v>
      </c>
      <c r="AN89" s="111">
        <f t="shared" si="89"/>
        <v>8.6999999999999994E-2</v>
      </c>
      <c r="AO89" s="111">
        <f t="shared" si="89"/>
        <v>8.6999999999999994E-2</v>
      </c>
      <c r="AP89" s="111">
        <f t="shared" si="89"/>
        <v>8.6999999999999994E-2</v>
      </c>
      <c r="AQ89" s="111">
        <f t="shared" si="89"/>
        <v>8.6999999999999994E-2</v>
      </c>
      <c r="AR89" s="111">
        <f t="shared" si="89"/>
        <v>8.6999999999999994E-2</v>
      </c>
      <c r="AS89" s="111">
        <f t="shared" si="89"/>
        <v>8.6999999999999994E-2</v>
      </c>
      <c r="AT89" s="111">
        <f t="shared" si="89"/>
        <v>8.6999999999999994E-2</v>
      </c>
      <c r="AU89" s="111">
        <f t="shared" si="89"/>
        <v>8.6999999999999994E-2</v>
      </c>
      <c r="AV89" s="111">
        <f t="shared" si="89"/>
        <v>8.6999999999999994E-2</v>
      </c>
      <c r="AW89" s="111">
        <f t="shared" si="89"/>
        <v>8.6999999999999994E-2</v>
      </c>
      <c r="AX89" s="111">
        <f t="shared" si="89"/>
        <v>8.6999999999999994E-2</v>
      </c>
      <c r="AY89" s="111">
        <f t="shared" si="89"/>
        <v>8.6999999999999994E-2</v>
      </c>
      <c r="AZ89" s="111">
        <f t="shared" si="89"/>
        <v>8.6999999999999994E-2</v>
      </c>
      <c r="BA89" s="111">
        <f t="shared" si="89"/>
        <v>8.6999999999999994E-2</v>
      </c>
      <c r="BB89" s="111">
        <f t="shared" si="89"/>
        <v>8.6999999999999994E-2</v>
      </c>
      <c r="BC89" s="111">
        <f t="shared" si="89"/>
        <v>8.6999999999999994E-2</v>
      </c>
      <c r="BD89" s="111">
        <f t="shared" si="89"/>
        <v>8.6999999999999994E-2</v>
      </c>
      <c r="BE89" s="111">
        <f t="shared" si="89"/>
        <v>8.6999999999999994E-2</v>
      </c>
      <c r="BF89" s="111"/>
      <c r="BG89" s="108">
        <v>8.6999999999999994E-2</v>
      </c>
      <c r="BH89" s="191">
        <v>5.6300000000000003E-2</v>
      </c>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c r="ED89" s="18"/>
      <c r="EE89" s="18"/>
    </row>
    <row r="90" spans="1:135" ht="14.25" customHeight="1">
      <c r="A90" s="173"/>
      <c r="B90" s="18"/>
      <c r="C90" s="112" t="s">
        <v>368</v>
      </c>
      <c r="D90" s="169" t="s">
        <v>61</v>
      </c>
      <c r="E90" s="113" t="s">
        <v>369</v>
      </c>
      <c r="F90" s="112" t="s">
        <v>370</v>
      </c>
      <c r="G90" s="18"/>
      <c r="H90" s="114"/>
      <c r="I90" s="108">
        <v>0</v>
      </c>
      <c r="J90" s="108">
        <v>0.01</v>
      </c>
      <c r="K90" s="108">
        <v>0.02</v>
      </c>
      <c r="L90" s="108">
        <v>0.03</v>
      </c>
      <c r="M90" s="108">
        <v>4.2000000000000003E-2</v>
      </c>
      <c r="N90" s="108">
        <v>5.3999999999999999E-2</v>
      </c>
      <c r="O90" s="108">
        <v>6.6000000000000003E-2</v>
      </c>
      <c r="P90" s="108">
        <v>7.8E-2</v>
      </c>
      <c r="Q90" s="108">
        <v>0.09</v>
      </c>
      <c r="R90" s="108">
        <v>0.104</v>
      </c>
      <c r="S90" s="108">
        <v>0.11799999999999999</v>
      </c>
      <c r="T90" s="108">
        <v>0.13200000000000001</v>
      </c>
      <c r="U90" s="108">
        <v>0.14599999999999999</v>
      </c>
      <c r="V90" s="108">
        <v>0.16</v>
      </c>
      <c r="W90" s="108">
        <v>0.17199999999999999</v>
      </c>
      <c r="X90" s="108">
        <v>0.184</v>
      </c>
      <c r="Y90" s="108">
        <v>0.19600000000000001</v>
      </c>
      <c r="Z90" s="108">
        <v>0.20799999999999999</v>
      </c>
      <c r="AA90" s="108">
        <v>0.22</v>
      </c>
      <c r="AB90" s="108">
        <v>0.23</v>
      </c>
      <c r="AC90" s="108">
        <v>0.24</v>
      </c>
      <c r="AD90" s="108">
        <v>0.25</v>
      </c>
      <c r="AE90" s="108">
        <v>0.26</v>
      </c>
      <c r="AF90" s="108">
        <v>0.27</v>
      </c>
      <c r="AG90" s="108">
        <v>0.27600000000000002</v>
      </c>
      <c r="AH90" s="108">
        <v>0.28199999999999997</v>
      </c>
      <c r="AI90" s="108">
        <v>0.28799999999999998</v>
      </c>
      <c r="AJ90" s="108">
        <v>0.29399999999999998</v>
      </c>
      <c r="AK90" s="147">
        <v>0.3</v>
      </c>
      <c r="AL90" s="108">
        <v>0.334261083743843</v>
      </c>
      <c r="AM90" s="108">
        <v>0.345694581280789</v>
      </c>
      <c r="AN90" s="108">
        <v>0.35712807881773401</v>
      </c>
      <c r="AO90" s="108">
        <v>0.36856157635468001</v>
      </c>
      <c r="AP90" s="108">
        <v>0.37999507389162601</v>
      </c>
      <c r="AQ90" s="108">
        <v>0.39142857142857201</v>
      </c>
      <c r="AR90" s="108">
        <v>0.40286206896551802</v>
      </c>
      <c r="AS90" s="108">
        <v>0.41429556650246302</v>
      </c>
      <c r="AT90" s="108">
        <v>0.42572906403940902</v>
      </c>
      <c r="AU90" s="108">
        <v>0.43716256157635502</v>
      </c>
      <c r="AV90" s="108">
        <v>0.44859605911330103</v>
      </c>
      <c r="AW90" s="108">
        <v>0.46002955665024697</v>
      </c>
      <c r="AX90" s="108">
        <v>0.47146305418719198</v>
      </c>
      <c r="AY90" s="108">
        <v>0.48289655172413798</v>
      </c>
      <c r="AZ90" s="108">
        <v>0.49433004926108398</v>
      </c>
      <c r="BA90" s="108">
        <v>0.50576354679803004</v>
      </c>
      <c r="BB90" s="108">
        <v>0.51719704433497604</v>
      </c>
      <c r="BC90" s="108">
        <v>0.52863054187192204</v>
      </c>
      <c r="BD90" s="108">
        <v>0.54006403940886705</v>
      </c>
      <c r="BE90" s="108">
        <v>0.55149753694581305</v>
      </c>
      <c r="BF90" s="108"/>
      <c r="BG90" s="108">
        <v>0.3</v>
      </c>
      <c r="BH90" s="191">
        <v>0.17</v>
      </c>
      <c r="BI90" s="18"/>
      <c r="BJ90" s="18"/>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row>
    <row r="91" spans="1:135" ht="14.25" customHeight="1">
      <c r="A91" s="192"/>
      <c r="B91" s="193"/>
      <c r="C91" s="194" t="s">
        <v>392</v>
      </c>
      <c r="D91" s="195" t="s">
        <v>58</v>
      </c>
      <c r="E91" s="196" t="s">
        <v>376</v>
      </c>
      <c r="F91" s="194" t="s">
        <v>366</v>
      </c>
      <c r="G91" s="193"/>
      <c r="H91" s="197"/>
      <c r="I91" s="198">
        <v>0</v>
      </c>
      <c r="J91" s="198">
        <v>3.3E-3</v>
      </c>
      <c r="K91" s="198">
        <v>6.7000000000000002E-3</v>
      </c>
      <c r="L91" s="198">
        <v>0.01</v>
      </c>
      <c r="M91" s="198">
        <v>2.8000000000000001E-2</v>
      </c>
      <c r="N91" s="198">
        <v>4.5999999999999999E-2</v>
      </c>
      <c r="O91" s="198">
        <v>6.4000000000000001E-2</v>
      </c>
      <c r="P91" s="198">
        <v>8.2000000000000003E-2</v>
      </c>
      <c r="Q91" s="198">
        <v>0.1</v>
      </c>
      <c r="R91" s="198">
        <v>0.12</v>
      </c>
      <c r="S91" s="198">
        <v>0.14000000000000001</v>
      </c>
      <c r="T91" s="198">
        <v>0.16</v>
      </c>
      <c r="U91" s="198">
        <v>0.18</v>
      </c>
      <c r="V91" s="198">
        <v>0.2</v>
      </c>
      <c r="W91" s="198">
        <v>0.22</v>
      </c>
      <c r="X91" s="198">
        <v>0.24</v>
      </c>
      <c r="Y91" s="198">
        <v>0.26</v>
      </c>
      <c r="Z91" s="198">
        <v>0.28000000000000003</v>
      </c>
      <c r="AA91" s="198">
        <v>0.3</v>
      </c>
      <c r="AB91" s="198">
        <v>0.314</v>
      </c>
      <c r="AC91" s="198">
        <v>0.32800000000000001</v>
      </c>
      <c r="AD91" s="198">
        <v>0.34200000000000003</v>
      </c>
      <c r="AE91" s="198">
        <v>0.35599999999999998</v>
      </c>
      <c r="AF91" s="198">
        <v>0.37</v>
      </c>
      <c r="AG91" s="198">
        <v>0.376</v>
      </c>
      <c r="AH91" s="198">
        <v>0.38200000000000001</v>
      </c>
      <c r="AI91" s="198">
        <v>0.38800000000000001</v>
      </c>
      <c r="AJ91" s="198">
        <v>0.39400000000000002</v>
      </c>
      <c r="AK91" s="199">
        <v>0.4</v>
      </c>
      <c r="AL91" s="198">
        <v>0.45706921182266003</v>
      </c>
      <c r="AM91" s="198">
        <v>0.47354049261083703</v>
      </c>
      <c r="AN91" s="198">
        <v>0.49001177339901503</v>
      </c>
      <c r="AO91" s="198">
        <v>0.50648305418719197</v>
      </c>
      <c r="AP91" s="198">
        <v>0.52295433497537003</v>
      </c>
      <c r="AQ91" s="198">
        <v>0.53942561576354697</v>
      </c>
      <c r="AR91" s="198">
        <v>0.55589689655172403</v>
      </c>
      <c r="AS91" s="198">
        <v>0.57236817733990097</v>
      </c>
      <c r="AT91" s="198">
        <v>0.58883945812807903</v>
      </c>
      <c r="AU91" s="198">
        <v>0.60531073891625597</v>
      </c>
      <c r="AV91" s="198">
        <v>0.62178201970443403</v>
      </c>
      <c r="AW91" s="198">
        <v>0.63825330049261098</v>
      </c>
      <c r="AX91" s="198">
        <v>0.65472458128078803</v>
      </c>
      <c r="AY91" s="198">
        <v>0.67119586206896598</v>
      </c>
      <c r="AZ91" s="198">
        <v>0.68766714285714303</v>
      </c>
      <c r="BA91" s="198">
        <v>0.70413842364531998</v>
      </c>
      <c r="BB91" s="198">
        <v>0.72060970443349803</v>
      </c>
      <c r="BC91" s="198">
        <v>0.73708098522167498</v>
      </c>
      <c r="BD91" s="198">
        <v>0.75355226600985203</v>
      </c>
      <c r="BE91" s="198">
        <v>0.77002354679802998</v>
      </c>
      <c r="BF91" s="198"/>
      <c r="BG91" s="198">
        <v>0.4</v>
      </c>
      <c r="BH91" s="200">
        <v>0.31</v>
      </c>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row>
    <row r="92" spans="1:135" ht="14.25" customHeight="1">
      <c r="A92" s="18"/>
      <c r="B92" s="18"/>
      <c r="C92" s="19"/>
      <c r="D92" s="18" t="s">
        <v>208</v>
      </c>
      <c r="E92" s="18"/>
      <c r="F92" s="19"/>
      <c r="G92" s="18"/>
      <c r="H92" s="114"/>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40"/>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8"/>
      <c r="BH92" s="1"/>
      <c r="BI92" s="18"/>
      <c r="BJ92" s="18"/>
      <c r="BK92" s="193"/>
      <c r="BL92" s="193"/>
      <c r="BM92" s="193"/>
      <c r="BN92" s="193"/>
      <c r="BO92" s="193"/>
      <c r="BP92" s="193"/>
      <c r="BQ92" s="193"/>
      <c r="BR92" s="193"/>
      <c r="BS92" s="193"/>
      <c r="BT92" s="193"/>
      <c r="BU92" s="193"/>
      <c r="BV92" s="193"/>
      <c r="BW92" s="193"/>
      <c r="BX92" s="193"/>
      <c r="BY92" s="193"/>
      <c r="BZ92" s="193"/>
      <c r="CA92" s="193"/>
      <c r="CB92" s="193"/>
      <c r="CC92" s="193"/>
      <c r="CD92" s="193"/>
      <c r="CE92" s="193"/>
      <c r="CF92" s="193"/>
      <c r="CG92" s="193"/>
      <c r="CH92" s="193"/>
      <c r="CI92" s="193"/>
      <c r="CJ92" s="193"/>
      <c r="CK92" s="193"/>
      <c r="CL92" s="193"/>
      <c r="CM92" s="193"/>
      <c r="CN92" s="193"/>
      <c r="CO92" s="193"/>
      <c r="CP92" s="193"/>
      <c r="CQ92" s="193"/>
      <c r="CR92" s="193"/>
      <c r="CS92" s="193"/>
      <c r="CT92" s="193"/>
      <c r="CU92" s="193"/>
      <c r="CV92" s="193"/>
      <c r="CW92" s="193"/>
      <c r="CX92" s="193"/>
      <c r="CY92" s="193"/>
      <c r="CZ92" s="193"/>
      <c r="DA92" s="193"/>
      <c r="DB92" s="193"/>
      <c r="DC92" s="193"/>
      <c r="DD92" s="193"/>
      <c r="DE92" s="193"/>
      <c r="DF92" s="193"/>
      <c r="DG92" s="193"/>
      <c r="DH92" s="193"/>
      <c r="DI92" s="193"/>
      <c r="DJ92" s="193"/>
      <c r="DK92" s="193"/>
      <c r="DL92" s="193"/>
      <c r="DM92" s="193"/>
      <c r="DN92" s="193"/>
      <c r="DO92" s="193"/>
      <c r="DP92" s="193"/>
      <c r="DQ92" s="193"/>
      <c r="DR92" s="193"/>
      <c r="DS92" s="193"/>
      <c r="DT92" s="193"/>
      <c r="DU92" s="193"/>
      <c r="DV92" s="193"/>
      <c r="DW92" s="193"/>
      <c r="DX92" s="193"/>
      <c r="DY92" s="193"/>
      <c r="DZ92" s="193"/>
      <c r="EA92" s="193"/>
      <c r="EB92" s="193"/>
      <c r="EC92" s="193"/>
      <c r="ED92" s="193"/>
      <c r="EE92" s="193"/>
    </row>
    <row r="93" spans="1:135" ht="14.25" customHeight="1">
      <c r="A93" s="18"/>
      <c r="B93" s="18"/>
      <c r="C93" s="19"/>
      <c r="D93" s="18"/>
      <c r="E93" s="18"/>
      <c r="F93" s="19"/>
      <c r="G93" s="18"/>
      <c r="H93" s="114"/>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40"/>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8"/>
      <c r="BH93" s="1"/>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row>
    <row r="94" spans="1:135" ht="14.25" customHeight="1">
      <c r="A94" s="159" t="s">
        <v>393</v>
      </c>
      <c r="B94" s="143"/>
      <c r="C94" s="160" t="s">
        <v>226</v>
      </c>
      <c r="D94" s="161" t="s">
        <v>214</v>
      </c>
      <c r="E94" s="162" t="s">
        <v>215</v>
      </c>
      <c r="F94" s="160" t="s">
        <v>215</v>
      </c>
      <c r="G94" s="201"/>
      <c r="H94" s="202"/>
      <c r="I94" s="201">
        <v>0</v>
      </c>
      <c r="J94" s="203">
        <v>5.1000000000000004E-3</v>
      </c>
      <c r="K94" s="203">
        <v>1.01E-2</v>
      </c>
      <c r="L94" s="203">
        <v>1.52E-2</v>
      </c>
      <c r="M94" s="203">
        <v>2.1399999999999999E-2</v>
      </c>
      <c r="N94" s="203">
        <v>2.76E-2</v>
      </c>
      <c r="O94" s="203">
        <v>3.3799999999999997E-2</v>
      </c>
      <c r="P94" s="203">
        <v>0.04</v>
      </c>
      <c r="Q94" s="203">
        <v>4.6100000000000002E-2</v>
      </c>
      <c r="R94" s="203">
        <v>5.3800000000000001E-2</v>
      </c>
      <c r="S94" s="203">
        <v>6.1600000000000002E-2</v>
      </c>
      <c r="T94" s="203">
        <v>6.93E-2</v>
      </c>
      <c r="U94" s="203">
        <v>7.6999999999999999E-2</v>
      </c>
      <c r="V94" s="203">
        <v>8.4699999999999998E-2</v>
      </c>
      <c r="W94" s="203">
        <v>9.0899999999999995E-2</v>
      </c>
      <c r="X94" s="201">
        <v>9.7100000000000006E-2</v>
      </c>
      <c r="Y94" s="201">
        <v>0.1033</v>
      </c>
      <c r="Z94" s="201">
        <v>0.1095</v>
      </c>
      <c r="AA94" s="201">
        <v>0.1157</v>
      </c>
      <c r="AB94" s="201">
        <v>0.1203</v>
      </c>
      <c r="AC94" s="201">
        <v>0.1249</v>
      </c>
      <c r="AD94" s="201">
        <v>0.1295</v>
      </c>
      <c r="AE94" s="201">
        <v>0.13420000000000001</v>
      </c>
      <c r="AF94" s="201">
        <v>0.13880000000000001</v>
      </c>
      <c r="AG94" s="201">
        <v>0.14180000000000001</v>
      </c>
      <c r="AH94" s="201">
        <v>0.1449</v>
      </c>
      <c r="AI94" s="201">
        <v>0.14799999999999999</v>
      </c>
      <c r="AJ94" s="201">
        <v>0.151</v>
      </c>
      <c r="AK94" s="204">
        <v>0.15409999999999999</v>
      </c>
      <c r="AL94" s="166">
        <f t="shared" ref="AL94:BE94" si="90">_xlfn.FORECAST.LINEAR(AL$1,$BG94:$BH94,$BG$1:$BH$1)</f>
        <v>0.1548449999999999</v>
      </c>
      <c r="AM94" s="166">
        <f t="shared" si="90"/>
        <v>0.1555899999999999</v>
      </c>
      <c r="AN94" s="166">
        <f t="shared" si="90"/>
        <v>0.15633499999999989</v>
      </c>
      <c r="AO94" s="166">
        <f t="shared" si="90"/>
        <v>0.15707999999999989</v>
      </c>
      <c r="AP94" s="166">
        <f t="shared" si="90"/>
        <v>0.1578250000000001</v>
      </c>
      <c r="AQ94" s="166">
        <f t="shared" si="90"/>
        <v>0.1585700000000001</v>
      </c>
      <c r="AR94" s="166">
        <f t="shared" si="90"/>
        <v>0.1593150000000001</v>
      </c>
      <c r="AS94" s="166">
        <f t="shared" si="90"/>
        <v>0.16006000000000009</v>
      </c>
      <c r="AT94" s="166">
        <f t="shared" si="90"/>
        <v>0.16080500000000009</v>
      </c>
      <c r="AU94" s="166">
        <f t="shared" si="90"/>
        <v>0.16155000000000008</v>
      </c>
      <c r="AV94" s="166">
        <f t="shared" si="90"/>
        <v>0.16229500000000008</v>
      </c>
      <c r="AW94" s="166">
        <f t="shared" si="90"/>
        <v>0.16304000000000007</v>
      </c>
      <c r="AX94" s="166">
        <f t="shared" si="90"/>
        <v>0.16378500000000007</v>
      </c>
      <c r="AY94" s="166">
        <f t="shared" si="90"/>
        <v>0.16453000000000007</v>
      </c>
      <c r="AZ94" s="166">
        <f t="shared" si="90"/>
        <v>0.16527500000000006</v>
      </c>
      <c r="BA94" s="166">
        <f t="shared" si="90"/>
        <v>0.16602000000000006</v>
      </c>
      <c r="BB94" s="166">
        <f t="shared" si="90"/>
        <v>0.16676500000000027</v>
      </c>
      <c r="BC94" s="166">
        <f t="shared" si="90"/>
        <v>0.16751000000000027</v>
      </c>
      <c r="BD94" s="166">
        <f t="shared" si="90"/>
        <v>0.16825500000000027</v>
      </c>
      <c r="BE94" s="166">
        <f t="shared" si="90"/>
        <v>0.16900000000000026</v>
      </c>
      <c r="BF94" s="166"/>
      <c r="BG94" s="167">
        <v>0.15409999999999999</v>
      </c>
      <c r="BH94" s="168">
        <v>0.16900000000000026</v>
      </c>
      <c r="BI94" s="143"/>
      <c r="BJ94" s="143"/>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row>
    <row r="95" spans="1:135" ht="14.25" customHeight="1">
      <c r="A95" s="173"/>
      <c r="B95" s="18"/>
      <c r="C95" s="112" t="s">
        <v>368</v>
      </c>
      <c r="D95" s="169" t="s">
        <v>372</v>
      </c>
      <c r="E95" s="113" t="s">
        <v>373</v>
      </c>
      <c r="F95" s="112" t="s">
        <v>370</v>
      </c>
      <c r="G95" s="129"/>
      <c r="H95" s="170"/>
      <c r="I95" s="129">
        <v>0</v>
      </c>
      <c r="J95" s="151">
        <v>6.7000000000000002E-3</v>
      </c>
      <c r="K95" s="151">
        <v>1.3299999999999999E-2</v>
      </c>
      <c r="L95" s="151">
        <v>0.02</v>
      </c>
      <c r="M95" s="151">
        <v>2.8000000000000001E-2</v>
      </c>
      <c r="N95" s="151">
        <v>3.5999999999999997E-2</v>
      </c>
      <c r="O95" s="151">
        <v>4.3999999999999997E-2</v>
      </c>
      <c r="P95" s="151">
        <v>5.1999999999999998E-2</v>
      </c>
      <c r="Q95" s="151">
        <v>0.06</v>
      </c>
      <c r="R95" s="151">
        <v>7.0000000000000007E-2</v>
      </c>
      <c r="S95" s="151">
        <v>0.08</v>
      </c>
      <c r="T95" s="151">
        <v>0.09</v>
      </c>
      <c r="U95" s="151">
        <v>0.1</v>
      </c>
      <c r="V95" s="151">
        <v>0.11</v>
      </c>
      <c r="W95" s="151">
        <v>0.11799999999999999</v>
      </c>
      <c r="X95" s="151">
        <v>0.126</v>
      </c>
      <c r="Y95" s="151">
        <v>0.13400000000000001</v>
      </c>
      <c r="Z95" s="151">
        <v>0.14199999999999999</v>
      </c>
      <c r="AA95" s="151">
        <v>0.15</v>
      </c>
      <c r="AB95" s="151">
        <v>0.156</v>
      </c>
      <c r="AC95" s="151">
        <v>0.16200000000000001</v>
      </c>
      <c r="AD95" s="151">
        <v>0.16800000000000001</v>
      </c>
      <c r="AE95" s="151">
        <v>0.17399999999999999</v>
      </c>
      <c r="AF95" s="151">
        <v>0.18</v>
      </c>
      <c r="AG95" s="151">
        <v>0.184</v>
      </c>
      <c r="AH95" s="151">
        <v>0.188</v>
      </c>
      <c r="AI95" s="151">
        <v>0.192</v>
      </c>
      <c r="AJ95" s="151">
        <v>0.19600000000000001</v>
      </c>
      <c r="AK95" s="152">
        <v>0.2</v>
      </c>
      <c r="AL95" s="166">
        <f t="shared" ref="AL95:BE95" si="91">_xlfn.FORECAST.LINEAR(AL$1,$BG95:$BH95,$BG$1:$BH$1)</f>
        <v>0.208482566502461</v>
      </c>
      <c r="AM95" s="166">
        <f t="shared" si="91"/>
        <v>0.21696513300492626</v>
      </c>
      <c r="AN95" s="166">
        <f t="shared" si="91"/>
        <v>0.22544769950738797</v>
      </c>
      <c r="AO95" s="166">
        <f t="shared" si="91"/>
        <v>0.23393026600984967</v>
      </c>
      <c r="AP95" s="166">
        <f t="shared" si="91"/>
        <v>0.24241283251231494</v>
      </c>
      <c r="AQ95" s="166">
        <f t="shared" si="91"/>
        <v>0.25089539901477664</v>
      </c>
      <c r="AR95" s="166">
        <f t="shared" si="91"/>
        <v>0.25937796551723835</v>
      </c>
      <c r="AS95" s="166">
        <f t="shared" si="91"/>
        <v>0.26786053201970361</v>
      </c>
      <c r="AT95" s="166">
        <f t="shared" si="91"/>
        <v>0.27634309852216532</v>
      </c>
      <c r="AU95" s="166">
        <f t="shared" si="91"/>
        <v>0.28482566502463058</v>
      </c>
      <c r="AV95" s="166">
        <f t="shared" si="91"/>
        <v>0.29330823152709229</v>
      </c>
      <c r="AW95" s="166">
        <f t="shared" si="91"/>
        <v>0.301790798029554</v>
      </c>
      <c r="AX95" s="166">
        <f t="shared" si="91"/>
        <v>0.31027336453201926</v>
      </c>
      <c r="AY95" s="166">
        <f t="shared" si="91"/>
        <v>0.31875593103448097</v>
      </c>
      <c r="AZ95" s="166">
        <f t="shared" si="91"/>
        <v>0.32723849753694267</v>
      </c>
      <c r="BA95" s="166">
        <f t="shared" si="91"/>
        <v>0.33572106403940793</v>
      </c>
      <c r="BB95" s="166">
        <f t="shared" si="91"/>
        <v>0.34420363054186964</v>
      </c>
      <c r="BC95" s="166">
        <f t="shared" si="91"/>
        <v>0.3526861970443349</v>
      </c>
      <c r="BD95" s="166">
        <f t="shared" si="91"/>
        <v>0.36116876354679661</v>
      </c>
      <c r="BE95" s="166">
        <f t="shared" si="91"/>
        <v>0.36965133004925832</v>
      </c>
      <c r="BF95" s="111"/>
      <c r="BG95" s="205">
        <v>0.2</v>
      </c>
      <c r="BH95" s="172">
        <v>0.36965133004926098</v>
      </c>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row>
    <row r="96" spans="1:135" ht="14.25" customHeight="1">
      <c r="A96" s="192"/>
      <c r="B96" s="193"/>
      <c r="C96" s="194" t="s">
        <v>392</v>
      </c>
      <c r="D96" s="195" t="s">
        <v>58</v>
      </c>
      <c r="E96" s="196" t="s">
        <v>376</v>
      </c>
      <c r="F96" s="206" t="s">
        <v>366</v>
      </c>
      <c r="G96" s="207"/>
      <c r="H96" s="208"/>
      <c r="I96" s="207">
        <v>0</v>
      </c>
      <c r="J96" s="209">
        <v>2E-3</v>
      </c>
      <c r="K96" s="209">
        <v>3.0000000000000001E-3</v>
      </c>
      <c r="L96" s="209">
        <v>5.0000000000000001E-3</v>
      </c>
      <c r="M96" s="209">
        <v>1.2E-2</v>
      </c>
      <c r="N96" s="209">
        <v>1.9E-2</v>
      </c>
      <c r="O96" s="209">
        <v>2.5999999999999999E-2</v>
      </c>
      <c r="P96" s="209">
        <v>3.3000000000000002E-2</v>
      </c>
      <c r="Q96" s="209">
        <v>0.04</v>
      </c>
      <c r="R96" s="209">
        <v>4.8000000000000001E-2</v>
      </c>
      <c r="S96" s="209">
        <v>5.6000000000000001E-2</v>
      </c>
      <c r="T96" s="209">
        <v>6.4000000000000001E-2</v>
      </c>
      <c r="U96" s="209">
        <v>7.1999999999999995E-2</v>
      </c>
      <c r="V96" s="209">
        <v>0.08</v>
      </c>
      <c r="W96" s="209">
        <v>8.7999999999999995E-2</v>
      </c>
      <c r="X96" s="209">
        <v>9.6000000000000002E-2</v>
      </c>
      <c r="Y96" s="209">
        <v>0.104</v>
      </c>
      <c r="Z96" s="209">
        <v>0.112</v>
      </c>
      <c r="AA96" s="209">
        <v>0.12</v>
      </c>
      <c r="AB96" s="209">
        <v>0.124</v>
      </c>
      <c r="AC96" s="209">
        <v>0.128</v>
      </c>
      <c r="AD96" s="209">
        <v>0.13200000000000001</v>
      </c>
      <c r="AE96" s="209">
        <v>0.13600000000000001</v>
      </c>
      <c r="AF96" s="209">
        <v>0.14000000000000001</v>
      </c>
      <c r="AG96" s="209">
        <v>0.14199999999999999</v>
      </c>
      <c r="AH96" s="209">
        <v>0.14399999999999999</v>
      </c>
      <c r="AI96" s="209">
        <v>0.14599999999999999</v>
      </c>
      <c r="AJ96" s="209">
        <v>0.14799999999999999</v>
      </c>
      <c r="AK96" s="210">
        <v>0.15</v>
      </c>
      <c r="AL96" s="166">
        <f t="shared" ref="AL96:BE96" si="92">_xlfn.FORECAST.LINEAR(AL$1,$BG96:$BH96,$BG$1:$BH$1)</f>
        <v>0.15713206896551846</v>
      </c>
      <c r="AM96" s="166">
        <f t="shared" si="92"/>
        <v>0.16426413793103478</v>
      </c>
      <c r="AN96" s="166">
        <f t="shared" si="92"/>
        <v>0.17139620689655288</v>
      </c>
      <c r="AO96" s="166">
        <f t="shared" si="92"/>
        <v>0.17852827586206921</v>
      </c>
      <c r="AP96" s="166">
        <f t="shared" si="92"/>
        <v>0.18566034482758731</v>
      </c>
      <c r="AQ96" s="166">
        <f t="shared" si="92"/>
        <v>0.19279241379310363</v>
      </c>
      <c r="AR96" s="166">
        <f t="shared" si="92"/>
        <v>0.19992448275862174</v>
      </c>
      <c r="AS96" s="166">
        <f t="shared" si="92"/>
        <v>0.20705655172413806</v>
      </c>
      <c r="AT96" s="166">
        <f t="shared" si="92"/>
        <v>0.21418862068965616</v>
      </c>
      <c r="AU96" s="166">
        <f t="shared" si="92"/>
        <v>0.22132068965517249</v>
      </c>
      <c r="AV96" s="166">
        <f t="shared" si="92"/>
        <v>0.22845275862069059</v>
      </c>
      <c r="AW96" s="166">
        <f t="shared" si="92"/>
        <v>0.23558482758620691</v>
      </c>
      <c r="AX96" s="166">
        <f t="shared" si="92"/>
        <v>0.24271689655172501</v>
      </c>
      <c r="AY96" s="166">
        <f t="shared" si="92"/>
        <v>0.24984896551724134</v>
      </c>
      <c r="AZ96" s="166">
        <f t="shared" si="92"/>
        <v>0.25698103448275944</v>
      </c>
      <c r="BA96" s="166">
        <f t="shared" si="92"/>
        <v>0.26411310344827577</v>
      </c>
      <c r="BB96" s="166">
        <f t="shared" si="92"/>
        <v>0.27124517241379387</v>
      </c>
      <c r="BC96" s="166">
        <f t="shared" si="92"/>
        <v>0.27837724137931019</v>
      </c>
      <c r="BD96" s="166">
        <f t="shared" si="92"/>
        <v>0.28550931034482829</v>
      </c>
      <c r="BE96" s="166">
        <f t="shared" si="92"/>
        <v>0.29264137931034462</v>
      </c>
      <c r="BF96" s="111"/>
      <c r="BG96" s="211">
        <v>0.15</v>
      </c>
      <c r="BH96" s="212">
        <v>0.29264137931034501</v>
      </c>
      <c r="BI96" s="193" t="s">
        <v>394</v>
      </c>
      <c r="BJ96" s="193"/>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C96" s="18"/>
      <c r="ED96" s="18"/>
      <c r="EE96" s="18"/>
    </row>
    <row r="97" spans="1:135" ht="14.25" customHeight="1">
      <c r="A97" s="18"/>
      <c r="B97" s="18"/>
      <c r="C97" s="19"/>
      <c r="D97" s="18"/>
      <c r="E97" s="18"/>
      <c r="F97" s="19"/>
      <c r="G97" s="18"/>
      <c r="H97" s="114"/>
      <c r="I97" s="18"/>
      <c r="J97" s="18"/>
      <c r="K97" s="18"/>
      <c r="L97" s="18"/>
      <c r="M97" s="18"/>
      <c r="N97" s="18"/>
      <c r="O97" s="18"/>
      <c r="P97" s="18"/>
      <c r="Q97" s="18"/>
      <c r="R97" s="18"/>
      <c r="S97" s="18"/>
      <c r="T97" s="18"/>
      <c r="U97" s="18"/>
      <c r="V97" s="18"/>
      <c r="W97" s="108"/>
      <c r="X97" s="108"/>
      <c r="Y97" s="108"/>
      <c r="Z97" s="108"/>
      <c r="AA97" s="108"/>
      <c r="AB97" s="108"/>
      <c r="AC97" s="108"/>
      <c r="AD97" s="108"/>
      <c r="AE97" s="108"/>
      <c r="AF97" s="108"/>
      <c r="AG97" s="108"/>
      <c r="AH97" s="108"/>
      <c r="AI97" s="108"/>
      <c r="AJ97" s="108"/>
      <c r="AK97" s="147"/>
      <c r="AL97" s="141"/>
      <c r="AM97" s="141"/>
      <c r="AN97" s="141"/>
      <c r="AO97" s="141"/>
      <c r="AP97" s="141"/>
      <c r="AQ97" s="141"/>
      <c r="AR97" s="141"/>
      <c r="AS97" s="141"/>
      <c r="AT97" s="141"/>
      <c r="AU97" s="141"/>
      <c r="AV97" s="141"/>
      <c r="AW97" s="141"/>
      <c r="AX97" s="141"/>
      <c r="AY97" s="141"/>
      <c r="AZ97" s="141"/>
      <c r="BA97" s="141"/>
      <c r="BB97" s="141"/>
      <c r="BC97" s="141"/>
      <c r="BD97" s="141"/>
      <c r="BE97" s="141"/>
      <c r="BF97" s="141"/>
      <c r="BG97" s="108"/>
      <c r="BH97" s="1"/>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C97" s="18"/>
      <c r="ED97" s="18"/>
      <c r="EE97" s="18"/>
    </row>
    <row r="98" spans="1:135" ht="14.25" customHeight="1">
      <c r="A98" s="18"/>
      <c r="B98" s="18"/>
      <c r="C98" s="19"/>
      <c r="D98" s="18"/>
      <c r="E98" s="18"/>
      <c r="F98" s="19"/>
      <c r="G98" s="18"/>
      <c r="H98" s="114"/>
      <c r="I98" s="18"/>
      <c r="J98" s="18"/>
      <c r="K98" s="1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47"/>
      <c r="AL98" s="141"/>
      <c r="AM98" s="141"/>
      <c r="AN98" s="141"/>
      <c r="AO98" s="141"/>
      <c r="AP98" s="141"/>
      <c r="AQ98" s="141"/>
      <c r="AR98" s="141"/>
      <c r="AS98" s="141"/>
      <c r="AT98" s="141"/>
      <c r="AU98" s="141"/>
      <c r="AV98" s="141"/>
      <c r="AW98" s="141"/>
      <c r="AX98" s="141"/>
      <c r="AY98" s="141"/>
      <c r="AZ98" s="141"/>
      <c r="BA98" s="141"/>
      <c r="BB98" s="141"/>
      <c r="BC98" s="141"/>
      <c r="BD98" s="141"/>
      <c r="BE98" s="141"/>
      <c r="BF98" s="141"/>
      <c r="BG98" s="18"/>
      <c r="BH98" s="1"/>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c r="ED98" s="18"/>
      <c r="EE98" s="18"/>
    </row>
    <row r="99" spans="1:135" ht="14.25" customHeight="1">
      <c r="A99" s="18"/>
      <c r="B99" s="18"/>
      <c r="C99" s="19"/>
      <c r="D99" s="18"/>
      <c r="E99" s="18"/>
      <c r="F99" s="19"/>
      <c r="G99" s="18"/>
      <c r="H99" s="114"/>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40"/>
      <c r="AL99" s="141"/>
      <c r="AM99" s="141"/>
      <c r="AN99" s="141"/>
      <c r="AO99" s="141"/>
      <c r="AP99" s="141"/>
      <c r="AQ99" s="141"/>
      <c r="AR99" s="141"/>
      <c r="AS99" s="141"/>
      <c r="AT99" s="141"/>
      <c r="AU99" s="141"/>
      <c r="AV99" s="141"/>
      <c r="AW99" s="141"/>
      <c r="AX99" s="141"/>
      <c r="AY99" s="141"/>
      <c r="AZ99" s="141"/>
      <c r="BA99" s="141"/>
      <c r="BB99" s="141"/>
      <c r="BC99" s="141"/>
      <c r="BD99" s="141"/>
      <c r="BE99" s="141"/>
      <c r="BF99" s="141"/>
      <c r="BG99" s="18"/>
      <c r="BH99" s="1"/>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row>
    <row r="100" spans="1:135" ht="14.25" customHeight="1">
      <c r="A100" s="18"/>
      <c r="B100" s="18"/>
      <c r="C100" s="19"/>
      <c r="D100" s="18"/>
      <c r="E100" s="18"/>
      <c r="F100" s="19"/>
      <c r="G100" s="18"/>
      <c r="H100" s="114"/>
      <c r="I100" s="141"/>
      <c r="J100" s="141"/>
      <c r="K100" s="141"/>
      <c r="L100" s="141"/>
      <c r="M100" s="141"/>
      <c r="N100" s="141"/>
      <c r="O100" s="141"/>
      <c r="P100" s="141"/>
      <c r="Q100" s="141"/>
      <c r="R100" s="141"/>
      <c r="S100" s="141"/>
      <c r="T100" s="141"/>
      <c r="U100" s="141"/>
      <c r="V100" s="141"/>
      <c r="W100" s="141"/>
      <c r="X100" s="141"/>
      <c r="Y100" s="141"/>
      <c r="Z100" s="141"/>
      <c r="AA100" s="141"/>
      <c r="AB100" s="141"/>
      <c r="AC100" s="141"/>
      <c r="AD100" s="141"/>
      <c r="AE100" s="141"/>
      <c r="AF100" s="141"/>
      <c r="AG100" s="141"/>
      <c r="AH100" s="141"/>
      <c r="AI100" s="141"/>
      <c r="AJ100" s="141"/>
      <c r="AK100" s="213"/>
      <c r="AL100" s="141"/>
      <c r="AM100" s="141"/>
      <c r="AN100" s="141"/>
      <c r="AO100" s="141"/>
      <c r="AP100" s="141"/>
      <c r="AQ100" s="141"/>
      <c r="AR100" s="141"/>
      <c r="AS100" s="141"/>
      <c r="AT100" s="141"/>
      <c r="AU100" s="141"/>
      <c r="AV100" s="141"/>
      <c r="AW100" s="141"/>
      <c r="AX100" s="141"/>
      <c r="AY100" s="141"/>
      <c r="AZ100" s="141"/>
      <c r="BA100" s="141"/>
      <c r="BB100" s="141"/>
      <c r="BC100" s="141"/>
      <c r="BD100" s="141"/>
      <c r="BE100" s="141"/>
      <c r="BF100" s="141"/>
      <c r="BG100" s="141"/>
      <c r="BH100" s="141"/>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18"/>
      <c r="DN100" s="18"/>
      <c r="DO100" s="18"/>
      <c r="DP100" s="18"/>
      <c r="DQ100" s="18"/>
      <c r="DR100" s="18"/>
      <c r="DS100" s="18"/>
      <c r="DT100" s="18"/>
      <c r="DU100" s="18"/>
      <c r="DV100" s="18"/>
      <c r="DW100" s="18"/>
      <c r="DX100" s="18"/>
      <c r="DY100" s="18"/>
      <c r="DZ100" s="18"/>
      <c r="EA100" s="18"/>
      <c r="EB100" s="18"/>
      <c r="EC100" s="18"/>
      <c r="ED100" s="18"/>
      <c r="EE100" s="18"/>
    </row>
    <row r="101" spans="1:135" ht="14.25" customHeight="1">
      <c r="A101" s="18"/>
      <c r="B101" s="18"/>
      <c r="C101" s="19"/>
      <c r="D101" s="18"/>
      <c r="E101" s="18"/>
      <c r="F101" s="19"/>
      <c r="G101" s="18"/>
      <c r="H101" s="114"/>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40"/>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18"/>
      <c r="DN101" s="18"/>
      <c r="DO101" s="18"/>
      <c r="DP101" s="18"/>
      <c r="DQ101" s="18"/>
      <c r="DR101" s="18"/>
      <c r="DS101" s="18"/>
      <c r="DT101" s="18"/>
      <c r="DU101" s="18"/>
      <c r="DV101" s="18"/>
      <c r="DW101" s="18"/>
      <c r="DX101" s="18"/>
      <c r="DY101" s="18"/>
      <c r="DZ101" s="18"/>
      <c r="EA101" s="18"/>
      <c r="EB101" s="18"/>
      <c r="EC101" s="18"/>
      <c r="ED101" s="18"/>
      <c r="EE101" s="18"/>
    </row>
    <row r="102" spans="1:135" ht="14.25" customHeight="1">
      <c r="A102" s="18"/>
      <c r="B102" s="18"/>
      <c r="C102" s="19"/>
      <c r="D102" s="18"/>
      <c r="E102" s="18"/>
      <c r="F102" s="186"/>
      <c r="G102" s="18"/>
      <c r="H102" s="114"/>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40"/>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row>
    <row r="103" spans="1:135" ht="14.25" customHeight="1">
      <c r="A103" s="18"/>
      <c r="B103" s="18"/>
      <c r="C103" s="19"/>
      <c r="D103" s="18"/>
      <c r="E103" s="18"/>
      <c r="F103" s="19"/>
      <c r="G103" s="18"/>
      <c r="H103" s="114"/>
      <c r="I103" s="18"/>
      <c r="J103" s="18"/>
      <c r="K103" s="18"/>
      <c r="L103" s="18"/>
      <c r="M103" s="18"/>
      <c r="N103" s="18"/>
      <c r="O103" s="18"/>
      <c r="P103" s="18"/>
      <c r="Q103" s="18"/>
      <c r="R103" s="18"/>
      <c r="S103" s="18"/>
      <c r="T103" s="18"/>
      <c r="U103" s="18"/>
      <c r="V103" s="18"/>
      <c r="W103" s="18"/>
      <c r="X103" s="18"/>
      <c r="Y103" s="18"/>
      <c r="Z103" s="111"/>
      <c r="AA103" s="18"/>
      <c r="AB103" s="18"/>
      <c r="AC103" s="18"/>
      <c r="AD103" s="18"/>
      <c r="AE103" s="18"/>
      <c r="AF103" s="18"/>
      <c r="AG103" s="18"/>
      <c r="AH103" s="18"/>
      <c r="AI103" s="18"/>
      <c r="AJ103" s="18"/>
      <c r="AK103" s="140"/>
      <c r="AL103" s="141"/>
      <c r="AM103" s="141"/>
      <c r="AN103" s="141"/>
      <c r="AO103" s="141"/>
      <c r="AP103" s="141"/>
      <c r="AQ103" s="141"/>
      <c r="AR103" s="141"/>
      <c r="AS103" s="141"/>
      <c r="AT103" s="141"/>
      <c r="AU103" s="141"/>
      <c r="AV103" s="141"/>
      <c r="AW103" s="141"/>
      <c r="AX103" s="141"/>
      <c r="AY103" s="141"/>
      <c r="AZ103" s="141"/>
      <c r="BA103" s="141"/>
      <c r="BB103" s="141"/>
      <c r="BC103" s="141"/>
      <c r="BD103" s="141"/>
      <c r="BE103" s="141"/>
      <c r="BF103" s="141"/>
      <c r="BG103" s="18"/>
      <c r="BH103" s="1"/>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row>
    <row r="104" spans="1:135" ht="14.25" customHeight="1">
      <c r="A104" s="18"/>
      <c r="B104" s="18"/>
      <c r="C104" s="19"/>
      <c r="D104" s="18"/>
      <c r="E104" s="18"/>
      <c r="F104" s="19"/>
      <c r="G104" s="18"/>
      <c r="H104" s="114"/>
      <c r="I104" s="18"/>
      <c r="J104" s="18"/>
      <c r="K104" s="18"/>
      <c r="L104" s="18"/>
      <c r="M104" s="18"/>
      <c r="N104" s="18"/>
      <c r="O104" s="18"/>
      <c r="P104" s="18"/>
      <c r="Q104" s="18"/>
      <c r="R104" s="18"/>
      <c r="S104" s="18"/>
      <c r="T104" s="18"/>
      <c r="U104" s="18"/>
      <c r="V104" s="18"/>
      <c r="W104" s="18"/>
      <c r="X104" s="18"/>
      <c r="Y104" s="18"/>
      <c r="Z104" s="111"/>
      <c r="AA104" s="18"/>
      <c r="AB104" s="18"/>
      <c r="AC104" s="18"/>
      <c r="AD104" s="18"/>
      <c r="AE104" s="18"/>
      <c r="AF104" s="18"/>
      <c r="AG104" s="18"/>
      <c r="AH104" s="18"/>
      <c r="AI104" s="18"/>
      <c r="AJ104" s="18"/>
      <c r="AK104" s="140"/>
      <c r="AL104" s="141"/>
      <c r="AM104" s="141"/>
      <c r="AN104" s="141"/>
      <c r="AO104" s="141"/>
      <c r="AP104" s="141"/>
      <c r="AQ104" s="141"/>
      <c r="AR104" s="141"/>
      <c r="AS104" s="141"/>
      <c r="AT104" s="141"/>
      <c r="AU104" s="141"/>
      <c r="AV104" s="141"/>
      <c r="AW104" s="141"/>
      <c r="AX104" s="141"/>
      <c r="AY104" s="141"/>
      <c r="AZ104" s="141"/>
      <c r="BA104" s="141"/>
      <c r="BB104" s="141"/>
      <c r="BC104" s="141"/>
      <c r="BD104" s="141"/>
      <c r="BE104" s="141"/>
      <c r="BF104" s="141"/>
      <c r="BG104" s="18"/>
      <c r="BH104" s="1"/>
      <c r="BI104" s="187"/>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row>
    <row r="105" spans="1:135" ht="14.25" customHeight="1">
      <c r="A105" s="187"/>
      <c r="B105" s="18"/>
      <c r="C105" s="19"/>
      <c r="D105" s="18"/>
      <c r="E105" s="18"/>
      <c r="F105" s="19"/>
      <c r="G105" s="18"/>
      <c r="H105" s="114"/>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40"/>
      <c r="AL105" s="141"/>
      <c r="AM105" s="141"/>
      <c r="AN105" s="141"/>
      <c r="AO105" s="141"/>
      <c r="AP105" s="141"/>
      <c r="AQ105" s="141"/>
      <c r="AR105" s="141"/>
      <c r="AS105" s="141"/>
      <c r="AT105" s="141"/>
      <c r="AU105" s="141"/>
      <c r="AV105" s="141"/>
      <c r="AW105" s="141"/>
      <c r="AX105" s="141"/>
      <c r="AY105" s="141"/>
      <c r="AZ105" s="141"/>
      <c r="BA105" s="141"/>
      <c r="BB105" s="141"/>
      <c r="BC105" s="141"/>
      <c r="BD105" s="141"/>
      <c r="BE105" s="141"/>
      <c r="BF105" s="141"/>
      <c r="BG105" s="18"/>
      <c r="BH105" s="1"/>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row>
    <row r="106" spans="1:135" ht="14.25" customHeight="1">
      <c r="A106" s="187"/>
      <c r="B106" s="18"/>
      <c r="C106" s="19"/>
      <c r="D106" s="18"/>
      <c r="E106" s="18"/>
      <c r="F106" s="19"/>
      <c r="G106" s="18"/>
      <c r="H106" s="114"/>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40"/>
      <c r="AL106" s="141"/>
      <c r="AM106" s="141"/>
      <c r="AN106" s="141"/>
      <c r="AO106" s="141"/>
      <c r="AP106" s="141"/>
      <c r="AQ106" s="141"/>
      <c r="AR106" s="141"/>
      <c r="AS106" s="141"/>
      <c r="AT106" s="141"/>
      <c r="AU106" s="141"/>
      <c r="AV106" s="141"/>
      <c r="AW106" s="141"/>
      <c r="AX106" s="141"/>
      <c r="AY106" s="141"/>
      <c r="AZ106" s="141"/>
      <c r="BA106" s="141"/>
      <c r="BB106" s="141"/>
      <c r="BC106" s="141"/>
      <c r="BD106" s="141"/>
      <c r="BE106" s="141"/>
      <c r="BF106" s="141"/>
      <c r="BG106" s="18"/>
      <c r="BH106" s="1"/>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row>
    <row r="107" spans="1:135" ht="14.25" customHeight="1">
      <c r="A107" s="187"/>
      <c r="B107" s="18"/>
      <c r="C107" s="19"/>
      <c r="D107" s="18"/>
      <c r="E107" s="18"/>
      <c r="F107" s="19"/>
      <c r="G107" s="18"/>
      <c r="H107" s="114"/>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40"/>
      <c r="AL107" s="141"/>
      <c r="AM107" s="141"/>
      <c r="AN107" s="141"/>
      <c r="AO107" s="141"/>
      <c r="AP107" s="141"/>
      <c r="AQ107" s="141"/>
      <c r="AR107" s="141"/>
      <c r="AS107" s="141"/>
      <c r="AT107" s="141"/>
      <c r="AU107" s="141"/>
      <c r="AV107" s="141"/>
      <c r="AW107" s="141"/>
      <c r="AX107" s="141"/>
      <c r="AY107" s="141"/>
      <c r="AZ107" s="141"/>
      <c r="BA107" s="141"/>
      <c r="BB107" s="141"/>
      <c r="BC107" s="141"/>
      <c r="BD107" s="141"/>
      <c r="BE107" s="141"/>
      <c r="BF107" s="141"/>
      <c r="BG107" s="18"/>
      <c r="BH107" s="1"/>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row>
    <row r="108" spans="1:135" ht="14.25" customHeight="1">
      <c r="A108" s="187"/>
      <c r="B108" s="18"/>
      <c r="C108" s="19"/>
      <c r="D108" s="18"/>
      <c r="E108" s="18"/>
      <c r="F108" s="19"/>
      <c r="G108" s="18"/>
      <c r="H108" s="114"/>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40"/>
      <c r="AL108" s="141"/>
      <c r="AM108" s="141"/>
      <c r="AN108" s="141"/>
      <c r="AO108" s="141"/>
      <c r="AP108" s="141"/>
      <c r="AQ108" s="141"/>
      <c r="AR108" s="141"/>
      <c r="AS108" s="141"/>
      <c r="AT108" s="141"/>
      <c r="AU108" s="141"/>
      <c r="AV108" s="141"/>
      <c r="AW108" s="141"/>
      <c r="AX108" s="141"/>
      <c r="AY108" s="141"/>
      <c r="AZ108" s="141"/>
      <c r="BA108" s="141"/>
      <c r="BB108" s="141"/>
      <c r="BC108" s="141"/>
      <c r="BD108" s="141"/>
      <c r="BE108" s="141"/>
      <c r="BF108" s="141"/>
      <c r="BG108" s="18"/>
      <c r="BH108" s="1"/>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row>
    <row r="109" spans="1:135" ht="14.25" customHeight="1">
      <c r="A109" s="187"/>
      <c r="B109" s="18"/>
      <c r="C109" s="19"/>
      <c r="D109" s="18"/>
      <c r="E109" s="18"/>
      <c r="F109" s="19"/>
      <c r="G109" s="18"/>
      <c r="H109" s="114"/>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40"/>
      <c r="AL109" s="141"/>
      <c r="AM109" s="141"/>
      <c r="AN109" s="141"/>
      <c r="AO109" s="141"/>
      <c r="AP109" s="141"/>
      <c r="AQ109" s="141"/>
      <c r="AR109" s="141"/>
      <c r="AS109" s="141"/>
      <c r="AT109" s="141"/>
      <c r="AU109" s="141"/>
      <c r="AV109" s="141"/>
      <c r="AW109" s="141"/>
      <c r="AX109" s="141"/>
      <c r="AY109" s="141"/>
      <c r="AZ109" s="141"/>
      <c r="BA109" s="141"/>
      <c r="BB109" s="141"/>
      <c r="BC109" s="141"/>
      <c r="BD109" s="141"/>
      <c r="BE109" s="141"/>
      <c r="BF109" s="141"/>
      <c r="BG109" s="18"/>
      <c r="BH109" s="1"/>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c r="ED109" s="18"/>
      <c r="EE109" s="18"/>
    </row>
    <row r="110" spans="1:135" ht="14.25" customHeight="1">
      <c r="A110" s="187"/>
      <c r="B110" s="18"/>
      <c r="C110" s="19"/>
      <c r="D110" s="18"/>
      <c r="E110" s="18"/>
      <c r="F110" s="19"/>
      <c r="G110" s="18"/>
      <c r="H110" s="114"/>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40"/>
      <c r="AL110" s="141"/>
      <c r="AM110" s="141"/>
      <c r="AN110" s="141"/>
      <c r="AO110" s="141"/>
      <c r="AP110" s="141"/>
      <c r="AQ110" s="141"/>
      <c r="AR110" s="141"/>
      <c r="AS110" s="141"/>
      <c r="AT110" s="141"/>
      <c r="AU110" s="141"/>
      <c r="AV110" s="141"/>
      <c r="AW110" s="141"/>
      <c r="AX110" s="141"/>
      <c r="AY110" s="141"/>
      <c r="AZ110" s="141"/>
      <c r="BA110" s="141"/>
      <c r="BB110" s="141"/>
      <c r="BC110" s="141"/>
      <c r="BD110" s="141"/>
      <c r="BE110" s="141"/>
      <c r="BF110" s="141"/>
      <c r="BG110" s="18"/>
      <c r="BH110" s="1"/>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row>
    <row r="111" spans="1:135" ht="14.25" customHeight="1">
      <c r="A111" s="187"/>
      <c r="B111" s="18"/>
      <c r="C111" s="186"/>
      <c r="D111" s="18"/>
      <c r="E111" s="18"/>
      <c r="F111" s="19"/>
      <c r="G111" s="18"/>
      <c r="H111" s="114"/>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40"/>
      <c r="AL111" s="141"/>
      <c r="AM111" s="141"/>
      <c r="AN111" s="141"/>
      <c r="AO111" s="141"/>
      <c r="AP111" s="141"/>
      <c r="AQ111" s="141"/>
      <c r="AR111" s="141"/>
      <c r="AS111" s="141"/>
      <c r="AT111" s="141"/>
      <c r="AU111" s="141"/>
      <c r="AV111" s="141"/>
      <c r="AW111" s="141"/>
      <c r="AX111" s="141"/>
      <c r="AY111" s="141"/>
      <c r="AZ111" s="141"/>
      <c r="BA111" s="141"/>
      <c r="BB111" s="141"/>
      <c r="BC111" s="141"/>
      <c r="BD111" s="141"/>
      <c r="BE111" s="141"/>
      <c r="BF111" s="141"/>
      <c r="BG111" s="18"/>
      <c r="BH111" s="1"/>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row>
    <row r="112" spans="1:135" ht="14.25" customHeight="1">
      <c r="A112" s="187"/>
      <c r="B112" s="18"/>
      <c r="C112" s="186"/>
      <c r="D112" s="18"/>
      <c r="E112" s="18"/>
      <c r="F112" s="19"/>
      <c r="G112" s="18"/>
      <c r="H112" s="114"/>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40"/>
      <c r="AL112" s="141"/>
      <c r="AM112" s="141"/>
      <c r="AN112" s="141"/>
      <c r="AO112" s="141"/>
      <c r="AP112" s="141"/>
      <c r="AQ112" s="141"/>
      <c r="AR112" s="141"/>
      <c r="AS112" s="141"/>
      <c r="AT112" s="141"/>
      <c r="AU112" s="141"/>
      <c r="AV112" s="141"/>
      <c r="AW112" s="141"/>
      <c r="AX112" s="141"/>
      <c r="AY112" s="141"/>
      <c r="AZ112" s="141"/>
      <c r="BA112" s="141"/>
      <c r="BB112" s="141"/>
      <c r="BC112" s="141"/>
      <c r="BD112" s="141"/>
      <c r="BE112" s="141"/>
      <c r="BF112" s="141"/>
      <c r="BG112" s="18"/>
      <c r="BH112" s="1"/>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row>
    <row r="113" spans="1:135" ht="14.25" customHeight="1">
      <c r="A113" s="187"/>
      <c r="B113" s="18"/>
      <c r="C113" s="186"/>
      <c r="D113" s="18"/>
      <c r="E113" s="18"/>
      <c r="F113" s="19"/>
      <c r="G113" s="18"/>
      <c r="H113" s="114"/>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40"/>
      <c r="AL113" s="141"/>
      <c r="AM113" s="141"/>
      <c r="AN113" s="141"/>
      <c r="AO113" s="141"/>
      <c r="AP113" s="141"/>
      <c r="AQ113" s="141"/>
      <c r="AR113" s="141"/>
      <c r="AS113" s="141"/>
      <c r="AT113" s="141"/>
      <c r="AU113" s="141"/>
      <c r="AV113" s="141"/>
      <c r="AW113" s="141"/>
      <c r="AX113" s="141"/>
      <c r="AY113" s="141"/>
      <c r="AZ113" s="141"/>
      <c r="BA113" s="141"/>
      <c r="BB113" s="141"/>
      <c r="BC113" s="141"/>
      <c r="BD113" s="141"/>
      <c r="BE113" s="141"/>
      <c r="BF113" s="141"/>
      <c r="BG113" s="18"/>
      <c r="BH113" s="1"/>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row>
    <row r="114" spans="1:135" ht="14.25" customHeight="1">
      <c r="A114" s="187"/>
      <c r="B114" s="18"/>
      <c r="C114" s="19"/>
      <c r="D114" s="18"/>
      <c r="E114" s="18"/>
      <c r="F114" s="19"/>
      <c r="G114" s="18"/>
      <c r="H114" s="114"/>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40"/>
      <c r="AL114" s="141"/>
      <c r="AM114" s="141"/>
      <c r="AN114" s="141"/>
      <c r="AO114" s="141"/>
      <c r="AP114" s="141"/>
      <c r="AQ114" s="141"/>
      <c r="AR114" s="141"/>
      <c r="AS114" s="141"/>
      <c r="AT114" s="141"/>
      <c r="AU114" s="141"/>
      <c r="AV114" s="141"/>
      <c r="AW114" s="141"/>
      <c r="AX114" s="141"/>
      <c r="AY114" s="141"/>
      <c r="AZ114" s="141"/>
      <c r="BA114" s="141"/>
      <c r="BB114" s="141"/>
      <c r="BC114" s="141"/>
      <c r="BD114" s="141"/>
      <c r="BE114" s="141"/>
      <c r="BF114" s="141"/>
      <c r="BG114" s="18"/>
      <c r="BH114" s="1"/>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row>
    <row r="115" spans="1:135" ht="14.25" customHeight="1">
      <c r="A115" s="187"/>
      <c r="B115" s="18"/>
      <c r="C115" s="186"/>
      <c r="D115" s="18"/>
      <c r="E115" s="18"/>
      <c r="F115" s="19"/>
      <c r="G115" s="18"/>
      <c r="H115" s="114"/>
      <c r="I115" s="18">
        <v>2020</v>
      </c>
      <c r="J115" s="18"/>
      <c r="K115" s="18"/>
      <c r="L115" s="18"/>
      <c r="M115" s="18"/>
      <c r="N115" s="18"/>
      <c r="O115" s="18"/>
      <c r="P115" s="18">
        <v>2050</v>
      </c>
      <c r="Q115" s="18"/>
      <c r="R115" s="18"/>
      <c r="S115" s="18"/>
      <c r="T115" s="18"/>
      <c r="U115" s="18"/>
      <c r="V115" s="18"/>
      <c r="W115" s="18"/>
      <c r="X115" s="18"/>
      <c r="Y115" s="18"/>
      <c r="Z115" s="18"/>
      <c r="AA115" s="18"/>
      <c r="AB115" s="18"/>
      <c r="AC115" s="18"/>
      <c r="AD115" s="18"/>
      <c r="AE115" s="18"/>
      <c r="AF115" s="18"/>
      <c r="AG115" s="18"/>
      <c r="AH115" s="18"/>
      <c r="AI115" s="18"/>
      <c r="AJ115" s="18"/>
      <c r="AK115" s="140"/>
      <c r="AL115" s="141"/>
      <c r="AM115" s="141"/>
      <c r="AN115" s="141"/>
      <c r="AO115" s="141"/>
      <c r="AP115" s="141"/>
      <c r="AQ115" s="141"/>
      <c r="AR115" s="141"/>
      <c r="AS115" s="141"/>
      <c r="AT115" s="141"/>
      <c r="AU115" s="141"/>
      <c r="AV115" s="141"/>
      <c r="AW115" s="141"/>
      <c r="AX115" s="141"/>
      <c r="AY115" s="141"/>
      <c r="AZ115" s="141"/>
      <c r="BA115" s="141"/>
      <c r="BB115" s="141"/>
      <c r="BC115" s="141"/>
      <c r="BD115" s="141"/>
      <c r="BE115" s="141"/>
      <c r="BF115" s="141"/>
      <c r="BG115" s="18"/>
      <c r="BH115" s="1"/>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row>
    <row r="116" spans="1:135" ht="14.25" customHeight="1">
      <c r="A116" s="187"/>
      <c r="B116" s="18"/>
      <c r="C116" s="186"/>
      <c r="D116" s="18"/>
      <c r="E116" s="18"/>
      <c r="F116" s="19"/>
      <c r="G116" s="18" t="s">
        <v>395</v>
      </c>
      <c r="H116" s="114"/>
      <c r="I116" s="111">
        <v>0.156</v>
      </c>
      <c r="J116" s="18"/>
      <c r="K116" s="18"/>
      <c r="L116" s="18"/>
      <c r="M116" s="18"/>
      <c r="N116" s="18"/>
      <c r="O116" s="18"/>
      <c r="P116" s="107">
        <v>0.2</v>
      </c>
      <c r="Q116" s="18"/>
      <c r="R116" s="18"/>
      <c r="S116" s="18"/>
      <c r="T116" s="18"/>
      <c r="U116" s="18"/>
      <c r="V116" s="18"/>
      <c r="W116" s="18"/>
      <c r="X116" s="18"/>
      <c r="Y116" s="18"/>
      <c r="Z116" s="18"/>
      <c r="AA116" s="18"/>
      <c r="AB116" s="18"/>
      <c r="AC116" s="18"/>
      <c r="AD116" s="18"/>
      <c r="AE116" s="18"/>
      <c r="AF116" s="18"/>
      <c r="AG116" s="18"/>
      <c r="AH116" s="18"/>
      <c r="AI116" s="18"/>
      <c r="AJ116" s="18"/>
      <c r="AK116" s="140"/>
      <c r="AL116" s="141"/>
      <c r="AM116" s="141"/>
      <c r="AN116" s="141"/>
      <c r="AO116" s="141"/>
      <c r="AP116" s="141"/>
      <c r="AQ116" s="141"/>
      <c r="AR116" s="141"/>
      <c r="AS116" s="141"/>
      <c r="AT116" s="141"/>
      <c r="AU116" s="141"/>
      <c r="AV116" s="141"/>
      <c r="AW116" s="141"/>
      <c r="AX116" s="141"/>
      <c r="AY116" s="141"/>
      <c r="AZ116" s="141"/>
      <c r="BA116" s="141"/>
      <c r="BB116" s="141"/>
      <c r="BC116" s="141"/>
      <c r="BD116" s="141"/>
      <c r="BE116" s="141"/>
      <c r="BF116" s="141"/>
      <c r="BG116" s="18"/>
      <c r="BH116" s="1"/>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C116" s="18"/>
      <c r="ED116" s="18"/>
      <c r="EE116" s="18"/>
    </row>
    <row r="117" spans="1:135" ht="14.25" customHeight="1">
      <c r="A117" s="187"/>
      <c r="B117" s="18"/>
      <c r="C117" s="19"/>
      <c r="D117" s="18"/>
      <c r="E117" s="18"/>
      <c r="F117" s="19"/>
      <c r="G117" s="18" t="s">
        <v>396</v>
      </c>
      <c r="H117" s="114"/>
      <c r="I117" s="111">
        <v>0.22700000000000001</v>
      </c>
      <c r="J117" s="18"/>
      <c r="K117" s="18"/>
      <c r="L117" s="18"/>
      <c r="M117" s="18"/>
      <c r="N117" s="18"/>
      <c r="O117" s="18"/>
      <c r="P117" s="107">
        <v>0.15</v>
      </c>
      <c r="Q117" s="18"/>
      <c r="R117" s="18"/>
      <c r="S117" s="18"/>
      <c r="T117" s="18"/>
      <c r="U117" s="18"/>
      <c r="V117" s="18"/>
      <c r="W117" s="18"/>
      <c r="X117" s="18"/>
      <c r="Y117" s="18"/>
      <c r="Z117" s="18"/>
      <c r="AA117" s="18"/>
      <c r="AB117" s="18"/>
      <c r="AC117" s="18"/>
      <c r="AD117" s="18"/>
      <c r="AE117" s="18"/>
      <c r="AF117" s="18"/>
      <c r="AG117" s="18"/>
      <c r="AH117" s="18"/>
      <c r="AI117" s="18"/>
      <c r="AJ117" s="18"/>
      <c r="AK117" s="140"/>
      <c r="AL117" s="141"/>
      <c r="AM117" s="141"/>
      <c r="AN117" s="141"/>
      <c r="AO117" s="141"/>
      <c r="AP117" s="141"/>
      <c r="AQ117" s="141"/>
      <c r="AR117" s="141"/>
      <c r="AS117" s="141"/>
      <c r="AT117" s="141"/>
      <c r="AU117" s="141"/>
      <c r="AV117" s="141"/>
      <c r="AW117" s="141"/>
      <c r="AX117" s="141"/>
      <c r="AY117" s="141"/>
      <c r="AZ117" s="141"/>
      <c r="BA117" s="141"/>
      <c r="BB117" s="141"/>
      <c r="BC117" s="141"/>
      <c r="BD117" s="141"/>
      <c r="BE117" s="141"/>
      <c r="BF117" s="141"/>
      <c r="BG117" s="18"/>
      <c r="BH117" s="1"/>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C117" s="18"/>
      <c r="ED117" s="18"/>
      <c r="EE117" s="18"/>
    </row>
    <row r="118" spans="1:135" ht="14.25" customHeight="1">
      <c r="A118" s="187"/>
      <c r="B118" s="18"/>
      <c r="C118" s="19"/>
      <c r="D118" s="18"/>
      <c r="E118" s="18"/>
      <c r="F118" s="19"/>
      <c r="G118" s="18"/>
      <c r="H118" s="114"/>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40"/>
      <c r="AL118" s="141"/>
      <c r="AM118" s="141"/>
      <c r="AN118" s="141"/>
      <c r="AO118" s="141"/>
      <c r="AP118" s="141"/>
      <c r="AQ118" s="141"/>
      <c r="AR118" s="141"/>
      <c r="AS118" s="141"/>
      <c r="AT118" s="141"/>
      <c r="AU118" s="141"/>
      <c r="AV118" s="141"/>
      <c r="AW118" s="141"/>
      <c r="AX118" s="141"/>
      <c r="AY118" s="141"/>
      <c r="AZ118" s="141"/>
      <c r="BA118" s="141"/>
      <c r="BB118" s="141"/>
      <c r="BC118" s="141"/>
      <c r="BD118" s="141"/>
      <c r="BE118" s="141"/>
      <c r="BF118" s="141"/>
      <c r="BG118" s="18"/>
      <c r="BH118" s="1"/>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row>
    <row r="119" spans="1:135" ht="14.25" customHeight="1">
      <c r="A119" s="18"/>
      <c r="B119" s="18"/>
      <c r="C119" s="19"/>
      <c r="D119" s="18"/>
      <c r="E119" s="18"/>
      <c r="F119" s="19"/>
      <c r="G119" s="18"/>
      <c r="H119" s="114"/>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40"/>
      <c r="AL119" s="141"/>
      <c r="AM119" s="141"/>
      <c r="AN119" s="141"/>
      <c r="AO119" s="141"/>
      <c r="AP119" s="141"/>
      <c r="AQ119" s="141"/>
      <c r="AR119" s="141"/>
      <c r="AS119" s="141"/>
      <c r="AT119" s="141"/>
      <c r="AU119" s="141"/>
      <c r="AV119" s="141"/>
      <c r="AW119" s="141"/>
      <c r="AX119" s="141"/>
      <c r="AY119" s="141"/>
      <c r="AZ119" s="141"/>
      <c r="BA119" s="141"/>
      <c r="BB119" s="141"/>
      <c r="BC119" s="141"/>
      <c r="BD119" s="141"/>
      <c r="BE119" s="141"/>
      <c r="BF119" s="141"/>
      <c r="BG119" s="18"/>
      <c r="BH119" s="1"/>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8"/>
      <c r="EE119" s="18"/>
    </row>
    <row r="120" spans="1:135" ht="14.25" customHeight="1">
      <c r="A120" s="18"/>
      <c r="B120" s="18"/>
      <c r="C120" s="19"/>
      <c r="D120" s="18"/>
      <c r="E120" s="18"/>
      <c r="F120" s="19"/>
      <c r="G120" s="18"/>
      <c r="H120" s="114"/>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40"/>
      <c r="AL120" s="141"/>
      <c r="AM120" s="141"/>
      <c r="AN120" s="141"/>
      <c r="AO120" s="141"/>
      <c r="AP120" s="141"/>
      <c r="AQ120" s="141"/>
      <c r="AR120" s="141"/>
      <c r="AS120" s="141"/>
      <c r="AT120" s="141"/>
      <c r="AU120" s="141"/>
      <c r="AV120" s="141"/>
      <c r="AW120" s="141"/>
      <c r="AX120" s="141"/>
      <c r="AY120" s="141"/>
      <c r="AZ120" s="141"/>
      <c r="BA120" s="141"/>
      <c r="BB120" s="141"/>
      <c r="BC120" s="141"/>
      <c r="BD120" s="141"/>
      <c r="BE120" s="141"/>
      <c r="BF120" s="141"/>
      <c r="BG120" s="18"/>
      <c r="BH120" s="1"/>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row>
    <row r="121" spans="1:135" ht="14.25" customHeight="1">
      <c r="A121" s="18"/>
      <c r="B121" s="18"/>
      <c r="C121" s="19"/>
      <c r="D121" s="18"/>
      <c r="E121" s="18"/>
      <c r="F121" s="19"/>
      <c r="G121" s="18" t="s">
        <v>397</v>
      </c>
      <c r="H121" s="114"/>
      <c r="I121" s="18" t="s">
        <v>398</v>
      </c>
      <c r="J121" s="18">
        <v>754</v>
      </c>
      <c r="K121" s="18">
        <v>738</v>
      </c>
      <c r="L121" s="18">
        <v>696</v>
      </c>
      <c r="M121" s="18">
        <v>662</v>
      </c>
      <c r="N121" s="18">
        <v>653</v>
      </c>
      <c r="O121" s="18">
        <v>591</v>
      </c>
      <c r="P121" s="18">
        <v>573</v>
      </c>
      <c r="Q121" s="18">
        <v>556</v>
      </c>
      <c r="R121" s="18">
        <v>537</v>
      </c>
      <c r="S121" s="18">
        <v>513</v>
      </c>
      <c r="T121" s="18">
        <v>487</v>
      </c>
      <c r="U121" s="18"/>
      <c r="V121" s="18"/>
      <c r="W121" s="18"/>
      <c r="X121" s="18"/>
      <c r="Y121" s="18"/>
      <c r="Z121" s="18"/>
      <c r="AA121" s="18"/>
      <c r="AB121" s="18"/>
      <c r="AC121" s="18"/>
      <c r="AD121" s="18"/>
      <c r="AE121" s="18"/>
      <c r="AF121" s="18"/>
      <c r="AG121" s="18"/>
      <c r="AH121" s="18"/>
      <c r="AI121" s="18"/>
      <c r="AJ121" s="18"/>
      <c r="AK121" s="140"/>
      <c r="AL121" s="141"/>
      <c r="AM121" s="141"/>
      <c r="AN121" s="141"/>
      <c r="AO121" s="141"/>
      <c r="AP121" s="141"/>
      <c r="AQ121" s="141"/>
      <c r="AR121" s="141"/>
      <c r="AS121" s="141"/>
      <c r="AT121" s="141"/>
      <c r="AU121" s="141"/>
      <c r="AV121" s="141"/>
      <c r="AW121" s="141"/>
      <c r="AX121" s="141"/>
      <c r="AY121" s="141"/>
      <c r="AZ121" s="141"/>
      <c r="BA121" s="141"/>
      <c r="BB121" s="141"/>
      <c r="BC121" s="141"/>
      <c r="BD121" s="141"/>
      <c r="BE121" s="141"/>
      <c r="BF121" s="141"/>
      <c r="BG121" s="18"/>
      <c r="BH121" s="1"/>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c r="ED121" s="18"/>
      <c r="EE121" s="18"/>
    </row>
    <row r="122" spans="1:135" ht="14.25" customHeight="1">
      <c r="A122" s="18"/>
      <c r="B122" s="18"/>
      <c r="C122" s="19"/>
      <c r="D122" s="18"/>
      <c r="E122" s="18"/>
      <c r="F122" s="19"/>
      <c r="G122" s="18"/>
      <c r="H122" s="114"/>
      <c r="I122" s="214"/>
      <c r="J122" s="18">
        <v>861</v>
      </c>
      <c r="K122" s="18">
        <v>847</v>
      </c>
      <c r="L122" s="18">
        <v>808</v>
      </c>
      <c r="M122" s="18">
        <v>776</v>
      </c>
      <c r="N122" s="18">
        <v>778</v>
      </c>
      <c r="O122" s="18">
        <v>719</v>
      </c>
      <c r="P122" s="18">
        <v>703</v>
      </c>
      <c r="Q122" s="18">
        <v>689</v>
      </c>
      <c r="R122" s="18">
        <v>672</v>
      </c>
      <c r="S122" s="18">
        <v>651</v>
      </c>
      <c r="T122" s="18">
        <v>628</v>
      </c>
      <c r="U122" s="18"/>
      <c r="V122" s="18"/>
      <c r="W122" s="18"/>
      <c r="X122" s="18"/>
      <c r="Y122" s="18"/>
      <c r="Z122" s="18"/>
      <c r="AA122" s="18"/>
      <c r="AB122" s="18"/>
      <c r="AC122" s="18"/>
      <c r="AD122" s="18"/>
      <c r="AE122" s="18"/>
      <c r="AF122" s="18"/>
      <c r="AG122" s="18"/>
      <c r="AH122" s="18"/>
      <c r="AI122" s="18"/>
      <c r="AJ122" s="18"/>
      <c r="AK122" s="140"/>
      <c r="AL122" s="141"/>
      <c r="AM122" s="141"/>
      <c r="AN122" s="141"/>
      <c r="AO122" s="141"/>
      <c r="AP122" s="141"/>
      <c r="AQ122" s="141"/>
      <c r="AR122" s="141"/>
      <c r="AS122" s="141"/>
      <c r="AT122" s="141"/>
      <c r="AU122" s="141"/>
      <c r="AV122" s="141"/>
      <c r="AW122" s="141"/>
      <c r="AX122" s="141"/>
      <c r="AY122" s="141"/>
      <c r="AZ122" s="141"/>
      <c r="BA122" s="141"/>
      <c r="BB122" s="141"/>
      <c r="BC122" s="141"/>
      <c r="BD122" s="141"/>
      <c r="BE122" s="141"/>
      <c r="BF122" s="141"/>
      <c r="BG122" s="18"/>
      <c r="BH122" s="1"/>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c r="ED122" s="18"/>
      <c r="EE122" s="18"/>
    </row>
    <row r="123" spans="1:135" ht="14.25" customHeight="1">
      <c r="A123" s="18"/>
      <c r="B123" s="18"/>
      <c r="C123" s="19"/>
      <c r="D123" s="18"/>
      <c r="E123" s="18"/>
      <c r="F123" s="19"/>
      <c r="G123" s="18"/>
      <c r="H123" s="114"/>
      <c r="I123" s="18"/>
      <c r="J123" s="18">
        <f t="shared" ref="J123:T123" si="93">J122-J121</f>
        <v>107</v>
      </c>
      <c r="K123" s="18">
        <f t="shared" si="93"/>
        <v>109</v>
      </c>
      <c r="L123" s="18">
        <f t="shared" si="93"/>
        <v>112</v>
      </c>
      <c r="M123" s="18">
        <f t="shared" si="93"/>
        <v>114</v>
      </c>
      <c r="N123" s="18">
        <f t="shared" si="93"/>
        <v>125</v>
      </c>
      <c r="O123" s="18">
        <f t="shared" si="93"/>
        <v>128</v>
      </c>
      <c r="P123" s="18">
        <f t="shared" si="93"/>
        <v>130</v>
      </c>
      <c r="Q123" s="18">
        <f t="shared" si="93"/>
        <v>133</v>
      </c>
      <c r="R123" s="18">
        <f t="shared" si="93"/>
        <v>135</v>
      </c>
      <c r="S123" s="18">
        <f t="shared" si="93"/>
        <v>138</v>
      </c>
      <c r="T123" s="18">
        <f t="shared" si="93"/>
        <v>141</v>
      </c>
      <c r="U123" s="18"/>
      <c r="V123" s="18"/>
      <c r="W123" s="18"/>
      <c r="X123" s="18"/>
      <c r="Y123" s="18"/>
      <c r="Z123" s="18"/>
      <c r="AA123" s="18"/>
      <c r="AB123" s="18"/>
      <c r="AC123" s="18"/>
      <c r="AD123" s="18"/>
      <c r="AE123" s="18"/>
      <c r="AF123" s="18"/>
      <c r="AG123" s="18"/>
      <c r="AH123" s="18"/>
      <c r="AI123" s="18"/>
      <c r="AJ123" s="18"/>
      <c r="AK123" s="140"/>
      <c r="AL123" s="141"/>
      <c r="AM123" s="141"/>
      <c r="AN123" s="141"/>
      <c r="AO123" s="141"/>
      <c r="AP123" s="141"/>
      <c r="AQ123" s="141"/>
      <c r="AR123" s="141"/>
      <c r="AS123" s="141"/>
      <c r="AT123" s="141"/>
      <c r="AU123" s="141"/>
      <c r="AV123" s="141"/>
      <c r="AW123" s="141"/>
      <c r="AX123" s="141"/>
      <c r="AY123" s="141"/>
      <c r="AZ123" s="141"/>
      <c r="BA123" s="141"/>
      <c r="BB123" s="141"/>
      <c r="BC123" s="141"/>
      <c r="BD123" s="141"/>
      <c r="BE123" s="141"/>
      <c r="BF123" s="141"/>
      <c r="BG123" s="18"/>
      <c r="BH123" s="1"/>
      <c r="BI123" s="18"/>
      <c r="BJ123" s="18"/>
      <c r="BK123" s="18">
        <v>2039</v>
      </c>
      <c r="BL123" s="18">
        <v>2040</v>
      </c>
      <c r="BM123" s="18">
        <v>2043</v>
      </c>
      <c r="BN123" s="18">
        <v>2044</v>
      </c>
      <c r="BO123" s="18">
        <v>2045</v>
      </c>
      <c r="BP123" s="18">
        <v>2046</v>
      </c>
      <c r="BQ123" s="18">
        <v>2047</v>
      </c>
      <c r="BR123" s="18">
        <v>2048</v>
      </c>
      <c r="BS123" s="18">
        <v>2049</v>
      </c>
      <c r="BT123" s="18">
        <v>2050</v>
      </c>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row>
    <row r="124" spans="1:135" ht="14.25" customHeight="1">
      <c r="A124" s="18"/>
      <c r="B124" s="18"/>
      <c r="C124" s="186"/>
      <c r="D124" s="18"/>
      <c r="E124" s="18"/>
      <c r="F124" s="19"/>
      <c r="G124" s="18"/>
      <c r="H124" s="114"/>
      <c r="I124" s="18"/>
      <c r="J124" s="107">
        <f t="shared" ref="J124:T124" si="94">J121/J122</f>
        <v>0.87572590011614404</v>
      </c>
      <c r="K124" s="107">
        <f t="shared" si="94"/>
        <v>0.87131050767414409</v>
      </c>
      <c r="L124" s="107">
        <f t="shared" si="94"/>
        <v>0.86138613861386137</v>
      </c>
      <c r="M124" s="107">
        <f t="shared" si="94"/>
        <v>0.85309278350515461</v>
      </c>
      <c r="N124" s="107">
        <f t="shared" si="94"/>
        <v>0.83933161953727509</v>
      </c>
      <c r="O124" s="107">
        <f t="shared" si="94"/>
        <v>0.82197496522948543</v>
      </c>
      <c r="P124" s="107">
        <f t="shared" si="94"/>
        <v>0.81507823613086772</v>
      </c>
      <c r="Q124" s="107">
        <f t="shared" si="94"/>
        <v>0.80696661828737304</v>
      </c>
      <c r="R124" s="107">
        <f t="shared" si="94"/>
        <v>0.7991071428571429</v>
      </c>
      <c r="S124" s="107">
        <f t="shared" si="94"/>
        <v>0.78801843317972353</v>
      </c>
      <c r="T124" s="107">
        <f t="shared" si="94"/>
        <v>0.77547770700636942</v>
      </c>
      <c r="U124" s="18"/>
      <c r="V124" s="18"/>
      <c r="W124" s="18"/>
      <c r="X124" s="18"/>
      <c r="Y124" s="18"/>
      <c r="Z124" s="18"/>
      <c r="AA124" s="18"/>
      <c r="AB124" s="18"/>
      <c r="AC124" s="18"/>
      <c r="AD124" s="18"/>
      <c r="AE124" s="18"/>
      <c r="AF124" s="18"/>
      <c r="AG124" s="18"/>
      <c r="AH124" s="18"/>
      <c r="AI124" s="18"/>
      <c r="AJ124" s="18"/>
      <c r="AK124" s="140"/>
      <c r="AL124" s="141"/>
      <c r="AM124" s="141"/>
      <c r="AN124" s="141"/>
      <c r="AO124" s="141"/>
      <c r="AP124" s="141"/>
      <c r="AQ124" s="141"/>
      <c r="AR124" s="141"/>
      <c r="AS124" s="141"/>
      <c r="AT124" s="141"/>
      <c r="AU124" s="141"/>
      <c r="AV124" s="141"/>
      <c r="AW124" s="141"/>
      <c r="AX124" s="141"/>
      <c r="AY124" s="141"/>
      <c r="AZ124" s="141"/>
      <c r="BA124" s="141"/>
      <c r="BB124" s="141"/>
      <c r="BC124" s="141"/>
      <c r="BD124" s="141"/>
      <c r="BE124" s="141"/>
      <c r="BF124" s="141"/>
      <c r="BG124" s="18"/>
      <c r="BH124" s="1"/>
      <c r="BI124" s="18"/>
      <c r="BJ124" s="18"/>
      <c r="BK124" s="18">
        <f>BJ130*BK125</f>
        <v>0.95470461441432708</v>
      </c>
      <c r="BL124" s="18">
        <f>BK124*BL125</f>
        <v>0.90696938369361069</v>
      </c>
      <c r="BM124" s="18">
        <f>BH126*BM125</f>
        <v>0</v>
      </c>
      <c r="BN124" s="18">
        <f t="shared" ref="BN124:BT124" si="95">BM124*BN125</f>
        <v>0</v>
      </c>
      <c r="BO124" s="18">
        <f t="shared" si="95"/>
        <v>0</v>
      </c>
      <c r="BP124" s="18">
        <f t="shared" si="95"/>
        <v>0</v>
      </c>
      <c r="BQ124" s="18">
        <f t="shared" si="95"/>
        <v>0</v>
      </c>
      <c r="BR124" s="18">
        <f t="shared" si="95"/>
        <v>0</v>
      </c>
      <c r="BS124" s="18">
        <f t="shared" si="95"/>
        <v>0</v>
      </c>
      <c r="BT124" s="18">
        <f t="shared" si="95"/>
        <v>0</v>
      </c>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row>
    <row r="125" spans="1:135" ht="14.25" customHeight="1">
      <c r="A125" s="18"/>
      <c r="B125" s="18"/>
      <c r="C125" s="19"/>
      <c r="D125" s="18"/>
      <c r="E125" s="18"/>
      <c r="F125" s="19"/>
      <c r="G125" s="18"/>
      <c r="H125" s="114"/>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40"/>
      <c r="AL125" s="141"/>
      <c r="AM125" s="141"/>
      <c r="AN125" s="141"/>
      <c r="AO125" s="141"/>
      <c r="AP125" s="141"/>
      <c r="AQ125" s="141"/>
      <c r="AR125" s="141"/>
      <c r="AS125" s="141"/>
      <c r="AT125" s="141"/>
      <c r="AU125" s="141"/>
      <c r="AV125" s="141"/>
      <c r="AW125" s="141"/>
      <c r="AX125" s="141"/>
      <c r="AY125" s="141"/>
      <c r="AZ125" s="141"/>
      <c r="BA125" s="141"/>
      <c r="BB125" s="141"/>
      <c r="BC125" s="141"/>
      <c r="BD125" s="141"/>
      <c r="BE125" s="141"/>
      <c r="BF125" s="141"/>
      <c r="BG125" s="18"/>
      <c r="BH125" s="1"/>
      <c r="BI125" s="18"/>
      <c r="BJ125" s="18"/>
      <c r="BK125" s="18">
        <f>BJ131</f>
        <v>0.95</v>
      </c>
      <c r="BL125" s="18">
        <f>BK125</f>
        <v>0.95</v>
      </c>
      <c r="BM125" s="18">
        <f>BH127</f>
        <v>0</v>
      </c>
      <c r="BN125" s="18">
        <f t="shared" ref="BN125:BT125" si="96">BM125</f>
        <v>0</v>
      </c>
      <c r="BO125" s="18">
        <f t="shared" si="96"/>
        <v>0</v>
      </c>
      <c r="BP125" s="18">
        <f t="shared" si="96"/>
        <v>0</v>
      </c>
      <c r="BQ125" s="18">
        <f t="shared" si="96"/>
        <v>0</v>
      </c>
      <c r="BR125" s="18">
        <f t="shared" si="96"/>
        <v>0</v>
      </c>
      <c r="BS125" s="18">
        <f t="shared" si="96"/>
        <v>0</v>
      </c>
      <c r="BT125" s="18">
        <f t="shared" si="96"/>
        <v>0</v>
      </c>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row>
    <row r="126" spans="1:135" ht="14.25" customHeight="1">
      <c r="A126" s="18"/>
      <c r="B126" s="18"/>
      <c r="C126" s="19"/>
      <c r="D126" s="18"/>
      <c r="E126" s="18"/>
      <c r="F126" s="19"/>
      <c r="G126" s="18"/>
      <c r="H126" s="114"/>
      <c r="I126" s="18"/>
      <c r="J126" s="18">
        <v>107</v>
      </c>
      <c r="K126" s="18">
        <v>109</v>
      </c>
      <c r="L126" s="18">
        <v>112</v>
      </c>
      <c r="M126" s="18">
        <v>114</v>
      </c>
      <c r="N126" s="18">
        <v>125</v>
      </c>
      <c r="O126" s="18">
        <v>128</v>
      </c>
      <c r="P126" s="18">
        <v>130</v>
      </c>
      <c r="Q126" s="18">
        <v>133</v>
      </c>
      <c r="R126" s="18">
        <v>135</v>
      </c>
      <c r="S126" s="18">
        <v>138</v>
      </c>
      <c r="T126" s="18">
        <v>141</v>
      </c>
      <c r="U126" s="18"/>
      <c r="V126" s="18"/>
      <c r="W126" s="18"/>
      <c r="X126" s="18"/>
      <c r="Y126" s="18"/>
      <c r="Z126" s="18"/>
      <c r="AA126" s="18"/>
      <c r="AB126" s="18"/>
      <c r="AC126" s="18"/>
      <c r="AD126" s="18"/>
      <c r="AE126" s="18"/>
      <c r="AF126" s="18"/>
      <c r="AG126" s="18"/>
      <c r="AH126" s="18"/>
      <c r="AI126" s="18"/>
      <c r="AJ126" s="18"/>
      <c r="AK126" s="140"/>
      <c r="AL126" s="141"/>
      <c r="AM126" s="141"/>
      <c r="AN126" s="141"/>
      <c r="AO126" s="141"/>
      <c r="AP126" s="141"/>
      <c r="AQ126" s="141"/>
      <c r="AR126" s="141"/>
      <c r="AS126" s="141"/>
      <c r="AT126" s="141"/>
      <c r="AU126" s="141"/>
      <c r="AV126" s="141"/>
      <c r="AW126" s="141"/>
      <c r="AX126" s="141"/>
      <c r="AY126" s="141"/>
      <c r="AZ126" s="141"/>
      <c r="BA126" s="141"/>
      <c r="BB126" s="141"/>
      <c r="BC126" s="141"/>
      <c r="BD126" s="141"/>
      <c r="BE126" s="141"/>
      <c r="BF126" s="141"/>
      <c r="BG126" s="18">
        <v>2037</v>
      </c>
      <c r="BH126" s="1"/>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row>
    <row r="127" spans="1:135" ht="14.25" customHeight="1">
      <c r="A127" s="18"/>
      <c r="B127" s="18"/>
      <c r="C127" s="186"/>
      <c r="D127" s="18"/>
      <c r="E127" s="18"/>
      <c r="F127" s="19"/>
      <c r="G127" s="18"/>
      <c r="H127" s="114"/>
      <c r="I127" s="18"/>
      <c r="J127" s="18">
        <v>2010</v>
      </c>
      <c r="K127" s="18">
        <v>2011</v>
      </c>
      <c r="L127" s="18">
        <v>2012</v>
      </c>
      <c r="M127" s="18">
        <v>2013</v>
      </c>
      <c r="N127" s="18">
        <v>2014</v>
      </c>
      <c r="O127" s="18">
        <v>2015</v>
      </c>
      <c r="P127" s="18">
        <v>2016</v>
      </c>
      <c r="Q127" s="18">
        <v>2017</v>
      </c>
      <c r="R127" s="18">
        <v>2018</v>
      </c>
      <c r="S127" s="18">
        <v>2019</v>
      </c>
      <c r="T127" s="18">
        <v>2020</v>
      </c>
      <c r="U127" s="18">
        <v>2021</v>
      </c>
      <c r="V127" s="18">
        <v>2022</v>
      </c>
      <c r="W127" s="18">
        <v>2023</v>
      </c>
      <c r="X127" s="18">
        <v>2024</v>
      </c>
      <c r="Y127" s="18">
        <v>2025</v>
      </c>
      <c r="Z127" s="18">
        <v>2026</v>
      </c>
      <c r="AA127" s="18">
        <v>2027</v>
      </c>
      <c r="AB127" s="18">
        <v>2028</v>
      </c>
      <c r="AC127" s="18">
        <v>2029</v>
      </c>
      <c r="AD127" s="18">
        <v>2030</v>
      </c>
      <c r="AE127" s="18">
        <v>2031</v>
      </c>
      <c r="AF127" s="18">
        <v>2032</v>
      </c>
      <c r="AG127" s="18">
        <v>2033</v>
      </c>
      <c r="AH127" s="18">
        <v>2034</v>
      </c>
      <c r="AI127" s="18">
        <v>2035</v>
      </c>
      <c r="AJ127" s="18">
        <v>2036</v>
      </c>
      <c r="AK127" s="140">
        <v>2037</v>
      </c>
      <c r="AL127" s="141"/>
      <c r="AM127" s="141"/>
      <c r="AN127" s="141"/>
      <c r="AO127" s="141"/>
      <c r="AP127" s="141"/>
      <c r="AQ127" s="141"/>
      <c r="AR127" s="141"/>
      <c r="AS127" s="141"/>
      <c r="AT127" s="141"/>
      <c r="AU127" s="141"/>
      <c r="AV127" s="141"/>
      <c r="AW127" s="141"/>
      <c r="AX127" s="141"/>
      <c r="AY127" s="141"/>
      <c r="AZ127" s="141"/>
      <c r="BA127" s="141"/>
      <c r="BB127" s="141"/>
      <c r="BC127" s="141"/>
      <c r="BD127" s="141"/>
      <c r="BE127" s="141"/>
      <c r="BF127" s="141"/>
      <c r="BG127" s="18">
        <f>BL124*BG128</f>
        <v>0.86162091450893008</v>
      </c>
      <c r="BH127" s="1"/>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row>
    <row r="128" spans="1:135" ht="14.25" customHeight="1">
      <c r="A128" s="18"/>
      <c r="B128" s="18"/>
      <c r="C128" s="186"/>
      <c r="D128" s="18"/>
      <c r="E128" s="18"/>
      <c r="F128" s="19"/>
      <c r="G128" s="18"/>
      <c r="H128" s="114"/>
      <c r="I128" s="18" t="s">
        <v>397</v>
      </c>
      <c r="J128" s="18">
        <v>2.1800000000000002</v>
      </c>
      <c r="K128" s="18">
        <v>2.1</v>
      </c>
      <c r="L128" s="18">
        <v>2</v>
      </c>
      <c r="M128" s="18">
        <v>1.91</v>
      </c>
      <c r="N128" s="18">
        <v>1.96</v>
      </c>
      <c r="O128" s="18">
        <v>2.11</v>
      </c>
      <c r="P128" s="18">
        <v>2.4</v>
      </c>
      <c r="Q128" s="18">
        <v>2.39</v>
      </c>
      <c r="R128" s="18">
        <v>2.3199999999999998</v>
      </c>
      <c r="S128" s="18">
        <v>2.4</v>
      </c>
      <c r="T128" s="18">
        <v>2.5299999999999998</v>
      </c>
      <c r="U128" s="18">
        <f t="shared" ref="U128:AK128" si="97">T128*U129</f>
        <v>2.4034999999999997</v>
      </c>
      <c r="V128" s="18">
        <f t="shared" si="97"/>
        <v>2.2833249999999996</v>
      </c>
      <c r="W128" s="18">
        <f t="shared" si="97"/>
        <v>2.1691587499999994</v>
      </c>
      <c r="X128" s="18">
        <f t="shared" si="97"/>
        <v>2.0607008124999995</v>
      </c>
      <c r="Y128" s="18">
        <f t="shared" si="97"/>
        <v>1.9576657718749995</v>
      </c>
      <c r="Z128" s="18">
        <f t="shared" si="97"/>
        <v>1.8597824832812495</v>
      </c>
      <c r="AA128" s="18">
        <f t="shared" si="97"/>
        <v>1.7667933591171869</v>
      </c>
      <c r="AB128" s="18">
        <f t="shared" si="97"/>
        <v>1.6784536911613275</v>
      </c>
      <c r="AC128" s="18">
        <f t="shared" si="97"/>
        <v>1.594531006603261</v>
      </c>
      <c r="AD128" s="18">
        <f t="shared" si="97"/>
        <v>1.5148044562730978</v>
      </c>
      <c r="AE128" s="18">
        <f t="shared" si="97"/>
        <v>1.4390642334594428</v>
      </c>
      <c r="AF128" s="18">
        <f t="shared" si="97"/>
        <v>1.3671110217864706</v>
      </c>
      <c r="AG128" s="18">
        <f t="shared" si="97"/>
        <v>1.2987554706971469</v>
      </c>
      <c r="AH128" s="18">
        <f t="shared" si="97"/>
        <v>1.2338176971622896</v>
      </c>
      <c r="AI128" s="18">
        <f t="shared" si="97"/>
        <v>1.172126812304175</v>
      </c>
      <c r="AJ128" s="18">
        <f t="shared" si="97"/>
        <v>1.1135204716889662</v>
      </c>
      <c r="AK128" s="140">
        <f t="shared" si="97"/>
        <v>1.0578444481045177</v>
      </c>
      <c r="AL128" s="141"/>
      <c r="AM128" s="141"/>
      <c r="AN128" s="141"/>
      <c r="AO128" s="141"/>
      <c r="AP128" s="141"/>
      <c r="AQ128" s="141"/>
      <c r="AR128" s="141"/>
      <c r="AS128" s="141"/>
      <c r="AT128" s="141"/>
      <c r="AU128" s="141"/>
      <c r="AV128" s="141"/>
      <c r="AW128" s="141"/>
      <c r="AX128" s="141"/>
      <c r="AY128" s="141"/>
      <c r="AZ128" s="141"/>
      <c r="BA128" s="141"/>
      <c r="BB128" s="141"/>
      <c r="BC128" s="141"/>
      <c r="BD128" s="141"/>
      <c r="BE128" s="141"/>
      <c r="BF128" s="141"/>
      <c r="BG128" s="18">
        <f>BL125</f>
        <v>0.95</v>
      </c>
      <c r="BH128" s="1"/>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row>
    <row r="129" spans="1:135" ht="14.25" customHeight="1">
      <c r="A129" s="18"/>
      <c r="B129" s="18"/>
      <c r="C129" s="186"/>
      <c r="D129" s="18"/>
      <c r="E129" s="18"/>
      <c r="F129" s="19"/>
      <c r="G129" s="18"/>
      <c r="H129" s="114"/>
      <c r="I129" s="18"/>
      <c r="J129" s="18"/>
      <c r="K129" s="18"/>
      <c r="L129" s="18"/>
      <c r="M129" s="18"/>
      <c r="N129" s="18"/>
      <c r="O129" s="18"/>
      <c r="P129" s="18"/>
      <c r="Q129" s="18"/>
      <c r="R129" s="18"/>
      <c r="S129" s="18"/>
      <c r="T129" s="18"/>
      <c r="U129" s="18">
        <v>0.95</v>
      </c>
      <c r="V129" s="18">
        <f t="shared" ref="V129:AK129" si="98">U129</f>
        <v>0.95</v>
      </c>
      <c r="W129" s="18">
        <f t="shared" si="98"/>
        <v>0.95</v>
      </c>
      <c r="X129" s="18">
        <f t="shared" si="98"/>
        <v>0.95</v>
      </c>
      <c r="Y129" s="18">
        <f t="shared" si="98"/>
        <v>0.95</v>
      </c>
      <c r="Z129" s="18">
        <f t="shared" si="98"/>
        <v>0.95</v>
      </c>
      <c r="AA129" s="18">
        <f t="shared" si="98"/>
        <v>0.95</v>
      </c>
      <c r="AB129" s="18">
        <f t="shared" si="98"/>
        <v>0.95</v>
      </c>
      <c r="AC129" s="18">
        <f t="shared" si="98"/>
        <v>0.95</v>
      </c>
      <c r="AD129" s="18">
        <f t="shared" si="98"/>
        <v>0.95</v>
      </c>
      <c r="AE129" s="18">
        <f t="shared" si="98"/>
        <v>0.95</v>
      </c>
      <c r="AF129" s="18">
        <f t="shared" si="98"/>
        <v>0.95</v>
      </c>
      <c r="AG129" s="18">
        <f t="shared" si="98"/>
        <v>0.95</v>
      </c>
      <c r="AH129" s="18">
        <f t="shared" si="98"/>
        <v>0.95</v>
      </c>
      <c r="AI129" s="18">
        <f t="shared" si="98"/>
        <v>0.95</v>
      </c>
      <c r="AJ129" s="18">
        <f t="shared" si="98"/>
        <v>0.95</v>
      </c>
      <c r="AK129" s="140">
        <f t="shared" si="98"/>
        <v>0.95</v>
      </c>
      <c r="AL129" s="141"/>
      <c r="AM129" s="141"/>
      <c r="AN129" s="141"/>
      <c r="AO129" s="141"/>
      <c r="AP129" s="141"/>
      <c r="AQ129" s="141"/>
      <c r="AR129" s="141"/>
      <c r="AS129" s="141"/>
      <c r="AT129" s="141"/>
      <c r="AU129" s="141"/>
      <c r="AV129" s="141"/>
      <c r="AW129" s="141"/>
      <c r="AX129" s="141"/>
      <c r="AY129" s="141"/>
      <c r="AZ129" s="141"/>
      <c r="BA129" s="141"/>
      <c r="BB129" s="141"/>
      <c r="BC129" s="141"/>
      <c r="BD129" s="141"/>
      <c r="BE129" s="141"/>
      <c r="BF129" s="141"/>
      <c r="BG129" s="18"/>
      <c r="BH129" s="1"/>
      <c r="BI129" s="18"/>
      <c r="BJ129" s="18">
        <v>2038</v>
      </c>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row>
    <row r="130" spans="1:135" ht="14.25" customHeight="1">
      <c r="A130" s="18"/>
      <c r="B130" s="18"/>
      <c r="C130" s="19"/>
      <c r="D130" s="18"/>
      <c r="E130" s="18"/>
      <c r="F130" s="19"/>
      <c r="G130" s="18"/>
      <c r="H130" s="114"/>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40"/>
      <c r="AL130" s="141"/>
      <c r="AM130" s="141"/>
      <c r="AN130" s="141"/>
      <c r="AO130" s="141"/>
      <c r="AP130" s="141"/>
      <c r="AQ130" s="141"/>
      <c r="AR130" s="141"/>
      <c r="AS130" s="141"/>
      <c r="AT130" s="141"/>
      <c r="AU130" s="141"/>
      <c r="AV130" s="141"/>
      <c r="AW130" s="141"/>
      <c r="AX130" s="141"/>
      <c r="AY130" s="141"/>
      <c r="AZ130" s="141"/>
      <c r="BA130" s="141"/>
      <c r="BB130" s="141"/>
      <c r="BC130" s="141"/>
      <c r="BD130" s="141"/>
      <c r="BE130" s="141"/>
      <c r="BF130" s="141"/>
      <c r="BG130" s="18"/>
      <c r="BH130" s="1"/>
      <c r="BI130" s="18"/>
      <c r="BJ130" s="18">
        <f>AK128*BJ131</f>
        <v>1.0049522256992918</v>
      </c>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row>
    <row r="131" spans="1:135" ht="14.25" customHeight="1">
      <c r="A131" s="18"/>
      <c r="B131" s="18"/>
      <c r="C131" s="19"/>
      <c r="D131" s="18"/>
      <c r="E131" s="18"/>
      <c r="F131" s="19"/>
      <c r="G131" s="18"/>
      <c r="H131" s="114"/>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40"/>
      <c r="AL131" s="141"/>
      <c r="AM131" s="141"/>
      <c r="AN131" s="141"/>
      <c r="AO131" s="141"/>
      <c r="AP131" s="141"/>
      <c r="AQ131" s="141"/>
      <c r="AR131" s="141"/>
      <c r="AS131" s="141"/>
      <c r="AT131" s="141"/>
      <c r="AU131" s="141"/>
      <c r="AV131" s="141"/>
      <c r="AW131" s="141"/>
      <c r="AX131" s="141"/>
      <c r="AY131" s="141"/>
      <c r="AZ131" s="141"/>
      <c r="BA131" s="141"/>
      <c r="BB131" s="141"/>
      <c r="BC131" s="141"/>
      <c r="BD131" s="141"/>
      <c r="BE131" s="141"/>
      <c r="BF131" s="141"/>
      <c r="BG131" s="18"/>
      <c r="BH131" s="1"/>
      <c r="BI131" s="18"/>
      <c r="BJ131" s="18">
        <f>AK129</f>
        <v>0.95</v>
      </c>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row>
    <row r="132" spans="1:135" ht="14.25" customHeight="1">
      <c r="A132" s="18"/>
      <c r="B132" s="18"/>
      <c r="C132" s="19"/>
      <c r="D132" s="18"/>
      <c r="E132" s="18"/>
      <c r="F132" s="19"/>
      <c r="G132" s="18"/>
      <c r="H132" s="114"/>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40"/>
      <c r="AL132" s="141"/>
      <c r="AM132" s="141"/>
      <c r="AN132" s="141"/>
      <c r="AO132" s="141"/>
      <c r="AP132" s="141"/>
      <c r="AQ132" s="141"/>
      <c r="AR132" s="141"/>
      <c r="AS132" s="141"/>
      <c r="AT132" s="141"/>
      <c r="AU132" s="141"/>
      <c r="AV132" s="141"/>
      <c r="AW132" s="141"/>
      <c r="AX132" s="141"/>
      <c r="AY132" s="141"/>
      <c r="AZ132" s="141"/>
      <c r="BA132" s="141"/>
      <c r="BB132" s="141"/>
      <c r="BC132" s="141"/>
      <c r="BD132" s="141"/>
      <c r="BE132" s="141"/>
      <c r="BF132" s="141"/>
      <c r="BG132" s="18"/>
      <c r="BH132" s="1"/>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row>
    <row r="133" spans="1:135" ht="14.25" customHeight="1">
      <c r="A133" s="18"/>
      <c r="B133" s="18"/>
      <c r="C133" s="19"/>
      <c r="D133" s="18"/>
      <c r="E133" s="18"/>
      <c r="F133" s="19"/>
      <c r="G133" s="18"/>
      <c r="H133" s="114"/>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40"/>
      <c r="AL133" s="141"/>
      <c r="AM133" s="141"/>
      <c r="AN133" s="141"/>
      <c r="AO133" s="141"/>
      <c r="AP133" s="141"/>
      <c r="AQ133" s="141"/>
      <c r="AR133" s="141"/>
      <c r="AS133" s="141"/>
      <c r="AT133" s="141"/>
      <c r="AU133" s="141"/>
      <c r="AV133" s="141"/>
      <c r="AW133" s="141"/>
      <c r="AX133" s="141"/>
      <c r="AY133" s="141"/>
      <c r="AZ133" s="141"/>
      <c r="BA133" s="141"/>
      <c r="BB133" s="141"/>
      <c r="BC133" s="141"/>
      <c r="BD133" s="141"/>
      <c r="BE133" s="141"/>
      <c r="BF133" s="141"/>
      <c r="BG133" s="18"/>
      <c r="BH133" s="1"/>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row>
    <row r="134" spans="1:135" ht="14.25" customHeight="1">
      <c r="A134" s="18"/>
      <c r="B134" s="18"/>
      <c r="C134" s="19"/>
      <c r="D134" s="18"/>
      <c r="E134" s="18"/>
      <c r="F134" s="19"/>
      <c r="G134" s="18"/>
      <c r="H134" s="114"/>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40"/>
      <c r="AL134" s="141"/>
      <c r="AM134" s="141"/>
      <c r="AN134" s="141"/>
      <c r="AO134" s="141"/>
      <c r="AP134" s="141"/>
      <c r="AQ134" s="141"/>
      <c r="AR134" s="141"/>
      <c r="AS134" s="141"/>
      <c r="AT134" s="141"/>
      <c r="AU134" s="141"/>
      <c r="AV134" s="141"/>
      <c r="AW134" s="141"/>
      <c r="AX134" s="141"/>
      <c r="AY134" s="141"/>
      <c r="AZ134" s="141"/>
      <c r="BA134" s="141"/>
      <c r="BB134" s="141"/>
      <c r="BC134" s="141"/>
      <c r="BD134" s="141"/>
      <c r="BE134" s="141"/>
      <c r="BF134" s="141"/>
      <c r="BG134" s="18"/>
      <c r="BH134" s="1"/>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row>
    <row r="135" spans="1:135" ht="14.25" customHeight="1">
      <c r="A135" s="18"/>
      <c r="B135" s="18"/>
      <c r="C135" s="19"/>
      <c r="D135" s="18"/>
      <c r="E135" s="18"/>
      <c r="F135" s="19"/>
      <c r="G135" s="18"/>
      <c r="H135" s="114"/>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40"/>
      <c r="AL135" s="141"/>
      <c r="AM135" s="141"/>
      <c r="AN135" s="141"/>
      <c r="AO135" s="141"/>
      <c r="AP135" s="141"/>
      <c r="AQ135" s="141"/>
      <c r="AR135" s="141"/>
      <c r="AS135" s="141"/>
      <c r="AT135" s="141"/>
      <c r="AU135" s="141"/>
      <c r="AV135" s="141"/>
      <c r="AW135" s="141"/>
      <c r="AX135" s="141"/>
      <c r="AY135" s="141"/>
      <c r="AZ135" s="141"/>
      <c r="BA135" s="141"/>
      <c r="BB135" s="141"/>
      <c r="BC135" s="141"/>
      <c r="BD135" s="141"/>
      <c r="BE135" s="141"/>
      <c r="BF135" s="141"/>
      <c r="BG135" s="18"/>
      <c r="BH135" s="1"/>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row>
    <row r="136" spans="1:135" ht="14.25" customHeight="1">
      <c r="A136" s="18"/>
      <c r="B136" s="18"/>
      <c r="C136" s="19"/>
      <c r="D136" s="18"/>
      <c r="E136" s="18"/>
      <c r="F136" s="19"/>
      <c r="G136" s="18"/>
      <c r="H136" s="114"/>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40"/>
      <c r="AL136" s="141"/>
      <c r="AM136" s="141"/>
      <c r="AN136" s="141"/>
      <c r="AO136" s="141"/>
      <c r="AP136" s="141"/>
      <c r="AQ136" s="141"/>
      <c r="AR136" s="141"/>
      <c r="AS136" s="141"/>
      <c r="AT136" s="141"/>
      <c r="AU136" s="141"/>
      <c r="AV136" s="141"/>
      <c r="AW136" s="141"/>
      <c r="AX136" s="141"/>
      <c r="AY136" s="141"/>
      <c r="AZ136" s="141"/>
      <c r="BA136" s="141"/>
      <c r="BB136" s="141"/>
      <c r="BC136" s="141"/>
      <c r="BD136" s="141"/>
      <c r="BE136" s="141"/>
      <c r="BF136" s="141"/>
      <c r="BG136" s="18"/>
      <c r="BH136" s="1"/>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row>
    <row r="137" spans="1:135" ht="14.25" customHeight="1">
      <c r="A137" s="18"/>
      <c r="B137" s="18"/>
      <c r="C137" s="19"/>
      <c r="D137" s="18"/>
      <c r="E137" s="18"/>
      <c r="F137" s="19"/>
      <c r="G137" s="18"/>
      <c r="H137" s="114"/>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40"/>
      <c r="AL137" s="141"/>
      <c r="AM137" s="141"/>
      <c r="AN137" s="141"/>
      <c r="AO137" s="141"/>
      <c r="AP137" s="141"/>
      <c r="AQ137" s="141"/>
      <c r="AR137" s="141"/>
      <c r="AS137" s="141"/>
      <c r="AT137" s="141"/>
      <c r="AU137" s="141"/>
      <c r="AV137" s="141"/>
      <c r="AW137" s="141"/>
      <c r="AX137" s="141"/>
      <c r="AY137" s="141"/>
      <c r="AZ137" s="141"/>
      <c r="BA137" s="141"/>
      <c r="BB137" s="141"/>
      <c r="BC137" s="141"/>
      <c r="BD137" s="141"/>
      <c r="BE137" s="141"/>
      <c r="BF137" s="141"/>
      <c r="BG137" s="18"/>
      <c r="BH137" s="1"/>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row>
    <row r="138" spans="1:135" ht="14.25" customHeight="1">
      <c r="A138" s="18"/>
      <c r="B138" s="18"/>
      <c r="C138" s="19"/>
      <c r="D138" s="18"/>
      <c r="E138" s="18"/>
      <c r="F138" s="19"/>
      <c r="G138" s="18"/>
      <c r="H138" s="114"/>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40"/>
      <c r="AL138" s="141"/>
      <c r="AM138" s="141"/>
      <c r="AN138" s="141"/>
      <c r="AO138" s="141"/>
      <c r="AP138" s="141"/>
      <c r="AQ138" s="141"/>
      <c r="AR138" s="141"/>
      <c r="AS138" s="141"/>
      <c r="AT138" s="141"/>
      <c r="AU138" s="141"/>
      <c r="AV138" s="141"/>
      <c r="AW138" s="141"/>
      <c r="AX138" s="141"/>
      <c r="AY138" s="141"/>
      <c r="AZ138" s="141"/>
      <c r="BA138" s="141"/>
      <c r="BB138" s="141"/>
      <c r="BC138" s="141"/>
      <c r="BD138" s="141"/>
      <c r="BE138" s="141"/>
      <c r="BF138" s="141"/>
      <c r="BG138" s="18"/>
      <c r="BH138" s="1"/>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row>
    <row r="139" spans="1:135" ht="14.25" customHeight="1">
      <c r="A139" s="18"/>
      <c r="B139" s="18"/>
      <c r="C139" s="19"/>
      <c r="D139" s="18"/>
      <c r="E139" s="18"/>
      <c r="F139" s="19"/>
      <c r="G139" s="18"/>
      <c r="H139" s="114"/>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40"/>
      <c r="AL139" s="141"/>
      <c r="AM139" s="141"/>
      <c r="AN139" s="141"/>
      <c r="AO139" s="141"/>
      <c r="AP139" s="141"/>
      <c r="AQ139" s="141"/>
      <c r="AR139" s="141"/>
      <c r="AS139" s="141"/>
      <c r="AT139" s="141"/>
      <c r="AU139" s="141"/>
      <c r="AV139" s="141"/>
      <c r="AW139" s="141"/>
      <c r="AX139" s="141"/>
      <c r="AY139" s="141"/>
      <c r="AZ139" s="141"/>
      <c r="BA139" s="141"/>
      <c r="BB139" s="141"/>
      <c r="BC139" s="141"/>
      <c r="BD139" s="141"/>
      <c r="BE139" s="141"/>
      <c r="BF139" s="141"/>
      <c r="BG139" s="18"/>
      <c r="BH139" s="1"/>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row>
    <row r="140" spans="1:135" ht="14.25" customHeight="1">
      <c r="A140" s="18"/>
      <c r="B140" s="18"/>
      <c r="C140" s="19"/>
      <c r="D140" s="18"/>
      <c r="E140" s="18"/>
      <c r="F140" s="19"/>
      <c r="G140" s="18"/>
      <c r="H140" s="114"/>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40"/>
      <c r="AL140" s="141"/>
      <c r="AM140" s="141"/>
      <c r="AN140" s="141"/>
      <c r="AO140" s="141"/>
      <c r="AP140" s="141"/>
      <c r="AQ140" s="141"/>
      <c r="AR140" s="141"/>
      <c r="AS140" s="141"/>
      <c r="AT140" s="141"/>
      <c r="AU140" s="141"/>
      <c r="AV140" s="141"/>
      <c r="AW140" s="141"/>
      <c r="AX140" s="141"/>
      <c r="AY140" s="141"/>
      <c r="AZ140" s="141"/>
      <c r="BA140" s="141"/>
      <c r="BB140" s="141"/>
      <c r="BC140" s="141"/>
      <c r="BD140" s="141"/>
      <c r="BE140" s="141"/>
      <c r="BF140" s="141"/>
      <c r="BG140" s="18"/>
      <c r="BH140" s="1"/>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row>
    <row r="141" spans="1:135" ht="14.25" customHeight="1">
      <c r="A141" s="18"/>
      <c r="B141" s="18"/>
      <c r="C141" s="19"/>
      <c r="D141" s="18"/>
      <c r="E141" s="18"/>
      <c r="F141" s="19"/>
      <c r="G141" s="18"/>
      <c r="H141" s="114"/>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40"/>
      <c r="AL141" s="141"/>
      <c r="AM141" s="141"/>
      <c r="AN141" s="141"/>
      <c r="AO141" s="141"/>
      <c r="AP141" s="141"/>
      <c r="AQ141" s="141"/>
      <c r="AR141" s="141"/>
      <c r="AS141" s="141"/>
      <c r="AT141" s="141"/>
      <c r="AU141" s="141"/>
      <c r="AV141" s="141"/>
      <c r="AW141" s="141"/>
      <c r="AX141" s="141"/>
      <c r="AY141" s="141"/>
      <c r="AZ141" s="141"/>
      <c r="BA141" s="141"/>
      <c r="BB141" s="141"/>
      <c r="BC141" s="141"/>
      <c r="BD141" s="141"/>
      <c r="BE141" s="141"/>
      <c r="BF141" s="141"/>
      <c r="BG141" s="18"/>
      <c r="BH141" s="1"/>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row>
    <row r="142" spans="1:135" ht="14.25" customHeight="1">
      <c r="A142" s="18"/>
      <c r="B142" s="18"/>
      <c r="C142" s="19"/>
      <c r="D142" s="18"/>
      <c r="E142" s="18"/>
      <c r="F142" s="19"/>
      <c r="G142" s="18"/>
      <c r="H142" s="114"/>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40"/>
      <c r="AL142" s="141"/>
      <c r="AM142" s="141"/>
      <c r="AN142" s="141"/>
      <c r="AO142" s="141"/>
      <c r="AP142" s="141"/>
      <c r="AQ142" s="141"/>
      <c r="AR142" s="141"/>
      <c r="AS142" s="141"/>
      <c r="AT142" s="141"/>
      <c r="AU142" s="141"/>
      <c r="AV142" s="141"/>
      <c r="AW142" s="141"/>
      <c r="AX142" s="141"/>
      <c r="AY142" s="141"/>
      <c r="AZ142" s="141"/>
      <c r="BA142" s="141"/>
      <c r="BB142" s="141"/>
      <c r="BC142" s="141"/>
      <c r="BD142" s="141"/>
      <c r="BE142" s="141"/>
      <c r="BF142" s="141"/>
      <c r="BG142" s="18"/>
      <c r="BH142" s="1"/>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18"/>
      <c r="DE142" s="18"/>
      <c r="DF142" s="18"/>
      <c r="DG142" s="18"/>
      <c r="DH142" s="18"/>
      <c r="DI142" s="18"/>
      <c r="DJ142" s="18"/>
      <c r="DK142" s="18"/>
      <c r="DL142" s="18"/>
      <c r="DM142" s="18"/>
      <c r="DN142" s="18"/>
      <c r="DO142" s="18"/>
      <c r="DP142" s="18"/>
      <c r="DQ142" s="18"/>
      <c r="DR142" s="18"/>
      <c r="DS142" s="18"/>
      <c r="DT142" s="18"/>
      <c r="DU142" s="18"/>
      <c r="DV142" s="18"/>
      <c r="DW142" s="18"/>
      <c r="DX142" s="18"/>
      <c r="DY142" s="18"/>
      <c r="DZ142" s="18"/>
      <c r="EA142" s="18"/>
      <c r="EB142" s="18"/>
      <c r="EC142" s="18"/>
      <c r="ED142" s="18"/>
      <c r="EE142" s="18"/>
    </row>
    <row r="143" spans="1:135" ht="14.25" customHeight="1">
      <c r="A143" s="18"/>
      <c r="B143" s="18"/>
      <c r="C143" s="19"/>
      <c r="D143" s="18"/>
      <c r="E143" s="18"/>
      <c r="F143" s="19"/>
      <c r="G143" s="18"/>
      <c r="H143" s="114"/>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40"/>
      <c r="AL143" s="141"/>
      <c r="AM143" s="141"/>
      <c r="AN143" s="141"/>
      <c r="AO143" s="141"/>
      <c r="AP143" s="141"/>
      <c r="AQ143" s="141"/>
      <c r="AR143" s="141"/>
      <c r="AS143" s="141"/>
      <c r="AT143" s="141"/>
      <c r="AU143" s="141"/>
      <c r="AV143" s="141"/>
      <c r="AW143" s="141"/>
      <c r="AX143" s="141"/>
      <c r="AY143" s="141"/>
      <c r="AZ143" s="141"/>
      <c r="BA143" s="141"/>
      <c r="BB143" s="141"/>
      <c r="BC143" s="141"/>
      <c r="BD143" s="141"/>
      <c r="BE143" s="141"/>
      <c r="BF143" s="141"/>
      <c r="BG143" s="18"/>
      <c r="BH143" s="1"/>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row>
    <row r="144" spans="1:135" ht="14.25" customHeight="1">
      <c r="A144" s="18"/>
      <c r="B144" s="18"/>
      <c r="C144" s="19"/>
      <c r="D144" s="18"/>
      <c r="E144" s="18"/>
      <c r="F144" s="19"/>
      <c r="G144" s="18"/>
      <c r="H144" s="114"/>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40"/>
      <c r="AL144" s="141"/>
      <c r="AM144" s="141"/>
      <c r="AN144" s="141"/>
      <c r="AO144" s="141"/>
      <c r="AP144" s="141"/>
      <c r="AQ144" s="141"/>
      <c r="AR144" s="141"/>
      <c r="AS144" s="141"/>
      <c r="AT144" s="141"/>
      <c r="AU144" s="141"/>
      <c r="AV144" s="141"/>
      <c r="AW144" s="141"/>
      <c r="AX144" s="141"/>
      <c r="AY144" s="141"/>
      <c r="AZ144" s="141"/>
      <c r="BA144" s="141"/>
      <c r="BB144" s="141"/>
      <c r="BC144" s="141"/>
      <c r="BD144" s="141"/>
      <c r="BE144" s="141"/>
      <c r="BF144" s="141"/>
      <c r="BG144" s="18"/>
      <c r="BH144" s="1"/>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18"/>
      <c r="DB144" s="18"/>
      <c r="DC144" s="18"/>
      <c r="DD144" s="18"/>
      <c r="DE144" s="18"/>
      <c r="DF144" s="18"/>
      <c r="DG144" s="18"/>
      <c r="DH144" s="18"/>
      <c r="DI144" s="18"/>
      <c r="DJ144" s="18"/>
      <c r="DK144" s="18"/>
      <c r="DL144" s="18"/>
      <c r="DM144" s="18"/>
      <c r="DN144" s="18"/>
      <c r="DO144" s="18"/>
      <c r="DP144" s="18"/>
      <c r="DQ144" s="18"/>
      <c r="DR144" s="18"/>
      <c r="DS144" s="18"/>
      <c r="DT144" s="18"/>
      <c r="DU144" s="18"/>
      <c r="DV144" s="18"/>
      <c r="DW144" s="18"/>
      <c r="DX144" s="18"/>
      <c r="DY144" s="18"/>
      <c r="DZ144" s="18"/>
      <c r="EA144" s="18"/>
      <c r="EB144" s="18"/>
      <c r="EC144" s="18"/>
      <c r="ED144" s="18"/>
      <c r="EE144" s="18"/>
    </row>
    <row r="145" spans="1:135" ht="14.25" customHeight="1">
      <c r="A145" s="18"/>
      <c r="B145" s="18"/>
      <c r="C145" s="19"/>
      <c r="D145" s="18"/>
      <c r="E145" s="18"/>
      <c r="F145" s="19"/>
      <c r="G145" s="18"/>
      <c r="H145" s="114"/>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40"/>
      <c r="AL145" s="141"/>
      <c r="AM145" s="141"/>
      <c r="AN145" s="141"/>
      <c r="AO145" s="141"/>
      <c r="AP145" s="141"/>
      <c r="AQ145" s="141"/>
      <c r="AR145" s="141"/>
      <c r="AS145" s="141"/>
      <c r="AT145" s="141"/>
      <c r="AU145" s="141"/>
      <c r="AV145" s="141"/>
      <c r="AW145" s="141"/>
      <c r="AX145" s="141"/>
      <c r="AY145" s="141"/>
      <c r="AZ145" s="141"/>
      <c r="BA145" s="141"/>
      <c r="BB145" s="141"/>
      <c r="BC145" s="141"/>
      <c r="BD145" s="141"/>
      <c r="BE145" s="141"/>
      <c r="BF145" s="141"/>
      <c r="BG145" s="18"/>
      <c r="BH145" s="1"/>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18"/>
      <c r="CY145" s="18"/>
      <c r="CZ145" s="18"/>
      <c r="DA145" s="18"/>
      <c r="DB145" s="18"/>
      <c r="DC145" s="18"/>
      <c r="DD145" s="18"/>
      <c r="DE145" s="18"/>
      <c r="DF145" s="18"/>
      <c r="DG145" s="18"/>
      <c r="DH145" s="18"/>
      <c r="DI145" s="18"/>
      <c r="DJ145" s="18"/>
      <c r="DK145" s="18"/>
      <c r="DL145" s="18"/>
      <c r="DM145" s="18"/>
      <c r="DN145" s="18"/>
      <c r="DO145" s="18"/>
      <c r="DP145" s="18"/>
      <c r="DQ145" s="18"/>
      <c r="DR145" s="18"/>
      <c r="DS145" s="18"/>
      <c r="DT145" s="18"/>
      <c r="DU145" s="18"/>
      <c r="DV145" s="18"/>
      <c r="DW145" s="18"/>
      <c r="DX145" s="18"/>
      <c r="DY145" s="18"/>
      <c r="DZ145" s="18"/>
      <c r="EA145" s="18"/>
      <c r="EB145" s="18"/>
      <c r="EC145" s="18"/>
      <c r="ED145" s="18"/>
      <c r="EE145" s="18"/>
    </row>
    <row r="146" spans="1:135" ht="14.25" customHeight="1">
      <c r="A146" s="18"/>
      <c r="B146" s="18"/>
      <c r="C146" s="19"/>
      <c r="D146" s="18"/>
      <c r="E146" s="18"/>
      <c r="F146" s="19"/>
      <c r="G146" s="18"/>
      <c r="H146" s="114"/>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40"/>
      <c r="AL146" s="141"/>
      <c r="AM146" s="141"/>
      <c r="AN146" s="141"/>
      <c r="AO146" s="141"/>
      <c r="AP146" s="141"/>
      <c r="AQ146" s="141"/>
      <c r="AR146" s="141"/>
      <c r="AS146" s="141"/>
      <c r="AT146" s="141"/>
      <c r="AU146" s="141"/>
      <c r="AV146" s="141"/>
      <c r="AW146" s="141"/>
      <c r="AX146" s="141"/>
      <c r="AY146" s="141"/>
      <c r="AZ146" s="141"/>
      <c r="BA146" s="141"/>
      <c r="BB146" s="141"/>
      <c r="BC146" s="141"/>
      <c r="BD146" s="141"/>
      <c r="BE146" s="141"/>
      <c r="BF146" s="141"/>
      <c r="BG146" s="18"/>
      <c r="BH146" s="1"/>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18"/>
      <c r="DL146" s="18"/>
      <c r="DM146" s="18"/>
      <c r="DN146" s="18"/>
      <c r="DO146" s="18"/>
      <c r="DP146" s="18"/>
      <c r="DQ146" s="18"/>
      <c r="DR146" s="18"/>
      <c r="DS146" s="18"/>
      <c r="DT146" s="18"/>
      <c r="DU146" s="18"/>
      <c r="DV146" s="18"/>
      <c r="DW146" s="18"/>
      <c r="DX146" s="18"/>
      <c r="DY146" s="18"/>
      <c r="DZ146" s="18"/>
      <c r="EA146" s="18"/>
      <c r="EB146" s="18"/>
      <c r="EC146" s="18"/>
      <c r="ED146" s="18"/>
      <c r="EE146" s="18"/>
    </row>
    <row r="147" spans="1:135" ht="14.25" customHeight="1">
      <c r="A147" s="18"/>
      <c r="B147" s="18"/>
      <c r="C147" s="19"/>
      <c r="D147" s="18"/>
      <c r="E147" s="18"/>
      <c r="F147" s="19"/>
      <c r="G147" s="18"/>
      <c r="H147" s="114"/>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40"/>
      <c r="AL147" s="141"/>
      <c r="AM147" s="141"/>
      <c r="AN147" s="141"/>
      <c r="AO147" s="141"/>
      <c r="AP147" s="141"/>
      <c r="AQ147" s="141"/>
      <c r="AR147" s="141"/>
      <c r="AS147" s="141"/>
      <c r="AT147" s="141"/>
      <c r="AU147" s="141"/>
      <c r="AV147" s="141"/>
      <c r="AW147" s="141"/>
      <c r="AX147" s="141"/>
      <c r="AY147" s="141"/>
      <c r="AZ147" s="141"/>
      <c r="BA147" s="141"/>
      <c r="BB147" s="141"/>
      <c r="BC147" s="141"/>
      <c r="BD147" s="141"/>
      <c r="BE147" s="141"/>
      <c r="BF147" s="141"/>
      <c r="BG147" s="18" t="s">
        <v>163</v>
      </c>
      <c r="BH147" s="1"/>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row>
    <row r="148" spans="1:135" ht="14.25" customHeight="1">
      <c r="A148" s="18"/>
      <c r="B148" s="18"/>
      <c r="C148" s="19"/>
      <c r="D148" s="18"/>
      <c r="E148" s="18"/>
      <c r="F148" s="19"/>
      <c r="G148" s="18" t="s">
        <v>399</v>
      </c>
      <c r="H148" s="114"/>
      <c r="I148" s="18"/>
      <c r="J148" s="18" t="s">
        <v>400</v>
      </c>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40" t="s">
        <v>163</v>
      </c>
      <c r="AL148" s="141"/>
      <c r="AM148" s="141"/>
      <c r="AN148" s="141"/>
      <c r="AO148" s="141"/>
      <c r="AP148" s="141"/>
      <c r="AQ148" s="141"/>
      <c r="AR148" s="141"/>
      <c r="AS148" s="141"/>
      <c r="AT148" s="141"/>
      <c r="AU148" s="141"/>
      <c r="AV148" s="141"/>
      <c r="AW148" s="141"/>
      <c r="AX148" s="141"/>
      <c r="AY148" s="141"/>
      <c r="AZ148" s="141"/>
      <c r="BA148" s="141"/>
      <c r="BB148" s="141"/>
      <c r="BC148" s="141"/>
      <c r="BD148" s="141"/>
      <c r="BE148" s="141"/>
      <c r="BF148" s="141"/>
      <c r="BG148" s="18"/>
      <c r="BH148" s="1"/>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row>
    <row r="149" spans="1:135" ht="14.25" customHeight="1">
      <c r="A149" s="18"/>
      <c r="B149" s="18"/>
      <c r="C149" s="19"/>
      <c r="D149" s="18"/>
      <c r="E149" s="18"/>
      <c r="F149" s="19"/>
      <c r="G149" s="18"/>
      <c r="H149" s="114"/>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40"/>
      <c r="AL149" s="141"/>
      <c r="AM149" s="141"/>
      <c r="AN149" s="141"/>
      <c r="AO149" s="141"/>
      <c r="AP149" s="141"/>
      <c r="AQ149" s="141"/>
      <c r="AR149" s="141"/>
      <c r="AS149" s="141"/>
      <c r="AT149" s="141"/>
      <c r="AU149" s="141"/>
      <c r="AV149" s="141"/>
      <c r="AW149" s="141"/>
      <c r="AX149" s="141"/>
      <c r="AY149" s="141"/>
      <c r="AZ149" s="141"/>
      <c r="BA149" s="141"/>
      <c r="BB149" s="141"/>
      <c r="BC149" s="141"/>
      <c r="BD149" s="141"/>
      <c r="BE149" s="141"/>
      <c r="BF149" s="141"/>
      <c r="BG149" s="18">
        <v>2035</v>
      </c>
      <c r="BH149" s="1"/>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row>
    <row r="150" spans="1:135" ht="14.25" customHeight="1">
      <c r="A150" s="18"/>
      <c r="B150" s="18"/>
      <c r="C150" s="19"/>
      <c r="D150" s="18"/>
      <c r="E150" s="18"/>
      <c r="F150" s="19"/>
      <c r="G150" s="18"/>
      <c r="H150" s="114"/>
      <c r="I150" s="18">
        <v>2007</v>
      </c>
      <c r="J150" s="18">
        <v>2008</v>
      </c>
      <c r="K150" s="18">
        <v>2009</v>
      </c>
      <c r="L150" s="18">
        <v>2010</v>
      </c>
      <c r="M150" s="18">
        <v>2011</v>
      </c>
      <c r="N150" s="18">
        <v>2012</v>
      </c>
      <c r="O150" s="18">
        <v>2013</v>
      </c>
      <c r="P150" s="18">
        <v>2014</v>
      </c>
      <c r="Q150" s="18">
        <v>2015</v>
      </c>
      <c r="R150" s="18">
        <v>2016</v>
      </c>
      <c r="S150" s="18">
        <v>2017</v>
      </c>
      <c r="T150" s="18">
        <v>2018</v>
      </c>
      <c r="U150" s="18">
        <v>2019</v>
      </c>
      <c r="V150" s="18">
        <v>2020</v>
      </c>
      <c r="W150" s="18">
        <v>2021</v>
      </c>
      <c r="X150" s="18">
        <v>2022</v>
      </c>
      <c r="Y150" s="18">
        <v>2023</v>
      </c>
      <c r="Z150" s="18">
        <v>2024</v>
      </c>
      <c r="AA150" s="18">
        <v>2025</v>
      </c>
      <c r="AB150" s="18">
        <v>2026</v>
      </c>
      <c r="AC150" s="18">
        <v>2027</v>
      </c>
      <c r="AD150" s="18">
        <v>2028</v>
      </c>
      <c r="AE150" s="18">
        <v>2029</v>
      </c>
      <c r="AF150" s="18">
        <v>2030</v>
      </c>
      <c r="AG150" s="18">
        <v>2031</v>
      </c>
      <c r="AH150" s="18">
        <v>2032</v>
      </c>
      <c r="AI150" s="18">
        <v>2033</v>
      </c>
      <c r="AJ150" s="18">
        <v>2034</v>
      </c>
      <c r="AK150" s="140">
        <v>2035</v>
      </c>
      <c r="AL150" s="141"/>
      <c r="AM150" s="141"/>
      <c r="AN150" s="141"/>
      <c r="AO150" s="141"/>
      <c r="AP150" s="141"/>
      <c r="AQ150" s="141"/>
      <c r="AR150" s="141"/>
      <c r="AS150" s="141"/>
      <c r="AT150" s="141"/>
      <c r="AU150" s="141"/>
      <c r="AV150" s="141"/>
      <c r="AW150" s="141"/>
      <c r="AX150" s="141"/>
      <c r="AY150" s="141"/>
      <c r="AZ150" s="141"/>
      <c r="BA150" s="141"/>
      <c r="BB150" s="141"/>
      <c r="BC150" s="141"/>
      <c r="BD150" s="141"/>
      <c r="BE150" s="141"/>
      <c r="BF150" s="141"/>
      <c r="BG150" s="18">
        <f>(2*18500)/29</f>
        <v>1275.8620689655172</v>
      </c>
      <c r="BH150" s="1"/>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row>
    <row r="151" spans="1:135" ht="14.25" customHeight="1">
      <c r="A151" s="18"/>
      <c r="B151" s="18"/>
      <c r="C151" s="19"/>
      <c r="D151" s="18"/>
      <c r="E151" s="18"/>
      <c r="F151" s="19"/>
      <c r="G151" s="18"/>
      <c r="H151" s="114"/>
      <c r="I151" s="18">
        <v>0</v>
      </c>
      <c r="J151" s="18">
        <f t="shared" ref="J151:AJ151" si="99">I151+($AK$151-$I$151)/($AK$150-$I$150)</f>
        <v>45.566502463054185</v>
      </c>
      <c r="K151" s="18">
        <f t="shared" si="99"/>
        <v>91.13300492610837</v>
      </c>
      <c r="L151" s="18">
        <f t="shared" si="99"/>
        <v>136.69950738916256</v>
      </c>
      <c r="M151" s="18">
        <f t="shared" si="99"/>
        <v>182.26600985221674</v>
      </c>
      <c r="N151" s="18">
        <f t="shared" si="99"/>
        <v>227.83251231527092</v>
      </c>
      <c r="O151" s="18">
        <f t="shared" si="99"/>
        <v>273.39901477832512</v>
      </c>
      <c r="P151" s="18">
        <f t="shared" si="99"/>
        <v>318.9655172413793</v>
      </c>
      <c r="Q151" s="18">
        <f t="shared" si="99"/>
        <v>364.53201970443348</v>
      </c>
      <c r="R151" s="18">
        <f t="shared" si="99"/>
        <v>410.09852216748766</v>
      </c>
      <c r="S151" s="18">
        <f t="shared" si="99"/>
        <v>455.66502463054184</v>
      </c>
      <c r="T151" s="18">
        <f t="shared" si="99"/>
        <v>501.23152709359601</v>
      </c>
      <c r="U151" s="18">
        <f t="shared" si="99"/>
        <v>546.79802955665025</v>
      </c>
      <c r="V151" s="18">
        <f t="shared" si="99"/>
        <v>592.36453201970448</v>
      </c>
      <c r="W151" s="18">
        <f t="shared" si="99"/>
        <v>637.93103448275872</v>
      </c>
      <c r="X151" s="18">
        <f t="shared" si="99"/>
        <v>683.49753694581295</v>
      </c>
      <c r="Y151" s="18">
        <f t="shared" si="99"/>
        <v>729.06403940886719</v>
      </c>
      <c r="Z151" s="18">
        <f t="shared" si="99"/>
        <v>774.63054187192142</v>
      </c>
      <c r="AA151" s="18">
        <f t="shared" si="99"/>
        <v>820.19704433497566</v>
      </c>
      <c r="AB151" s="18">
        <f t="shared" si="99"/>
        <v>865.76354679802989</v>
      </c>
      <c r="AC151" s="18">
        <f t="shared" si="99"/>
        <v>911.33004926108413</v>
      </c>
      <c r="AD151" s="18">
        <f t="shared" si="99"/>
        <v>956.89655172413836</v>
      </c>
      <c r="AE151" s="18">
        <f t="shared" si="99"/>
        <v>1002.4630541871926</v>
      </c>
      <c r="AF151" s="18">
        <f t="shared" si="99"/>
        <v>1048.0295566502468</v>
      </c>
      <c r="AG151" s="18">
        <f t="shared" si="99"/>
        <v>1093.596059113301</v>
      </c>
      <c r="AH151" s="18">
        <f t="shared" si="99"/>
        <v>1139.1625615763551</v>
      </c>
      <c r="AI151" s="18">
        <f t="shared" si="99"/>
        <v>1184.7290640394092</v>
      </c>
      <c r="AJ151" s="18">
        <f t="shared" si="99"/>
        <v>1230.2955665024633</v>
      </c>
      <c r="AK151" s="140">
        <f>(2*18500)/29</f>
        <v>1275.8620689655172</v>
      </c>
      <c r="AL151" s="141"/>
      <c r="AM151" s="141"/>
      <c r="AN151" s="141"/>
      <c r="AO151" s="141"/>
      <c r="AP151" s="141"/>
      <c r="AQ151" s="141"/>
      <c r="AR151" s="141"/>
      <c r="AS151" s="141"/>
      <c r="AT151" s="141"/>
      <c r="AU151" s="141"/>
      <c r="AV151" s="141"/>
      <c r="AW151" s="141"/>
      <c r="AX151" s="141"/>
      <c r="AY151" s="141"/>
      <c r="AZ151" s="141"/>
      <c r="BA151" s="141"/>
      <c r="BB151" s="141"/>
      <c r="BC151" s="141"/>
      <c r="BD151" s="141"/>
      <c r="BE151" s="141"/>
      <c r="BF151" s="141"/>
      <c r="BG151" s="18"/>
      <c r="BH151" s="1"/>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row>
    <row r="152" spans="1:135" ht="14.25" customHeight="1">
      <c r="A152" s="18"/>
      <c r="B152" s="18"/>
      <c r="C152" s="19"/>
      <c r="D152" s="18"/>
      <c r="E152" s="18"/>
      <c r="F152" s="19"/>
      <c r="G152" s="18"/>
      <c r="H152" s="114"/>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40"/>
      <c r="AL152" s="141"/>
      <c r="AM152" s="141"/>
      <c r="AN152" s="141"/>
      <c r="AO152" s="141"/>
      <c r="AP152" s="141"/>
      <c r="AQ152" s="141"/>
      <c r="AR152" s="141"/>
      <c r="AS152" s="141"/>
      <c r="AT152" s="141"/>
      <c r="AU152" s="141"/>
      <c r="AV152" s="141"/>
      <c r="AW152" s="141"/>
      <c r="AX152" s="141"/>
      <c r="AY152" s="141"/>
      <c r="AZ152" s="141"/>
      <c r="BA152" s="141"/>
      <c r="BB152" s="141"/>
      <c r="BC152" s="141"/>
      <c r="BD152" s="141"/>
      <c r="BE152" s="141"/>
      <c r="BF152" s="141"/>
      <c r="BG152" s="18"/>
      <c r="BH152" s="1"/>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row>
    <row r="153" spans="1:135" ht="14.25" customHeight="1">
      <c r="A153" s="18"/>
      <c r="B153" s="18"/>
      <c r="C153" s="19"/>
      <c r="D153" s="18"/>
      <c r="E153" s="18"/>
      <c r="F153" s="19"/>
      <c r="G153" s="18"/>
      <c r="H153" s="114"/>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40"/>
      <c r="AL153" s="141"/>
      <c r="AM153" s="141"/>
      <c r="AN153" s="141"/>
      <c r="AO153" s="141"/>
      <c r="AP153" s="141"/>
      <c r="AQ153" s="141"/>
      <c r="AR153" s="141"/>
      <c r="AS153" s="141"/>
      <c r="AT153" s="141"/>
      <c r="AU153" s="141"/>
      <c r="AV153" s="141"/>
      <c r="AW153" s="141"/>
      <c r="AX153" s="141"/>
      <c r="AY153" s="141"/>
      <c r="AZ153" s="141"/>
      <c r="BA153" s="141"/>
      <c r="BB153" s="141"/>
      <c r="BC153" s="141"/>
      <c r="BD153" s="141"/>
      <c r="BE153" s="141"/>
      <c r="BF153" s="141"/>
      <c r="BG153" s="18"/>
      <c r="BH153" s="1"/>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row>
    <row r="154" spans="1:135" ht="14.25" customHeight="1">
      <c r="A154" s="18"/>
      <c r="B154" s="18"/>
      <c r="C154" s="19"/>
      <c r="D154" s="18"/>
      <c r="E154" s="18"/>
      <c r="F154" s="19"/>
      <c r="G154" s="18"/>
      <c r="H154" s="114"/>
      <c r="I154" s="18"/>
      <c r="J154" s="18"/>
      <c r="K154" s="18"/>
      <c r="L154" s="18"/>
      <c r="M154" s="18"/>
      <c r="N154" s="18"/>
      <c r="O154" s="18"/>
      <c r="P154" s="18">
        <v>1000</v>
      </c>
      <c r="Q154" s="18" t="s">
        <v>401</v>
      </c>
      <c r="R154" s="18"/>
      <c r="S154" s="18"/>
      <c r="T154" s="18"/>
      <c r="U154" s="18"/>
      <c r="V154" s="18"/>
      <c r="W154" s="18"/>
      <c r="X154" s="18"/>
      <c r="Y154" s="18"/>
      <c r="Z154" s="18"/>
      <c r="AA154" s="18"/>
      <c r="AB154" s="18"/>
      <c r="AC154" s="18"/>
      <c r="AD154" s="18"/>
      <c r="AE154" s="18"/>
      <c r="AF154" s="18"/>
      <c r="AG154" s="18"/>
      <c r="AH154" s="18"/>
      <c r="AI154" s="18"/>
      <c r="AJ154" s="18"/>
      <c r="AK154" s="140"/>
      <c r="AL154" s="141"/>
      <c r="AM154" s="141"/>
      <c r="AN154" s="141"/>
      <c r="AO154" s="141"/>
      <c r="AP154" s="141"/>
      <c r="AQ154" s="141"/>
      <c r="AR154" s="141"/>
      <c r="AS154" s="141"/>
      <c r="AT154" s="141"/>
      <c r="AU154" s="141"/>
      <c r="AV154" s="141"/>
      <c r="AW154" s="141"/>
      <c r="AX154" s="141"/>
      <c r="AY154" s="141"/>
      <c r="AZ154" s="141"/>
      <c r="BA154" s="141"/>
      <c r="BB154" s="141"/>
      <c r="BC154" s="141"/>
      <c r="BD154" s="141"/>
      <c r="BE154" s="141"/>
      <c r="BF154" s="141"/>
      <c r="BG154" s="18"/>
      <c r="BH154" s="1"/>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row>
    <row r="155" spans="1:135" ht="14.25" customHeight="1">
      <c r="A155" s="18"/>
      <c r="B155" s="18"/>
      <c r="C155" s="19"/>
      <c r="D155" s="18"/>
      <c r="E155" s="18"/>
      <c r="F155" s="19"/>
      <c r="G155" s="18"/>
      <c r="H155" s="114"/>
      <c r="I155" s="18"/>
      <c r="J155" s="18"/>
      <c r="K155" s="18"/>
      <c r="L155" s="18"/>
      <c r="M155" s="18"/>
      <c r="N155" s="18"/>
      <c r="O155" s="18"/>
      <c r="P155" s="18" t="s">
        <v>402</v>
      </c>
      <c r="Q155" s="18" t="s">
        <v>272</v>
      </c>
      <c r="R155" s="18"/>
      <c r="S155" s="18"/>
      <c r="T155" s="18"/>
      <c r="U155" s="18"/>
      <c r="V155" s="18"/>
      <c r="W155" s="18"/>
      <c r="X155" s="18"/>
      <c r="Y155" s="18"/>
      <c r="Z155" s="18"/>
      <c r="AA155" s="18"/>
      <c r="AB155" s="18"/>
      <c r="AC155" s="18"/>
      <c r="AD155" s="18"/>
      <c r="AE155" s="18"/>
      <c r="AF155" s="18"/>
      <c r="AG155" s="18"/>
      <c r="AH155" s="18"/>
      <c r="AI155" s="18"/>
      <c r="AJ155" s="18"/>
      <c r="AK155" s="140"/>
      <c r="AL155" s="141"/>
      <c r="AM155" s="141"/>
      <c r="AN155" s="141"/>
      <c r="AO155" s="141"/>
      <c r="AP155" s="141"/>
      <c r="AQ155" s="141"/>
      <c r="AR155" s="141"/>
      <c r="AS155" s="141"/>
      <c r="AT155" s="141"/>
      <c r="AU155" s="141"/>
      <c r="AV155" s="141"/>
      <c r="AW155" s="141"/>
      <c r="AX155" s="141"/>
      <c r="AY155" s="141"/>
      <c r="AZ155" s="141"/>
      <c r="BA155" s="141"/>
      <c r="BB155" s="141"/>
      <c r="BC155" s="141"/>
      <c r="BD155" s="141"/>
      <c r="BE155" s="141"/>
      <c r="BF155" s="141"/>
      <c r="BG155" s="18"/>
      <c r="BH155" s="1"/>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row>
    <row r="156" spans="1:135" ht="14.25" customHeight="1">
      <c r="A156" s="18"/>
      <c r="B156" s="18"/>
      <c r="C156" s="19"/>
      <c r="D156" s="18"/>
      <c r="E156" s="18"/>
      <c r="F156" s="19"/>
      <c r="G156" s="18"/>
      <c r="H156" s="114"/>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40"/>
      <c r="AL156" s="141"/>
      <c r="AM156" s="141"/>
      <c r="AN156" s="141"/>
      <c r="AO156" s="141"/>
      <c r="AP156" s="141"/>
      <c r="AQ156" s="141"/>
      <c r="AR156" s="141"/>
      <c r="AS156" s="141"/>
      <c r="AT156" s="141"/>
      <c r="AU156" s="141"/>
      <c r="AV156" s="141"/>
      <c r="AW156" s="141"/>
      <c r="AX156" s="141"/>
      <c r="AY156" s="141"/>
      <c r="AZ156" s="141"/>
      <c r="BA156" s="141"/>
      <c r="BB156" s="141"/>
      <c r="BC156" s="141"/>
      <c r="BD156" s="141"/>
      <c r="BE156" s="141"/>
      <c r="BF156" s="141"/>
      <c r="BG156" s="18"/>
      <c r="BH156" s="1"/>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row>
    <row r="157" spans="1:135" ht="14.25" customHeight="1">
      <c r="A157" s="18"/>
      <c r="B157" s="18"/>
      <c r="C157" s="19"/>
      <c r="D157" s="18"/>
      <c r="E157" s="18"/>
      <c r="F157" s="19"/>
      <c r="G157" s="18"/>
      <c r="H157" s="114"/>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40"/>
      <c r="AL157" s="141"/>
      <c r="AM157" s="141"/>
      <c r="AN157" s="141"/>
      <c r="AO157" s="141"/>
      <c r="AP157" s="141"/>
      <c r="AQ157" s="141"/>
      <c r="AR157" s="141"/>
      <c r="AS157" s="141"/>
      <c r="AT157" s="141"/>
      <c r="AU157" s="141"/>
      <c r="AV157" s="141"/>
      <c r="AW157" s="141"/>
      <c r="AX157" s="141"/>
      <c r="AY157" s="141"/>
      <c r="AZ157" s="141"/>
      <c r="BA157" s="141"/>
      <c r="BB157" s="141"/>
      <c r="BC157" s="141"/>
      <c r="BD157" s="141"/>
      <c r="BE157" s="141"/>
      <c r="BF157" s="141"/>
      <c r="BG157" s="18"/>
      <c r="BH157" s="1"/>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row>
    <row r="158" spans="1:135" ht="14.25" customHeight="1">
      <c r="A158" s="18"/>
      <c r="B158" s="18"/>
      <c r="C158" s="19"/>
      <c r="D158" s="18"/>
      <c r="E158" s="18"/>
      <c r="F158" s="19"/>
      <c r="G158" s="18"/>
      <c r="H158" s="114"/>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40"/>
      <c r="AL158" s="141"/>
      <c r="AM158" s="141"/>
      <c r="AN158" s="141"/>
      <c r="AO158" s="141"/>
      <c r="AP158" s="141"/>
      <c r="AQ158" s="141"/>
      <c r="AR158" s="141"/>
      <c r="AS158" s="141"/>
      <c r="AT158" s="141"/>
      <c r="AU158" s="141"/>
      <c r="AV158" s="141"/>
      <c r="AW158" s="141"/>
      <c r="AX158" s="141"/>
      <c r="AY158" s="141"/>
      <c r="AZ158" s="141"/>
      <c r="BA158" s="141"/>
      <c r="BB158" s="141"/>
      <c r="BC158" s="141"/>
      <c r="BD158" s="141"/>
      <c r="BE158" s="141"/>
      <c r="BF158" s="141"/>
      <c r="BG158" s="18"/>
      <c r="BH158" s="1"/>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row>
    <row r="159" spans="1:135" ht="14.25" customHeight="1">
      <c r="A159" s="18"/>
      <c r="B159" s="18"/>
      <c r="C159" s="19"/>
      <c r="D159" s="18"/>
      <c r="E159" s="18"/>
      <c r="F159" s="19"/>
      <c r="G159" s="18"/>
      <c r="H159" s="114"/>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40"/>
      <c r="AL159" s="141"/>
      <c r="AM159" s="141"/>
      <c r="AN159" s="141"/>
      <c r="AO159" s="141"/>
      <c r="AP159" s="141"/>
      <c r="AQ159" s="141"/>
      <c r="AR159" s="141"/>
      <c r="AS159" s="141"/>
      <c r="AT159" s="141"/>
      <c r="AU159" s="141"/>
      <c r="AV159" s="141"/>
      <c r="AW159" s="141"/>
      <c r="AX159" s="141"/>
      <c r="AY159" s="141"/>
      <c r="AZ159" s="141"/>
      <c r="BA159" s="141"/>
      <c r="BB159" s="141"/>
      <c r="BC159" s="141"/>
      <c r="BD159" s="141"/>
      <c r="BE159" s="141"/>
      <c r="BF159" s="141"/>
      <c r="BG159" s="18"/>
      <c r="BH159" s="1"/>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c r="ED159" s="18"/>
      <c r="EE159" s="18"/>
    </row>
    <row r="160" spans="1:135" ht="14.25" customHeight="1">
      <c r="A160" s="18"/>
      <c r="B160" s="18"/>
      <c r="C160" s="19"/>
      <c r="D160" s="18"/>
      <c r="E160" s="18"/>
      <c r="F160" s="19"/>
      <c r="G160" s="18"/>
      <c r="H160" s="114"/>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40"/>
      <c r="AL160" s="141"/>
      <c r="AM160" s="141"/>
      <c r="AN160" s="141"/>
      <c r="AO160" s="141"/>
      <c r="AP160" s="141"/>
      <c r="AQ160" s="141"/>
      <c r="AR160" s="141"/>
      <c r="AS160" s="141"/>
      <c r="AT160" s="141"/>
      <c r="AU160" s="141"/>
      <c r="AV160" s="141"/>
      <c r="AW160" s="141"/>
      <c r="AX160" s="141"/>
      <c r="AY160" s="141"/>
      <c r="AZ160" s="141"/>
      <c r="BA160" s="141"/>
      <c r="BB160" s="141"/>
      <c r="BC160" s="141"/>
      <c r="BD160" s="141"/>
      <c r="BE160" s="141"/>
      <c r="BF160" s="141"/>
      <c r="BG160" s="18"/>
      <c r="BH160" s="1"/>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row>
    <row r="161" spans="1:135" ht="14.25" customHeight="1">
      <c r="A161" s="18"/>
      <c r="B161" s="18"/>
      <c r="C161" s="19"/>
      <c r="D161" s="18"/>
      <c r="E161" s="18"/>
      <c r="F161" s="19"/>
      <c r="G161" s="18"/>
      <c r="H161" s="114"/>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40"/>
      <c r="AL161" s="141"/>
      <c r="AM161" s="141"/>
      <c r="AN161" s="141"/>
      <c r="AO161" s="141"/>
      <c r="AP161" s="141"/>
      <c r="AQ161" s="141"/>
      <c r="AR161" s="141"/>
      <c r="AS161" s="141"/>
      <c r="AT161" s="141"/>
      <c r="AU161" s="141"/>
      <c r="AV161" s="141"/>
      <c r="AW161" s="141"/>
      <c r="AX161" s="141"/>
      <c r="AY161" s="141"/>
      <c r="AZ161" s="141"/>
      <c r="BA161" s="141"/>
      <c r="BB161" s="141"/>
      <c r="BC161" s="141"/>
      <c r="BD161" s="141"/>
      <c r="BE161" s="141"/>
      <c r="BF161" s="141"/>
      <c r="BG161" s="18"/>
      <c r="BH161" s="1"/>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8"/>
      <c r="CX161" s="18"/>
      <c r="CY161" s="18"/>
      <c r="CZ161" s="18"/>
      <c r="DA161" s="18"/>
      <c r="DB161" s="18"/>
      <c r="DC161" s="18"/>
      <c r="DD161" s="18"/>
      <c r="DE161" s="18"/>
      <c r="DF161" s="18"/>
      <c r="DG161" s="18"/>
      <c r="DH161" s="18"/>
      <c r="DI161" s="18"/>
      <c r="DJ161" s="18"/>
      <c r="DK161" s="18"/>
      <c r="DL161" s="18"/>
      <c r="DM161" s="18"/>
      <c r="DN161" s="18"/>
      <c r="DO161" s="18"/>
      <c r="DP161" s="18"/>
      <c r="DQ161" s="18"/>
      <c r="DR161" s="18"/>
      <c r="DS161" s="18"/>
      <c r="DT161" s="18"/>
      <c r="DU161" s="18"/>
      <c r="DV161" s="18"/>
      <c r="DW161" s="18"/>
      <c r="DX161" s="18"/>
      <c r="DY161" s="18"/>
      <c r="DZ161" s="18"/>
      <c r="EA161" s="18"/>
      <c r="EB161" s="18"/>
      <c r="EC161" s="18"/>
      <c r="ED161" s="18"/>
      <c r="EE161" s="18"/>
    </row>
    <row r="162" spans="1:135" ht="14.25" customHeight="1">
      <c r="A162" s="18"/>
      <c r="B162" s="18"/>
      <c r="C162" s="19"/>
      <c r="D162" s="18"/>
      <c r="E162" s="18"/>
      <c r="F162" s="19"/>
      <c r="G162" s="18"/>
      <c r="H162" s="114"/>
      <c r="I162" s="18"/>
      <c r="J162" s="18" t="s">
        <v>403</v>
      </c>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40"/>
      <c r="AL162" s="141"/>
      <c r="AM162" s="141"/>
      <c r="AN162" s="141"/>
      <c r="AO162" s="141"/>
      <c r="AP162" s="141"/>
      <c r="AQ162" s="141"/>
      <c r="AR162" s="141"/>
      <c r="AS162" s="141"/>
      <c r="AT162" s="141"/>
      <c r="AU162" s="141"/>
      <c r="AV162" s="141"/>
      <c r="AW162" s="141"/>
      <c r="AX162" s="141"/>
      <c r="AY162" s="141"/>
      <c r="AZ162" s="141"/>
      <c r="BA162" s="141"/>
      <c r="BB162" s="141"/>
      <c r="BC162" s="141"/>
      <c r="BD162" s="141"/>
      <c r="BE162" s="141"/>
      <c r="BF162" s="141"/>
      <c r="BG162" s="18"/>
      <c r="BH162" s="1"/>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row>
    <row r="163" spans="1:135" ht="14.25" customHeight="1">
      <c r="A163" s="18"/>
      <c r="B163" s="18"/>
      <c r="C163" s="19"/>
      <c r="D163" s="18"/>
      <c r="E163" s="18"/>
      <c r="F163" s="19"/>
      <c r="G163" s="18"/>
      <c r="H163" s="114"/>
      <c r="I163" s="18"/>
      <c r="J163" s="18">
        <v>2016</v>
      </c>
      <c r="K163" s="18">
        <v>2017</v>
      </c>
      <c r="L163" s="18">
        <v>2018</v>
      </c>
      <c r="M163" s="18">
        <v>2019</v>
      </c>
      <c r="N163" s="18">
        <v>2020</v>
      </c>
      <c r="O163" s="18">
        <v>2021</v>
      </c>
      <c r="P163" s="18">
        <v>2022</v>
      </c>
      <c r="Q163" s="18">
        <v>2023</v>
      </c>
      <c r="R163" s="18">
        <v>2024</v>
      </c>
      <c r="S163" s="18">
        <v>2025</v>
      </c>
      <c r="T163" s="18">
        <v>2030</v>
      </c>
      <c r="U163" s="18">
        <v>2035</v>
      </c>
      <c r="V163" s="18">
        <v>2040</v>
      </c>
      <c r="W163" s="18">
        <v>2045</v>
      </c>
      <c r="X163" s="18">
        <v>2050</v>
      </c>
      <c r="Y163" s="18"/>
      <c r="Z163" s="18"/>
      <c r="AA163" s="18"/>
      <c r="AB163" s="18"/>
      <c r="AC163" s="18"/>
      <c r="AD163" s="18"/>
      <c r="AE163" s="18"/>
      <c r="AF163" s="18"/>
      <c r="AG163" s="18"/>
      <c r="AH163" s="18"/>
      <c r="AI163" s="18"/>
      <c r="AJ163" s="18"/>
      <c r="AK163" s="140"/>
      <c r="AL163" s="141"/>
      <c r="AM163" s="141"/>
      <c r="AN163" s="141"/>
      <c r="AO163" s="141"/>
      <c r="AP163" s="141"/>
      <c r="AQ163" s="141"/>
      <c r="AR163" s="141"/>
      <c r="AS163" s="141"/>
      <c r="AT163" s="141"/>
      <c r="AU163" s="141"/>
      <c r="AV163" s="141"/>
      <c r="AW163" s="141"/>
      <c r="AX163" s="141"/>
      <c r="AY163" s="141"/>
      <c r="AZ163" s="141"/>
      <c r="BA163" s="141"/>
      <c r="BB163" s="141"/>
      <c r="BC163" s="141"/>
      <c r="BD163" s="141"/>
      <c r="BE163" s="141"/>
      <c r="BF163" s="141"/>
      <c r="BG163" s="18"/>
      <c r="BH163" s="1"/>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c r="CP163" s="18"/>
      <c r="CQ163" s="18"/>
      <c r="CR163" s="18"/>
      <c r="CS163" s="18"/>
      <c r="CT163" s="18"/>
      <c r="CU163" s="18"/>
      <c r="CV163" s="18"/>
      <c r="CW163" s="18"/>
      <c r="CX163" s="18"/>
      <c r="CY163" s="18"/>
      <c r="CZ163" s="18"/>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row>
    <row r="164" spans="1:135" ht="14.25" customHeight="1">
      <c r="A164" s="18"/>
      <c r="B164" s="18"/>
      <c r="C164" s="19"/>
      <c r="D164" s="18"/>
      <c r="E164" s="18"/>
      <c r="F164" s="19"/>
      <c r="G164" s="18"/>
      <c r="H164" s="114"/>
      <c r="I164" s="18"/>
      <c r="J164" s="18">
        <v>12.21</v>
      </c>
      <c r="K164" s="18">
        <v>10.72</v>
      </c>
      <c r="L164" s="18">
        <v>10.49</v>
      </c>
      <c r="M164" s="18">
        <v>10.02</v>
      </c>
      <c r="N164" s="18">
        <v>9.9</v>
      </c>
      <c r="O164" s="18">
        <v>9.59</v>
      </c>
      <c r="P164" s="18">
        <v>9.31</v>
      </c>
      <c r="Q164" s="18">
        <v>9.09</v>
      </c>
      <c r="R164" s="18">
        <v>8.91</v>
      </c>
      <c r="S164" s="18">
        <v>8.7899999999999991</v>
      </c>
      <c r="T164" s="18">
        <f t="shared" ref="T164:X164" si="100">S164*T165</f>
        <v>8.3592025386209983</v>
      </c>
      <c r="U164" s="18">
        <f t="shared" si="100"/>
        <v>8.1523018528833422</v>
      </c>
      <c r="V164" s="18">
        <f t="shared" si="100"/>
        <v>8.071104274896399</v>
      </c>
      <c r="W164" s="18">
        <f t="shared" si="100"/>
        <v>8.0308293838939715</v>
      </c>
      <c r="X164" s="18">
        <f t="shared" si="100"/>
        <v>8.0227985545100768</v>
      </c>
      <c r="Y164" s="18"/>
      <c r="Z164" s="18"/>
      <c r="AA164" s="18"/>
      <c r="AB164" s="18"/>
      <c r="AC164" s="18"/>
      <c r="AD164" s="18"/>
      <c r="AE164" s="18"/>
      <c r="AF164" s="18"/>
      <c r="AG164" s="18"/>
      <c r="AH164" s="18"/>
      <c r="AI164" s="18"/>
      <c r="AJ164" s="18"/>
      <c r="AK164" s="140"/>
      <c r="AL164" s="141"/>
      <c r="AM164" s="141"/>
      <c r="AN164" s="141"/>
      <c r="AO164" s="141"/>
      <c r="AP164" s="141"/>
      <c r="AQ164" s="141"/>
      <c r="AR164" s="141"/>
      <c r="AS164" s="141"/>
      <c r="AT164" s="141"/>
      <c r="AU164" s="141"/>
      <c r="AV164" s="141"/>
      <c r="AW164" s="141"/>
      <c r="AX164" s="141"/>
      <c r="AY164" s="141"/>
      <c r="AZ164" s="141"/>
      <c r="BA164" s="141"/>
      <c r="BB164" s="141"/>
      <c r="BC164" s="141"/>
      <c r="BD164" s="141"/>
      <c r="BE164" s="141"/>
      <c r="BF164" s="141"/>
      <c r="BG164" s="18"/>
      <c r="BH164" s="1"/>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c r="CP164" s="18"/>
      <c r="CQ164" s="18"/>
      <c r="CR164" s="18"/>
      <c r="CS164" s="18"/>
      <c r="CT164" s="18"/>
      <c r="CU164" s="18"/>
      <c r="CV164" s="18"/>
      <c r="CW164" s="18"/>
      <c r="CX164" s="18"/>
      <c r="CY164" s="18"/>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c r="ED164" s="18"/>
      <c r="EE164" s="18"/>
    </row>
    <row r="165" spans="1:135" ht="14.25" customHeight="1">
      <c r="A165" s="18"/>
      <c r="B165" s="18"/>
      <c r="C165" s="19"/>
      <c r="D165" s="18"/>
      <c r="E165" s="18"/>
      <c r="F165" s="19"/>
      <c r="G165" s="18"/>
      <c r="H165" s="114"/>
      <c r="I165" s="18"/>
      <c r="J165" s="18"/>
      <c r="K165" s="18">
        <f t="shared" ref="K165:S165" si="101">K164/J164</f>
        <v>0.87796887796887801</v>
      </c>
      <c r="L165" s="18">
        <f t="shared" si="101"/>
        <v>0.97854477611940294</v>
      </c>
      <c r="M165" s="18">
        <f t="shared" si="101"/>
        <v>0.95519542421353665</v>
      </c>
      <c r="N165" s="18">
        <f t="shared" si="101"/>
        <v>0.98802395209580851</v>
      </c>
      <c r="O165" s="18">
        <f t="shared" si="101"/>
        <v>0.9686868686868686</v>
      </c>
      <c r="P165" s="18">
        <f t="shared" si="101"/>
        <v>0.97080291970802923</v>
      </c>
      <c r="Q165" s="18">
        <f t="shared" si="101"/>
        <v>0.97636949516648763</v>
      </c>
      <c r="R165" s="18">
        <f t="shared" si="101"/>
        <v>0.98019801980198018</v>
      </c>
      <c r="S165" s="18">
        <f t="shared" si="101"/>
        <v>0.98653198653198637</v>
      </c>
      <c r="T165" s="18">
        <f>0.99^5</f>
        <v>0.95099004989999991</v>
      </c>
      <c r="U165" s="18">
        <f>0.995^5</f>
        <v>0.97524875312187509</v>
      </c>
      <c r="V165" s="141">
        <f>0.998^5</f>
        <v>0.99003992007996799</v>
      </c>
      <c r="W165" s="18">
        <f>0.999^5</f>
        <v>0.99500999000499901</v>
      </c>
      <c r="X165" s="18">
        <v>0.999</v>
      </c>
      <c r="Y165" s="18"/>
      <c r="Z165" s="18"/>
      <c r="AA165" s="18"/>
      <c r="AB165" s="18"/>
      <c r="AC165" s="18"/>
      <c r="AD165" s="18"/>
      <c r="AE165" s="18"/>
      <c r="AF165" s="18"/>
      <c r="AG165" s="18"/>
      <c r="AH165" s="18"/>
      <c r="AI165" s="18"/>
      <c r="AJ165" s="18"/>
      <c r="AK165" s="140"/>
      <c r="AL165" s="141"/>
      <c r="AM165" s="141"/>
      <c r="AN165" s="141"/>
      <c r="AO165" s="141"/>
      <c r="AP165" s="141"/>
      <c r="AQ165" s="141"/>
      <c r="AR165" s="141"/>
      <c r="AS165" s="141"/>
      <c r="AT165" s="141"/>
      <c r="AU165" s="141"/>
      <c r="AV165" s="141"/>
      <c r="AW165" s="141"/>
      <c r="AX165" s="141"/>
      <c r="AY165" s="141"/>
      <c r="AZ165" s="141"/>
      <c r="BA165" s="141"/>
      <c r="BB165" s="141"/>
      <c r="BC165" s="141"/>
      <c r="BD165" s="141"/>
      <c r="BE165" s="141"/>
      <c r="BF165" s="141"/>
      <c r="BG165" s="18"/>
      <c r="BH165" s="1"/>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c r="CP165" s="18"/>
      <c r="CQ165" s="18"/>
      <c r="CR165" s="18"/>
      <c r="CS165" s="18"/>
      <c r="CT165" s="18"/>
      <c r="CU165" s="18"/>
      <c r="CV165" s="18"/>
      <c r="CW165" s="18"/>
      <c r="CX165" s="18"/>
      <c r="CY165" s="18"/>
      <c r="CZ165" s="18"/>
      <c r="DA165" s="18"/>
      <c r="DB165" s="18"/>
      <c r="DC165" s="18"/>
      <c r="DD165" s="18"/>
      <c r="DE165" s="18"/>
      <c r="DF165" s="18"/>
      <c r="DG165" s="18"/>
      <c r="DH165" s="18"/>
      <c r="DI165" s="18"/>
      <c r="DJ165" s="18"/>
      <c r="DK165" s="18"/>
      <c r="DL165" s="18"/>
      <c r="DM165" s="18"/>
      <c r="DN165" s="18"/>
      <c r="DO165" s="18"/>
      <c r="DP165" s="18"/>
      <c r="DQ165" s="18"/>
      <c r="DR165" s="18"/>
      <c r="DS165" s="18"/>
      <c r="DT165" s="18"/>
      <c r="DU165" s="18"/>
      <c r="DV165" s="18"/>
      <c r="DW165" s="18"/>
      <c r="DX165" s="18"/>
      <c r="DY165" s="18"/>
      <c r="DZ165" s="18"/>
      <c r="EA165" s="18"/>
      <c r="EB165" s="18"/>
      <c r="EC165" s="18"/>
      <c r="ED165" s="18"/>
      <c r="EE165" s="18"/>
    </row>
    <row r="166" spans="1:135" ht="14.25" customHeight="1">
      <c r="A166" s="18"/>
      <c r="B166" s="18"/>
      <c r="C166" s="19"/>
      <c r="D166" s="18"/>
      <c r="E166" s="18"/>
      <c r="F166" s="19"/>
      <c r="G166" s="18"/>
      <c r="H166" s="114"/>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40"/>
      <c r="AL166" s="141"/>
      <c r="AM166" s="141"/>
      <c r="AN166" s="141"/>
      <c r="AO166" s="141"/>
      <c r="AP166" s="141"/>
      <c r="AQ166" s="141"/>
      <c r="AR166" s="141"/>
      <c r="AS166" s="141"/>
      <c r="AT166" s="141"/>
      <c r="AU166" s="141"/>
      <c r="AV166" s="141"/>
      <c r="AW166" s="141"/>
      <c r="AX166" s="141"/>
      <c r="AY166" s="141"/>
      <c r="AZ166" s="141"/>
      <c r="BA166" s="141"/>
      <c r="BB166" s="141"/>
      <c r="BC166" s="141"/>
      <c r="BD166" s="141"/>
      <c r="BE166" s="141"/>
      <c r="BF166" s="141"/>
      <c r="BG166" s="18"/>
      <c r="BH166" s="1"/>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c r="CP166" s="18"/>
      <c r="CQ166" s="18"/>
      <c r="CR166" s="18"/>
      <c r="CS166" s="18"/>
      <c r="CT166" s="18"/>
      <c r="CU166" s="18"/>
      <c r="CV166" s="18"/>
      <c r="CW166" s="18"/>
      <c r="CX166" s="18"/>
      <c r="CY166" s="18"/>
      <c r="CZ166" s="18"/>
      <c r="DA166" s="18"/>
      <c r="DB166" s="18"/>
      <c r="DC166" s="18"/>
      <c r="DD166" s="18"/>
      <c r="DE166" s="18"/>
      <c r="DF166" s="18"/>
      <c r="DG166" s="18"/>
      <c r="DH166" s="18"/>
      <c r="DI166" s="18"/>
      <c r="DJ166" s="18"/>
      <c r="DK166" s="18"/>
      <c r="DL166" s="18"/>
      <c r="DM166" s="18"/>
      <c r="DN166" s="18"/>
      <c r="DO166" s="18"/>
      <c r="DP166" s="18"/>
      <c r="DQ166" s="18"/>
      <c r="DR166" s="18"/>
      <c r="DS166" s="18"/>
      <c r="DT166" s="18"/>
      <c r="DU166" s="18"/>
      <c r="DV166" s="18"/>
      <c r="DW166" s="18"/>
      <c r="DX166" s="18"/>
      <c r="DY166" s="18"/>
      <c r="DZ166" s="18"/>
      <c r="EA166" s="18"/>
      <c r="EB166" s="18"/>
      <c r="EC166" s="18"/>
      <c r="ED166" s="18"/>
      <c r="EE166" s="18"/>
    </row>
    <row r="167" spans="1:135" ht="14.25" customHeight="1">
      <c r="A167" s="18"/>
      <c r="B167" s="18"/>
      <c r="C167" s="19"/>
      <c r="D167" s="18"/>
      <c r="E167" s="18"/>
      <c r="F167" s="19"/>
      <c r="G167" s="18"/>
      <c r="H167" s="114"/>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40"/>
      <c r="AL167" s="141"/>
      <c r="AM167" s="141"/>
      <c r="AN167" s="141"/>
      <c r="AO167" s="141"/>
      <c r="AP167" s="141"/>
      <c r="AQ167" s="141"/>
      <c r="AR167" s="141"/>
      <c r="AS167" s="141"/>
      <c r="AT167" s="141"/>
      <c r="AU167" s="141"/>
      <c r="AV167" s="141"/>
      <c r="AW167" s="141"/>
      <c r="AX167" s="141"/>
      <c r="AY167" s="141"/>
      <c r="AZ167" s="141"/>
      <c r="BA167" s="141"/>
      <c r="BB167" s="141"/>
      <c r="BC167" s="141"/>
      <c r="BD167" s="141"/>
      <c r="BE167" s="141"/>
      <c r="BF167" s="141"/>
      <c r="BG167" s="18"/>
      <c r="BH167" s="1"/>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c r="CP167" s="18"/>
      <c r="CQ167" s="18"/>
      <c r="CR167" s="18"/>
      <c r="CS167" s="18"/>
      <c r="CT167" s="18"/>
      <c r="CU167" s="18"/>
      <c r="CV167" s="18"/>
      <c r="CW167" s="18"/>
      <c r="CX167" s="18"/>
      <c r="CY167" s="18"/>
      <c r="CZ167" s="18"/>
      <c r="DA167" s="18"/>
      <c r="DB167" s="18"/>
      <c r="DC167" s="18"/>
      <c r="DD167" s="18"/>
      <c r="DE167" s="18"/>
      <c r="DF167" s="18"/>
      <c r="DG167" s="18"/>
      <c r="DH167" s="18"/>
      <c r="DI167" s="18"/>
      <c r="DJ167" s="18"/>
      <c r="DK167" s="18"/>
      <c r="DL167" s="18"/>
      <c r="DM167" s="18"/>
      <c r="DN167" s="18"/>
      <c r="DO167" s="18"/>
      <c r="DP167" s="18"/>
      <c r="DQ167" s="18"/>
      <c r="DR167" s="18"/>
      <c r="DS167" s="18"/>
      <c r="DT167" s="18"/>
      <c r="DU167" s="18"/>
      <c r="DV167" s="18"/>
      <c r="DW167" s="18"/>
      <c r="DX167" s="18"/>
      <c r="DY167" s="18"/>
      <c r="DZ167" s="18"/>
      <c r="EA167" s="18"/>
      <c r="EB167" s="18"/>
      <c r="EC167" s="18"/>
      <c r="ED167" s="18"/>
      <c r="EE167" s="18"/>
    </row>
    <row r="168" spans="1:135" ht="14.25" customHeight="1">
      <c r="A168" s="18"/>
      <c r="B168" s="18"/>
      <c r="C168" s="19"/>
      <c r="D168" s="18"/>
      <c r="E168" s="18"/>
      <c r="F168" s="19"/>
      <c r="G168" s="18"/>
      <c r="H168" s="114"/>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40"/>
      <c r="AL168" s="141"/>
      <c r="AM168" s="141"/>
      <c r="AN168" s="141"/>
      <c r="AO168" s="141"/>
      <c r="AP168" s="141"/>
      <c r="AQ168" s="141"/>
      <c r="AR168" s="141"/>
      <c r="AS168" s="141"/>
      <c r="AT168" s="141"/>
      <c r="AU168" s="141"/>
      <c r="AV168" s="141"/>
      <c r="AW168" s="141"/>
      <c r="AX168" s="141"/>
      <c r="AY168" s="141"/>
      <c r="AZ168" s="141"/>
      <c r="BA168" s="141"/>
      <c r="BB168" s="141"/>
      <c r="BC168" s="141"/>
      <c r="BD168" s="141"/>
      <c r="BE168" s="141"/>
      <c r="BF168" s="141"/>
      <c r="BG168" s="18"/>
      <c r="BH168" s="1"/>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c r="CP168" s="18"/>
      <c r="CQ168" s="18"/>
      <c r="CR168" s="18"/>
      <c r="CS168" s="18"/>
      <c r="CT168" s="18"/>
      <c r="CU168" s="18"/>
      <c r="CV168" s="18"/>
      <c r="CW168" s="18"/>
      <c r="CX168" s="18"/>
      <c r="CY168" s="18"/>
      <c r="CZ168" s="18"/>
      <c r="DA168" s="18"/>
      <c r="DB168" s="18"/>
      <c r="DC168" s="18"/>
      <c r="DD168" s="18"/>
      <c r="DE168" s="18"/>
      <c r="DF168" s="18"/>
      <c r="DG168" s="18"/>
      <c r="DH168" s="18"/>
      <c r="DI168" s="18"/>
      <c r="DJ168" s="18"/>
      <c r="DK168" s="18"/>
      <c r="DL168" s="18"/>
      <c r="DM168" s="18"/>
      <c r="DN168" s="18"/>
      <c r="DO168" s="18"/>
      <c r="DP168" s="18"/>
      <c r="DQ168" s="18"/>
      <c r="DR168" s="18"/>
      <c r="DS168" s="18"/>
      <c r="DT168" s="18"/>
      <c r="DU168" s="18"/>
      <c r="DV168" s="18"/>
      <c r="DW168" s="18"/>
      <c r="DX168" s="18"/>
      <c r="DY168" s="18"/>
      <c r="DZ168" s="18"/>
      <c r="EA168" s="18"/>
      <c r="EB168" s="18"/>
      <c r="EC168" s="18"/>
      <c r="ED168" s="18"/>
      <c r="EE168" s="18"/>
    </row>
    <row r="169" spans="1:135" ht="14.25" customHeight="1">
      <c r="A169" s="18"/>
      <c r="B169" s="18"/>
      <c r="C169" s="19"/>
      <c r="D169" s="18"/>
      <c r="E169" s="18"/>
      <c r="F169" s="19"/>
      <c r="G169" s="18"/>
      <c r="H169" s="114"/>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40"/>
      <c r="AL169" s="141"/>
      <c r="AM169" s="141"/>
      <c r="AN169" s="141"/>
      <c r="AO169" s="141"/>
      <c r="AP169" s="141"/>
      <c r="AQ169" s="141"/>
      <c r="AR169" s="141"/>
      <c r="AS169" s="141"/>
      <c r="AT169" s="141"/>
      <c r="AU169" s="141"/>
      <c r="AV169" s="141"/>
      <c r="AW169" s="141"/>
      <c r="AX169" s="141"/>
      <c r="AY169" s="141"/>
      <c r="AZ169" s="141"/>
      <c r="BA169" s="141"/>
      <c r="BB169" s="141"/>
      <c r="BC169" s="141"/>
      <c r="BD169" s="141"/>
      <c r="BE169" s="141"/>
      <c r="BF169" s="141"/>
      <c r="BG169" s="18"/>
      <c r="BH169" s="1"/>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18"/>
      <c r="CP169" s="18"/>
      <c r="CQ169" s="18"/>
      <c r="CR169" s="18"/>
      <c r="CS169" s="18"/>
      <c r="CT169" s="18"/>
      <c r="CU169" s="18"/>
      <c r="CV169" s="18"/>
      <c r="CW169" s="18"/>
      <c r="CX169" s="18"/>
      <c r="CY169" s="18"/>
      <c r="CZ169" s="18"/>
      <c r="DA169" s="18"/>
      <c r="DB169" s="18"/>
      <c r="DC169" s="18"/>
      <c r="DD169" s="18"/>
      <c r="DE169" s="18"/>
      <c r="DF169" s="18"/>
      <c r="DG169" s="18"/>
      <c r="DH169" s="18"/>
      <c r="DI169" s="18"/>
      <c r="DJ169" s="18"/>
      <c r="DK169" s="18"/>
      <c r="DL169" s="18"/>
      <c r="DM169" s="18"/>
      <c r="DN169" s="18"/>
      <c r="DO169" s="18"/>
      <c r="DP169" s="18"/>
      <c r="DQ169" s="18"/>
      <c r="DR169" s="18"/>
      <c r="DS169" s="18"/>
      <c r="DT169" s="18"/>
      <c r="DU169" s="18"/>
      <c r="DV169" s="18"/>
      <c r="DW169" s="18"/>
      <c r="DX169" s="18"/>
      <c r="DY169" s="18"/>
      <c r="DZ169" s="18"/>
      <c r="EA169" s="18"/>
      <c r="EB169" s="18"/>
      <c r="EC169" s="18"/>
      <c r="ED169" s="18"/>
      <c r="EE169" s="18"/>
    </row>
    <row r="170" spans="1:135" ht="14.25" customHeight="1">
      <c r="A170" s="18"/>
      <c r="B170" s="18"/>
      <c r="C170" s="19"/>
      <c r="D170" s="18"/>
      <c r="E170" s="18"/>
      <c r="F170" s="19"/>
      <c r="G170" s="18"/>
      <c r="H170" s="114"/>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40"/>
      <c r="AL170" s="141"/>
      <c r="AM170" s="141"/>
      <c r="AN170" s="141"/>
      <c r="AO170" s="141"/>
      <c r="AP170" s="141"/>
      <c r="AQ170" s="141"/>
      <c r="AR170" s="141"/>
      <c r="AS170" s="141"/>
      <c r="AT170" s="141"/>
      <c r="AU170" s="141"/>
      <c r="AV170" s="141"/>
      <c r="AW170" s="141"/>
      <c r="AX170" s="141"/>
      <c r="AY170" s="141"/>
      <c r="AZ170" s="141"/>
      <c r="BA170" s="141"/>
      <c r="BB170" s="141"/>
      <c r="BC170" s="141"/>
      <c r="BD170" s="141"/>
      <c r="BE170" s="141"/>
      <c r="BF170" s="141"/>
      <c r="BG170" s="18"/>
      <c r="BH170" s="1"/>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18"/>
      <c r="CR170" s="18"/>
      <c r="CS170" s="18"/>
      <c r="CT170" s="18"/>
      <c r="CU170" s="18"/>
      <c r="CV170" s="18"/>
      <c r="CW170" s="18"/>
      <c r="CX170" s="18"/>
      <c r="CY170" s="18"/>
      <c r="CZ170" s="18"/>
      <c r="DA170" s="18"/>
      <c r="DB170" s="18"/>
      <c r="DC170" s="18"/>
      <c r="DD170" s="18"/>
      <c r="DE170" s="18"/>
      <c r="DF170" s="18"/>
      <c r="DG170" s="18"/>
      <c r="DH170" s="18"/>
      <c r="DI170" s="18"/>
      <c r="DJ170" s="18"/>
      <c r="DK170" s="18"/>
      <c r="DL170" s="18"/>
      <c r="DM170" s="18"/>
      <c r="DN170" s="18"/>
      <c r="DO170" s="18"/>
      <c r="DP170" s="18"/>
      <c r="DQ170" s="18"/>
      <c r="DR170" s="18"/>
      <c r="DS170" s="18"/>
      <c r="DT170" s="18"/>
      <c r="DU170" s="18"/>
      <c r="DV170" s="18"/>
      <c r="DW170" s="18"/>
      <c r="DX170" s="18"/>
      <c r="DY170" s="18"/>
      <c r="DZ170" s="18"/>
      <c r="EA170" s="18"/>
      <c r="EB170" s="18"/>
      <c r="EC170" s="18"/>
      <c r="ED170" s="18"/>
      <c r="EE170" s="18"/>
    </row>
    <row r="171" spans="1:135" ht="14.25" customHeight="1">
      <c r="A171" s="18"/>
      <c r="B171" s="18"/>
      <c r="C171" s="19"/>
      <c r="D171" s="18"/>
      <c r="E171" s="18"/>
      <c r="F171" s="19"/>
      <c r="G171" s="18"/>
      <c r="H171" s="114"/>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40"/>
      <c r="AL171" s="141"/>
      <c r="AM171" s="141"/>
      <c r="AN171" s="141"/>
      <c r="AO171" s="141"/>
      <c r="AP171" s="141"/>
      <c r="AQ171" s="141"/>
      <c r="AR171" s="141"/>
      <c r="AS171" s="141"/>
      <c r="AT171" s="141"/>
      <c r="AU171" s="141"/>
      <c r="AV171" s="141"/>
      <c r="AW171" s="141"/>
      <c r="AX171" s="141"/>
      <c r="AY171" s="141"/>
      <c r="AZ171" s="141"/>
      <c r="BA171" s="141"/>
      <c r="BB171" s="141"/>
      <c r="BC171" s="141"/>
      <c r="BD171" s="141"/>
      <c r="BE171" s="141"/>
      <c r="BF171" s="141"/>
      <c r="BG171" s="18"/>
      <c r="BH171" s="1"/>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18"/>
      <c r="DN171" s="18"/>
      <c r="DO171" s="18"/>
      <c r="DP171" s="18"/>
      <c r="DQ171" s="18"/>
      <c r="DR171" s="18"/>
      <c r="DS171" s="18"/>
      <c r="DT171" s="18"/>
      <c r="DU171" s="18"/>
      <c r="DV171" s="18"/>
      <c r="DW171" s="18"/>
      <c r="DX171" s="18"/>
      <c r="DY171" s="18"/>
      <c r="DZ171" s="18"/>
      <c r="EA171" s="18"/>
      <c r="EB171" s="18"/>
      <c r="EC171" s="18"/>
      <c r="ED171" s="18"/>
      <c r="EE171" s="18"/>
    </row>
    <row r="172" spans="1:135" ht="14.25" customHeight="1">
      <c r="A172" s="18"/>
      <c r="B172" s="18"/>
      <c r="C172" s="19"/>
      <c r="D172" s="18"/>
      <c r="E172" s="18"/>
      <c r="F172" s="19"/>
      <c r="G172" s="18"/>
      <c r="H172" s="114"/>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40"/>
      <c r="AL172" s="141"/>
      <c r="AM172" s="141"/>
      <c r="AN172" s="141"/>
      <c r="AO172" s="141"/>
      <c r="AP172" s="141"/>
      <c r="AQ172" s="141"/>
      <c r="AR172" s="141"/>
      <c r="AS172" s="141"/>
      <c r="AT172" s="141"/>
      <c r="AU172" s="141"/>
      <c r="AV172" s="141"/>
      <c r="AW172" s="141"/>
      <c r="AX172" s="141"/>
      <c r="AY172" s="141"/>
      <c r="AZ172" s="141"/>
      <c r="BA172" s="141"/>
      <c r="BB172" s="141"/>
      <c r="BC172" s="141"/>
      <c r="BD172" s="141"/>
      <c r="BE172" s="141"/>
      <c r="BF172" s="141"/>
      <c r="BG172" s="18"/>
      <c r="BH172" s="1"/>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row>
    <row r="173" spans="1:135" ht="14.25" customHeight="1">
      <c r="A173" s="18"/>
      <c r="B173" s="18"/>
      <c r="C173" s="19"/>
      <c r="D173" s="18"/>
      <c r="E173" s="18"/>
      <c r="F173" s="19"/>
      <c r="G173" s="18"/>
      <c r="H173" s="114"/>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40"/>
      <c r="AL173" s="141"/>
      <c r="AM173" s="141"/>
      <c r="AN173" s="141"/>
      <c r="AO173" s="141"/>
      <c r="AP173" s="141"/>
      <c r="AQ173" s="141"/>
      <c r="AR173" s="141"/>
      <c r="AS173" s="141"/>
      <c r="AT173" s="141"/>
      <c r="AU173" s="141"/>
      <c r="AV173" s="141"/>
      <c r="AW173" s="141"/>
      <c r="AX173" s="141"/>
      <c r="AY173" s="141"/>
      <c r="AZ173" s="141"/>
      <c r="BA173" s="141"/>
      <c r="BB173" s="141"/>
      <c r="BC173" s="141"/>
      <c r="BD173" s="141"/>
      <c r="BE173" s="141"/>
      <c r="BF173" s="141"/>
      <c r="BG173" s="18"/>
      <c r="BH173" s="1"/>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18"/>
      <c r="CP173" s="18"/>
      <c r="CQ173" s="18"/>
      <c r="CR173" s="18"/>
      <c r="CS173" s="18"/>
      <c r="CT173" s="18"/>
      <c r="CU173" s="18"/>
      <c r="CV173" s="18"/>
      <c r="CW173" s="18"/>
      <c r="CX173" s="18"/>
      <c r="CY173" s="18"/>
      <c r="CZ173" s="18"/>
      <c r="DA173" s="18"/>
      <c r="DB173" s="18"/>
      <c r="DC173" s="18"/>
      <c r="DD173" s="18"/>
      <c r="DE173" s="18"/>
      <c r="DF173" s="18"/>
      <c r="DG173" s="18"/>
      <c r="DH173" s="18"/>
      <c r="DI173" s="18"/>
      <c r="DJ173" s="18"/>
      <c r="DK173" s="18"/>
      <c r="DL173" s="18"/>
      <c r="DM173" s="18"/>
      <c r="DN173" s="18"/>
      <c r="DO173" s="18"/>
      <c r="DP173" s="18"/>
      <c r="DQ173" s="18"/>
      <c r="DR173" s="18"/>
      <c r="DS173" s="18"/>
      <c r="DT173" s="18"/>
      <c r="DU173" s="18"/>
      <c r="DV173" s="18"/>
      <c r="DW173" s="18"/>
      <c r="DX173" s="18"/>
      <c r="DY173" s="18"/>
      <c r="DZ173" s="18"/>
      <c r="EA173" s="18"/>
      <c r="EB173" s="18"/>
      <c r="EC173" s="18"/>
      <c r="ED173" s="18"/>
      <c r="EE173" s="18"/>
    </row>
    <row r="174" spans="1:135" ht="14.25" customHeight="1">
      <c r="A174" s="18"/>
      <c r="B174" s="18"/>
      <c r="C174" s="19"/>
      <c r="D174" s="18"/>
      <c r="E174" s="18"/>
      <c r="F174" s="19"/>
      <c r="G174" s="18"/>
      <c r="H174" s="114"/>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40"/>
      <c r="AL174" s="141"/>
      <c r="AM174" s="141"/>
      <c r="AN174" s="141"/>
      <c r="AO174" s="141"/>
      <c r="AP174" s="141"/>
      <c r="AQ174" s="141"/>
      <c r="AR174" s="141"/>
      <c r="AS174" s="141"/>
      <c r="AT174" s="141"/>
      <c r="AU174" s="141"/>
      <c r="AV174" s="141"/>
      <c r="AW174" s="141"/>
      <c r="AX174" s="141"/>
      <c r="AY174" s="141"/>
      <c r="AZ174" s="141"/>
      <c r="BA174" s="141"/>
      <c r="BB174" s="141"/>
      <c r="BC174" s="141"/>
      <c r="BD174" s="141"/>
      <c r="BE174" s="141"/>
      <c r="BF174" s="141"/>
      <c r="BG174" s="18"/>
      <c r="BH174" s="1"/>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c r="CP174" s="18"/>
      <c r="CQ174" s="18"/>
      <c r="CR174" s="18"/>
      <c r="CS174" s="18"/>
      <c r="CT174" s="18"/>
      <c r="CU174" s="18"/>
      <c r="CV174" s="18"/>
      <c r="CW174" s="18"/>
      <c r="CX174" s="18"/>
      <c r="CY174" s="18"/>
      <c r="CZ174" s="18"/>
      <c r="DA174" s="18"/>
      <c r="DB174" s="18"/>
      <c r="DC174" s="18"/>
      <c r="DD174" s="18"/>
      <c r="DE174" s="18"/>
      <c r="DF174" s="18"/>
      <c r="DG174" s="18"/>
      <c r="DH174" s="18"/>
      <c r="DI174" s="18"/>
      <c r="DJ174" s="18"/>
      <c r="DK174" s="18"/>
      <c r="DL174" s="18"/>
      <c r="DM174" s="18"/>
      <c r="DN174" s="18"/>
      <c r="DO174" s="18"/>
      <c r="DP174" s="18"/>
      <c r="DQ174" s="18"/>
      <c r="DR174" s="18"/>
      <c r="DS174" s="18"/>
      <c r="DT174" s="18"/>
      <c r="DU174" s="18"/>
      <c r="DV174" s="18"/>
      <c r="DW174" s="18"/>
      <c r="DX174" s="18"/>
      <c r="DY174" s="18"/>
      <c r="DZ174" s="18"/>
      <c r="EA174" s="18"/>
      <c r="EB174" s="18"/>
      <c r="EC174" s="18"/>
      <c r="ED174" s="18"/>
      <c r="EE174" s="18"/>
    </row>
    <row r="175" spans="1:135" ht="14.25" customHeight="1">
      <c r="A175" s="18"/>
      <c r="B175" s="18"/>
      <c r="C175" s="19"/>
      <c r="D175" s="18"/>
      <c r="E175" s="18"/>
      <c r="F175" s="19"/>
      <c r="G175" s="18"/>
      <c r="H175" s="114"/>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40"/>
      <c r="AL175" s="141"/>
      <c r="AM175" s="141"/>
      <c r="AN175" s="141"/>
      <c r="AO175" s="141"/>
      <c r="AP175" s="141"/>
      <c r="AQ175" s="141"/>
      <c r="AR175" s="141"/>
      <c r="AS175" s="141"/>
      <c r="AT175" s="141"/>
      <c r="AU175" s="141"/>
      <c r="AV175" s="141"/>
      <c r="AW175" s="141"/>
      <c r="AX175" s="141"/>
      <c r="AY175" s="141"/>
      <c r="AZ175" s="141"/>
      <c r="BA175" s="141"/>
      <c r="BB175" s="141"/>
      <c r="BC175" s="141"/>
      <c r="BD175" s="141"/>
      <c r="BE175" s="141"/>
      <c r="BF175" s="141"/>
      <c r="BG175" s="18"/>
      <c r="BH175" s="1"/>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c r="ED175" s="18"/>
      <c r="EE175" s="18"/>
    </row>
    <row r="176" spans="1:135" ht="14.25" customHeight="1">
      <c r="A176" s="18"/>
      <c r="B176" s="18"/>
      <c r="C176" s="19"/>
      <c r="D176" s="18"/>
      <c r="E176" s="18"/>
      <c r="F176" s="19"/>
      <c r="G176" s="18"/>
      <c r="H176" s="114"/>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40"/>
      <c r="AL176" s="141"/>
      <c r="AM176" s="141"/>
      <c r="AN176" s="141"/>
      <c r="AO176" s="141"/>
      <c r="AP176" s="141"/>
      <c r="AQ176" s="141"/>
      <c r="AR176" s="141"/>
      <c r="AS176" s="141"/>
      <c r="AT176" s="141"/>
      <c r="AU176" s="141"/>
      <c r="AV176" s="141"/>
      <c r="AW176" s="141"/>
      <c r="AX176" s="141"/>
      <c r="AY176" s="141"/>
      <c r="AZ176" s="141"/>
      <c r="BA176" s="141"/>
      <c r="BB176" s="141"/>
      <c r="BC176" s="141"/>
      <c r="BD176" s="141"/>
      <c r="BE176" s="141"/>
      <c r="BF176" s="141"/>
      <c r="BG176" s="18"/>
      <c r="BH176" s="1"/>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18"/>
      <c r="CP176" s="18"/>
      <c r="CQ176" s="18"/>
      <c r="CR176" s="18"/>
      <c r="CS176" s="18"/>
      <c r="CT176" s="18"/>
      <c r="CU176" s="18"/>
      <c r="CV176" s="18"/>
      <c r="CW176" s="18"/>
      <c r="CX176" s="18"/>
      <c r="CY176" s="18"/>
      <c r="CZ176" s="18"/>
      <c r="DA176" s="18"/>
      <c r="DB176" s="18"/>
      <c r="DC176" s="18"/>
      <c r="DD176" s="18"/>
      <c r="DE176" s="18"/>
      <c r="DF176" s="18"/>
      <c r="DG176" s="18"/>
      <c r="DH176" s="18"/>
      <c r="DI176" s="18"/>
      <c r="DJ176" s="18"/>
      <c r="DK176" s="18"/>
      <c r="DL176" s="18"/>
      <c r="DM176" s="18"/>
      <c r="DN176" s="18"/>
      <c r="DO176" s="18"/>
      <c r="DP176" s="18"/>
      <c r="DQ176" s="18"/>
      <c r="DR176" s="18"/>
      <c r="DS176" s="18"/>
      <c r="DT176" s="18"/>
      <c r="DU176" s="18"/>
      <c r="DV176" s="18"/>
      <c r="DW176" s="18"/>
      <c r="DX176" s="18"/>
      <c r="DY176" s="18"/>
      <c r="DZ176" s="18"/>
      <c r="EA176" s="18"/>
      <c r="EB176" s="18"/>
      <c r="EC176" s="18"/>
      <c r="ED176" s="18"/>
      <c r="EE176" s="18"/>
    </row>
    <row r="177" spans="1:135" ht="14.25" customHeight="1">
      <c r="A177" s="18"/>
      <c r="B177" s="18"/>
      <c r="C177" s="19"/>
      <c r="D177" s="18"/>
      <c r="E177" s="18"/>
      <c r="F177" s="19"/>
      <c r="G177" s="18"/>
      <c r="H177" s="114"/>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40"/>
      <c r="AL177" s="141"/>
      <c r="AM177" s="141"/>
      <c r="AN177" s="141"/>
      <c r="AO177" s="141"/>
      <c r="AP177" s="141"/>
      <c r="AQ177" s="141"/>
      <c r="AR177" s="141"/>
      <c r="AS177" s="141"/>
      <c r="AT177" s="141"/>
      <c r="AU177" s="141"/>
      <c r="AV177" s="141"/>
      <c r="AW177" s="141"/>
      <c r="AX177" s="141"/>
      <c r="AY177" s="141"/>
      <c r="AZ177" s="141"/>
      <c r="BA177" s="141"/>
      <c r="BB177" s="141"/>
      <c r="BC177" s="141"/>
      <c r="BD177" s="141"/>
      <c r="BE177" s="141"/>
      <c r="BF177" s="141"/>
      <c r="BG177" s="18"/>
      <c r="BH177" s="1"/>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18"/>
      <c r="CP177" s="18"/>
      <c r="CQ177" s="18"/>
      <c r="CR177" s="18"/>
      <c r="CS177" s="18"/>
      <c r="CT177" s="18"/>
      <c r="CU177" s="18"/>
      <c r="CV177" s="18"/>
      <c r="CW177" s="18"/>
      <c r="CX177" s="18"/>
      <c r="CY177" s="18"/>
      <c r="CZ177" s="18"/>
      <c r="DA177" s="18"/>
      <c r="DB177" s="18"/>
      <c r="DC177" s="18"/>
      <c r="DD177" s="18"/>
      <c r="DE177" s="18"/>
      <c r="DF177" s="18"/>
      <c r="DG177" s="18"/>
      <c r="DH177" s="18"/>
      <c r="DI177" s="18"/>
      <c r="DJ177" s="18"/>
      <c r="DK177" s="18"/>
      <c r="DL177" s="18"/>
      <c r="DM177" s="18"/>
      <c r="DN177" s="18"/>
      <c r="DO177" s="18"/>
      <c r="DP177" s="18"/>
      <c r="DQ177" s="18"/>
      <c r="DR177" s="18"/>
      <c r="DS177" s="18"/>
      <c r="DT177" s="18"/>
      <c r="DU177" s="18"/>
      <c r="DV177" s="18"/>
      <c r="DW177" s="18"/>
      <c r="DX177" s="18"/>
      <c r="DY177" s="18"/>
      <c r="DZ177" s="18"/>
      <c r="EA177" s="18"/>
      <c r="EB177" s="18"/>
      <c r="EC177" s="18"/>
      <c r="ED177" s="18"/>
      <c r="EE177" s="18"/>
    </row>
    <row r="178" spans="1:135" ht="14.25" customHeight="1">
      <c r="A178" s="18"/>
      <c r="B178" s="18"/>
      <c r="C178" s="19"/>
      <c r="D178" s="18"/>
      <c r="E178" s="18"/>
      <c r="F178" s="19"/>
      <c r="G178" s="18"/>
      <c r="H178" s="114"/>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40"/>
      <c r="AL178" s="141"/>
      <c r="AM178" s="141"/>
      <c r="AN178" s="141"/>
      <c r="AO178" s="141"/>
      <c r="AP178" s="141"/>
      <c r="AQ178" s="141"/>
      <c r="AR178" s="141"/>
      <c r="AS178" s="141"/>
      <c r="AT178" s="141"/>
      <c r="AU178" s="141"/>
      <c r="AV178" s="141"/>
      <c r="AW178" s="141"/>
      <c r="AX178" s="141"/>
      <c r="AY178" s="141"/>
      <c r="AZ178" s="141"/>
      <c r="BA178" s="141"/>
      <c r="BB178" s="141"/>
      <c r="BC178" s="141"/>
      <c r="BD178" s="141"/>
      <c r="BE178" s="141"/>
      <c r="BF178" s="141"/>
      <c r="BG178" s="18"/>
      <c r="BH178" s="1"/>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18"/>
      <c r="CR178" s="18"/>
      <c r="CS178" s="18"/>
      <c r="CT178" s="18"/>
      <c r="CU178" s="18"/>
      <c r="CV178" s="18"/>
      <c r="CW178" s="18"/>
      <c r="CX178" s="18"/>
      <c r="CY178" s="18"/>
      <c r="CZ178" s="18"/>
      <c r="DA178" s="18"/>
      <c r="DB178" s="18"/>
      <c r="DC178" s="18"/>
      <c r="DD178" s="18"/>
      <c r="DE178" s="18"/>
      <c r="DF178" s="18"/>
      <c r="DG178" s="18"/>
      <c r="DH178" s="18"/>
      <c r="DI178" s="18"/>
      <c r="DJ178" s="18"/>
      <c r="DK178" s="18"/>
      <c r="DL178" s="18"/>
      <c r="DM178" s="18"/>
      <c r="DN178" s="18"/>
      <c r="DO178" s="18"/>
      <c r="DP178" s="18"/>
      <c r="DQ178" s="18"/>
      <c r="DR178" s="18"/>
      <c r="DS178" s="18"/>
      <c r="DT178" s="18"/>
      <c r="DU178" s="18"/>
      <c r="DV178" s="18"/>
      <c r="DW178" s="18"/>
      <c r="DX178" s="18"/>
      <c r="DY178" s="18"/>
      <c r="DZ178" s="18"/>
      <c r="EA178" s="18"/>
      <c r="EB178" s="18"/>
      <c r="EC178" s="18"/>
      <c r="ED178" s="18"/>
      <c r="EE178" s="18"/>
    </row>
    <row r="179" spans="1:135" ht="14.25" customHeight="1">
      <c r="A179" s="18"/>
      <c r="B179" s="18"/>
      <c r="C179" s="19"/>
      <c r="D179" s="18"/>
      <c r="E179" s="18"/>
      <c r="F179" s="19"/>
      <c r="G179" s="18"/>
      <c r="H179" s="114"/>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40"/>
      <c r="AL179" s="141"/>
      <c r="AM179" s="141"/>
      <c r="AN179" s="141"/>
      <c r="AO179" s="141"/>
      <c r="AP179" s="141"/>
      <c r="AQ179" s="141"/>
      <c r="AR179" s="141"/>
      <c r="AS179" s="141"/>
      <c r="AT179" s="141"/>
      <c r="AU179" s="141"/>
      <c r="AV179" s="141"/>
      <c r="AW179" s="141"/>
      <c r="AX179" s="141"/>
      <c r="AY179" s="141"/>
      <c r="AZ179" s="141"/>
      <c r="BA179" s="141"/>
      <c r="BB179" s="141"/>
      <c r="BC179" s="141"/>
      <c r="BD179" s="141"/>
      <c r="BE179" s="141"/>
      <c r="BF179" s="141"/>
      <c r="BG179" s="18"/>
      <c r="BH179" s="1"/>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18"/>
      <c r="CP179" s="18"/>
      <c r="CQ179" s="18"/>
      <c r="CR179" s="18"/>
      <c r="CS179" s="18"/>
      <c r="CT179" s="18"/>
      <c r="CU179" s="18"/>
      <c r="CV179" s="18"/>
      <c r="CW179" s="18"/>
      <c r="CX179" s="18"/>
      <c r="CY179" s="18"/>
      <c r="CZ179" s="18"/>
      <c r="DA179" s="18"/>
      <c r="DB179" s="18"/>
      <c r="DC179" s="18"/>
      <c r="DD179" s="18"/>
      <c r="DE179" s="18"/>
      <c r="DF179" s="18"/>
      <c r="DG179" s="18"/>
      <c r="DH179" s="18"/>
      <c r="DI179" s="18"/>
      <c r="DJ179" s="18"/>
      <c r="DK179" s="18"/>
      <c r="DL179" s="18"/>
      <c r="DM179" s="18"/>
      <c r="DN179" s="18"/>
      <c r="DO179" s="18"/>
      <c r="DP179" s="18"/>
      <c r="DQ179" s="18"/>
      <c r="DR179" s="18"/>
      <c r="DS179" s="18"/>
      <c r="DT179" s="18"/>
      <c r="DU179" s="18"/>
      <c r="DV179" s="18"/>
      <c r="DW179" s="18"/>
      <c r="DX179" s="18"/>
      <c r="DY179" s="18"/>
      <c r="DZ179" s="18"/>
      <c r="EA179" s="18"/>
      <c r="EB179" s="18"/>
      <c r="EC179" s="18"/>
      <c r="ED179" s="18"/>
      <c r="EE179" s="18"/>
    </row>
    <row r="180" spans="1:135" ht="14.25" customHeight="1">
      <c r="A180" s="18"/>
      <c r="B180" s="18"/>
      <c r="C180" s="19"/>
      <c r="D180" s="18"/>
      <c r="E180" s="18"/>
      <c r="F180" s="19"/>
      <c r="G180" s="18"/>
      <c r="H180" s="114"/>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40"/>
      <c r="AL180" s="141"/>
      <c r="AM180" s="141"/>
      <c r="AN180" s="141"/>
      <c r="AO180" s="141"/>
      <c r="AP180" s="141"/>
      <c r="AQ180" s="141"/>
      <c r="AR180" s="141"/>
      <c r="AS180" s="141"/>
      <c r="AT180" s="141"/>
      <c r="AU180" s="141"/>
      <c r="AV180" s="141"/>
      <c r="AW180" s="141"/>
      <c r="AX180" s="141"/>
      <c r="AY180" s="141"/>
      <c r="AZ180" s="141"/>
      <c r="BA180" s="141"/>
      <c r="BB180" s="141"/>
      <c r="BC180" s="141"/>
      <c r="BD180" s="141"/>
      <c r="BE180" s="141"/>
      <c r="BF180" s="141"/>
      <c r="BG180" s="18"/>
      <c r="BH180" s="1"/>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18"/>
      <c r="CR180" s="18"/>
      <c r="CS180" s="18"/>
      <c r="CT180" s="18"/>
      <c r="CU180" s="18"/>
      <c r="CV180" s="18"/>
      <c r="CW180" s="18"/>
      <c r="CX180" s="18"/>
      <c r="CY180" s="18"/>
      <c r="CZ180" s="18"/>
      <c r="DA180" s="18"/>
      <c r="DB180" s="18"/>
      <c r="DC180" s="18"/>
      <c r="DD180" s="18"/>
      <c r="DE180" s="18"/>
      <c r="DF180" s="18"/>
      <c r="DG180" s="18"/>
      <c r="DH180" s="18"/>
      <c r="DI180" s="18"/>
      <c r="DJ180" s="18"/>
      <c r="DK180" s="18"/>
      <c r="DL180" s="18"/>
      <c r="DM180" s="18"/>
      <c r="DN180" s="18"/>
      <c r="DO180" s="18"/>
      <c r="DP180" s="18"/>
      <c r="DQ180" s="18"/>
      <c r="DR180" s="18"/>
      <c r="DS180" s="18"/>
      <c r="DT180" s="18"/>
      <c r="DU180" s="18"/>
      <c r="DV180" s="18"/>
      <c r="DW180" s="18"/>
      <c r="DX180" s="18"/>
      <c r="DY180" s="18"/>
      <c r="DZ180" s="18"/>
      <c r="EA180" s="18"/>
      <c r="EB180" s="18"/>
      <c r="EC180" s="18"/>
      <c r="ED180" s="18"/>
      <c r="EE180" s="18"/>
    </row>
    <row r="181" spans="1:135" ht="14.25" customHeight="1">
      <c r="A181" s="18"/>
      <c r="B181" s="18"/>
      <c r="C181" s="19"/>
      <c r="D181" s="18"/>
      <c r="E181" s="18"/>
      <c r="F181" s="19"/>
      <c r="G181" s="18"/>
      <c r="H181" s="114"/>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40"/>
      <c r="AL181" s="141"/>
      <c r="AM181" s="141"/>
      <c r="AN181" s="141"/>
      <c r="AO181" s="141"/>
      <c r="AP181" s="141"/>
      <c r="AQ181" s="141"/>
      <c r="AR181" s="141"/>
      <c r="AS181" s="141"/>
      <c r="AT181" s="141"/>
      <c r="AU181" s="141"/>
      <c r="AV181" s="141"/>
      <c r="AW181" s="141"/>
      <c r="AX181" s="141"/>
      <c r="AY181" s="141"/>
      <c r="AZ181" s="141"/>
      <c r="BA181" s="141"/>
      <c r="BB181" s="141"/>
      <c r="BC181" s="141"/>
      <c r="BD181" s="141"/>
      <c r="BE181" s="141"/>
      <c r="BF181" s="141"/>
      <c r="BG181" s="18"/>
      <c r="BH181" s="1"/>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18"/>
      <c r="CS181" s="18"/>
      <c r="CT181" s="18"/>
      <c r="CU181" s="18"/>
      <c r="CV181" s="18"/>
      <c r="CW181" s="18"/>
      <c r="CX181" s="18"/>
      <c r="CY181" s="18"/>
      <c r="CZ181" s="18"/>
      <c r="DA181" s="18"/>
      <c r="DB181" s="18"/>
      <c r="DC181" s="18"/>
      <c r="DD181" s="18"/>
      <c r="DE181" s="18"/>
      <c r="DF181" s="18"/>
      <c r="DG181" s="18"/>
      <c r="DH181" s="18"/>
      <c r="DI181" s="18"/>
      <c r="DJ181" s="18"/>
      <c r="DK181" s="18"/>
      <c r="DL181" s="18"/>
      <c r="DM181" s="18"/>
      <c r="DN181" s="18"/>
      <c r="DO181" s="18"/>
      <c r="DP181" s="18"/>
      <c r="DQ181" s="18"/>
      <c r="DR181" s="18"/>
      <c r="DS181" s="18"/>
      <c r="DT181" s="18"/>
      <c r="DU181" s="18"/>
      <c r="DV181" s="18"/>
      <c r="DW181" s="18"/>
      <c r="DX181" s="18"/>
      <c r="DY181" s="18"/>
      <c r="DZ181" s="18"/>
      <c r="EA181" s="18"/>
      <c r="EB181" s="18"/>
      <c r="EC181" s="18"/>
      <c r="ED181" s="18"/>
      <c r="EE181" s="18"/>
    </row>
    <row r="182" spans="1:135" ht="14.25" customHeight="1">
      <c r="A182" s="18"/>
      <c r="B182" s="18"/>
      <c r="C182" s="19"/>
      <c r="D182" s="18"/>
      <c r="E182" s="18"/>
      <c r="F182" s="19"/>
      <c r="G182" s="18"/>
      <c r="H182" s="114"/>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40"/>
      <c r="AL182" s="141"/>
      <c r="AM182" s="141"/>
      <c r="AN182" s="141"/>
      <c r="AO182" s="141"/>
      <c r="AP182" s="141"/>
      <c r="AQ182" s="141"/>
      <c r="AR182" s="141"/>
      <c r="AS182" s="141"/>
      <c r="AT182" s="141"/>
      <c r="AU182" s="141"/>
      <c r="AV182" s="141"/>
      <c r="AW182" s="141"/>
      <c r="AX182" s="141"/>
      <c r="AY182" s="141"/>
      <c r="AZ182" s="141"/>
      <c r="BA182" s="141"/>
      <c r="BB182" s="141"/>
      <c r="BC182" s="141"/>
      <c r="BD182" s="141"/>
      <c r="BE182" s="141"/>
      <c r="BF182" s="141"/>
      <c r="BG182" s="18"/>
      <c r="BH182" s="1"/>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row>
    <row r="183" spans="1:135" ht="14.25" customHeight="1">
      <c r="A183" s="18"/>
      <c r="B183" s="18"/>
      <c r="C183" s="19"/>
      <c r="D183" s="18"/>
      <c r="E183" s="18"/>
      <c r="F183" s="19"/>
      <c r="G183" s="18"/>
      <c r="H183" s="114"/>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40"/>
      <c r="AL183" s="141"/>
      <c r="AM183" s="141"/>
      <c r="AN183" s="141"/>
      <c r="AO183" s="141"/>
      <c r="AP183" s="141"/>
      <c r="AQ183" s="141"/>
      <c r="AR183" s="141"/>
      <c r="AS183" s="141"/>
      <c r="AT183" s="141"/>
      <c r="AU183" s="141"/>
      <c r="AV183" s="141"/>
      <c r="AW183" s="141"/>
      <c r="AX183" s="141"/>
      <c r="AY183" s="141"/>
      <c r="AZ183" s="141"/>
      <c r="BA183" s="141"/>
      <c r="BB183" s="141"/>
      <c r="BC183" s="141"/>
      <c r="BD183" s="141"/>
      <c r="BE183" s="141"/>
      <c r="BF183" s="141"/>
      <c r="BG183" s="18"/>
      <c r="BH183" s="1"/>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18"/>
      <c r="CP183" s="18"/>
      <c r="CQ183" s="18"/>
      <c r="CR183" s="18"/>
      <c r="CS183" s="18"/>
      <c r="CT183" s="18"/>
      <c r="CU183" s="18"/>
      <c r="CV183" s="18"/>
      <c r="CW183" s="18"/>
      <c r="CX183" s="18"/>
      <c r="CY183" s="18"/>
      <c r="CZ183" s="18"/>
      <c r="DA183" s="18"/>
      <c r="DB183" s="18"/>
      <c r="DC183" s="18"/>
      <c r="DD183" s="18"/>
      <c r="DE183" s="18"/>
      <c r="DF183" s="18"/>
      <c r="DG183" s="18"/>
      <c r="DH183" s="18"/>
      <c r="DI183" s="18"/>
      <c r="DJ183" s="18"/>
      <c r="DK183" s="18"/>
      <c r="DL183" s="18"/>
      <c r="DM183" s="18"/>
      <c r="DN183" s="18"/>
      <c r="DO183" s="18"/>
      <c r="DP183" s="18"/>
      <c r="DQ183" s="18"/>
      <c r="DR183" s="18"/>
      <c r="DS183" s="18"/>
      <c r="DT183" s="18"/>
      <c r="DU183" s="18"/>
      <c r="DV183" s="18"/>
      <c r="DW183" s="18"/>
      <c r="DX183" s="18"/>
      <c r="DY183" s="18"/>
      <c r="DZ183" s="18"/>
      <c r="EA183" s="18"/>
      <c r="EB183" s="18"/>
      <c r="EC183" s="18"/>
      <c r="ED183" s="18"/>
      <c r="EE183" s="18"/>
    </row>
    <row r="184" spans="1:135" ht="14.25" customHeight="1">
      <c r="A184" s="18"/>
      <c r="B184" s="18"/>
      <c r="C184" s="19"/>
      <c r="D184" s="18"/>
      <c r="E184" s="18"/>
      <c r="F184" s="19"/>
      <c r="G184" s="18"/>
      <c r="H184" s="114"/>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40"/>
      <c r="AL184" s="141"/>
      <c r="AM184" s="141"/>
      <c r="AN184" s="141"/>
      <c r="AO184" s="141"/>
      <c r="AP184" s="141"/>
      <c r="AQ184" s="141"/>
      <c r="AR184" s="141"/>
      <c r="AS184" s="141"/>
      <c r="AT184" s="141"/>
      <c r="AU184" s="141"/>
      <c r="AV184" s="141"/>
      <c r="AW184" s="141"/>
      <c r="AX184" s="141"/>
      <c r="AY184" s="141"/>
      <c r="AZ184" s="141"/>
      <c r="BA184" s="141"/>
      <c r="BB184" s="141"/>
      <c r="BC184" s="141"/>
      <c r="BD184" s="141"/>
      <c r="BE184" s="141"/>
      <c r="BF184" s="141"/>
      <c r="BG184" s="18"/>
      <c r="BH184" s="1"/>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18"/>
      <c r="CT184" s="18"/>
      <c r="CU184" s="18"/>
      <c r="CV184" s="18"/>
      <c r="CW184" s="18"/>
      <c r="CX184" s="18"/>
      <c r="CY184" s="18"/>
      <c r="CZ184" s="18"/>
      <c r="DA184" s="18"/>
      <c r="DB184" s="18"/>
      <c r="DC184" s="18"/>
      <c r="DD184" s="18"/>
      <c r="DE184" s="18"/>
      <c r="DF184" s="18"/>
      <c r="DG184" s="18"/>
      <c r="DH184" s="18"/>
      <c r="DI184" s="18"/>
      <c r="DJ184" s="18"/>
      <c r="DK184" s="18"/>
      <c r="DL184" s="18"/>
      <c r="DM184" s="18"/>
      <c r="DN184" s="18"/>
      <c r="DO184" s="18"/>
      <c r="DP184" s="18"/>
      <c r="DQ184" s="18"/>
      <c r="DR184" s="18"/>
      <c r="DS184" s="18"/>
      <c r="DT184" s="18"/>
      <c r="DU184" s="18"/>
      <c r="DV184" s="18"/>
      <c r="DW184" s="18"/>
      <c r="DX184" s="18"/>
      <c r="DY184" s="18"/>
      <c r="DZ184" s="18"/>
      <c r="EA184" s="18"/>
      <c r="EB184" s="18"/>
      <c r="EC184" s="18"/>
      <c r="ED184" s="18"/>
      <c r="EE184" s="18"/>
    </row>
    <row r="185" spans="1:135" ht="14.25" customHeight="1">
      <c r="A185" s="18"/>
      <c r="B185" s="18"/>
      <c r="C185" s="19"/>
      <c r="D185" s="18"/>
      <c r="E185" s="18"/>
      <c r="F185" s="19"/>
      <c r="G185" s="18"/>
      <c r="H185" s="114"/>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40"/>
      <c r="AL185" s="141"/>
      <c r="AM185" s="141"/>
      <c r="AN185" s="141"/>
      <c r="AO185" s="141"/>
      <c r="AP185" s="141"/>
      <c r="AQ185" s="141"/>
      <c r="AR185" s="141"/>
      <c r="AS185" s="141"/>
      <c r="AT185" s="141"/>
      <c r="AU185" s="141"/>
      <c r="AV185" s="141"/>
      <c r="AW185" s="141"/>
      <c r="AX185" s="141"/>
      <c r="AY185" s="141"/>
      <c r="AZ185" s="141"/>
      <c r="BA185" s="141"/>
      <c r="BB185" s="141"/>
      <c r="BC185" s="141"/>
      <c r="BD185" s="141"/>
      <c r="BE185" s="141"/>
      <c r="BF185" s="141"/>
      <c r="BG185" s="18"/>
      <c r="BH185" s="1"/>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c r="CP185" s="18"/>
      <c r="CQ185" s="18"/>
      <c r="CR185" s="18"/>
      <c r="CS185" s="18"/>
      <c r="CT185" s="18"/>
      <c r="CU185" s="18"/>
      <c r="CV185" s="18"/>
      <c r="CW185" s="18"/>
      <c r="CX185" s="18"/>
      <c r="CY185" s="18"/>
      <c r="CZ185" s="18"/>
      <c r="DA185" s="18"/>
      <c r="DB185" s="18"/>
      <c r="DC185" s="18"/>
      <c r="DD185" s="18"/>
      <c r="DE185" s="18"/>
      <c r="DF185" s="18"/>
      <c r="DG185" s="18"/>
      <c r="DH185" s="18"/>
      <c r="DI185" s="18"/>
      <c r="DJ185" s="18"/>
      <c r="DK185" s="18"/>
      <c r="DL185" s="18"/>
      <c r="DM185" s="18"/>
      <c r="DN185" s="18"/>
      <c r="DO185" s="18"/>
      <c r="DP185" s="18"/>
      <c r="DQ185" s="18"/>
      <c r="DR185" s="18"/>
      <c r="DS185" s="18"/>
      <c r="DT185" s="18"/>
      <c r="DU185" s="18"/>
      <c r="DV185" s="18"/>
      <c r="DW185" s="18"/>
      <c r="DX185" s="18"/>
      <c r="DY185" s="18"/>
      <c r="DZ185" s="18"/>
      <c r="EA185" s="18"/>
      <c r="EB185" s="18"/>
      <c r="EC185" s="18"/>
      <c r="ED185" s="18"/>
      <c r="EE185" s="18"/>
    </row>
    <row r="186" spans="1:135" ht="14.25" customHeight="1">
      <c r="A186" s="18"/>
      <c r="B186" s="18"/>
      <c r="C186" s="19"/>
      <c r="D186" s="18"/>
      <c r="E186" s="18"/>
      <c r="F186" s="19"/>
      <c r="G186" s="18"/>
      <c r="H186" s="114"/>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40"/>
      <c r="AL186" s="141"/>
      <c r="AM186" s="141"/>
      <c r="AN186" s="141"/>
      <c r="AO186" s="141"/>
      <c r="AP186" s="141"/>
      <c r="AQ186" s="141"/>
      <c r="AR186" s="141"/>
      <c r="AS186" s="141"/>
      <c r="AT186" s="141"/>
      <c r="AU186" s="141"/>
      <c r="AV186" s="141"/>
      <c r="AW186" s="141"/>
      <c r="AX186" s="141"/>
      <c r="AY186" s="141"/>
      <c r="AZ186" s="141"/>
      <c r="BA186" s="141"/>
      <c r="BB186" s="141"/>
      <c r="BC186" s="141"/>
      <c r="BD186" s="141"/>
      <c r="BE186" s="141"/>
      <c r="BF186" s="141"/>
      <c r="BG186" s="18"/>
      <c r="BH186" s="1"/>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18"/>
      <c r="DN186" s="18"/>
      <c r="DO186" s="18"/>
      <c r="DP186" s="18"/>
      <c r="DQ186" s="18"/>
      <c r="DR186" s="18"/>
      <c r="DS186" s="18"/>
      <c r="DT186" s="18"/>
      <c r="DU186" s="18"/>
      <c r="DV186" s="18"/>
      <c r="DW186" s="18"/>
      <c r="DX186" s="18"/>
      <c r="DY186" s="18"/>
      <c r="DZ186" s="18"/>
      <c r="EA186" s="18"/>
      <c r="EB186" s="18"/>
      <c r="EC186" s="18"/>
      <c r="ED186" s="18"/>
      <c r="EE186" s="18"/>
    </row>
    <row r="187" spans="1:135" ht="14.25" customHeight="1">
      <c r="A187" s="18"/>
      <c r="B187" s="18"/>
      <c r="C187" s="19"/>
      <c r="D187" s="18"/>
      <c r="E187" s="18"/>
      <c r="F187" s="19"/>
      <c r="G187" s="18"/>
      <c r="H187" s="114"/>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40"/>
      <c r="AL187" s="141"/>
      <c r="AM187" s="141"/>
      <c r="AN187" s="141"/>
      <c r="AO187" s="141"/>
      <c r="AP187" s="141"/>
      <c r="AQ187" s="141"/>
      <c r="AR187" s="141"/>
      <c r="AS187" s="141"/>
      <c r="AT187" s="141"/>
      <c r="AU187" s="141"/>
      <c r="AV187" s="141"/>
      <c r="AW187" s="141"/>
      <c r="AX187" s="141"/>
      <c r="AY187" s="141"/>
      <c r="AZ187" s="141"/>
      <c r="BA187" s="141"/>
      <c r="BB187" s="141"/>
      <c r="BC187" s="141"/>
      <c r="BD187" s="141"/>
      <c r="BE187" s="141"/>
      <c r="BF187" s="141"/>
      <c r="BG187" s="18"/>
      <c r="BH187" s="1"/>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18"/>
      <c r="CP187" s="18"/>
      <c r="CQ187" s="18"/>
      <c r="CR187" s="18"/>
      <c r="CS187" s="18"/>
      <c r="CT187" s="18"/>
      <c r="CU187" s="18"/>
      <c r="CV187" s="18"/>
      <c r="CW187" s="18"/>
      <c r="CX187" s="18"/>
      <c r="CY187" s="18"/>
      <c r="CZ187" s="18"/>
      <c r="DA187" s="18"/>
      <c r="DB187" s="18"/>
      <c r="DC187" s="18"/>
      <c r="DD187" s="18"/>
      <c r="DE187" s="18"/>
      <c r="DF187" s="18"/>
      <c r="DG187" s="18"/>
      <c r="DH187" s="18"/>
      <c r="DI187" s="18"/>
      <c r="DJ187" s="18"/>
      <c r="DK187" s="18"/>
      <c r="DL187" s="18"/>
      <c r="DM187" s="18"/>
      <c r="DN187" s="18"/>
      <c r="DO187" s="18"/>
      <c r="DP187" s="18"/>
      <c r="DQ187" s="18"/>
      <c r="DR187" s="18"/>
      <c r="DS187" s="18"/>
      <c r="DT187" s="18"/>
      <c r="DU187" s="18"/>
      <c r="DV187" s="18"/>
      <c r="DW187" s="18"/>
      <c r="DX187" s="18"/>
      <c r="DY187" s="18"/>
      <c r="DZ187" s="18"/>
      <c r="EA187" s="18"/>
      <c r="EB187" s="18"/>
      <c r="EC187" s="18"/>
      <c r="ED187" s="18"/>
      <c r="EE187" s="18"/>
    </row>
    <row r="188" spans="1:135" ht="14.25" customHeight="1">
      <c r="A188" s="18"/>
      <c r="B188" s="18"/>
      <c r="C188" s="19"/>
      <c r="D188" s="18"/>
      <c r="E188" s="18"/>
      <c r="F188" s="19"/>
      <c r="G188" s="18"/>
      <c r="H188" s="114"/>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40"/>
      <c r="AL188" s="141"/>
      <c r="AM188" s="141"/>
      <c r="AN188" s="141"/>
      <c r="AO188" s="141"/>
      <c r="AP188" s="141"/>
      <c r="AQ188" s="141"/>
      <c r="AR188" s="141"/>
      <c r="AS188" s="141"/>
      <c r="AT188" s="141"/>
      <c r="AU188" s="141"/>
      <c r="AV188" s="141"/>
      <c r="AW188" s="141"/>
      <c r="AX188" s="141"/>
      <c r="AY188" s="141"/>
      <c r="AZ188" s="141"/>
      <c r="BA188" s="141"/>
      <c r="BB188" s="141"/>
      <c r="BC188" s="141"/>
      <c r="BD188" s="141"/>
      <c r="BE188" s="141"/>
      <c r="BF188" s="141"/>
      <c r="BG188" s="18"/>
      <c r="BH188" s="1"/>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18"/>
      <c r="CP188" s="18"/>
      <c r="CQ188" s="18"/>
      <c r="CR188" s="18"/>
      <c r="CS188" s="18"/>
      <c r="CT188" s="18"/>
      <c r="CU188" s="18"/>
      <c r="CV188" s="18"/>
      <c r="CW188" s="18"/>
      <c r="CX188" s="18"/>
      <c r="CY188" s="18"/>
      <c r="CZ188" s="18"/>
      <c r="DA188" s="18"/>
      <c r="DB188" s="18"/>
      <c r="DC188" s="18"/>
      <c r="DD188" s="18"/>
      <c r="DE188" s="18"/>
      <c r="DF188" s="18"/>
      <c r="DG188" s="18"/>
      <c r="DH188" s="18"/>
      <c r="DI188" s="18"/>
      <c r="DJ188" s="18"/>
      <c r="DK188" s="18"/>
      <c r="DL188" s="18"/>
      <c r="DM188" s="18"/>
      <c r="DN188" s="18"/>
      <c r="DO188" s="18"/>
      <c r="DP188" s="18"/>
      <c r="DQ188" s="18"/>
      <c r="DR188" s="18"/>
      <c r="DS188" s="18"/>
      <c r="DT188" s="18"/>
      <c r="DU188" s="18"/>
      <c r="DV188" s="18"/>
      <c r="DW188" s="18"/>
      <c r="DX188" s="18"/>
      <c r="DY188" s="18"/>
      <c r="DZ188" s="18"/>
      <c r="EA188" s="18"/>
      <c r="EB188" s="18"/>
      <c r="EC188" s="18"/>
      <c r="ED188" s="18"/>
      <c r="EE188" s="18"/>
    </row>
    <row r="189" spans="1:135" ht="14.25" customHeight="1">
      <c r="A189" s="18"/>
      <c r="B189" s="18"/>
      <c r="C189" s="19"/>
      <c r="D189" s="18"/>
      <c r="E189" s="18"/>
      <c r="F189" s="19"/>
      <c r="G189" s="18"/>
      <c r="H189" s="114"/>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40"/>
      <c r="AL189" s="141"/>
      <c r="AM189" s="141"/>
      <c r="AN189" s="141"/>
      <c r="AO189" s="141"/>
      <c r="AP189" s="141"/>
      <c r="AQ189" s="141"/>
      <c r="AR189" s="141"/>
      <c r="AS189" s="141"/>
      <c r="AT189" s="141"/>
      <c r="AU189" s="141"/>
      <c r="AV189" s="141"/>
      <c r="AW189" s="141"/>
      <c r="AX189" s="141"/>
      <c r="AY189" s="141"/>
      <c r="AZ189" s="141"/>
      <c r="BA189" s="141"/>
      <c r="BB189" s="141"/>
      <c r="BC189" s="141"/>
      <c r="BD189" s="141"/>
      <c r="BE189" s="141"/>
      <c r="BF189" s="141"/>
      <c r="BG189" s="18"/>
      <c r="BH189" s="1"/>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18"/>
      <c r="CP189" s="18"/>
      <c r="CQ189" s="18"/>
      <c r="CR189" s="18"/>
      <c r="CS189" s="18"/>
      <c r="CT189" s="18"/>
      <c r="CU189" s="18"/>
      <c r="CV189" s="18"/>
      <c r="CW189" s="18"/>
      <c r="CX189" s="18"/>
      <c r="CY189" s="18"/>
      <c r="CZ189" s="18"/>
      <c r="DA189" s="18"/>
      <c r="DB189" s="18"/>
      <c r="DC189" s="18"/>
      <c r="DD189" s="18"/>
      <c r="DE189" s="18"/>
      <c r="DF189" s="18"/>
      <c r="DG189" s="18"/>
      <c r="DH189" s="18"/>
      <c r="DI189" s="18"/>
      <c r="DJ189" s="18"/>
      <c r="DK189" s="18"/>
      <c r="DL189" s="18"/>
      <c r="DM189" s="18"/>
      <c r="DN189" s="18"/>
      <c r="DO189" s="18"/>
      <c r="DP189" s="18"/>
      <c r="DQ189" s="18"/>
      <c r="DR189" s="18"/>
      <c r="DS189" s="18"/>
      <c r="DT189" s="18"/>
      <c r="DU189" s="18"/>
      <c r="DV189" s="18"/>
      <c r="DW189" s="18"/>
      <c r="DX189" s="18"/>
      <c r="DY189" s="18"/>
      <c r="DZ189" s="18"/>
      <c r="EA189" s="18"/>
      <c r="EB189" s="18"/>
      <c r="EC189" s="18"/>
      <c r="ED189" s="18"/>
      <c r="EE189" s="18"/>
    </row>
    <row r="190" spans="1:135" ht="14.25" customHeight="1">
      <c r="A190" s="18"/>
      <c r="B190" s="18"/>
      <c r="C190" s="19"/>
      <c r="D190" s="18"/>
      <c r="E190" s="18"/>
      <c r="F190" s="19"/>
      <c r="G190" s="18"/>
      <c r="H190" s="114"/>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40"/>
      <c r="AL190" s="141"/>
      <c r="AM190" s="141"/>
      <c r="AN190" s="141"/>
      <c r="AO190" s="141"/>
      <c r="AP190" s="141"/>
      <c r="AQ190" s="141"/>
      <c r="AR190" s="141"/>
      <c r="AS190" s="141"/>
      <c r="AT190" s="141"/>
      <c r="AU190" s="141"/>
      <c r="AV190" s="141"/>
      <c r="AW190" s="141"/>
      <c r="AX190" s="141"/>
      <c r="AY190" s="141"/>
      <c r="AZ190" s="141"/>
      <c r="BA190" s="141"/>
      <c r="BB190" s="141"/>
      <c r="BC190" s="141"/>
      <c r="BD190" s="141"/>
      <c r="BE190" s="141"/>
      <c r="BF190" s="141"/>
      <c r="BG190" s="18"/>
      <c r="BH190" s="1"/>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18"/>
      <c r="DN190" s="18"/>
      <c r="DO190" s="18"/>
      <c r="DP190" s="18"/>
      <c r="DQ190" s="18"/>
      <c r="DR190" s="18"/>
      <c r="DS190" s="18"/>
      <c r="DT190" s="18"/>
      <c r="DU190" s="18"/>
      <c r="DV190" s="18"/>
      <c r="DW190" s="18"/>
      <c r="DX190" s="18"/>
      <c r="DY190" s="18"/>
      <c r="DZ190" s="18"/>
      <c r="EA190" s="18"/>
      <c r="EB190" s="18"/>
      <c r="EC190" s="18"/>
      <c r="ED190" s="18"/>
      <c r="EE190" s="18"/>
    </row>
    <row r="191" spans="1:135" ht="14.25" customHeight="1">
      <c r="A191" s="18"/>
      <c r="B191" s="18"/>
      <c r="C191" s="19"/>
      <c r="D191" s="18"/>
      <c r="E191" s="18"/>
      <c r="F191" s="19"/>
      <c r="G191" s="18"/>
      <c r="H191" s="114"/>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40"/>
      <c r="AL191" s="141"/>
      <c r="AM191" s="141"/>
      <c r="AN191" s="141"/>
      <c r="AO191" s="141"/>
      <c r="AP191" s="141"/>
      <c r="AQ191" s="141"/>
      <c r="AR191" s="141"/>
      <c r="AS191" s="141"/>
      <c r="AT191" s="141"/>
      <c r="AU191" s="141"/>
      <c r="AV191" s="141"/>
      <c r="AW191" s="141"/>
      <c r="AX191" s="141"/>
      <c r="AY191" s="141"/>
      <c r="AZ191" s="141"/>
      <c r="BA191" s="141"/>
      <c r="BB191" s="141"/>
      <c r="BC191" s="141"/>
      <c r="BD191" s="141"/>
      <c r="BE191" s="141"/>
      <c r="BF191" s="141"/>
      <c r="BG191" s="18"/>
      <c r="BH191" s="1"/>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18"/>
      <c r="DN191" s="18"/>
      <c r="DO191" s="18"/>
      <c r="DP191" s="18"/>
      <c r="DQ191" s="18"/>
      <c r="DR191" s="18"/>
      <c r="DS191" s="18"/>
      <c r="DT191" s="18"/>
      <c r="DU191" s="18"/>
      <c r="DV191" s="18"/>
      <c r="DW191" s="18"/>
      <c r="DX191" s="18"/>
      <c r="DY191" s="18"/>
      <c r="DZ191" s="18"/>
      <c r="EA191" s="18"/>
      <c r="EB191" s="18"/>
      <c r="EC191" s="18"/>
      <c r="ED191" s="18"/>
      <c r="EE191" s="18"/>
    </row>
    <row r="192" spans="1:135" ht="14.25" customHeight="1">
      <c r="A192" s="18"/>
      <c r="B192" s="18"/>
      <c r="C192" s="19"/>
      <c r="D192" s="18"/>
      <c r="E192" s="18"/>
      <c r="F192" s="19"/>
      <c r="G192" s="18"/>
      <c r="H192" s="114"/>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40"/>
      <c r="AL192" s="141"/>
      <c r="AM192" s="141"/>
      <c r="AN192" s="141"/>
      <c r="AO192" s="141"/>
      <c r="AP192" s="141"/>
      <c r="AQ192" s="141"/>
      <c r="AR192" s="141"/>
      <c r="AS192" s="141"/>
      <c r="AT192" s="141"/>
      <c r="AU192" s="141"/>
      <c r="AV192" s="141"/>
      <c r="AW192" s="141"/>
      <c r="AX192" s="141"/>
      <c r="AY192" s="141"/>
      <c r="AZ192" s="141"/>
      <c r="BA192" s="141"/>
      <c r="BB192" s="141"/>
      <c r="BC192" s="141"/>
      <c r="BD192" s="141"/>
      <c r="BE192" s="141"/>
      <c r="BF192" s="141"/>
      <c r="BG192" s="18"/>
      <c r="BH192" s="1"/>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18"/>
      <c r="CP192" s="18"/>
      <c r="CQ192" s="18"/>
      <c r="CR192" s="18"/>
      <c r="CS192" s="18"/>
      <c r="CT192" s="18"/>
      <c r="CU192" s="18"/>
      <c r="CV192" s="18"/>
      <c r="CW192" s="18"/>
      <c r="CX192" s="18"/>
      <c r="CY192" s="18"/>
      <c r="CZ192" s="18"/>
      <c r="DA192" s="18"/>
      <c r="DB192" s="18"/>
      <c r="DC192" s="18"/>
      <c r="DD192" s="18"/>
      <c r="DE192" s="18"/>
      <c r="DF192" s="18"/>
      <c r="DG192" s="18"/>
      <c r="DH192" s="18"/>
      <c r="DI192" s="18"/>
      <c r="DJ192" s="18"/>
      <c r="DK192" s="18"/>
      <c r="DL192" s="18"/>
      <c r="DM192" s="18"/>
      <c r="DN192" s="18"/>
      <c r="DO192" s="18"/>
      <c r="DP192" s="18"/>
      <c r="DQ192" s="18"/>
      <c r="DR192" s="18"/>
      <c r="DS192" s="18"/>
      <c r="DT192" s="18"/>
      <c r="DU192" s="18"/>
      <c r="DV192" s="18"/>
      <c r="DW192" s="18"/>
      <c r="DX192" s="18"/>
      <c r="DY192" s="18"/>
      <c r="DZ192" s="18"/>
      <c r="EA192" s="18"/>
      <c r="EB192" s="18"/>
      <c r="EC192" s="18"/>
      <c r="ED192" s="18"/>
      <c r="EE192" s="18"/>
    </row>
    <row r="193" spans="1:135" ht="14.25" customHeight="1">
      <c r="A193" s="18"/>
      <c r="B193" s="18"/>
      <c r="C193" s="19"/>
      <c r="D193" s="18"/>
      <c r="E193" s="18"/>
      <c r="F193" s="19"/>
      <c r="G193" s="18"/>
      <c r="H193" s="114"/>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40"/>
      <c r="AL193" s="141"/>
      <c r="AM193" s="141"/>
      <c r="AN193" s="141"/>
      <c r="AO193" s="141"/>
      <c r="AP193" s="141"/>
      <c r="AQ193" s="141"/>
      <c r="AR193" s="141"/>
      <c r="AS193" s="141"/>
      <c r="AT193" s="141"/>
      <c r="AU193" s="141"/>
      <c r="AV193" s="141"/>
      <c r="AW193" s="141"/>
      <c r="AX193" s="141"/>
      <c r="AY193" s="141"/>
      <c r="AZ193" s="141"/>
      <c r="BA193" s="141"/>
      <c r="BB193" s="141"/>
      <c r="BC193" s="141"/>
      <c r="BD193" s="141"/>
      <c r="BE193" s="141"/>
      <c r="BF193" s="141"/>
      <c r="BG193" s="18"/>
      <c r="BH193" s="1"/>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18"/>
      <c r="CP193" s="18"/>
      <c r="CQ193" s="18"/>
      <c r="CR193" s="18"/>
      <c r="CS193" s="18"/>
      <c r="CT193" s="18"/>
      <c r="CU193" s="18"/>
      <c r="CV193" s="18"/>
      <c r="CW193" s="18"/>
      <c r="CX193" s="18"/>
      <c r="CY193" s="18"/>
      <c r="CZ193" s="18"/>
      <c r="DA193" s="18"/>
      <c r="DB193" s="18"/>
      <c r="DC193" s="18"/>
      <c r="DD193" s="18"/>
      <c r="DE193" s="18"/>
      <c r="DF193" s="18"/>
      <c r="DG193" s="18"/>
      <c r="DH193" s="18"/>
      <c r="DI193" s="18"/>
      <c r="DJ193" s="18"/>
      <c r="DK193" s="18"/>
      <c r="DL193" s="18"/>
      <c r="DM193" s="18"/>
      <c r="DN193" s="18"/>
      <c r="DO193" s="18"/>
      <c r="DP193" s="18"/>
      <c r="DQ193" s="18"/>
      <c r="DR193" s="18"/>
      <c r="DS193" s="18"/>
      <c r="DT193" s="18"/>
      <c r="DU193" s="18"/>
      <c r="DV193" s="18"/>
      <c r="DW193" s="18"/>
      <c r="DX193" s="18"/>
      <c r="DY193" s="18"/>
      <c r="DZ193" s="18"/>
      <c r="EA193" s="18"/>
      <c r="EB193" s="18"/>
      <c r="EC193" s="18"/>
      <c r="ED193" s="18"/>
      <c r="EE193" s="18"/>
    </row>
    <row r="194" spans="1:135" ht="14.25" customHeight="1">
      <c r="A194" s="18"/>
      <c r="B194" s="18"/>
      <c r="C194" s="19"/>
      <c r="D194" s="18"/>
      <c r="E194" s="18"/>
      <c r="F194" s="19"/>
      <c r="G194" s="18"/>
      <c r="H194" s="114"/>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40"/>
      <c r="AL194" s="141"/>
      <c r="AM194" s="141"/>
      <c r="AN194" s="141"/>
      <c r="AO194" s="141"/>
      <c r="AP194" s="141"/>
      <c r="AQ194" s="141"/>
      <c r="AR194" s="141"/>
      <c r="AS194" s="141"/>
      <c r="AT194" s="141"/>
      <c r="AU194" s="141"/>
      <c r="AV194" s="141"/>
      <c r="AW194" s="141"/>
      <c r="AX194" s="141"/>
      <c r="AY194" s="141"/>
      <c r="AZ194" s="141"/>
      <c r="BA194" s="141"/>
      <c r="BB194" s="141"/>
      <c r="BC194" s="141"/>
      <c r="BD194" s="141"/>
      <c r="BE194" s="141"/>
      <c r="BF194" s="141"/>
      <c r="BG194" s="18"/>
      <c r="BH194" s="1"/>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18"/>
      <c r="DO194" s="18"/>
      <c r="DP194" s="18"/>
      <c r="DQ194" s="18"/>
      <c r="DR194" s="18"/>
      <c r="DS194" s="18"/>
      <c r="DT194" s="18"/>
      <c r="DU194" s="18"/>
      <c r="DV194" s="18"/>
      <c r="DW194" s="18"/>
      <c r="DX194" s="18"/>
      <c r="DY194" s="18"/>
      <c r="DZ194" s="18"/>
      <c r="EA194" s="18"/>
      <c r="EB194" s="18"/>
      <c r="EC194" s="18"/>
      <c r="ED194" s="18"/>
      <c r="EE194" s="18"/>
    </row>
    <row r="195" spans="1:135" ht="14.25" customHeight="1">
      <c r="A195" s="18"/>
      <c r="B195" s="18"/>
      <c r="C195" s="19"/>
      <c r="D195" s="18"/>
      <c r="E195" s="18"/>
      <c r="F195" s="19"/>
      <c r="G195" s="18"/>
      <c r="H195" s="114"/>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40"/>
      <c r="AL195" s="141"/>
      <c r="AM195" s="141"/>
      <c r="AN195" s="141"/>
      <c r="AO195" s="141"/>
      <c r="AP195" s="141"/>
      <c r="AQ195" s="141"/>
      <c r="AR195" s="141"/>
      <c r="AS195" s="141"/>
      <c r="AT195" s="141"/>
      <c r="AU195" s="141"/>
      <c r="AV195" s="141"/>
      <c r="AW195" s="141"/>
      <c r="AX195" s="141"/>
      <c r="AY195" s="141"/>
      <c r="AZ195" s="141"/>
      <c r="BA195" s="141"/>
      <c r="BB195" s="141"/>
      <c r="BC195" s="141"/>
      <c r="BD195" s="141"/>
      <c r="BE195" s="141"/>
      <c r="BF195" s="141"/>
      <c r="BG195" s="18"/>
      <c r="BH195" s="1"/>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18"/>
      <c r="DR195" s="18"/>
      <c r="DS195" s="18"/>
      <c r="DT195" s="18"/>
      <c r="DU195" s="18"/>
      <c r="DV195" s="18"/>
      <c r="DW195" s="18"/>
      <c r="DX195" s="18"/>
      <c r="DY195" s="18"/>
      <c r="DZ195" s="18"/>
      <c r="EA195" s="18"/>
      <c r="EB195" s="18"/>
      <c r="EC195" s="18"/>
      <c r="ED195" s="18"/>
      <c r="EE195" s="18"/>
    </row>
    <row r="196" spans="1:135" ht="14.25" customHeight="1">
      <c r="A196" s="18"/>
      <c r="B196" s="18"/>
      <c r="C196" s="19"/>
      <c r="D196" s="18"/>
      <c r="E196" s="18"/>
      <c r="F196" s="19"/>
      <c r="G196" s="18"/>
      <c r="H196" s="114"/>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40"/>
      <c r="AL196" s="141"/>
      <c r="AM196" s="141"/>
      <c r="AN196" s="141"/>
      <c r="AO196" s="141"/>
      <c r="AP196" s="141"/>
      <c r="AQ196" s="141"/>
      <c r="AR196" s="141"/>
      <c r="AS196" s="141"/>
      <c r="AT196" s="141"/>
      <c r="AU196" s="141"/>
      <c r="AV196" s="141"/>
      <c r="AW196" s="141"/>
      <c r="AX196" s="141"/>
      <c r="AY196" s="141"/>
      <c r="AZ196" s="141"/>
      <c r="BA196" s="141"/>
      <c r="BB196" s="141"/>
      <c r="BC196" s="141"/>
      <c r="BD196" s="141"/>
      <c r="BE196" s="141"/>
      <c r="BF196" s="141"/>
      <c r="BG196" s="18"/>
      <c r="BH196" s="1"/>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c r="ED196" s="18"/>
      <c r="EE196" s="18"/>
    </row>
    <row r="197" spans="1:135" ht="14.25" customHeight="1">
      <c r="A197" s="18"/>
      <c r="B197" s="18"/>
      <c r="C197" s="19"/>
      <c r="D197" s="18"/>
      <c r="E197" s="18"/>
      <c r="F197" s="19"/>
      <c r="G197" s="18"/>
      <c r="H197" s="114"/>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40"/>
      <c r="AL197" s="141"/>
      <c r="AM197" s="141"/>
      <c r="AN197" s="141"/>
      <c r="AO197" s="141"/>
      <c r="AP197" s="141"/>
      <c r="AQ197" s="141"/>
      <c r="AR197" s="141"/>
      <c r="AS197" s="141"/>
      <c r="AT197" s="141"/>
      <c r="AU197" s="141"/>
      <c r="AV197" s="141"/>
      <c r="AW197" s="141"/>
      <c r="AX197" s="141"/>
      <c r="AY197" s="141"/>
      <c r="AZ197" s="141"/>
      <c r="BA197" s="141"/>
      <c r="BB197" s="141"/>
      <c r="BC197" s="141"/>
      <c r="BD197" s="141"/>
      <c r="BE197" s="141"/>
      <c r="BF197" s="141"/>
      <c r="BG197" s="18"/>
      <c r="BH197" s="1"/>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8"/>
      <c r="CK197" s="18"/>
      <c r="CL197" s="18"/>
      <c r="CM197" s="18"/>
      <c r="CN197" s="18"/>
      <c r="CO197" s="18"/>
      <c r="CP197" s="18"/>
      <c r="CQ197" s="18"/>
      <c r="CR197" s="18"/>
      <c r="CS197" s="18"/>
      <c r="CT197" s="18"/>
      <c r="CU197" s="18"/>
      <c r="CV197" s="18"/>
      <c r="CW197" s="18"/>
      <c r="CX197" s="18"/>
      <c r="CY197" s="18"/>
      <c r="CZ197" s="18"/>
      <c r="DA197" s="18"/>
      <c r="DB197" s="18"/>
      <c r="DC197" s="18"/>
      <c r="DD197" s="18"/>
      <c r="DE197" s="18"/>
      <c r="DF197" s="18"/>
      <c r="DG197" s="18"/>
      <c r="DH197" s="18"/>
      <c r="DI197" s="18"/>
      <c r="DJ197" s="18"/>
      <c r="DK197" s="18"/>
      <c r="DL197" s="18"/>
      <c r="DM197" s="18"/>
      <c r="DN197" s="18"/>
      <c r="DO197" s="18"/>
      <c r="DP197" s="18"/>
      <c r="DQ197" s="18"/>
      <c r="DR197" s="18"/>
      <c r="DS197" s="18"/>
      <c r="DT197" s="18"/>
      <c r="DU197" s="18"/>
      <c r="DV197" s="18"/>
      <c r="DW197" s="18"/>
      <c r="DX197" s="18"/>
      <c r="DY197" s="18"/>
      <c r="DZ197" s="18"/>
      <c r="EA197" s="18"/>
      <c r="EB197" s="18"/>
      <c r="EC197" s="18"/>
      <c r="ED197" s="18"/>
      <c r="EE197" s="18"/>
    </row>
    <row r="198" spans="1:135" ht="14.25" customHeight="1">
      <c r="A198" s="18"/>
      <c r="B198" s="18"/>
      <c r="C198" s="19"/>
      <c r="D198" s="18"/>
      <c r="E198" s="18"/>
      <c r="F198" s="19"/>
      <c r="G198" s="18"/>
      <c r="H198" s="114"/>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40"/>
      <c r="AL198" s="141"/>
      <c r="AM198" s="141"/>
      <c r="AN198" s="141"/>
      <c r="AO198" s="141"/>
      <c r="AP198" s="141"/>
      <c r="AQ198" s="141"/>
      <c r="AR198" s="141"/>
      <c r="AS198" s="141"/>
      <c r="AT198" s="141"/>
      <c r="AU198" s="141"/>
      <c r="AV198" s="141"/>
      <c r="AW198" s="141"/>
      <c r="AX198" s="141"/>
      <c r="AY198" s="141"/>
      <c r="AZ198" s="141"/>
      <c r="BA198" s="141"/>
      <c r="BB198" s="141"/>
      <c r="BC198" s="141"/>
      <c r="BD198" s="141"/>
      <c r="BE198" s="141"/>
      <c r="BF198" s="141"/>
      <c r="BG198" s="18"/>
      <c r="BH198" s="1"/>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row>
    <row r="199" spans="1:135" ht="14.25" customHeight="1">
      <c r="A199" s="18"/>
      <c r="B199" s="18"/>
      <c r="C199" s="19"/>
      <c r="D199" s="18"/>
      <c r="E199" s="18"/>
      <c r="F199" s="19"/>
      <c r="G199" s="18"/>
      <c r="H199" s="114"/>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40"/>
      <c r="AL199" s="141"/>
      <c r="AM199" s="141"/>
      <c r="AN199" s="141"/>
      <c r="AO199" s="141"/>
      <c r="AP199" s="141"/>
      <c r="AQ199" s="141"/>
      <c r="AR199" s="141"/>
      <c r="AS199" s="141"/>
      <c r="AT199" s="141"/>
      <c r="AU199" s="141"/>
      <c r="AV199" s="141"/>
      <c r="AW199" s="141"/>
      <c r="AX199" s="141"/>
      <c r="AY199" s="141"/>
      <c r="AZ199" s="141"/>
      <c r="BA199" s="141"/>
      <c r="BB199" s="141"/>
      <c r="BC199" s="141"/>
      <c r="BD199" s="141"/>
      <c r="BE199" s="141"/>
      <c r="BF199" s="141"/>
      <c r="BG199" s="18"/>
      <c r="BH199" s="1"/>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c r="CP199" s="18"/>
      <c r="CQ199" s="18"/>
      <c r="CR199" s="18"/>
      <c r="CS199" s="18"/>
      <c r="CT199" s="18"/>
      <c r="CU199" s="18"/>
      <c r="CV199" s="18"/>
      <c r="CW199" s="18"/>
      <c r="CX199" s="18"/>
      <c r="CY199" s="18"/>
      <c r="CZ199" s="18"/>
      <c r="DA199" s="18"/>
      <c r="DB199" s="18"/>
      <c r="DC199" s="18"/>
      <c r="DD199" s="18"/>
      <c r="DE199" s="18"/>
      <c r="DF199" s="18"/>
      <c r="DG199" s="18"/>
      <c r="DH199" s="18"/>
      <c r="DI199" s="18"/>
      <c r="DJ199" s="18"/>
      <c r="DK199" s="18"/>
      <c r="DL199" s="18"/>
      <c r="DM199" s="18"/>
      <c r="DN199" s="18"/>
      <c r="DO199" s="18"/>
      <c r="DP199" s="18"/>
      <c r="DQ199" s="18"/>
      <c r="DR199" s="18"/>
      <c r="DS199" s="18"/>
      <c r="DT199" s="18"/>
      <c r="DU199" s="18"/>
      <c r="DV199" s="18"/>
      <c r="DW199" s="18"/>
      <c r="DX199" s="18"/>
      <c r="DY199" s="18"/>
      <c r="DZ199" s="18"/>
      <c r="EA199" s="18"/>
      <c r="EB199" s="18"/>
      <c r="EC199" s="18"/>
      <c r="ED199" s="18"/>
      <c r="EE199" s="18"/>
    </row>
    <row r="200" spans="1:135" ht="14.25" customHeight="1">
      <c r="A200" s="18"/>
      <c r="B200" s="18"/>
      <c r="C200" s="19"/>
      <c r="D200" s="18"/>
      <c r="E200" s="18"/>
      <c r="F200" s="19"/>
      <c r="G200" s="18"/>
      <c r="H200" s="114"/>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40"/>
      <c r="AL200" s="141"/>
      <c r="AM200" s="141"/>
      <c r="AN200" s="141"/>
      <c r="AO200" s="141"/>
      <c r="AP200" s="141"/>
      <c r="AQ200" s="141"/>
      <c r="AR200" s="141"/>
      <c r="AS200" s="141"/>
      <c r="AT200" s="141"/>
      <c r="AU200" s="141"/>
      <c r="AV200" s="141"/>
      <c r="AW200" s="141"/>
      <c r="AX200" s="141"/>
      <c r="AY200" s="141"/>
      <c r="AZ200" s="141"/>
      <c r="BA200" s="141"/>
      <c r="BB200" s="141"/>
      <c r="BC200" s="141"/>
      <c r="BD200" s="141"/>
      <c r="BE200" s="141"/>
      <c r="BF200" s="141"/>
      <c r="BG200" s="18"/>
      <c r="BH200" s="1"/>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18"/>
      <c r="CP200" s="18"/>
      <c r="CQ200" s="18"/>
      <c r="CR200" s="18"/>
      <c r="CS200" s="18"/>
      <c r="CT200" s="18"/>
      <c r="CU200" s="18"/>
      <c r="CV200" s="18"/>
      <c r="CW200" s="18"/>
      <c r="CX200" s="18"/>
      <c r="CY200" s="18"/>
      <c r="CZ200" s="18"/>
      <c r="DA200" s="18"/>
      <c r="DB200" s="18"/>
      <c r="DC200" s="18"/>
      <c r="DD200" s="18"/>
      <c r="DE200" s="18"/>
      <c r="DF200" s="18"/>
      <c r="DG200" s="18"/>
      <c r="DH200" s="18"/>
      <c r="DI200" s="18"/>
      <c r="DJ200" s="18"/>
      <c r="DK200" s="18"/>
      <c r="DL200" s="18"/>
      <c r="DM200" s="18"/>
      <c r="DN200" s="18"/>
      <c r="DO200" s="18"/>
      <c r="DP200" s="18"/>
      <c r="DQ200" s="18"/>
      <c r="DR200" s="18"/>
      <c r="DS200" s="18"/>
      <c r="DT200" s="18"/>
      <c r="DU200" s="18"/>
      <c r="DV200" s="18"/>
      <c r="DW200" s="18"/>
      <c r="DX200" s="18"/>
      <c r="DY200" s="18"/>
      <c r="DZ200" s="18"/>
      <c r="EA200" s="18"/>
      <c r="EB200" s="18"/>
      <c r="EC200" s="18"/>
      <c r="ED200" s="18"/>
      <c r="EE200" s="18"/>
    </row>
    <row r="201" spans="1:135" ht="14.25" customHeight="1">
      <c r="A201" s="18"/>
      <c r="B201" s="18"/>
      <c r="C201" s="19"/>
      <c r="D201" s="18"/>
      <c r="E201" s="18"/>
      <c r="F201" s="19"/>
      <c r="G201" s="18"/>
      <c r="H201" s="114"/>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40"/>
      <c r="AL201" s="141"/>
      <c r="AM201" s="141"/>
      <c r="AN201" s="141"/>
      <c r="AO201" s="141"/>
      <c r="AP201" s="141"/>
      <c r="AQ201" s="141"/>
      <c r="AR201" s="141"/>
      <c r="AS201" s="141"/>
      <c r="AT201" s="141"/>
      <c r="AU201" s="141"/>
      <c r="AV201" s="141"/>
      <c r="AW201" s="141"/>
      <c r="AX201" s="141"/>
      <c r="AY201" s="141"/>
      <c r="AZ201" s="141"/>
      <c r="BA201" s="141"/>
      <c r="BB201" s="141"/>
      <c r="BC201" s="141"/>
      <c r="BD201" s="141"/>
      <c r="BE201" s="141"/>
      <c r="BF201" s="141"/>
      <c r="BG201" s="18"/>
      <c r="BH201" s="1"/>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row>
    <row r="202" spans="1:135" ht="14.25" customHeight="1">
      <c r="A202" s="18"/>
      <c r="B202" s="18"/>
      <c r="C202" s="19"/>
      <c r="D202" s="18"/>
      <c r="E202" s="18"/>
      <c r="F202" s="19"/>
      <c r="G202" s="18"/>
      <c r="H202" s="114"/>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40"/>
      <c r="AL202" s="141"/>
      <c r="AM202" s="141"/>
      <c r="AN202" s="141"/>
      <c r="AO202" s="141"/>
      <c r="AP202" s="141"/>
      <c r="AQ202" s="141"/>
      <c r="AR202" s="141"/>
      <c r="AS202" s="141"/>
      <c r="AT202" s="141"/>
      <c r="AU202" s="141"/>
      <c r="AV202" s="141"/>
      <c r="AW202" s="141"/>
      <c r="AX202" s="141"/>
      <c r="AY202" s="141"/>
      <c r="AZ202" s="141"/>
      <c r="BA202" s="141"/>
      <c r="BB202" s="141"/>
      <c r="BC202" s="141"/>
      <c r="BD202" s="141"/>
      <c r="BE202" s="141"/>
      <c r="BF202" s="141"/>
      <c r="BG202" s="18"/>
      <c r="BH202" s="1"/>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18"/>
      <c r="CP202" s="18"/>
      <c r="CQ202" s="18"/>
      <c r="CR202" s="18"/>
      <c r="CS202" s="18"/>
      <c r="CT202" s="18"/>
      <c r="CU202" s="18"/>
      <c r="CV202" s="18"/>
      <c r="CW202" s="18"/>
      <c r="CX202" s="18"/>
      <c r="CY202" s="18"/>
      <c r="CZ202" s="18"/>
      <c r="DA202" s="18"/>
      <c r="DB202" s="18"/>
      <c r="DC202" s="18"/>
      <c r="DD202" s="18"/>
      <c r="DE202" s="18"/>
      <c r="DF202" s="18"/>
      <c r="DG202" s="18"/>
      <c r="DH202" s="18"/>
      <c r="DI202" s="18"/>
      <c r="DJ202" s="18"/>
      <c r="DK202" s="18"/>
      <c r="DL202" s="18"/>
      <c r="DM202" s="18"/>
      <c r="DN202" s="18"/>
      <c r="DO202" s="18"/>
      <c r="DP202" s="18"/>
      <c r="DQ202" s="18"/>
      <c r="DR202" s="18"/>
      <c r="DS202" s="18"/>
      <c r="DT202" s="18"/>
      <c r="DU202" s="18"/>
      <c r="DV202" s="18"/>
      <c r="DW202" s="18"/>
      <c r="DX202" s="18"/>
      <c r="DY202" s="18"/>
      <c r="DZ202" s="18"/>
      <c r="EA202" s="18"/>
      <c r="EB202" s="18"/>
      <c r="EC202" s="18"/>
      <c r="ED202" s="18"/>
      <c r="EE202" s="18"/>
    </row>
    <row r="203" spans="1:135" ht="14.25" customHeight="1">
      <c r="A203" s="18"/>
      <c r="B203" s="18"/>
      <c r="C203" s="19"/>
      <c r="D203" s="18"/>
      <c r="E203" s="18"/>
      <c r="F203" s="19"/>
      <c r="G203" s="18"/>
      <c r="H203" s="114"/>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40"/>
      <c r="AL203" s="141"/>
      <c r="AM203" s="141"/>
      <c r="AN203" s="141"/>
      <c r="AO203" s="141"/>
      <c r="AP203" s="141"/>
      <c r="AQ203" s="141"/>
      <c r="AR203" s="141"/>
      <c r="AS203" s="141"/>
      <c r="AT203" s="141"/>
      <c r="AU203" s="141"/>
      <c r="AV203" s="141"/>
      <c r="AW203" s="141"/>
      <c r="AX203" s="141"/>
      <c r="AY203" s="141"/>
      <c r="AZ203" s="141"/>
      <c r="BA203" s="141"/>
      <c r="BB203" s="141"/>
      <c r="BC203" s="141"/>
      <c r="BD203" s="141"/>
      <c r="BE203" s="141"/>
      <c r="BF203" s="141"/>
      <c r="BG203" s="18"/>
      <c r="BH203" s="1"/>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8"/>
      <c r="CK203" s="18"/>
      <c r="CL203" s="18"/>
      <c r="CM203" s="18"/>
      <c r="CN203" s="18"/>
      <c r="CO203" s="18"/>
      <c r="CP203" s="18"/>
      <c r="CQ203" s="18"/>
      <c r="CR203" s="18"/>
      <c r="CS203" s="18"/>
      <c r="CT203" s="18"/>
      <c r="CU203" s="18"/>
      <c r="CV203" s="18"/>
      <c r="CW203" s="18"/>
      <c r="CX203" s="18"/>
      <c r="CY203" s="18"/>
      <c r="CZ203" s="18"/>
      <c r="DA203" s="18"/>
      <c r="DB203" s="18"/>
      <c r="DC203" s="18"/>
      <c r="DD203" s="18"/>
      <c r="DE203" s="18"/>
      <c r="DF203" s="18"/>
      <c r="DG203" s="18"/>
      <c r="DH203" s="18"/>
      <c r="DI203" s="18"/>
      <c r="DJ203" s="18"/>
      <c r="DK203" s="18"/>
      <c r="DL203" s="18"/>
      <c r="DM203" s="18"/>
      <c r="DN203" s="18"/>
      <c r="DO203" s="18"/>
      <c r="DP203" s="18"/>
      <c r="DQ203" s="18"/>
      <c r="DR203" s="18"/>
      <c r="DS203" s="18"/>
      <c r="DT203" s="18"/>
      <c r="DU203" s="18"/>
      <c r="DV203" s="18"/>
      <c r="DW203" s="18"/>
      <c r="DX203" s="18"/>
      <c r="DY203" s="18"/>
      <c r="DZ203" s="18"/>
      <c r="EA203" s="18"/>
      <c r="EB203" s="18"/>
      <c r="EC203" s="18"/>
      <c r="ED203" s="18"/>
      <c r="EE203" s="18"/>
    </row>
    <row r="204" spans="1:135" ht="14.25" customHeight="1">
      <c r="A204" s="18"/>
      <c r="B204" s="18"/>
      <c r="C204" s="19"/>
      <c r="D204" s="18"/>
      <c r="E204" s="18"/>
      <c r="F204" s="19"/>
      <c r="G204" s="18"/>
      <c r="H204" s="114"/>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40"/>
      <c r="AL204" s="141"/>
      <c r="AM204" s="141"/>
      <c r="AN204" s="141"/>
      <c r="AO204" s="141"/>
      <c r="AP204" s="141"/>
      <c r="AQ204" s="141"/>
      <c r="AR204" s="141"/>
      <c r="AS204" s="141"/>
      <c r="AT204" s="141"/>
      <c r="AU204" s="141"/>
      <c r="AV204" s="141"/>
      <c r="AW204" s="141"/>
      <c r="AX204" s="141"/>
      <c r="AY204" s="141"/>
      <c r="AZ204" s="141"/>
      <c r="BA204" s="141"/>
      <c r="BB204" s="141"/>
      <c r="BC204" s="141"/>
      <c r="BD204" s="141"/>
      <c r="BE204" s="141"/>
      <c r="BF204" s="141"/>
      <c r="BG204" s="18"/>
      <c r="BH204" s="1"/>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c r="DE204" s="18"/>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row>
    <row r="205" spans="1:135" ht="14.25" customHeight="1">
      <c r="A205" s="18"/>
      <c r="B205" s="18"/>
      <c r="C205" s="19"/>
      <c r="D205" s="18"/>
      <c r="E205" s="18"/>
      <c r="F205" s="19"/>
      <c r="G205" s="18"/>
      <c r="H205" s="114"/>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40"/>
      <c r="AL205" s="141"/>
      <c r="AM205" s="141"/>
      <c r="AN205" s="141"/>
      <c r="AO205" s="141"/>
      <c r="AP205" s="141"/>
      <c r="AQ205" s="141"/>
      <c r="AR205" s="141"/>
      <c r="AS205" s="141"/>
      <c r="AT205" s="141"/>
      <c r="AU205" s="141"/>
      <c r="AV205" s="141"/>
      <c r="AW205" s="141"/>
      <c r="AX205" s="141"/>
      <c r="AY205" s="141"/>
      <c r="AZ205" s="141"/>
      <c r="BA205" s="141"/>
      <c r="BB205" s="141"/>
      <c r="BC205" s="141"/>
      <c r="BD205" s="141"/>
      <c r="BE205" s="141"/>
      <c r="BF205" s="141"/>
      <c r="BG205" s="18"/>
      <c r="BH205" s="1"/>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8"/>
      <c r="CK205" s="18"/>
      <c r="CL205" s="18"/>
      <c r="CM205" s="18"/>
      <c r="CN205" s="18"/>
      <c r="CO205" s="18"/>
      <c r="CP205" s="18"/>
      <c r="CQ205" s="18"/>
      <c r="CR205" s="18"/>
      <c r="CS205" s="18"/>
      <c r="CT205" s="18"/>
      <c r="CU205" s="18"/>
      <c r="CV205" s="18"/>
      <c r="CW205" s="18"/>
      <c r="CX205" s="18"/>
      <c r="CY205" s="18"/>
      <c r="CZ205" s="18"/>
      <c r="DA205" s="18"/>
      <c r="DB205" s="18"/>
      <c r="DC205" s="18"/>
      <c r="DD205" s="18"/>
      <c r="DE205" s="18"/>
      <c r="DF205" s="18"/>
      <c r="DG205" s="18"/>
      <c r="DH205" s="18"/>
      <c r="DI205" s="18"/>
      <c r="DJ205" s="18"/>
      <c r="DK205" s="18"/>
      <c r="DL205" s="18"/>
      <c r="DM205" s="18"/>
      <c r="DN205" s="18"/>
      <c r="DO205" s="18"/>
      <c r="DP205" s="18"/>
      <c r="DQ205" s="18"/>
      <c r="DR205" s="18"/>
      <c r="DS205" s="18"/>
      <c r="DT205" s="18"/>
      <c r="DU205" s="18"/>
      <c r="DV205" s="18"/>
      <c r="DW205" s="18"/>
      <c r="DX205" s="18"/>
      <c r="DY205" s="18"/>
      <c r="DZ205" s="18"/>
      <c r="EA205" s="18"/>
      <c r="EB205" s="18"/>
      <c r="EC205" s="18"/>
      <c r="ED205" s="18"/>
      <c r="EE205" s="18"/>
    </row>
    <row r="206" spans="1:135" ht="14.25" customHeight="1">
      <c r="A206" s="18"/>
      <c r="B206" s="18"/>
      <c r="C206" s="19"/>
      <c r="D206" s="18"/>
      <c r="E206" s="18"/>
      <c r="F206" s="19"/>
      <c r="G206" s="18"/>
      <c r="H206" s="114"/>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40"/>
      <c r="AL206" s="141"/>
      <c r="AM206" s="141"/>
      <c r="AN206" s="141"/>
      <c r="AO206" s="141"/>
      <c r="AP206" s="141"/>
      <c r="AQ206" s="141"/>
      <c r="AR206" s="141"/>
      <c r="AS206" s="141"/>
      <c r="AT206" s="141"/>
      <c r="AU206" s="141"/>
      <c r="AV206" s="141"/>
      <c r="AW206" s="141"/>
      <c r="AX206" s="141"/>
      <c r="AY206" s="141"/>
      <c r="AZ206" s="141"/>
      <c r="BA206" s="141"/>
      <c r="BB206" s="141"/>
      <c r="BC206" s="141"/>
      <c r="BD206" s="141"/>
      <c r="BE206" s="141"/>
      <c r="BF206" s="141"/>
      <c r="BG206" s="18"/>
      <c r="BH206" s="1"/>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8"/>
      <c r="CK206" s="18"/>
      <c r="CL206" s="18"/>
      <c r="CM206" s="18"/>
      <c r="CN206" s="18"/>
      <c r="CO206" s="18"/>
      <c r="CP206" s="18"/>
      <c r="CQ206" s="18"/>
      <c r="CR206" s="18"/>
      <c r="CS206" s="18"/>
      <c r="CT206" s="18"/>
      <c r="CU206" s="18"/>
      <c r="CV206" s="18"/>
      <c r="CW206" s="18"/>
      <c r="CX206" s="18"/>
      <c r="CY206" s="18"/>
      <c r="CZ206" s="18"/>
      <c r="DA206" s="18"/>
      <c r="DB206" s="18"/>
      <c r="DC206" s="18"/>
      <c r="DD206" s="18"/>
      <c r="DE206" s="18"/>
      <c r="DF206" s="18"/>
      <c r="DG206" s="18"/>
      <c r="DH206" s="18"/>
      <c r="DI206" s="18"/>
      <c r="DJ206" s="18"/>
      <c r="DK206" s="18"/>
      <c r="DL206" s="18"/>
      <c r="DM206" s="18"/>
      <c r="DN206" s="18"/>
      <c r="DO206" s="18"/>
      <c r="DP206" s="18"/>
      <c r="DQ206" s="18"/>
      <c r="DR206" s="18"/>
      <c r="DS206" s="18"/>
      <c r="DT206" s="18"/>
      <c r="DU206" s="18"/>
      <c r="DV206" s="18"/>
      <c r="DW206" s="18"/>
      <c r="DX206" s="18"/>
      <c r="DY206" s="18"/>
      <c r="DZ206" s="18"/>
      <c r="EA206" s="18"/>
      <c r="EB206" s="18"/>
      <c r="EC206" s="18"/>
      <c r="ED206" s="18"/>
      <c r="EE206" s="18"/>
    </row>
    <row r="207" spans="1:135" ht="14.25" customHeight="1">
      <c r="A207" s="18"/>
      <c r="B207" s="18"/>
      <c r="C207" s="19"/>
      <c r="D207" s="18"/>
      <c r="E207" s="18"/>
      <c r="F207" s="19"/>
      <c r="G207" s="18"/>
      <c r="H207" s="114"/>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40"/>
      <c r="AL207" s="141"/>
      <c r="AM207" s="141"/>
      <c r="AN207" s="141"/>
      <c r="AO207" s="141"/>
      <c r="AP207" s="141"/>
      <c r="AQ207" s="141"/>
      <c r="AR207" s="141"/>
      <c r="AS207" s="141"/>
      <c r="AT207" s="141"/>
      <c r="AU207" s="141"/>
      <c r="AV207" s="141"/>
      <c r="AW207" s="141"/>
      <c r="AX207" s="141"/>
      <c r="AY207" s="141"/>
      <c r="AZ207" s="141"/>
      <c r="BA207" s="141"/>
      <c r="BB207" s="141"/>
      <c r="BC207" s="141"/>
      <c r="BD207" s="141"/>
      <c r="BE207" s="141"/>
      <c r="BF207" s="141"/>
      <c r="BG207" s="18"/>
      <c r="BH207" s="1"/>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18"/>
      <c r="CP207" s="18"/>
      <c r="CQ207" s="18"/>
      <c r="CR207" s="18"/>
      <c r="CS207" s="18"/>
      <c r="CT207" s="18"/>
      <c r="CU207" s="18"/>
      <c r="CV207" s="18"/>
      <c r="CW207" s="18"/>
      <c r="CX207" s="18"/>
      <c r="CY207" s="18"/>
      <c r="CZ207" s="18"/>
      <c r="DA207" s="18"/>
      <c r="DB207" s="18"/>
      <c r="DC207" s="18"/>
      <c r="DD207" s="18"/>
      <c r="DE207" s="18"/>
      <c r="DF207" s="18"/>
      <c r="DG207" s="18"/>
      <c r="DH207" s="18"/>
      <c r="DI207" s="18"/>
      <c r="DJ207" s="18"/>
      <c r="DK207" s="18"/>
      <c r="DL207" s="18"/>
      <c r="DM207" s="18"/>
      <c r="DN207" s="18"/>
      <c r="DO207" s="18"/>
      <c r="DP207" s="18"/>
      <c r="DQ207" s="18"/>
      <c r="DR207" s="18"/>
      <c r="DS207" s="18"/>
      <c r="DT207" s="18"/>
      <c r="DU207" s="18"/>
      <c r="DV207" s="18"/>
      <c r="DW207" s="18"/>
      <c r="DX207" s="18"/>
      <c r="DY207" s="18"/>
      <c r="DZ207" s="18"/>
      <c r="EA207" s="18"/>
      <c r="EB207" s="18"/>
      <c r="EC207" s="18"/>
      <c r="ED207" s="18"/>
      <c r="EE207" s="18"/>
    </row>
    <row r="208" spans="1:135" ht="14.25" customHeight="1">
      <c r="A208" s="18"/>
      <c r="B208" s="18"/>
      <c r="C208" s="19"/>
      <c r="D208" s="18"/>
      <c r="E208" s="18"/>
      <c r="F208" s="19"/>
      <c r="G208" s="18"/>
      <c r="H208" s="114"/>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40"/>
      <c r="AL208" s="141"/>
      <c r="AM208" s="141"/>
      <c r="AN208" s="141"/>
      <c r="AO208" s="141"/>
      <c r="AP208" s="141"/>
      <c r="AQ208" s="141"/>
      <c r="AR208" s="141"/>
      <c r="AS208" s="141"/>
      <c r="AT208" s="141"/>
      <c r="AU208" s="141"/>
      <c r="AV208" s="141"/>
      <c r="AW208" s="141"/>
      <c r="AX208" s="141"/>
      <c r="AY208" s="141"/>
      <c r="AZ208" s="141"/>
      <c r="BA208" s="141"/>
      <c r="BB208" s="141"/>
      <c r="BC208" s="141"/>
      <c r="BD208" s="141"/>
      <c r="BE208" s="141"/>
      <c r="BF208" s="141"/>
      <c r="BG208" s="18"/>
      <c r="BH208" s="1"/>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c r="CP208" s="18"/>
      <c r="CQ208" s="18"/>
      <c r="CR208" s="18"/>
      <c r="CS208" s="18"/>
      <c r="CT208" s="18"/>
      <c r="CU208" s="18"/>
      <c r="CV208" s="18"/>
      <c r="CW208" s="18"/>
      <c r="CX208" s="18"/>
      <c r="CY208" s="18"/>
      <c r="CZ208" s="18"/>
      <c r="DA208" s="18"/>
      <c r="DB208" s="18"/>
      <c r="DC208" s="18"/>
      <c r="DD208" s="18"/>
      <c r="DE208" s="18"/>
      <c r="DF208" s="18"/>
      <c r="DG208" s="18"/>
      <c r="DH208" s="18"/>
      <c r="DI208" s="18"/>
      <c r="DJ208" s="18"/>
      <c r="DK208" s="18"/>
      <c r="DL208" s="18"/>
      <c r="DM208" s="18"/>
      <c r="DN208" s="18"/>
      <c r="DO208" s="18"/>
      <c r="DP208" s="18"/>
      <c r="DQ208" s="18"/>
      <c r="DR208" s="18"/>
      <c r="DS208" s="18"/>
      <c r="DT208" s="18"/>
      <c r="DU208" s="18"/>
      <c r="DV208" s="18"/>
      <c r="DW208" s="18"/>
      <c r="DX208" s="18"/>
      <c r="DY208" s="18"/>
      <c r="DZ208" s="18"/>
      <c r="EA208" s="18"/>
      <c r="EB208" s="18"/>
      <c r="EC208" s="18"/>
      <c r="ED208" s="18"/>
      <c r="EE208" s="18"/>
    </row>
    <row r="209" spans="1:135" ht="14.25" customHeight="1">
      <c r="A209" s="18"/>
      <c r="B209" s="18"/>
      <c r="C209" s="19"/>
      <c r="D209" s="18"/>
      <c r="E209" s="18"/>
      <c r="F209" s="19"/>
      <c r="G209" s="18"/>
      <c r="H209" s="114"/>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40"/>
      <c r="AL209" s="141"/>
      <c r="AM209" s="141"/>
      <c r="AN209" s="141"/>
      <c r="AO209" s="141"/>
      <c r="AP209" s="141"/>
      <c r="AQ209" s="141"/>
      <c r="AR209" s="141"/>
      <c r="AS209" s="141"/>
      <c r="AT209" s="141"/>
      <c r="AU209" s="141"/>
      <c r="AV209" s="141"/>
      <c r="AW209" s="141"/>
      <c r="AX209" s="141"/>
      <c r="AY209" s="141"/>
      <c r="AZ209" s="141"/>
      <c r="BA209" s="141"/>
      <c r="BB209" s="141"/>
      <c r="BC209" s="141"/>
      <c r="BD209" s="141"/>
      <c r="BE209" s="141"/>
      <c r="BF209" s="141"/>
      <c r="BG209" s="18"/>
      <c r="BH209" s="1"/>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c r="CP209" s="18"/>
      <c r="CQ209" s="18"/>
      <c r="CR209" s="18"/>
      <c r="CS209" s="18"/>
      <c r="CT209" s="18"/>
      <c r="CU209" s="18"/>
      <c r="CV209" s="18"/>
      <c r="CW209" s="18"/>
      <c r="CX209" s="18"/>
      <c r="CY209" s="18"/>
      <c r="CZ209" s="18"/>
      <c r="DA209" s="18"/>
      <c r="DB209" s="18"/>
      <c r="DC209" s="18"/>
      <c r="DD209" s="18"/>
      <c r="DE209" s="18"/>
      <c r="DF209" s="18"/>
      <c r="DG209" s="18"/>
      <c r="DH209" s="18"/>
      <c r="DI209" s="18"/>
      <c r="DJ209" s="18"/>
      <c r="DK209" s="18"/>
      <c r="DL209" s="18"/>
      <c r="DM209" s="18"/>
      <c r="DN209" s="18"/>
      <c r="DO209" s="18"/>
      <c r="DP209" s="18"/>
      <c r="DQ209" s="18"/>
      <c r="DR209" s="18"/>
      <c r="DS209" s="18"/>
      <c r="DT209" s="18"/>
      <c r="DU209" s="18"/>
      <c r="DV209" s="18"/>
      <c r="DW209" s="18"/>
      <c r="DX209" s="18"/>
      <c r="DY209" s="18"/>
      <c r="DZ209" s="18"/>
      <c r="EA209" s="18"/>
      <c r="EB209" s="18"/>
      <c r="EC209" s="18"/>
      <c r="ED209" s="18"/>
      <c r="EE209" s="18"/>
    </row>
    <row r="210" spans="1:135" ht="14.25" customHeight="1">
      <c r="A210" s="18"/>
      <c r="B210" s="18"/>
      <c r="C210" s="19"/>
      <c r="D210" s="18"/>
      <c r="E210" s="18"/>
      <c r="F210" s="19"/>
      <c r="G210" s="18"/>
      <c r="H210" s="114"/>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40"/>
      <c r="AL210" s="141"/>
      <c r="AM210" s="141"/>
      <c r="AN210" s="141"/>
      <c r="AO210" s="141"/>
      <c r="AP210" s="141"/>
      <c r="AQ210" s="141"/>
      <c r="AR210" s="141"/>
      <c r="AS210" s="141"/>
      <c r="AT210" s="141"/>
      <c r="AU210" s="141"/>
      <c r="AV210" s="141"/>
      <c r="AW210" s="141"/>
      <c r="AX210" s="141"/>
      <c r="AY210" s="141"/>
      <c r="AZ210" s="141"/>
      <c r="BA210" s="141"/>
      <c r="BB210" s="141"/>
      <c r="BC210" s="141"/>
      <c r="BD210" s="141"/>
      <c r="BE210" s="141"/>
      <c r="BF210" s="141"/>
      <c r="BG210" s="18"/>
      <c r="BH210" s="1"/>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18"/>
      <c r="CP210" s="18"/>
      <c r="CQ210" s="18"/>
      <c r="CR210" s="18"/>
      <c r="CS210" s="18"/>
      <c r="CT210" s="18"/>
      <c r="CU210" s="18"/>
      <c r="CV210" s="18"/>
      <c r="CW210" s="18"/>
      <c r="CX210" s="18"/>
      <c r="CY210" s="18"/>
      <c r="CZ210" s="18"/>
      <c r="DA210" s="18"/>
      <c r="DB210" s="18"/>
      <c r="DC210" s="18"/>
      <c r="DD210" s="18"/>
      <c r="DE210" s="18"/>
      <c r="DF210" s="18"/>
      <c r="DG210" s="18"/>
      <c r="DH210" s="18"/>
      <c r="DI210" s="18"/>
      <c r="DJ210" s="18"/>
      <c r="DK210" s="18"/>
      <c r="DL210" s="18"/>
      <c r="DM210" s="18"/>
      <c r="DN210" s="18"/>
      <c r="DO210" s="18"/>
      <c r="DP210" s="18"/>
      <c r="DQ210" s="18"/>
      <c r="DR210" s="18"/>
      <c r="DS210" s="18"/>
      <c r="DT210" s="18"/>
      <c r="DU210" s="18"/>
      <c r="DV210" s="18"/>
      <c r="DW210" s="18"/>
      <c r="DX210" s="18"/>
      <c r="DY210" s="18"/>
      <c r="DZ210" s="18"/>
      <c r="EA210" s="18"/>
      <c r="EB210" s="18"/>
      <c r="EC210" s="18"/>
      <c r="ED210" s="18"/>
      <c r="EE210" s="18"/>
    </row>
    <row r="211" spans="1:135" ht="14.25" customHeight="1">
      <c r="A211" s="18"/>
      <c r="B211" s="18"/>
      <c r="C211" s="19"/>
      <c r="D211" s="18"/>
      <c r="E211" s="18"/>
      <c r="F211" s="19"/>
      <c r="G211" s="18"/>
      <c r="H211" s="114"/>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40"/>
      <c r="AL211" s="141"/>
      <c r="AM211" s="141"/>
      <c r="AN211" s="141"/>
      <c r="AO211" s="141"/>
      <c r="AP211" s="141"/>
      <c r="AQ211" s="141"/>
      <c r="AR211" s="141"/>
      <c r="AS211" s="141"/>
      <c r="AT211" s="141"/>
      <c r="AU211" s="141"/>
      <c r="AV211" s="141"/>
      <c r="AW211" s="141"/>
      <c r="AX211" s="141"/>
      <c r="AY211" s="141"/>
      <c r="AZ211" s="141"/>
      <c r="BA211" s="141"/>
      <c r="BB211" s="141"/>
      <c r="BC211" s="141"/>
      <c r="BD211" s="141"/>
      <c r="BE211" s="141"/>
      <c r="BF211" s="141"/>
      <c r="BG211" s="18"/>
      <c r="BH211" s="1"/>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18"/>
      <c r="CP211" s="18"/>
      <c r="CQ211" s="18"/>
      <c r="CR211" s="18"/>
      <c r="CS211" s="18"/>
      <c r="CT211" s="18"/>
      <c r="CU211" s="18"/>
      <c r="CV211" s="18"/>
      <c r="CW211" s="18"/>
      <c r="CX211" s="18"/>
      <c r="CY211" s="18"/>
      <c r="CZ211" s="18"/>
      <c r="DA211" s="18"/>
      <c r="DB211" s="18"/>
      <c r="DC211" s="18"/>
      <c r="DD211" s="18"/>
      <c r="DE211" s="18"/>
      <c r="DF211" s="18"/>
      <c r="DG211" s="18"/>
      <c r="DH211" s="18"/>
      <c r="DI211" s="18"/>
      <c r="DJ211" s="18"/>
      <c r="DK211" s="18"/>
      <c r="DL211" s="18"/>
      <c r="DM211" s="18"/>
      <c r="DN211" s="18"/>
      <c r="DO211" s="18"/>
      <c r="DP211" s="18"/>
      <c r="DQ211" s="18"/>
      <c r="DR211" s="18"/>
      <c r="DS211" s="18"/>
      <c r="DT211" s="18"/>
      <c r="DU211" s="18"/>
      <c r="DV211" s="18"/>
      <c r="DW211" s="18"/>
      <c r="DX211" s="18"/>
      <c r="DY211" s="18"/>
      <c r="DZ211" s="18"/>
      <c r="EA211" s="18"/>
      <c r="EB211" s="18"/>
      <c r="EC211" s="18"/>
      <c r="ED211" s="18"/>
      <c r="EE211" s="18"/>
    </row>
    <row r="212" spans="1:135" ht="14.25" customHeight="1">
      <c r="A212" s="18"/>
      <c r="B212" s="18"/>
      <c r="C212" s="19"/>
      <c r="D212" s="18"/>
      <c r="E212" s="18"/>
      <c r="F212" s="19"/>
      <c r="G212" s="18"/>
      <c r="H212" s="114"/>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40"/>
      <c r="AL212" s="141"/>
      <c r="AM212" s="141"/>
      <c r="AN212" s="141"/>
      <c r="AO212" s="141"/>
      <c r="AP212" s="141"/>
      <c r="AQ212" s="141"/>
      <c r="AR212" s="141"/>
      <c r="AS212" s="141"/>
      <c r="AT212" s="141"/>
      <c r="AU212" s="141"/>
      <c r="AV212" s="141"/>
      <c r="AW212" s="141"/>
      <c r="AX212" s="141"/>
      <c r="AY212" s="141"/>
      <c r="AZ212" s="141"/>
      <c r="BA212" s="141"/>
      <c r="BB212" s="141"/>
      <c r="BC212" s="141"/>
      <c r="BD212" s="141"/>
      <c r="BE212" s="141"/>
      <c r="BF212" s="141"/>
      <c r="BG212" s="18"/>
      <c r="BH212" s="1"/>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row>
    <row r="213" spans="1:135" ht="14.25" customHeight="1">
      <c r="A213" s="18"/>
      <c r="B213" s="18"/>
      <c r="C213" s="19"/>
      <c r="D213" s="18"/>
      <c r="E213" s="18"/>
      <c r="F213" s="19"/>
      <c r="G213" s="18"/>
      <c r="H213" s="114"/>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40"/>
      <c r="AL213" s="141"/>
      <c r="AM213" s="141"/>
      <c r="AN213" s="141"/>
      <c r="AO213" s="141"/>
      <c r="AP213" s="141"/>
      <c r="AQ213" s="141"/>
      <c r="AR213" s="141"/>
      <c r="AS213" s="141"/>
      <c r="AT213" s="141"/>
      <c r="AU213" s="141"/>
      <c r="AV213" s="141"/>
      <c r="AW213" s="141"/>
      <c r="AX213" s="141"/>
      <c r="AY213" s="141"/>
      <c r="AZ213" s="141"/>
      <c r="BA213" s="141"/>
      <c r="BB213" s="141"/>
      <c r="BC213" s="141"/>
      <c r="BD213" s="141"/>
      <c r="BE213" s="141"/>
      <c r="BF213" s="141"/>
      <c r="BG213" s="18"/>
      <c r="BH213" s="1"/>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18"/>
      <c r="DX213" s="18"/>
      <c r="DY213" s="18"/>
      <c r="DZ213" s="18"/>
      <c r="EA213" s="18"/>
      <c r="EB213" s="18"/>
      <c r="EC213" s="18"/>
      <c r="ED213" s="18"/>
      <c r="EE213" s="18"/>
    </row>
    <row r="214" spans="1:135" ht="14.25" customHeight="1">
      <c r="A214" s="18"/>
      <c r="B214" s="18"/>
      <c r="C214" s="19"/>
      <c r="D214" s="18"/>
      <c r="E214" s="18"/>
      <c r="F214" s="19"/>
      <c r="G214" s="18"/>
      <c r="H214" s="114"/>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40"/>
      <c r="AL214" s="141"/>
      <c r="AM214" s="141"/>
      <c r="AN214" s="141"/>
      <c r="AO214" s="141"/>
      <c r="AP214" s="141"/>
      <c r="AQ214" s="141"/>
      <c r="AR214" s="141"/>
      <c r="AS214" s="141"/>
      <c r="AT214" s="141"/>
      <c r="AU214" s="141"/>
      <c r="AV214" s="141"/>
      <c r="AW214" s="141"/>
      <c r="AX214" s="141"/>
      <c r="AY214" s="141"/>
      <c r="AZ214" s="141"/>
      <c r="BA214" s="141"/>
      <c r="BB214" s="141"/>
      <c r="BC214" s="141"/>
      <c r="BD214" s="141"/>
      <c r="BE214" s="141"/>
      <c r="BF214" s="141"/>
      <c r="BG214" s="18"/>
      <c r="BH214" s="1"/>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18"/>
      <c r="DN214" s="18"/>
      <c r="DO214" s="18"/>
      <c r="DP214" s="18"/>
      <c r="DQ214" s="18"/>
      <c r="DR214" s="18"/>
      <c r="DS214" s="18"/>
      <c r="DT214" s="18"/>
      <c r="DU214" s="18"/>
      <c r="DV214" s="18"/>
      <c r="DW214" s="18"/>
      <c r="DX214" s="18"/>
      <c r="DY214" s="18"/>
      <c r="DZ214" s="18"/>
      <c r="EA214" s="18"/>
      <c r="EB214" s="18"/>
      <c r="EC214" s="18"/>
      <c r="ED214" s="18"/>
      <c r="EE214" s="18"/>
    </row>
    <row r="215" spans="1:135" ht="14.25" customHeight="1">
      <c r="A215" s="18"/>
      <c r="B215" s="18"/>
      <c r="C215" s="19"/>
      <c r="D215" s="18"/>
      <c r="E215" s="18"/>
      <c r="F215" s="19"/>
      <c r="G215" s="18"/>
      <c r="H215" s="114"/>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40"/>
      <c r="AL215" s="141"/>
      <c r="AM215" s="141"/>
      <c r="AN215" s="141"/>
      <c r="AO215" s="141"/>
      <c r="AP215" s="141"/>
      <c r="AQ215" s="141"/>
      <c r="AR215" s="141"/>
      <c r="AS215" s="141"/>
      <c r="AT215" s="141"/>
      <c r="AU215" s="141"/>
      <c r="AV215" s="141"/>
      <c r="AW215" s="141"/>
      <c r="AX215" s="141"/>
      <c r="AY215" s="141"/>
      <c r="AZ215" s="141"/>
      <c r="BA215" s="141"/>
      <c r="BB215" s="141"/>
      <c r="BC215" s="141"/>
      <c r="BD215" s="141"/>
      <c r="BE215" s="141"/>
      <c r="BF215" s="141"/>
      <c r="BG215" s="18"/>
      <c r="BH215" s="1"/>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row>
    <row r="216" spans="1:135" ht="14.25" customHeight="1">
      <c r="A216" s="18"/>
      <c r="B216" s="18"/>
      <c r="C216" s="19"/>
      <c r="D216" s="18"/>
      <c r="E216" s="18"/>
      <c r="F216" s="19"/>
      <c r="G216" s="18"/>
      <c r="H216" s="114"/>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40"/>
      <c r="AL216" s="141"/>
      <c r="AM216" s="141"/>
      <c r="AN216" s="141"/>
      <c r="AO216" s="141"/>
      <c r="AP216" s="141"/>
      <c r="AQ216" s="141"/>
      <c r="AR216" s="141"/>
      <c r="AS216" s="141"/>
      <c r="AT216" s="141"/>
      <c r="AU216" s="141"/>
      <c r="AV216" s="141"/>
      <c r="AW216" s="141"/>
      <c r="AX216" s="141"/>
      <c r="AY216" s="141"/>
      <c r="AZ216" s="141"/>
      <c r="BA216" s="141"/>
      <c r="BB216" s="141"/>
      <c r="BC216" s="141"/>
      <c r="BD216" s="141"/>
      <c r="BE216" s="141"/>
      <c r="BF216" s="141"/>
      <c r="BG216" s="18"/>
      <c r="BH216" s="1"/>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row>
    <row r="217" spans="1:135" ht="14.25" customHeight="1">
      <c r="A217" s="18"/>
      <c r="B217" s="18"/>
      <c r="C217" s="19"/>
      <c r="D217" s="18"/>
      <c r="E217" s="18"/>
      <c r="F217" s="19"/>
      <c r="G217" s="18"/>
      <c r="H217" s="114"/>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40"/>
      <c r="AL217" s="141"/>
      <c r="AM217" s="141"/>
      <c r="AN217" s="141"/>
      <c r="AO217" s="141"/>
      <c r="AP217" s="141"/>
      <c r="AQ217" s="141"/>
      <c r="AR217" s="141"/>
      <c r="AS217" s="141"/>
      <c r="AT217" s="141"/>
      <c r="AU217" s="141"/>
      <c r="AV217" s="141"/>
      <c r="AW217" s="141"/>
      <c r="AX217" s="141"/>
      <c r="AY217" s="141"/>
      <c r="AZ217" s="141"/>
      <c r="BA217" s="141"/>
      <c r="BB217" s="141"/>
      <c r="BC217" s="141"/>
      <c r="BD217" s="141"/>
      <c r="BE217" s="141"/>
      <c r="BF217" s="141"/>
      <c r="BG217" s="18"/>
      <c r="BH217" s="1"/>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18"/>
      <c r="CV217" s="18"/>
      <c r="CW217" s="18"/>
      <c r="CX217" s="18"/>
      <c r="CY217" s="18"/>
      <c r="CZ217" s="18"/>
      <c r="DA217" s="18"/>
      <c r="DB217" s="18"/>
      <c r="DC217" s="18"/>
      <c r="DD217" s="18"/>
      <c r="DE217" s="18"/>
      <c r="DF217" s="18"/>
      <c r="DG217" s="18"/>
      <c r="DH217" s="18"/>
      <c r="DI217" s="18"/>
      <c r="DJ217" s="18"/>
      <c r="DK217" s="18"/>
      <c r="DL217" s="18"/>
      <c r="DM217" s="18"/>
      <c r="DN217" s="18"/>
      <c r="DO217" s="18"/>
      <c r="DP217" s="18"/>
      <c r="DQ217" s="18"/>
      <c r="DR217" s="18"/>
      <c r="DS217" s="18"/>
      <c r="DT217" s="18"/>
      <c r="DU217" s="18"/>
      <c r="DV217" s="18"/>
      <c r="DW217" s="18"/>
      <c r="DX217" s="18"/>
      <c r="DY217" s="18"/>
      <c r="DZ217" s="18"/>
      <c r="EA217" s="18"/>
      <c r="EB217" s="18"/>
      <c r="EC217" s="18"/>
      <c r="ED217" s="18"/>
      <c r="EE217" s="18"/>
    </row>
    <row r="218" spans="1:135" ht="14.25" customHeight="1">
      <c r="A218" s="18"/>
      <c r="B218" s="18"/>
      <c r="C218" s="19"/>
      <c r="D218" s="18"/>
      <c r="E218" s="18"/>
      <c r="F218" s="19"/>
      <c r="G218" s="18"/>
      <c r="H218" s="114"/>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40"/>
      <c r="AL218" s="141"/>
      <c r="AM218" s="141"/>
      <c r="AN218" s="141"/>
      <c r="AO218" s="141"/>
      <c r="AP218" s="141"/>
      <c r="AQ218" s="141"/>
      <c r="AR218" s="141"/>
      <c r="AS218" s="141"/>
      <c r="AT218" s="141"/>
      <c r="AU218" s="141"/>
      <c r="AV218" s="141"/>
      <c r="AW218" s="141"/>
      <c r="AX218" s="141"/>
      <c r="AY218" s="141"/>
      <c r="AZ218" s="141"/>
      <c r="BA218" s="141"/>
      <c r="BB218" s="141"/>
      <c r="BC218" s="141"/>
      <c r="BD218" s="141"/>
      <c r="BE218" s="141"/>
      <c r="BF218" s="141"/>
      <c r="BG218" s="18"/>
      <c r="BH218" s="1"/>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18"/>
      <c r="CP218" s="18"/>
      <c r="CQ218" s="18"/>
      <c r="CR218" s="18"/>
      <c r="CS218" s="18"/>
      <c r="CT218" s="18"/>
      <c r="CU218" s="18"/>
      <c r="CV218" s="18"/>
      <c r="CW218" s="18"/>
      <c r="CX218" s="18"/>
      <c r="CY218" s="18"/>
      <c r="CZ218" s="18"/>
      <c r="DA218" s="18"/>
      <c r="DB218" s="18"/>
      <c r="DC218" s="18"/>
      <c r="DD218" s="18"/>
      <c r="DE218" s="18"/>
      <c r="DF218" s="18"/>
      <c r="DG218" s="18"/>
      <c r="DH218" s="18"/>
      <c r="DI218" s="18"/>
      <c r="DJ218" s="18"/>
      <c r="DK218" s="18"/>
      <c r="DL218" s="18"/>
      <c r="DM218" s="18"/>
      <c r="DN218" s="18"/>
      <c r="DO218" s="18"/>
      <c r="DP218" s="18"/>
      <c r="DQ218" s="18"/>
      <c r="DR218" s="18"/>
      <c r="DS218" s="18"/>
      <c r="DT218" s="18"/>
      <c r="DU218" s="18"/>
      <c r="DV218" s="18"/>
      <c r="DW218" s="18"/>
      <c r="DX218" s="18"/>
      <c r="DY218" s="18"/>
      <c r="DZ218" s="18"/>
      <c r="EA218" s="18"/>
      <c r="EB218" s="18"/>
      <c r="EC218" s="18"/>
      <c r="ED218" s="18"/>
      <c r="EE218" s="18"/>
    </row>
    <row r="219" spans="1:135" ht="14.25" customHeight="1">
      <c r="A219" s="18"/>
      <c r="B219" s="18"/>
      <c r="C219" s="19"/>
      <c r="D219" s="18"/>
      <c r="E219" s="18"/>
      <c r="F219" s="19"/>
      <c r="G219" s="18"/>
      <c r="H219" s="114"/>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40"/>
      <c r="AL219" s="141"/>
      <c r="AM219" s="141"/>
      <c r="AN219" s="141"/>
      <c r="AO219" s="141"/>
      <c r="AP219" s="141"/>
      <c r="AQ219" s="141"/>
      <c r="AR219" s="141"/>
      <c r="AS219" s="141"/>
      <c r="AT219" s="141"/>
      <c r="AU219" s="141"/>
      <c r="AV219" s="141"/>
      <c r="AW219" s="141"/>
      <c r="AX219" s="141"/>
      <c r="AY219" s="141"/>
      <c r="AZ219" s="141"/>
      <c r="BA219" s="141"/>
      <c r="BB219" s="141"/>
      <c r="BC219" s="141"/>
      <c r="BD219" s="141"/>
      <c r="BE219" s="141"/>
      <c r="BF219" s="141"/>
      <c r="BG219" s="18"/>
      <c r="BH219" s="1"/>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row>
    <row r="220" spans="1:135" ht="14.25" customHeight="1">
      <c r="A220" s="18"/>
      <c r="B220" s="18"/>
      <c r="C220" s="19"/>
      <c r="D220" s="18"/>
      <c r="E220" s="18"/>
      <c r="F220" s="19"/>
      <c r="G220" s="18"/>
      <c r="H220" s="114"/>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40"/>
      <c r="AL220" s="141"/>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8"/>
      <c r="BH220" s="1"/>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18"/>
      <c r="CP220" s="18"/>
      <c r="CQ220" s="18"/>
      <c r="CR220" s="18"/>
      <c r="CS220" s="18"/>
      <c r="CT220" s="18"/>
      <c r="CU220" s="18"/>
      <c r="CV220" s="18"/>
      <c r="CW220" s="18"/>
      <c r="CX220" s="18"/>
      <c r="CY220" s="18"/>
      <c r="CZ220" s="18"/>
      <c r="DA220" s="18"/>
      <c r="DB220" s="18"/>
      <c r="DC220" s="18"/>
      <c r="DD220" s="18"/>
      <c r="DE220" s="18"/>
      <c r="DF220" s="18"/>
      <c r="DG220" s="18"/>
      <c r="DH220" s="18"/>
      <c r="DI220" s="18"/>
      <c r="DJ220" s="18"/>
      <c r="DK220" s="18"/>
      <c r="DL220" s="18"/>
      <c r="DM220" s="18"/>
      <c r="DN220" s="18"/>
      <c r="DO220" s="18"/>
      <c r="DP220" s="18"/>
      <c r="DQ220" s="18"/>
      <c r="DR220" s="18"/>
      <c r="DS220" s="18"/>
      <c r="DT220" s="18"/>
      <c r="DU220" s="18"/>
      <c r="DV220" s="18"/>
      <c r="DW220" s="18"/>
      <c r="DX220" s="18"/>
      <c r="DY220" s="18"/>
      <c r="DZ220" s="18"/>
      <c r="EA220" s="18"/>
      <c r="EB220" s="18"/>
      <c r="EC220" s="18"/>
      <c r="ED220" s="18"/>
      <c r="EE220" s="18"/>
    </row>
    <row r="221" spans="1:135" ht="14.25" customHeight="1">
      <c r="A221" s="18"/>
      <c r="B221" s="18"/>
      <c r="C221" s="19"/>
      <c r="D221" s="18"/>
      <c r="E221" s="18"/>
      <c r="F221" s="19"/>
      <c r="G221" s="18"/>
      <c r="H221" s="114"/>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40"/>
      <c r="AL221" s="141"/>
      <c r="AM221" s="141"/>
      <c r="AN221" s="141"/>
      <c r="AO221" s="141"/>
      <c r="AP221" s="141"/>
      <c r="AQ221" s="141"/>
      <c r="AR221" s="141"/>
      <c r="AS221" s="141"/>
      <c r="AT221" s="141"/>
      <c r="AU221" s="141"/>
      <c r="AV221" s="141"/>
      <c r="AW221" s="141"/>
      <c r="AX221" s="141"/>
      <c r="AY221" s="141"/>
      <c r="AZ221" s="141"/>
      <c r="BA221" s="141"/>
      <c r="BB221" s="141"/>
      <c r="BC221" s="141"/>
      <c r="BD221" s="141"/>
      <c r="BE221" s="141"/>
      <c r="BF221" s="141"/>
      <c r="BG221" s="18"/>
      <c r="BH221" s="1"/>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18"/>
      <c r="CP221" s="18"/>
      <c r="CQ221" s="18"/>
      <c r="CR221" s="18"/>
      <c r="CS221" s="18"/>
      <c r="CT221" s="18"/>
      <c r="CU221" s="18"/>
      <c r="CV221" s="18"/>
      <c r="CW221" s="18"/>
      <c r="CX221" s="18"/>
      <c r="CY221" s="18"/>
      <c r="CZ221" s="18"/>
      <c r="DA221" s="18"/>
      <c r="DB221" s="18"/>
      <c r="DC221" s="18"/>
      <c r="DD221" s="18"/>
      <c r="DE221" s="18"/>
      <c r="DF221" s="18"/>
      <c r="DG221" s="18"/>
      <c r="DH221" s="18"/>
      <c r="DI221" s="18"/>
      <c r="DJ221" s="18"/>
      <c r="DK221" s="18"/>
      <c r="DL221" s="18"/>
      <c r="DM221" s="18"/>
      <c r="DN221" s="18"/>
      <c r="DO221" s="18"/>
      <c r="DP221" s="18"/>
      <c r="DQ221" s="18"/>
      <c r="DR221" s="18"/>
      <c r="DS221" s="18"/>
      <c r="DT221" s="18"/>
      <c r="DU221" s="18"/>
      <c r="DV221" s="18"/>
      <c r="DW221" s="18"/>
      <c r="DX221" s="18"/>
      <c r="DY221" s="18"/>
      <c r="DZ221" s="18"/>
      <c r="EA221" s="18"/>
      <c r="EB221" s="18"/>
      <c r="EC221" s="18"/>
      <c r="ED221" s="18"/>
      <c r="EE221" s="18"/>
    </row>
    <row r="222" spans="1:135" ht="14.25" customHeight="1">
      <c r="A222" s="18"/>
      <c r="B222" s="18"/>
      <c r="C222" s="19"/>
      <c r="D222" s="18"/>
      <c r="E222" s="18"/>
      <c r="F222" s="19"/>
      <c r="G222" s="18"/>
      <c r="H222" s="114"/>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40"/>
      <c r="AL222" s="141"/>
      <c r="AM222" s="141"/>
      <c r="AN222" s="141"/>
      <c r="AO222" s="141"/>
      <c r="AP222" s="141"/>
      <c r="AQ222" s="141"/>
      <c r="AR222" s="141"/>
      <c r="AS222" s="141"/>
      <c r="AT222" s="141"/>
      <c r="AU222" s="141"/>
      <c r="AV222" s="141"/>
      <c r="AW222" s="141"/>
      <c r="AX222" s="141"/>
      <c r="AY222" s="141"/>
      <c r="AZ222" s="141"/>
      <c r="BA222" s="141"/>
      <c r="BB222" s="141"/>
      <c r="BC222" s="141"/>
      <c r="BD222" s="141"/>
      <c r="BE222" s="141"/>
      <c r="BF222" s="141"/>
      <c r="BG222" s="18"/>
      <c r="BH222" s="1"/>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18"/>
      <c r="CP222" s="18"/>
      <c r="CQ222" s="18"/>
      <c r="CR222" s="18"/>
      <c r="CS222" s="18"/>
      <c r="CT222" s="18"/>
      <c r="CU222" s="18"/>
      <c r="CV222" s="18"/>
      <c r="CW222" s="18"/>
      <c r="CX222" s="18"/>
      <c r="CY222" s="18"/>
      <c r="CZ222" s="18"/>
      <c r="DA222" s="18"/>
      <c r="DB222" s="18"/>
      <c r="DC222" s="18"/>
      <c r="DD222" s="18"/>
      <c r="DE222" s="18"/>
      <c r="DF222" s="18"/>
      <c r="DG222" s="18"/>
      <c r="DH222" s="18"/>
      <c r="DI222" s="18"/>
      <c r="DJ222" s="18"/>
      <c r="DK222" s="18"/>
      <c r="DL222" s="18"/>
      <c r="DM222" s="18"/>
      <c r="DN222" s="18"/>
      <c r="DO222" s="18"/>
      <c r="DP222" s="18"/>
      <c r="DQ222" s="18"/>
      <c r="DR222" s="18"/>
      <c r="DS222" s="18"/>
      <c r="DT222" s="18"/>
      <c r="DU222" s="18"/>
      <c r="DV222" s="18"/>
      <c r="DW222" s="18"/>
      <c r="DX222" s="18"/>
      <c r="DY222" s="18"/>
      <c r="DZ222" s="18"/>
      <c r="EA222" s="18"/>
      <c r="EB222" s="18"/>
      <c r="EC222" s="18"/>
      <c r="ED222" s="18"/>
      <c r="EE222" s="18"/>
    </row>
    <row r="223" spans="1:135" ht="14.25" customHeight="1">
      <c r="A223" s="18"/>
      <c r="B223" s="18"/>
      <c r="C223" s="19"/>
      <c r="D223" s="18"/>
      <c r="E223" s="18"/>
      <c r="F223" s="19"/>
      <c r="G223" s="18"/>
      <c r="H223" s="114"/>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40"/>
      <c r="AL223" s="141"/>
      <c r="AM223" s="141"/>
      <c r="AN223" s="141"/>
      <c r="AO223" s="141"/>
      <c r="AP223" s="141"/>
      <c r="AQ223" s="141"/>
      <c r="AR223" s="141"/>
      <c r="AS223" s="141"/>
      <c r="AT223" s="141"/>
      <c r="AU223" s="141"/>
      <c r="AV223" s="141"/>
      <c r="AW223" s="141"/>
      <c r="AX223" s="141"/>
      <c r="AY223" s="141"/>
      <c r="AZ223" s="141"/>
      <c r="BA223" s="141"/>
      <c r="BB223" s="141"/>
      <c r="BC223" s="141"/>
      <c r="BD223" s="141"/>
      <c r="BE223" s="141"/>
      <c r="BF223" s="141"/>
      <c r="BG223" s="18"/>
      <c r="BH223" s="1"/>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c r="CP223" s="18"/>
      <c r="CQ223" s="18"/>
      <c r="CR223" s="18"/>
      <c r="CS223" s="18"/>
      <c r="CT223" s="18"/>
      <c r="CU223" s="18"/>
      <c r="CV223" s="18"/>
      <c r="CW223" s="18"/>
      <c r="CX223" s="18"/>
      <c r="CY223" s="18"/>
      <c r="CZ223" s="18"/>
      <c r="DA223" s="18"/>
      <c r="DB223" s="18"/>
      <c r="DC223" s="18"/>
      <c r="DD223" s="18"/>
      <c r="DE223" s="18"/>
      <c r="DF223" s="18"/>
      <c r="DG223" s="18"/>
      <c r="DH223" s="18"/>
      <c r="DI223" s="18"/>
      <c r="DJ223" s="18"/>
      <c r="DK223" s="18"/>
      <c r="DL223" s="18"/>
      <c r="DM223" s="18"/>
      <c r="DN223" s="18"/>
      <c r="DO223" s="18"/>
      <c r="DP223" s="18"/>
      <c r="DQ223" s="18"/>
      <c r="DR223" s="18"/>
      <c r="DS223" s="18"/>
      <c r="DT223" s="18"/>
      <c r="DU223" s="18"/>
      <c r="DV223" s="18"/>
      <c r="DW223" s="18"/>
      <c r="DX223" s="18"/>
      <c r="DY223" s="18"/>
      <c r="DZ223" s="18"/>
      <c r="EA223" s="18"/>
      <c r="EB223" s="18"/>
      <c r="EC223" s="18"/>
      <c r="ED223" s="18"/>
      <c r="EE223" s="18"/>
    </row>
    <row r="224" spans="1:135" ht="14.25" customHeight="1">
      <c r="A224" s="18"/>
      <c r="B224" s="18"/>
      <c r="C224" s="19"/>
      <c r="D224" s="18"/>
      <c r="E224" s="18"/>
      <c r="F224" s="19"/>
      <c r="G224" s="18"/>
      <c r="H224" s="114"/>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40"/>
      <c r="AL224" s="141"/>
      <c r="AM224" s="141"/>
      <c r="AN224" s="141"/>
      <c r="AO224" s="141"/>
      <c r="AP224" s="141"/>
      <c r="AQ224" s="141"/>
      <c r="AR224" s="141"/>
      <c r="AS224" s="141"/>
      <c r="AT224" s="141"/>
      <c r="AU224" s="141"/>
      <c r="AV224" s="141"/>
      <c r="AW224" s="141"/>
      <c r="AX224" s="141"/>
      <c r="AY224" s="141"/>
      <c r="AZ224" s="141"/>
      <c r="BA224" s="141"/>
      <c r="BB224" s="141"/>
      <c r="BC224" s="141"/>
      <c r="BD224" s="141"/>
      <c r="BE224" s="141"/>
      <c r="BF224" s="141"/>
      <c r="BG224" s="18"/>
      <c r="BH224" s="1"/>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c r="DE224" s="18"/>
      <c r="DF224" s="18"/>
      <c r="DG224" s="18"/>
      <c r="DH224" s="18"/>
      <c r="DI224" s="18"/>
      <c r="DJ224" s="18"/>
      <c r="DK224" s="18"/>
      <c r="DL224" s="18"/>
      <c r="DM224" s="18"/>
      <c r="DN224" s="18"/>
      <c r="DO224" s="18"/>
      <c r="DP224" s="18"/>
      <c r="DQ224" s="18"/>
      <c r="DR224" s="18"/>
      <c r="DS224" s="18"/>
      <c r="DT224" s="18"/>
      <c r="DU224" s="18"/>
      <c r="DV224" s="18"/>
      <c r="DW224" s="18"/>
      <c r="DX224" s="18"/>
      <c r="DY224" s="18"/>
      <c r="DZ224" s="18"/>
      <c r="EA224" s="18"/>
      <c r="EB224" s="18"/>
      <c r="EC224" s="18"/>
      <c r="ED224" s="18"/>
      <c r="EE224" s="18"/>
    </row>
    <row r="225" spans="1:135" ht="14.25" customHeight="1">
      <c r="A225" s="18"/>
      <c r="B225" s="18"/>
      <c r="C225" s="19"/>
      <c r="D225" s="18"/>
      <c r="E225" s="18"/>
      <c r="F225" s="19"/>
      <c r="G225" s="18"/>
      <c r="H225" s="114"/>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40"/>
      <c r="AL225" s="141"/>
      <c r="AM225" s="141"/>
      <c r="AN225" s="141"/>
      <c r="AO225" s="141"/>
      <c r="AP225" s="141"/>
      <c r="AQ225" s="141"/>
      <c r="AR225" s="141"/>
      <c r="AS225" s="141"/>
      <c r="AT225" s="141"/>
      <c r="AU225" s="141"/>
      <c r="AV225" s="141"/>
      <c r="AW225" s="141"/>
      <c r="AX225" s="141"/>
      <c r="AY225" s="141"/>
      <c r="AZ225" s="141"/>
      <c r="BA225" s="141"/>
      <c r="BB225" s="141"/>
      <c r="BC225" s="141"/>
      <c r="BD225" s="141"/>
      <c r="BE225" s="141"/>
      <c r="BF225" s="141"/>
      <c r="BG225" s="18"/>
      <c r="BH225" s="1"/>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c r="DE225" s="18"/>
      <c r="DF225" s="18"/>
      <c r="DG225" s="18"/>
      <c r="DH225" s="18"/>
      <c r="DI225" s="18"/>
      <c r="DJ225" s="18"/>
      <c r="DK225" s="18"/>
      <c r="DL225" s="18"/>
      <c r="DM225" s="18"/>
      <c r="DN225" s="18"/>
      <c r="DO225" s="18"/>
      <c r="DP225" s="18"/>
      <c r="DQ225" s="18"/>
      <c r="DR225" s="18"/>
      <c r="DS225" s="18"/>
      <c r="DT225" s="18"/>
      <c r="DU225" s="18"/>
      <c r="DV225" s="18"/>
      <c r="DW225" s="18"/>
      <c r="DX225" s="18"/>
      <c r="DY225" s="18"/>
      <c r="DZ225" s="18"/>
      <c r="EA225" s="18"/>
      <c r="EB225" s="18"/>
      <c r="EC225" s="18"/>
      <c r="ED225" s="18"/>
      <c r="EE225" s="18"/>
    </row>
    <row r="226" spans="1:135" ht="14.25" customHeight="1">
      <c r="A226" s="18"/>
      <c r="B226" s="18"/>
      <c r="C226" s="19"/>
      <c r="D226" s="18"/>
      <c r="E226" s="18"/>
      <c r="F226" s="19"/>
      <c r="G226" s="18"/>
      <c r="H226" s="114"/>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40"/>
      <c r="AL226" s="141"/>
      <c r="AM226" s="141"/>
      <c r="AN226" s="141"/>
      <c r="AO226" s="141"/>
      <c r="AP226" s="141"/>
      <c r="AQ226" s="141"/>
      <c r="AR226" s="141"/>
      <c r="AS226" s="141"/>
      <c r="AT226" s="141"/>
      <c r="AU226" s="141"/>
      <c r="AV226" s="141"/>
      <c r="AW226" s="141"/>
      <c r="AX226" s="141"/>
      <c r="AY226" s="141"/>
      <c r="AZ226" s="141"/>
      <c r="BA226" s="141"/>
      <c r="BB226" s="141"/>
      <c r="BC226" s="141"/>
      <c r="BD226" s="141"/>
      <c r="BE226" s="141"/>
      <c r="BF226" s="141"/>
      <c r="BG226" s="18"/>
      <c r="BH226" s="1"/>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c r="DE226" s="18"/>
      <c r="DF226" s="18"/>
      <c r="DG226" s="18"/>
      <c r="DH226" s="18"/>
      <c r="DI226" s="18"/>
      <c r="DJ226" s="18"/>
      <c r="DK226" s="18"/>
      <c r="DL226" s="18"/>
      <c r="DM226" s="18"/>
      <c r="DN226" s="18"/>
      <c r="DO226" s="18"/>
      <c r="DP226" s="18"/>
      <c r="DQ226" s="18"/>
      <c r="DR226" s="18"/>
      <c r="DS226" s="18"/>
      <c r="DT226" s="18"/>
      <c r="DU226" s="18"/>
      <c r="DV226" s="18"/>
      <c r="DW226" s="18"/>
      <c r="DX226" s="18"/>
      <c r="DY226" s="18"/>
      <c r="DZ226" s="18"/>
      <c r="EA226" s="18"/>
      <c r="EB226" s="18"/>
      <c r="EC226" s="18"/>
      <c r="ED226" s="18"/>
      <c r="EE226" s="18"/>
    </row>
    <row r="227" spans="1:135" ht="14.25" customHeight="1">
      <c r="A227" s="18"/>
      <c r="B227" s="18"/>
      <c r="C227" s="19"/>
      <c r="D227" s="18"/>
      <c r="E227" s="18"/>
      <c r="F227" s="19"/>
      <c r="G227" s="18"/>
      <c r="H227" s="114"/>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40"/>
      <c r="AL227" s="141"/>
      <c r="AM227" s="141"/>
      <c r="AN227" s="141"/>
      <c r="AO227" s="141"/>
      <c r="AP227" s="141"/>
      <c r="AQ227" s="141"/>
      <c r="AR227" s="141"/>
      <c r="AS227" s="141"/>
      <c r="AT227" s="141"/>
      <c r="AU227" s="141"/>
      <c r="AV227" s="141"/>
      <c r="AW227" s="141"/>
      <c r="AX227" s="141"/>
      <c r="AY227" s="141"/>
      <c r="AZ227" s="141"/>
      <c r="BA227" s="141"/>
      <c r="BB227" s="141"/>
      <c r="BC227" s="141"/>
      <c r="BD227" s="141"/>
      <c r="BE227" s="141"/>
      <c r="BF227" s="141"/>
      <c r="BG227" s="18"/>
      <c r="BH227" s="1"/>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18"/>
      <c r="CP227" s="18"/>
      <c r="CQ227" s="18"/>
      <c r="CR227" s="18"/>
      <c r="CS227" s="18"/>
      <c r="CT227" s="18"/>
      <c r="CU227" s="18"/>
      <c r="CV227" s="18"/>
      <c r="CW227" s="18"/>
      <c r="CX227" s="18"/>
      <c r="CY227" s="18"/>
      <c r="CZ227" s="18"/>
      <c r="DA227" s="18"/>
      <c r="DB227" s="18"/>
      <c r="DC227" s="18"/>
      <c r="DD227" s="18"/>
      <c r="DE227" s="18"/>
      <c r="DF227" s="18"/>
      <c r="DG227" s="18"/>
      <c r="DH227" s="18"/>
      <c r="DI227" s="18"/>
      <c r="DJ227" s="18"/>
      <c r="DK227" s="18"/>
      <c r="DL227" s="18"/>
      <c r="DM227" s="18"/>
      <c r="DN227" s="18"/>
      <c r="DO227" s="18"/>
      <c r="DP227" s="18"/>
      <c r="DQ227" s="18"/>
      <c r="DR227" s="18"/>
      <c r="DS227" s="18"/>
      <c r="DT227" s="18"/>
      <c r="DU227" s="18"/>
      <c r="DV227" s="18"/>
      <c r="DW227" s="18"/>
      <c r="DX227" s="18"/>
      <c r="DY227" s="18"/>
      <c r="DZ227" s="18"/>
      <c r="EA227" s="18"/>
      <c r="EB227" s="18"/>
      <c r="EC227" s="18"/>
      <c r="ED227" s="18"/>
      <c r="EE227" s="18"/>
    </row>
    <row r="228" spans="1:135" ht="14.25" customHeight="1">
      <c r="A228" s="18"/>
      <c r="B228" s="18"/>
      <c r="C228" s="19"/>
      <c r="D228" s="18"/>
      <c r="E228" s="18"/>
      <c r="F228" s="19"/>
      <c r="G228" s="18"/>
      <c r="H228" s="114"/>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40"/>
      <c r="AL228" s="141"/>
      <c r="AM228" s="141"/>
      <c r="AN228" s="141"/>
      <c r="AO228" s="141"/>
      <c r="AP228" s="141"/>
      <c r="AQ228" s="141"/>
      <c r="AR228" s="141"/>
      <c r="AS228" s="141"/>
      <c r="AT228" s="141"/>
      <c r="AU228" s="141"/>
      <c r="AV228" s="141"/>
      <c r="AW228" s="141"/>
      <c r="AX228" s="141"/>
      <c r="AY228" s="141"/>
      <c r="AZ228" s="141"/>
      <c r="BA228" s="141"/>
      <c r="BB228" s="141"/>
      <c r="BC228" s="141"/>
      <c r="BD228" s="141"/>
      <c r="BE228" s="141"/>
      <c r="BF228" s="141"/>
      <c r="BG228" s="18"/>
      <c r="BH228" s="1"/>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18"/>
      <c r="DN228" s="18"/>
      <c r="DO228" s="18"/>
      <c r="DP228" s="18"/>
      <c r="DQ228" s="18"/>
      <c r="DR228" s="18"/>
      <c r="DS228" s="18"/>
      <c r="DT228" s="18"/>
      <c r="DU228" s="18"/>
      <c r="DV228" s="18"/>
      <c r="DW228" s="18"/>
      <c r="DX228" s="18"/>
      <c r="DY228" s="18"/>
      <c r="DZ228" s="18"/>
      <c r="EA228" s="18"/>
      <c r="EB228" s="18"/>
      <c r="EC228" s="18"/>
      <c r="ED228" s="18"/>
      <c r="EE228" s="18"/>
    </row>
    <row r="229" spans="1:135" ht="14.25" customHeight="1">
      <c r="A229" s="18"/>
      <c r="B229" s="18"/>
      <c r="C229" s="19"/>
      <c r="D229" s="18"/>
      <c r="E229" s="18"/>
      <c r="F229" s="19"/>
      <c r="G229" s="18"/>
      <c r="H229" s="114"/>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40"/>
      <c r="AL229" s="141"/>
      <c r="AM229" s="141"/>
      <c r="AN229" s="141"/>
      <c r="AO229" s="141"/>
      <c r="AP229" s="141"/>
      <c r="AQ229" s="141"/>
      <c r="AR229" s="141"/>
      <c r="AS229" s="141"/>
      <c r="AT229" s="141"/>
      <c r="AU229" s="141"/>
      <c r="AV229" s="141"/>
      <c r="AW229" s="141"/>
      <c r="AX229" s="141"/>
      <c r="AY229" s="141"/>
      <c r="AZ229" s="141"/>
      <c r="BA229" s="141"/>
      <c r="BB229" s="141"/>
      <c r="BC229" s="141"/>
      <c r="BD229" s="141"/>
      <c r="BE229" s="141"/>
      <c r="BF229" s="141"/>
      <c r="BG229" s="18"/>
      <c r="BH229" s="1"/>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c r="CP229" s="18"/>
      <c r="CQ229" s="18"/>
      <c r="CR229" s="18"/>
      <c r="CS229" s="18"/>
      <c r="CT229" s="18"/>
      <c r="CU229" s="18"/>
      <c r="CV229" s="18"/>
      <c r="CW229" s="18"/>
      <c r="CX229" s="18"/>
      <c r="CY229" s="18"/>
      <c r="CZ229" s="18"/>
      <c r="DA229" s="18"/>
      <c r="DB229" s="18"/>
      <c r="DC229" s="18"/>
      <c r="DD229" s="18"/>
      <c r="DE229" s="18"/>
      <c r="DF229" s="18"/>
      <c r="DG229" s="18"/>
      <c r="DH229" s="18"/>
      <c r="DI229" s="18"/>
      <c r="DJ229" s="18"/>
      <c r="DK229" s="18"/>
      <c r="DL229" s="18"/>
      <c r="DM229" s="18"/>
      <c r="DN229" s="18"/>
      <c r="DO229" s="18"/>
      <c r="DP229" s="18"/>
      <c r="DQ229" s="18"/>
      <c r="DR229" s="18"/>
      <c r="DS229" s="18"/>
      <c r="DT229" s="18"/>
      <c r="DU229" s="18"/>
      <c r="DV229" s="18"/>
      <c r="DW229" s="18"/>
      <c r="DX229" s="18"/>
      <c r="DY229" s="18"/>
      <c r="DZ229" s="18"/>
      <c r="EA229" s="18"/>
      <c r="EB229" s="18"/>
      <c r="EC229" s="18"/>
      <c r="ED229" s="18"/>
      <c r="EE229" s="18"/>
    </row>
    <row r="230" spans="1:135" ht="14.25" customHeight="1">
      <c r="A230" s="18"/>
      <c r="B230" s="18"/>
      <c r="C230" s="19"/>
      <c r="D230" s="18"/>
      <c r="E230" s="18"/>
      <c r="F230" s="19"/>
      <c r="G230" s="18"/>
      <c r="H230" s="114"/>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40"/>
      <c r="AL230" s="141"/>
      <c r="AM230" s="141"/>
      <c r="AN230" s="141"/>
      <c r="AO230" s="141"/>
      <c r="AP230" s="141"/>
      <c r="AQ230" s="141"/>
      <c r="AR230" s="141"/>
      <c r="AS230" s="141"/>
      <c r="AT230" s="141"/>
      <c r="AU230" s="141"/>
      <c r="AV230" s="141"/>
      <c r="AW230" s="141"/>
      <c r="AX230" s="141"/>
      <c r="AY230" s="141"/>
      <c r="AZ230" s="141"/>
      <c r="BA230" s="141"/>
      <c r="BB230" s="141"/>
      <c r="BC230" s="141"/>
      <c r="BD230" s="141"/>
      <c r="BE230" s="141"/>
      <c r="BF230" s="141"/>
      <c r="BG230" s="18"/>
      <c r="BH230" s="1"/>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c r="CP230" s="18"/>
      <c r="CQ230" s="18"/>
      <c r="CR230" s="18"/>
      <c r="CS230" s="18"/>
      <c r="CT230" s="18"/>
      <c r="CU230" s="18"/>
      <c r="CV230" s="18"/>
      <c r="CW230" s="18"/>
      <c r="CX230" s="18"/>
      <c r="CY230" s="18"/>
      <c r="CZ230" s="18"/>
      <c r="DA230" s="18"/>
      <c r="DB230" s="18"/>
      <c r="DC230" s="18"/>
      <c r="DD230" s="18"/>
      <c r="DE230" s="18"/>
      <c r="DF230" s="18"/>
      <c r="DG230" s="18"/>
      <c r="DH230" s="18"/>
      <c r="DI230" s="18"/>
      <c r="DJ230" s="18"/>
      <c r="DK230" s="18"/>
      <c r="DL230" s="18"/>
      <c r="DM230" s="18"/>
      <c r="DN230" s="18"/>
      <c r="DO230" s="18"/>
      <c r="DP230" s="18"/>
      <c r="DQ230" s="18"/>
      <c r="DR230" s="18"/>
      <c r="DS230" s="18"/>
      <c r="DT230" s="18"/>
      <c r="DU230" s="18"/>
      <c r="DV230" s="18"/>
      <c r="DW230" s="18"/>
      <c r="DX230" s="18"/>
      <c r="DY230" s="18"/>
      <c r="DZ230" s="18"/>
      <c r="EA230" s="18"/>
      <c r="EB230" s="18"/>
      <c r="EC230" s="18"/>
      <c r="ED230" s="18"/>
      <c r="EE230" s="18"/>
    </row>
    <row r="231" spans="1:135" ht="14.25" customHeight="1">
      <c r="A231" s="18"/>
      <c r="B231" s="18"/>
      <c r="C231" s="19"/>
      <c r="D231" s="18"/>
      <c r="E231" s="18"/>
      <c r="F231" s="19"/>
      <c r="G231" s="18"/>
      <c r="H231" s="114"/>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40"/>
      <c r="AL231" s="141"/>
      <c r="AM231" s="141"/>
      <c r="AN231" s="141"/>
      <c r="AO231" s="141"/>
      <c r="AP231" s="141"/>
      <c r="AQ231" s="141"/>
      <c r="AR231" s="141"/>
      <c r="AS231" s="141"/>
      <c r="AT231" s="141"/>
      <c r="AU231" s="141"/>
      <c r="AV231" s="141"/>
      <c r="AW231" s="141"/>
      <c r="AX231" s="141"/>
      <c r="AY231" s="141"/>
      <c r="AZ231" s="141"/>
      <c r="BA231" s="141"/>
      <c r="BB231" s="141"/>
      <c r="BC231" s="141"/>
      <c r="BD231" s="141"/>
      <c r="BE231" s="141"/>
      <c r="BF231" s="141"/>
      <c r="BG231" s="18"/>
      <c r="BH231" s="1"/>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18"/>
      <c r="DN231" s="18"/>
      <c r="DO231" s="18"/>
      <c r="DP231" s="18"/>
      <c r="DQ231" s="18"/>
      <c r="DR231" s="18"/>
      <c r="DS231" s="18"/>
      <c r="DT231" s="18"/>
      <c r="DU231" s="18"/>
      <c r="DV231" s="18"/>
      <c r="DW231" s="18"/>
      <c r="DX231" s="18"/>
      <c r="DY231" s="18"/>
      <c r="DZ231" s="18"/>
      <c r="EA231" s="18"/>
      <c r="EB231" s="18"/>
      <c r="EC231" s="18"/>
      <c r="ED231" s="18"/>
      <c r="EE231" s="18"/>
    </row>
    <row r="232" spans="1:135" ht="14.25" customHeight="1">
      <c r="A232" s="18"/>
      <c r="B232" s="18"/>
      <c r="C232" s="19"/>
      <c r="D232" s="18"/>
      <c r="E232" s="18"/>
      <c r="F232" s="19"/>
      <c r="G232" s="18"/>
      <c r="H232" s="114"/>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40"/>
      <c r="AL232" s="141"/>
      <c r="AM232" s="141"/>
      <c r="AN232" s="141"/>
      <c r="AO232" s="141"/>
      <c r="AP232" s="141"/>
      <c r="AQ232" s="141"/>
      <c r="AR232" s="141"/>
      <c r="AS232" s="141"/>
      <c r="AT232" s="141"/>
      <c r="AU232" s="141"/>
      <c r="AV232" s="141"/>
      <c r="AW232" s="141"/>
      <c r="AX232" s="141"/>
      <c r="AY232" s="141"/>
      <c r="AZ232" s="141"/>
      <c r="BA232" s="141"/>
      <c r="BB232" s="141"/>
      <c r="BC232" s="141"/>
      <c r="BD232" s="141"/>
      <c r="BE232" s="141"/>
      <c r="BF232" s="141"/>
      <c r="BG232" s="18"/>
      <c r="BH232" s="1"/>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c r="CP232" s="18"/>
      <c r="CQ232" s="18"/>
      <c r="CR232" s="18"/>
      <c r="CS232" s="18"/>
      <c r="CT232" s="18"/>
      <c r="CU232" s="18"/>
      <c r="CV232" s="18"/>
      <c r="CW232" s="18"/>
      <c r="CX232" s="18"/>
      <c r="CY232" s="18"/>
      <c r="CZ232" s="18"/>
      <c r="DA232" s="18"/>
      <c r="DB232" s="18"/>
      <c r="DC232" s="18"/>
      <c r="DD232" s="18"/>
      <c r="DE232" s="18"/>
      <c r="DF232" s="18"/>
      <c r="DG232" s="18"/>
      <c r="DH232" s="18"/>
      <c r="DI232" s="18"/>
      <c r="DJ232" s="18"/>
      <c r="DK232" s="18"/>
      <c r="DL232" s="18"/>
      <c r="DM232" s="18"/>
      <c r="DN232" s="18"/>
      <c r="DO232" s="18"/>
      <c r="DP232" s="18"/>
      <c r="DQ232" s="18"/>
      <c r="DR232" s="18"/>
      <c r="DS232" s="18"/>
      <c r="DT232" s="18"/>
      <c r="DU232" s="18"/>
      <c r="DV232" s="18"/>
      <c r="DW232" s="18"/>
      <c r="DX232" s="18"/>
      <c r="DY232" s="18"/>
      <c r="DZ232" s="18"/>
      <c r="EA232" s="18"/>
      <c r="EB232" s="18"/>
      <c r="EC232" s="18"/>
      <c r="ED232" s="18"/>
      <c r="EE232" s="18"/>
    </row>
    <row r="233" spans="1:135" ht="14.25" customHeight="1">
      <c r="A233" s="18"/>
      <c r="B233" s="18"/>
      <c r="C233" s="19"/>
      <c r="D233" s="18"/>
      <c r="E233" s="18"/>
      <c r="F233" s="19"/>
      <c r="G233" s="18"/>
      <c r="H233" s="114"/>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40"/>
      <c r="AL233" s="141"/>
      <c r="AM233" s="141"/>
      <c r="AN233" s="141"/>
      <c r="AO233" s="141"/>
      <c r="AP233" s="141"/>
      <c r="AQ233" s="141"/>
      <c r="AR233" s="141"/>
      <c r="AS233" s="141"/>
      <c r="AT233" s="141"/>
      <c r="AU233" s="141"/>
      <c r="AV233" s="141"/>
      <c r="AW233" s="141"/>
      <c r="AX233" s="141"/>
      <c r="AY233" s="141"/>
      <c r="AZ233" s="141"/>
      <c r="BA233" s="141"/>
      <c r="BB233" s="141"/>
      <c r="BC233" s="141"/>
      <c r="BD233" s="141"/>
      <c r="BE233" s="141"/>
      <c r="BF233" s="141"/>
      <c r="BG233" s="18"/>
      <c r="BH233" s="1"/>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c r="CP233" s="18"/>
      <c r="CQ233" s="18"/>
      <c r="CR233" s="18"/>
      <c r="CS233" s="18"/>
      <c r="CT233" s="18"/>
      <c r="CU233" s="18"/>
      <c r="CV233" s="18"/>
      <c r="CW233" s="18"/>
      <c r="CX233" s="18"/>
      <c r="CY233" s="18"/>
      <c r="CZ233" s="18"/>
      <c r="DA233" s="18"/>
      <c r="DB233" s="18"/>
      <c r="DC233" s="18"/>
      <c r="DD233" s="18"/>
      <c r="DE233" s="18"/>
      <c r="DF233" s="18"/>
      <c r="DG233" s="18"/>
      <c r="DH233" s="18"/>
      <c r="DI233" s="18"/>
      <c r="DJ233" s="18"/>
      <c r="DK233" s="18"/>
      <c r="DL233" s="18"/>
      <c r="DM233" s="18"/>
      <c r="DN233" s="18"/>
      <c r="DO233" s="18"/>
      <c r="DP233" s="18"/>
      <c r="DQ233" s="18"/>
      <c r="DR233" s="18"/>
      <c r="DS233" s="18"/>
      <c r="DT233" s="18"/>
      <c r="DU233" s="18"/>
      <c r="DV233" s="18"/>
      <c r="DW233" s="18"/>
      <c r="DX233" s="18"/>
      <c r="DY233" s="18"/>
      <c r="DZ233" s="18"/>
      <c r="EA233" s="18"/>
      <c r="EB233" s="18"/>
      <c r="EC233" s="18"/>
      <c r="ED233" s="18"/>
      <c r="EE233" s="18"/>
    </row>
    <row r="234" spans="1:135" ht="14.25" customHeight="1">
      <c r="A234" s="18"/>
      <c r="B234" s="18"/>
      <c r="C234" s="19"/>
      <c r="D234" s="18"/>
      <c r="E234" s="18"/>
      <c r="F234" s="19"/>
      <c r="G234" s="18"/>
      <c r="H234" s="114"/>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40"/>
      <c r="AL234" s="141"/>
      <c r="AM234" s="141"/>
      <c r="AN234" s="141"/>
      <c r="AO234" s="141"/>
      <c r="AP234" s="141"/>
      <c r="AQ234" s="141"/>
      <c r="AR234" s="141"/>
      <c r="AS234" s="141"/>
      <c r="AT234" s="141"/>
      <c r="AU234" s="141"/>
      <c r="AV234" s="141"/>
      <c r="AW234" s="141"/>
      <c r="AX234" s="141"/>
      <c r="AY234" s="141"/>
      <c r="AZ234" s="141"/>
      <c r="BA234" s="141"/>
      <c r="BB234" s="141"/>
      <c r="BC234" s="141"/>
      <c r="BD234" s="141"/>
      <c r="BE234" s="141"/>
      <c r="BF234" s="141"/>
      <c r="BG234" s="18"/>
      <c r="BH234" s="1"/>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c r="CP234" s="18"/>
      <c r="CQ234" s="18"/>
      <c r="CR234" s="18"/>
      <c r="CS234" s="18"/>
      <c r="CT234" s="18"/>
      <c r="CU234" s="18"/>
      <c r="CV234" s="18"/>
      <c r="CW234" s="18"/>
      <c r="CX234" s="18"/>
      <c r="CY234" s="18"/>
      <c r="CZ234" s="18"/>
      <c r="DA234" s="18"/>
      <c r="DB234" s="18"/>
      <c r="DC234" s="18"/>
      <c r="DD234" s="18"/>
      <c r="DE234" s="18"/>
      <c r="DF234" s="18"/>
      <c r="DG234" s="18"/>
      <c r="DH234" s="18"/>
      <c r="DI234" s="18"/>
      <c r="DJ234" s="18"/>
      <c r="DK234" s="18"/>
      <c r="DL234" s="18"/>
      <c r="DM234" s="18"/>
      <c r="DN234" s="18"/>
      <c r="DO234" s="18"/>
      <c r="DP234" s="18"/>
      <c r="DQ234" s="18"/>
      <c r="DR234" s="18"/>
      <c r="DS234" s="18"/>
      <c r="DT234" s="18"/>
      <c r="DU234" s="18"/>
      <c r="DV234" s="18"/>
      <c r="DW234" s="18"/>
      <c r="DX234" s="18"/>
      <c r="DY234" s="18"/>
      <c r="DZ234" s="18"/>
      <c r="EA234" s="18"/>
      <c r="EB234" s="18"/>
      <c r="EC234" s="18"/>
      <c r="ED234" s="18"/>
      <c r="EE234" s="18"/>
    </row>
    <row r="235" spans="1:135" ht="14.25" customHeight="1">
      <c r="A235" s="18"/>
      <c r="B235" s="18"/>
      <c r="C235" s="19"/>
      <c r="D235" s="18"/>
      <c r="E235" s="18"/>
      <c r="F235" s="19"/>
      <c r="G235" s="18"/>
      <c r="H235" s="114"/>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40"/>
      <c r="AL235" s="141"/>
      <c r="AM235" s="141"/>
      <c r="AN235" s="141"/>
      <c r="AO235" s="141"/>
      <c r="AP235" s="141"/>
      <c r="AQ235" s="141"/>
      <c r="AR235" s="141"/>
      <c r="AS235" s="141"/>
      <c r="AT235" s="141"/>
      <c r="AU235" s="141"/>
      <c r="AV235" s="141"/>
      <c r="AW235" s="141"/>
      <c r="AX235" s="141"/>
      <c r="AY235" s="141"/>
      <c r="AZ235" s="141"/>
      <c r="BA235" s="141"/>
      <c r="BB235" s="141"/>
      <c r="BC235" s="141"/>
      <c r="BD235" s="141"/>
      <c r="BE235" s="141"/>
      <c r="BF235" s="141"/>
      <c r="BG235" s="18"/>
      <c r="BH235" s="1"/>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c r="CP235" s="18"/>
      <c r="CQ235" s="18"/>
      <c r="CR235" s="18"/>
      <c r="CS235" s="18"/>
      <c r="CT235" s="18"/>
      <c r="CU235" s="18"/>
      <c r="CV235" s="18"/>
      <c r="CW235" s="18"/>
      <c r="CX235" s="18"/>
      <c r="CY235" s="18"/>
      <c r="CZ235" s="18"/>
      <c r="DA235" s="18"/>
      <c r="DB235" s="18"/>
      <c r="DC235" s="18"/>
      <c r="DD235" s="18"/>
      <c r="DE235" s="18"/>
      <c r="DF235" s="18"/>
      <c r="DG235" s="18"/>
      <c r="DH235" s="18"/>
      <c r="DI235" s="18"/>
      <c r="DJ235" s="18"/>
      <c r="DK235" s="18"/>
      <c r="DL235" s="18"/>
      <c r="DM235" s="18"/>
      <c r="DN235" s="18"/>
      <c r="DO235" s="18"/>
      <c r="DP235" s="18"/>
      <c r="DQ235" s="18"/>
      <c r="DR235" s="18"/>
      <c r="DS235" s="18"/>
      <c r="DT235" s="18"/>
      <c r="DU235" s="18"/>
      <c r="DV235" s="18"/>
      <c r="DW235" s="18"/>
      <c r="DX235" s="18"/>
      <c r="DY235" s="18"/>
      <c r="DZ235" s="18"/>
      <c r="EA235" s="18"/>
      <c r="EB235" s="18"/>
      <c r="EC235" s="18"/>
      <c r="ED235" s="18"/>
      <c r="EE235" s="18"/>
    </row>
    <row r="236" spans="1:135" ht="14.25" customHeight="1">
      <c r="A236" s="18"/>
      <c r="B236" s="18"/>
      <c r="C236" s="19"/>
      <c r="D236" s="18"/>
      <c r="E236" s="18"/>
      <c r="F236" s="19"/>
      <c r="G236" s="18"/>
      <c r="H236" s="114"/>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40"/>
      <c r="AL236" s="141"/>
      <c r="AM236" s="141"/>
      <c r="AN236" s="141"/>
      <c r="AO236" s="141"/>
      <c r="AP236" s="141"/>
      <c r="AQ236" s="141"/>
      <c r="AR236" s="141"/>
      <c r="AS236" s="141"/>
      <c r="AT236" s="141"/>
      <c r="AU236" s="141"/>
      <c r="AV236" s="141"/>
      <c r="AW236" s="141"/>
      <c r="AX236" s="141"/>
      <c r="AY236" s="141"/>
      <c r="AZ236" s="141"/>
      <c r="BA236" s="141"/>
      <c r="BB236" s="141"/>
      <c r="BC236" s="141"/>
      <c r="BD236" s="141"/>
      <c r="BE236" s="141"/>
      <c r="BF236" s="141"/>
      <c r="BG236" s="18"/>
      <c r="BH236" s="1"/>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row>
    <row r="237" spans="1:135" ht="14.25" customHeight="1">
      <c r="A237" s="18"/>
      <c r="B237" s="18"/>
      <c r="C237" s="19"/>
      <c r="D237" s="18"/>
      <c r="E237" s="18"/>
      <c r="F237" s="19"/>
      <c r="G237" s="18"/>
      <c r="H237" s="114"/>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40"/>
      <c r="AL237" s="141"/>
      <c r="AM237" s="141"/>
      <c r="AN237" s="141"/>
      <c r="AO237" s="141"/>
      <c r="AP237" s="141"/>
      <c r="AQ237" s="141"/>
      <c r="AR237" s="141"/>
      <c r="AS237" s="141"/>
      <c r="AT237" s="141"/>
      <c r="AU237" s="141"/>
      <c r="AV237" s="141"/>
      <c r="AW237" s="141"/>
      <c r="AX237" s="141"/>
      <c r="AY237" s="141"/>
      <c r="AZ237" s="141"/>
      <c r="BA237" s="141"/>
      <c r="BB237" s="141"/>
      <c r="BC237" s="141"/>
      <c r="BD237" s="141"/>
      <c r="BE237" s="141"/>
      <c r="BF237" s="141"/>
      <c r="BG237" s="18"/>
      <c r="BH237" s="1"/>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row>
    <row r="238" spans="1:135" ht="14.25" customHeight="1">
      <c r="A238" s="18"/>
      <c r="B238" s="18"/>
      <c r="C238" s="19"/>
      <c r="D238" s="18"/>
      <c r="E238" s="18"/>
      <c r="F238" s="19"/>
      <c r="G238" s="18"/>
      <c r="H238" s="114"/>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40"/>
      <c r="AL238" s="141"/>
      <c r="AM238" s="141"/>
      <c r="AN238" s="141"/>
      <c r="AO238" s="141"/>
      <c r="AP238" s="141"/>
      <c r="AQ238" s="141"/>
      <c r="AR238" s="141"/>
      <c r="AS238" s="141"/>
      <c r="AT238" s="141"/>
      <c r="AU238" s="141"/>
      <c r="AV238" s="141"/>
      <c r="AW238" s="141"/>
      <c r="AX238" s="141"/>
      <c r="AY238" s="141"/>
      <c r="AZ238" s="141"/>
      <c r="BA238" s="141"/>
      <c r="BB238" s="141"/>
      <c r="BC238" s="141"/>
      <c r="BD238" s="141"/>
      <c r="BE238" s="141"/>
      <c r="BF238" s="141"/>
      <c r="BG238" s="18"/>
      <c r="BH238" s="1"/>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row>
    <row r="239" spans="1:135" ht="14.25" customHeight="1">
      <c r="A239" s="18"/>
      <c r="B239" s="18"/>
      <c r="C239" s="19"/>
      <c r="D239" s="18"/>
      <c r="E239" s="18"/>
      <c r="F239" s="19"/>
      <c r="G239" s="18"/>
      <c r="H239" s="114"/>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40"/>
      <c r="AL239" s="141"/>
      <c r="AM239" s="141"/>
      <c r="AN239" s="141"/>
      <c r="AO239" s="141"/>
      <c r="AP239" s="141"/>
      <c r="AQ239" s="141"/>
      <c r="AR239" s="141"/>
      <c r="AS239" s="141"/>
      <c r="AT239" s="141"/>
      <c r="AU239" s="141"/>
      <c r="AV239" s="141"/>
      <c r="AW239" s="141"/>
      <c r="AX239" s="141"/>
      <c r="AY239" s="141"/>
      <c r="AZ239" s="141"/>
      <c r="BA239" s="141"/>
      <c r="BB239" s="141"/>
      <c r="BC239" s="141"/>
      <c r="BD239" s="141"/>
      <c r="BE239" s="141"/>
      <c r="BF239" s="141"/>
      <c r="BG239" s="18"/>
      <c r="BH239" s="1"/>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8"/>
      <c r="DC239" s="18"/>
      <c r="DD239" s="18"/>
      <c r="DE239" s="18"/>
      <c r="DF239" s="18"/>
      <c r="DG239" s="18"/>
      <c r="DH239" s="18"/>
      <c r="DI239" s="18"/>
      <c r="DJ239" s="18"/>
      <c r="DK239" s="18"/>
      <c r="DL239" s="18"/>
      <c r="DM239" s="18"/>
      <c r="DN239" s="18"/>
      <c r="DO239" s="18"/>
      <c r="DP239" s="18"/>
      <c r="DQ239" s="18"/>
      <c r="DR239" s="18"/>
      <c r="DS239" s="18"/>
      <c r="DT239" s="18"/>
      <c r="DU239" s="18"/>
      <c r="DV239" s="18"/>
      <c r="DW239" s="18"/>
      <c r="DX239" s="18"/>
      <c r="DY239" s="18"/>
      <c r="DZ239" s="18"/>
      <c r="EA239" s="18"/>
      <c r="EB239" s="18"/>
      <c r="EC239" s="18"/>
      <c r="ED239" s="18"/>
      <c r="EE239" s="18"/>
    </row>
    <row r="240" spans="1:135" ht="14.25" customHeight="1">
      <c r="A240" s="18"/>
      <c r="B240" s="18"/>
      <c r="C240" s="19"/>
      <c r="D240" s="18"/>
      <c r="E240" s="18"/>
      <c r="F240" s="19"/>
      <c r="G240" s="18"/>
      <c r="H240" s="114"/>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40"/>
      <c r="AL240" s="141"/>
      <c r="AM240" s="141"/>
      <c r="AN240" s="141"/>
      <c r="AO240" s="141"/>
      <c r="AP240" s="141"/>
      <c r="AQ240" s="141"/>
      <c r="AR240" s="141"/>
      <c r="AS240" s="141"/>
      <c r="AT240" s="141"/>
      <c r="AU240" s="141"/>
      <c r="AV240" s="141"/>
      <c r="AW240" s="141"/>
      <c r="AX240" s="141"/>
      <c r="AY240" s="141"/>
      <c r="AZ240" s="141"/>
      <c r="BA240" s="141"/>
      <c r="BB240" s="141"/>
      <c r="BC240" s="141"/>
      <c r="BD240" s="141"/>
      <c r="BE240" s="141"/>
      <c r="BF240" s="141"/>
      <c r="BG240" s="18"/>
      <c r="BH240" s="1"/>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row>
    <row r="241" spans="1:135" ht="14.25" customHeight="1">
      <c r="A241" s="18"/>
      <c r="B241" s="18"/>
      <c r="C241" s="19"/>
      <c r="D241" s="18"/>
      <c r="E241" s="18"/>
      <c r="F241" s="19"/>
      <c r="G241" s="18"/>
      <c r="H241" s="114"/>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40"/>
      <c r="AL241" s="141"/>
      <c r="AM241" s="141"/>
      <c r="AN241" s="141"/>
      <c r="AO241" s="141"/>
      <c r="AP241" s="141"/>
      <c r="AQ241" s="141"/>
      <c r="AR241" s="141"/>
      <c r="AS241" s="141"/>
      <c r="AT241" s="141"/>
      <c r="AU241" s="141"/>
      <c r="AV241" s="141"/>
      <c r="AW241" s="141"/>
      <c r="AX241" s="141"/>
      <c r="AY241" s="141"/>
      <c r="AZ241" s="141"/>
      <c r="BA241" s="141"/>
      <c r="BB241" s="141"/>
      <c r="BC241" s="141"/>
      <c r="BD241" s="141"/>
      <c r="BE241" s="141"/>
      <c r="BF241" s="141"/>
      <c r="BG241" s="18"/>
      <c r="BH241" s="1"/>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18"/>
      <c r="CP241" s="18"/>
      <c r="CQ241" s="18"/>
      <c r="CR241" s="18"/>
      <c r="CS241" s="18"/>
      <c r="CT241" s="18"/>
      <c r="CU241" s="18"/>
      <c r="CV241" s="18"/>
      <c r="CW241" s="18"/>
      <c r="CX241" s="18"/>
      <c r="CY241" s="18"/>
      <c r="CZ241" s="18"/>
      <c r="DA241" s="18"/>
      <c r="DB241" s="18"/>
      <c r="DC241" s="18"/>
      <c r="DD241" s="18"/>
      <c r="DE241" s="18"/>
      <c r="DF241" s="18"/>
      <c r="DG241" s="18"/>
      <c r="DH241" s="18"/>
      <c r="DI241" s="18"/>
      <c r="DJ241" s="18"/>
      <c r="DK241" s="18"/>
      <c r="DL241" s="18"/>
      <c r="DM241" s="18"/>
      <c r="DN241" s="18"/>
      <c r="DO241" s="18"/>
      <c r="DP241" s="18"/>
      <c r="DQ241" s="18"/>
      <c r="DR241" s="18"/>
      <c r="DS241" s="18"/>
      <c r="DT241" s="18"/>
      <c r="DU241" s="18"/>
      <c r="DV241" s="18"/>
      <c r="DW241" s="18"/>
      <c r="DX241" s="18"/>
      <c r="DY241" s="18"/>
      <c r="DZ241" s="18"/>
      <c r="EA241" s="18"/>
      <c r="EB241" s="18"/>
      <c r="EC241" s="18"/>
      <c r="ED241" s="18"/>
      <c r="EE241" s="18"/>
    </row>
    <row r="242" spans="1:135" ht="14.25" customHeight="1">
      <c r="A242" s="18"/>
      <c r="B242" s="18"/>
      <c r="C242" s="19"/>
      <c r="D242" s="18"/>
      <c r="E242" s="18"/>
      <c r="F242" s="19"/>
      <c r="G242" s="18"/>
      <c r="H242" s="114"/>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40"/>
      <c r="AL242" s="141"/>
      <c r="AM242" s="141"/>
      <c r="AN242" s="141"/>
      <c r="AO242" s="141"/>
      <c r="AP242" s="141"/>
      <c r="AQ242" s="141"/>
      <c r="AR242" s="141"/>
      <c r="AS242" s="141"/>
      <c r="AT242" s="141"/>
      <c r="AU242" s="141"/>
      <c r="AV242" s="141"/>
      <c r="AW242" s="141"/>
      <c r="AX242" s="141"/>
      <c r="AY242" s="141"/>
      <c r="AZ242" s="141"/>
      <c r="BA242" s="141"/>
      <c r="BB242" s="141"/>
      <c r="BC242" s="141"/>
      <c r="BD242" s="141"/>
      <c r="BE242" s="141"/>
      <c r="BF242" s="141"/>
      <c r="BG242" s="18"/>
      <c r="BH242" s="1"/>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row>
    <row r="243" spans="1:135" ht="14.25" customHeight="1">
      <c r="A243" s="18"/>
      <c r="B243" s="18"/>
      <c r="C243" s="19"/>
      <c r="D243" s="18"/>
      <c r="E243" s="18"/>
      <c r="F243" s="19"/>
      <c r="G243" s="18"/>
      <c r="H243" s="114"/>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40"/>
      <c r="AL243" s="141"/>
      <c r="AM243" s="141"/>
      <c r="AN243" s="141"/>
      <c r="AO243" s="141"/>
      <c r="AP243" s="141"/>
      <c r="AQ243" s="141"/>
      <c r="AR243" s="141"/>
      <c r="AS243" s="141"/>
      <c r="AT243" s="141"/>
      <c r="AU243" s="141"/>
      <c r="AV243" s="141"/>
      <c r="AW243" s="141"/>
      <c r="AX243" s="141"/>
      <c r="AY243" s="141"/>
      <c r="AZ243" s="141"/>
      <c r="BA243" s="141"/>
      <c r="BB243" s="141"/>
      <c r="BC243" s="141"/>
      <c r="BD243" s="141"/>
      <c r="BE243" s="141"/>
      <c r="BF243" s="141"/>
      <c r="BG243" s="18"/>
      <c r="BH243" s="1"/>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8"/>
      <c r="DE243" s="18"/>
      <c r="DF243" s="18"/>
      <c r="DG243" s="18"/>
      <c r="DH243" s="18"/>
      <c r="DI243" s="18"/>
      <c r="DJ243" s="18"/>
      <c r="DK243" s="18"/>
      <c r="DL243" s="18"/>
      <c r="DM243" s="18"/>
      <c r="DN243" s="18"/>
      <c r="DO243" s="18"/>
      <c r="DP243" s="18"/>
      <c r="DQ243" s="18"/>
      <c r="DR243" s="18"/>
      <c r="DS243" s="18"/>
      <c r="DT243" s="18"/>
      <c r="DU243" s="18"/>
      <c r="DV243" s="18"/>
      <c r="DW243" s="18"/>
      <c r="DX243" s="18"/>
      <c r="DY243" s="18"/>
      <c r="DZ243" s="18"/>
      <c r="EA243" s="18"/>
      <c r="EB243" s="18"/>
      <c r="EC243" s="18"/>
      <c r="ED243" s="18"/>
      <c r="EE243" s="18"/>
    </row>
    <row r="244" spans="1:135" ht="14.25" customHeight="1">
      <c r="A244" s="18"/>
      <c r="B244" s="18"/>
      <c r="C244" s="19"/>
      <c r="D244" s="18"/>
      <c r="E244" s="18"/>
      <c r="F244" s="19"/>
      <c r="G244" s="18"/>
      <c r="H244" s="114"/>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40"/>
      <c r="AL244" s="141"/>
      <c r="AM244" s="141"/>
      <c r="AN244" s="141"/>
      <c r="AO244" s="141"/>
      <c r="AP244" s="141"/>
      <c r="AQ244" s="141"/>
      <c r="AR244" s="141"/>
      <c r="AS244" s="141"/>
      <c r="AT244" s="141"/>
      <c r="AU244" s="141"/>
      <c r="AV244" s="141"/>
      <c r="AW244" s="141"/>
      <c r="AX244" s="141"/>
      <c r="AY244" s="141"/>
      <c r="AZ244" s="141"/>
      <c r="BA244" s="141"/>
      <c r="BB244" s="141"/>
      <c r="BC244" s="141"/>
      <c r="BD244" s="141"/>
      <c r="BE244" s="141"/>
      <c r="BF244" s="141"/>
      <c r="BG244" s="18"/>
      <c r="BH244" s="1"/>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row>
    <row r="245" spans="1:135" ht="14.25" customHeight="1">
      <c r="A245" s="18"/>
      <c r="B245" s="18"/>
      <c r="C245" s="19"/>
      <c r="D245" s="18"/>
      <c r="E245" s="18"/>
      <c r="F245" s="19"/>
      <c r="G245" s="18"/>
      <c r="H245" s="114"/>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40"/>
      <c r="AL245" s="141"/>
      <c r="AM245" s="141"/>
      <c r="AN245" s="141"/>
      <c r="AO245" s="141"/>
      <c r="AP245" s="141"/>
      <c r="AQ245" s="141"/>
      <c r="AR245" s="141"/>
      <c r="AS245" s="141"/>
      <c r="AT245" s="141"/>
      <c r="AU245" s="141"/>
      <c r="AV245" s="141"/>
      <c r="AW245" s="141"/>
      <c r="AX245" s="141"/>
      <c r="AY245" s="141"/>
      <c r="AZ245" s="141"/>
      <c r="BA245" s="141"/>
      <c r="BB245" s="141"/>
      <c r="BC245" s="141"/>
      <c r="BD245" s="141"/>
      <c r="BE245" s="141"/>
      <c r="BF245" s="141"/>
      <c r="BG245" s="18"/>
      <c r="BH245" s="1"/>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row>
    <row r="246" spans="1:135" ht="14.25" customHeight="1">
      <c r="A246" s="18"/>
      <c r="B246" s="18"/>
      <c r="C246" s="19"/>
      <c r="D246" s="18"/>
      <c r="E246" s="18"/>
      <c r="F246" s="19"/>
      <c r="G246" s="18"/>
      <c r="H246" s="114"/>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40"/>
      <c r="AL246" s="141"/>
      <c r="AM246" s="141"/>
      <c r="AN246" s="141"/>
      <c r="AO246" s="141"/>
      <c r="AP246" s="141"/>
      <c r="AQ246" s="141"/>
      <c r="AR246" s="141"/>
      <c r="AS246" s="141"/>
      <c r="AT246" s="141"/>
      <c r="AU246" s="141"/>
      <c r="AV246" s="141"/>
      <c r="AW246" s="141"/>
      <c r="AX246" s="141"/>
      <c r="AY246" s="141"/>
      <c r="AZ246" s="141"/>
      <c r="BA246" s="141"/>
      <c r="BB246" s="141"/>
      <c r="BC246" s="141"/>
      <c r="BD246" s="141"/>
      <c r="BE246" s="141"/>
      <c r="BF246" s="141"/>
      <c r="BG246" s="18"/>
      <c r="BH246" s="1"/>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row>
    <row r="247" spans="1:135" ht="14.25" customHeight="1">
      <c r="A247" s="18"/>
      <c r="B247" s="18"/>
      <c r="C247" s="19"/>
      <c r="D247" s="18"/>
      <c r="E247" s="18"/>
      <c r="F247" s="19"/>
      <c r="G247" s="18"/>
      <c r="H247" s="114"/>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40"/>
      <c r="AL247" s="141"/>
      <c r="AM247" s="141"/>
      <c r="AN247" s="141"/>
      <c r="AO247" s="141"/>
      <c r="AP247" s="141"/>
      <c r="AQ247" s="141"/>
      <c r="AR247" s="141"/>
      <c r="AS247" s="141"/>
      <c r="AT247" s="141"/>
      <c r="AU247" s="141"/>
      <c r="AV247" s="141"/>
      <c r="AW247" s="141"/>
      <c r="AX247" s="141"/>
      <c r="AY247" s="141"/>
      <c r="AZ247" s="141"/>
      <c r="BA247" s="141"/>
      <c r="BB247" s="141"/>
      <c r="BC247" s="141"/>
      <c r="BD247" s="141"/>
      <c r="BE247" s="141"/>
      <c r="BF247" s="141"/>
      <c r="BG247" s="18"/>
      <c r="BH247" s="1"/>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row>
    <row r="248" spans="1:135" ht="14.25" customHeight="1">
      <c r="A248" s="18"/>
      <c r="B248" s="18"/>
      <c r="C248" s="19"/>
      <c r="D248" s="18"/>
      <c r="E248" s="18"/>
      <c r="F248" s="19"/>
      <c r="G248" s="18"/>
      <c r="H248" s="114"/>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40"/>
      <c r="AL248" s="141"/>
      <c r="AM248" s="141"/>
      <c r="AN248" s="141"/>
      <c r="AO248" s="141"/>
      <c r="AP248" s="141"/>
      <c r="AQ248" s="141"/>
      <c r="AR248" s="141"/>
      <c r="AS248" s="141"/>
      <c r="AT248" s="141"/>
      <c r="AU248" s="141"/>
      <c r="AV248" s="141"/>
      <c r="AW248" s="141"/>
      <c r="AX248" s="141"/>
      <c r="AY248" s="141"/>
      <c r="AZ248" s="141"/>
      <c r="BA248" s="141"/>
      <c r="BB248" s="141"/>
      <c r="BC248" s="141"/>
      <c r="BD248" s="141"/>
      <c r="BE248" s="141"/>
      <c r="BF248" s="141"/>
      <c r="BG248" s="18"/>
      <c r="BH248" s="1"/>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row>
    <row r="249" spans="1:135" ht="14.25" customHeight="1">
      <c r="A249" s="18"/>
      <c r="B249" s="18"/>
      <c r="C249" s="19"/>
      <c r="D249" s="18"/>
      <c r="E249" s="18"/>
      <c r="F249" s="19"/>
      <c r="G249" s="18"/>
      <c r="H249" s="114"/>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40"/>
      <c r="AL249" s="141"/>
      <c r="AM249" s="141"/>
      <c r="AN249" s="141"/>
      <c r="AO249" s="141"/>
      <c r="AP249" s="141"/>
      <c r="AQ249" s="141"/>
      <c r="AR249" s="141"/>
      <c r="AS249" s="141"/>
      <c r="AT249" s="141"/>
      <c r="AU249" s="141"/>
      <c r="AV249" s="141"/>
      <c r="AW249" s="141"/>
      <c r="AX249" s="141"/>
      <c r="AY249" s="141"/>
      <c r="AZ249" s="141"/>
      <c r="BA249" s="141"/>
      <c r="BB249" s="141"/>
      <c r="BC249" s="141"/>
      <c r="BD249" s="141"/>
      <c r="BE249" s="141"/>
      <c r="BF249" s="141"/>
      <c r="BG249" s="18"/>
      <c r="BH249" s="1"/>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row>
    <row r="250" spans="1:135" ht="14.25" customHeight="1">
      <c r="A250" s="18"/>
      <c r="B250" s="18"/>
      <c r="C250" s="19"/>
      <c r="D250" s="18"/>
      <c r="E250" s="18"/>
      <c r="F250" s="19"/>
      <c r="G250" s="18"/>
      <c r="H250" s="114"/>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40"/>
      <c r="AL250" s="141"/>
      <c r="AM250" s="141"/>
      <c r="AN250" s="141"/>
      <c r="AO250" s="141"/>
      <c r="AP250" s="141"/>
      <c r="AQ250" s="141"/>
      <c r="AR250" s="141"/>
      <c r="AS250" s="141"/>
      <c r="AT250" s="141"/>
      <c r="AU250" s="141"/>
      <c r="AV250" s="141"/>
      <c r="AW250" s="141"/>
      <c r="AX250" s="141"/>
      <c r="AY250" s="141"/>
      <c r="AZ250" s="141"/>
      <c r="BA250" s="141"/>
      <c r="BB250" s="141"/>
      <c r="BC250" s="141"/>
      <c r="BD250" s="141"/>
      <c r="BE250" s="141"/>
      <c r="BF250" s="141"/>
      <c r="BG250" s="18"/>
      <c r="BH250" s="1"/>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8"/>
      <c r="EA250" s="18"/>
      <c r="EB250" s="18"/>
      <c r="EC250" s="18"/>
      <c r="ED250" s="18"/>
      <c r="EE250" s="18"/>
    </row>
    <row r="251" spans="1:135" ht="14.25" customHeight="1">
      <c r="A251" s="18"/>
      <c r="B251" s="18"/>
      <c r="C251" s="19"/>
      <c r="D251" s="18"/>
      <c r="E251" s="18"/>
      <c r="F251" s="19"/>
      <c r="G251" s="18"/>
      <c r="H251" s="114"/>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40"/>
      <c r="AL251" s="141"/>
      <c r="AM251" s="141"/>
      <c r="AN251" s="141"/>
      <c r="AO251" s="141"/>
      <c r="AP251" s="141"/>
      <c r="AQ251" s="141"/>
      <c r="AR251" s="141"/>
      <c r="AS251" s="141"/>
      <c r="AT251" s="141"/>
      <c r="AU251" s="141"/>
      <c r="AV251" s="141"/>
      <c r="AW251" s="141"/>
      <c r="AX251" s="141"/>
      <c r="AY251" s="141"/>
      <c r="AZ251" s="141"/>
      <c r="BA251" s="141"/>
      <c r="BB251" s="141"/>
      <c r="BC251" s="141"/>
      <c r="BD251" s="141"/>
      <c r="BE251" s="141"/>
      <c r="BF251" s="141"/>
      <c r="BG251" s="18"/>
      <c r="BH251" s="1"/>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row>
    <row r="252" spans="1:135" ht="14.25" customHeight="1">
      <c r="A252" s="18"/>
      <c r="B252" s="18"/>
      <c r="C252" s="19"/>
      <c r="D252" s="18"/>
      <c r="E252" s="18"/>
      <c r="F252" s="19"/>
      <c r="G252" s="18"/>
      <c r="H252" s="114"/>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40"/>
      <c r="AL252" s="141"/>
      <c r="AM252" s="141"/>
      <c r="AN252" s="141"/>
      <c r="AO252" s="141"/>
      <c r="AP252" s="141"/>
      <c r="AQ252" s="141"/>
      <c r="AR252" s="141"/>
      <c r="AS252" s="141"/>
      <c r="AT252" s="141"/>
      <c r="AU252" s="141"/>
      <c r="AV252" s="141"/>
      <c r="AW252" s="141"/>
      <c r="AX252" s="141"/>
      <c r="AY252" s="141"/>
      <c r="AZ252" s="141"/>
      <c r="BA252" s="141"/>
      <c r="BB252" s="141"/>
      <c r="BC252" s="141"/>
      <c r="BD252" s="141"/>
      <c r="BE252" s="141"/>
      <c r="BF252" s="141"/>
      <c r="BG252" s="18"/>
      <c r="BH252" s="1"/>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row>
    <row r="253" spans="1:135" ht="14.25" customHeight="1">
      <c r="A253" s="18"/>
      <c r="B253" s="18"/>
      <c r="C253" s="19"/>
      <c r="D253" s="18"/>
      <c r="E253" s="18"/>
      <c r="F253" s="19"/>
      <c r="G253" s="18"/>
      <c r="H253" s="114"/>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40"/>
      <c r="AL253" s="141"/>
      <c r="AM253" s="141"/>
      <c r="AN253" s="141"/>
      <c r="AO253" s="141"/>
      <c r="AP253" s="141"/>
      <c r="AQ253" s="141"/>
      <c r="AR253" s="141"/>
      <c r="AS253" s="141"/>
      <c r="AT253" s="141"/>
      <c r="AU253" s="141"/>
      <c r="AV253" s="141"/>
      <c r="AW253" s="141"/>
      <c r="AX253" s="141"/>
      <c r="AY253" s="141"/>
      <c r="AZ253" s="141"/>
      <c r="BA253" s="141"/>
      <c r="BB253" s="141"/>
      <c r="BC253" s="141"/>
      <c r="BD253" s="141"/>
      <c r="BE253" s="141"/>
      <c r="BF253" s="141"/>
      <c r="BG253" s="18"/>
      <c r="BH253" s="1"/>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row>
    <row r="254" spans="1:135" ht="14.25" customHeight="1">
      <c r="A254" s="18"/>
      <c r="B254" s="18"/>
      <c r="C254" s="19"/>
      <c r="D254" s="18"/>
      <c r="E254" s="18"/>
      <c r="F254" s="19"/>
      <c r="G254" s="18"/>
      <c r="H254" s="114"/>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40"/>
      <c r="AL254" s="141"/>
      <c r="AM254" s="141"/>
      <c r="AN254" s="141"/>
      <c r="AO254" s="141"/>
      <c r="AP254" s="141"/>
      <c r="AQ254" s="141"/>
      <c r="AR254" s="141"/>
      <c r="AS254" s="141"/>
      <c r="AT254" s="141"/>
      <c r="AU254" s="141"/>
      <c r="AV254" s="141"/>
      <c r="AW254" s="141"/>
      <c r="AX254" s="141"/>
      <c r="AY254" s="141"/>
      <c r="AZ254" s="141"/>
      <c r="BA254" s="141"/>
      <c r="BB254" s="141"/>
      <c r="BC254" s="141"/>
      <c r="BD254" s="141"/>
      <c r="BE254" s="141"/>
      <c r="BF254" s="141"/>
      <c r="BG254" s="18"/>
      <c r="BH254" s="1"/>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row>
    <row r="255" spans="1:135" ht="14.25" customHeight="1">
      <c r="A255" s="18"/>
      <c r="B255" s="18"/>
      <c r="C255" s="19"/>
      <c r="D255" s="18"/>
      <c r="E255" s="18"/>
      <c r="F255" s="19"/>
      <c r="G255" s="18"/>
      <c r="H255" s="114"/>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40"/>
      <c r="AL255" s="141"/>
      <c r="AM255" s="141"/>
      <c r="AN255" s="141"/>
      <c r="AO255" s="141"/>
      <c r="AP255" s="141"/>
      <c r="AQ255" s="141"/>
      <c r="AR255" s="141"/>
      <c r="AS255" s="141"/>
      <c r="AT255" s="141"/>
      <c r="AU255" s="141"/>
      <c r="AV255" s="141"/>
      <c r="AW255" s="141"/>
      <c r="AX255" s="141"/>
      <c r="AY255" s="141"/>
      <c r="AZ255" s="141"/>
      <c r="BA255" s="141"/>
      <c r="BB255" s="141"/>
      <c r="BC255" s="141"/>
      <c r="BD255" s="141"/>
      <c r="BE255" s="141"/>
      <c r="BF255" s="141"/>
      <c r="BG255" s="18"/>
      <c r="BH255" s="1"/>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c r="DE255" s="18"/>
      <c r="DF255" s="18"/>
      <c r="DG255" s="18"/>
      <c r="DH255" s="18"/>
      <c r="DI255" s="18"/>
      <c r="DJ255" s="18"/>
      <c r="DK255" s="18"/>
      <c r="DL255" s="18"/>
      <c r="DM255" s="18"/>
      <c r="DN255" s="18"/>
      <c r="DO255" s="18"/>
      <c r="DP255" s="18"/>
      <c r="DQ255" s="18"/>
      <c r="DR255" s="18"/>
      <c r="DS255" s="18"/>
      <c r="DT255" s="18"/>
      <c r="DU255" s="18"/>
      <c r="DV255" s="18"/>
      <c r="DW255" s="18"/>
      <c r="DX255" s="18"/>
      <c r="DY255" s="18"/>
      <c r="DZ255" s="18"/>
      <c r="EA255" s="18"/>
      <c r="EB255" s="18"/>
      <c r="EC255" s="18"/>
      <c r="ED255" s="18"/>
      <c r="EE255" s="18"/>
    </row>
    <row r="256" spans="1:135" ht="14.25" customHeight="1">
      <c r="A256" s="18"/>
      <c r="B256" s="18"/>
      <c r="C256" s="19"/>
      <c r="D256" s="18"/>
      <c r="E256" s="18"/>
      <c r="F256" s="19"/>
      <c r="G256" s="18"/>
      <c r="H256" s="114"/>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40"/>
      <c r="AL256" s="141"/>
      <c r="AM256" s="141"/>
      <c r="AN256" s="141"/>
      <c r="AO256" s="141"/>
      <c r="AP256" s="141"/>
      <c r="AQ256" s="141"/>
      <c r="AR256" s="141"/>
      <c r="AS256" s="141"/>
      <c r="AT256" s="141"/>
      <c r="AU256" s="141"/>
      <c r="AV256" s="141"/>
      <c r="AW256" s="141"/>
      <c r="AX256" s="141"/>
      <c r="AY256" s="141"/>
      <c r="AZ256" s="141"/>
      <c r="BA256" s="141"/>
      <c r="BB256" s="141"/>
      <c r="BC256" s="141"/>
      <c r="BD256" s="141"/>
      <c r="BE256" s="141"/>
      <c r="BF256" s="141"/>
      <c r="BG256" s="18"/>
      <c r="BH256" s="1"/>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row>
    <row r="257" spans="1:135" ht="14.25" customHeight="1">
      <c r="A257" s="18"/>
      <c r="B257" s="18"/>
      <c r="C257" s="19"/>
      <c r="D257" s="18"/>
      <c r="E257" s="18"/>
      <c r="F257" s="19"/>
      <c r="G257" s="18"/>
      <c r="H257" s="114"/>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40"/>
      <c r="AL257" s="141"/>
      <c r="AM257" s="141"/>
      <c r="AN257" s="141"/>
      <c r="AO257" s="141"/>
      <c r="AP257" s="141"/>
      <c r="AQ257" s="141"/>
      <c r="AR257" s="141"/>
      <c r="AS257" s="141"/>
      <c r="AT257" s="141"/>
      <c r="AU257" s="141"/>
      <c r="AV257" s="141"/>
      <c r="AW257" s="141"/>
      <c r="AX257" s="141"/>
      <c r="AY257" s="141"/>
      <c r="AZ257" s="141"/>
      <c r="BA257" s="141"/>
      <c r="BB257" s="141"/>
      <c r="BC257" s="141"/>
      <c r="BD257" s="141"/>
      <c r="BE257" s="141"/>
      <c r="BF257" s="141"/>
      <c r="BG257" s="18"/>
      <c r="BH257" s="1"/>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8"/>
      <c r="DV257" s="18"/>
      <c r="DW257" s="18"/>
      <c r="DX257" s="18"/>
      <c r="DY257" s="18"/>
      <c r="DZ257" s="18"/>
      <c r="EA257" s="18"/>
      <c r="EB257" s="18"/>
      <c r="EC257" s="18"/>
      <c r="ED257" s="18"/>
      <c r="EE257" s="18"/>
    </row>
    <row r="258" spans="1:135" ht="14.25" customHeight="1">
      <c r="A258" s="18"/>
      <c r="B258" s="18"/>
      <c r="C258" s="19"/>
      <c r="D258" s="18"/>
      <c r="E258" s="18"/>
      <c r="F258" s="19"/>
      <c r="G258" s="18"/>
      <c r="H258" s="114"/>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40"/>
      <c r="AL258" s="141"/>
      <c r="AM258" s="141"/>
      <c r="AN258" s="141"/>
      <c r="AO258" s="141"/>
      <c r="AP258" s="141"/>
      <c r="AQ258" s="141"/>
      <c r="AR258" s="141"/>
      <c r="AS258" s="141"/>
      <c r="AT258" s="141"/>
      <c r="AU258" s="141"/>
      <c r="AV258" s="141"/>
      <c r="AW258" s="141"/>
      <c r="AX258" s="141"/>
      <c r="AY258" s="141"/>
      <c r="AZ258" s="141"/>
      <c r="BA258" s="141"/>
      <c r="BB258" s="141"/>
      <c r="BC258" s="141"/>
      <c r="BD258" s="141"/>
      <c r="BE258" s="141"/>
      <c r="BF258" s="141"/>
      <c r="BG258" s="18"/>
      <c r="BH258" s="1"/>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c r="CP258" s="18"/>
      <c r="CQ258" s="18"/>
      <c r="CR258" s="18"/>
      <c r="CS258" s="18"/>
      <c r="CT258" s="18"/>
      <c r="CU258" s="18"/>
      <c r="CV258" s="18"/>
      <c r="CW258" s="18"/>
      <c r="CX258" s="18"/>
      <c r="CY258" s="18"/>
      <c r="CZ258" s="18"/>
      <c r="DA258" s="18"/>
      <c r="DB258" s="18"/>
      <c r="DC258" s="18"/>
      <c r="DD258" s="18"/>
      <c r="DE258" s="18"/>
      <c r="DF258" s="18"/>
      <c r="DG258" s="18"/>
      <c r="DH258" s="18"/>
      <c r="DI258" s="18"/>
      <c r="DJ258" s="18"/>
      <c r="DK258" s="18"/>
      <c r="DL258" s="18"/>
      <c r="DM258" s="18"/>
      <c r="DN258" s="18"/>
      <c r="DO258" s="18"/>
      <c r="DP258" s="18"/>
      <c r="DQ258" s="18"/>
      <c r="DR258" s="18"/>
      <c r="DS258" s="18"/>
      <c r="DT258" s="18"/>
      <c r="DU258" s="18"/>
      <c r="DV258" s="18"/>
      <c r="DW258" s="18"/>
      <c r="DX258" s="18"/>
      <c r="DY258" s="18"/>
      <c r="DZ258" s="18"/>
      <c r="EA258" s="18"/>
      <c r="EB258" s="18"/>
      <c r="EC258" s="18"/>
      <c r="ED258" s="18"/>
      <c r="EE258" s="18"/>
    </row>
    <row r="259" spans="1:135" ht="14.25" customHeight="1">
      <c r="A259" s="18"/>
      <c r="B259" s="18"/>
      <c r="C259" s="19"/>
      <c r="D259" s="18"/>
      <c r="E259" s="18"/>
      <c r="F259" s="19"/>
      <c r="G259" s="18"/>
      <c r="H259" s="114"/>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40"/>
      <c r="AL259" s="141"/>
      <c r="AM259" s="141"/>
      <c r="AN259" s="141"/>
      <c r="AO259" s="141"/>
      <c r="AP259" s="141"/>
      <c r="AQ259" s="141"/>
      <c r="AR259" s="141"/>
      <c r="AS259" s="141"/>
      <c r="AT259" s="141"/>
      <c r="AU259" s="141"/>
      <c r="AV259" s="141"/>
      <c r="AW259" s="141"/>
      <c r="AX259" s="141"/>
      <c r="AY259" s="141"/>
      <c r="AZ259" s="141"/>
      <c r="BA259" s="141"/>
      <c r="BB259" s="141"/>
      <c r="BC259" s="141"/>
      <c r="BD259" s="141"/>
      <c r="BE259" s="141"/>
      <c r="BF259" s="141"/>
      <c r="BG259" s="18"/>
      <c r="BH259" s="1"/>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c r="CP259" s="18"/>
      <c r="CQ259" s="18"/>
      <c r="CR259" s="18"/>
      <c r="CS259" s="18"/>
      <c r="CT259" s="18"/>
      <c r="CU259" s="18"/>
      <c r="CV259" s="18"/>
      <c r="CW259" s="18"/>
      <c r="CX259" s="18"/>
      <c r="CY259" s="18"/>
      <c r="CZ259" s="18"/>
      <c r="DA259" s="18"/>
      <c r="DB259" s="18"/>
      <c r="DC259" s="18"/>
      <c r="DD259" s="18"/>
      <c r="DE259" s="18"/>
      <c r="DF259" s="18"/>
      <c r="DG259" s="18"/>
      <c r="DH259" s="18"/>
      <c r="DI259" s="18"/>
      <c r="DJ259" s="18"/>
      <c r="DK259" s="18"/>
      <c r="DL259" s="18"/>
      <c r="DM259" s="18"/>
      <c r="DN259" s="18"/>
      <c r="DO259" s="18"/>
      <c r="DP259" s="18"/>
      <c r="DQ259" s="18"/>
      <c r="DR259" s="18"/>
      <c r="DS259" s="18"/>
      <c r="DT259" s="18"/>
      <c r="DU259" s="18"/>
      <c r="DV259" s="18"/>
      <c r="DW259" s="18"/>
      <c r="DX259" s="18"/>
      <c r="DY259" s="18"/>
      <c r="DZ259" s="18"/>
      <c r="EA259" s="18"/>
      <c r="EB259" s="18"/>
      <c r="EC259" s="18"/>
      <c r="ED259" s="18"/>
      <c r="EE259" s="18"/>
    </row>
    <row r="260" spans="1:135" ht="14.25" customHeight="1">
      <c r="A260" s="18"/>
      <c r="B260" s="18"/>
      <c r="C260" s="19"/>
      <c r="D260" s="18"/>
      <c r="E260" s="18"/>
      <c r="F260" s="19"/>
      <c r="G260" s="18"/>
      <c r="H260" s="114"/>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40"/>
      <c r="AL260" s="141"/>
      <c r="AM260" s="141"/>
      <c r="AN260" s="141"/>
      <c r="AO260" s="141"/>
      <c r="AP260" s="141"/>
      <c r="AQ260" s="141"/>
      <c r="AR260" s="141"/>
      <c r="AS260" s="141"/>
      <c r="AT260" s="141"/>
      <c r="AU260" s="141"/>
      <c r="AV260" s="141"/>
      <c r="AW260" s="141"/>
      <c r="AX260" s="141"/>
      <c r="AY260" s="141"/>
      <c r="AZ260" s="141"/>
      <c r="BA260" s="141"/>
      <c r="BB260" s="141"/>
      <c r="BC260" s="141"/>
      <c r="BD260" s="141"/>
      <c r="BE260" s="141"/>
      <c r="BF260" s="141"/>
      <c r="BG260" s="18"/>
      <c r="BH260" s="1"/>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c r="CP260" s="18"/>
      <c r="CQ260" s="18"/>
      <c r="CR260" s="18"/>
      <c r="CS260" s="18"/>
      <c r="CT260" s="18"/>
      <c r="CU260" s="18"/>
      <c r="CV260" s="18"/>
      <c r="CW260" s="18"/>
      <c r="CX260" s="18"/>
      <c r="CY260" s="18"/>
      <c r="CZ260" s="18"/>
      <c r="DA260" s="18"/>
      <c r="DB260" s="18"/>
      <c r="DC260" s="18"/>
      <c r="DD260" s="18"/>
      <c r="DE260" s="18"/>
      <c r="DF260" s="18"/>
      <c r="DG260" s="18"/>
      <c r="DH260" s="18"/>
      <c r="DI260" s="18"/>
      <c r="DJ260" s="18"/>
      <c r="DK260" s="18"/>
      <c r="DL260" s="18"/>
      <c r="DM260" s="18"/>
      <c r="DN260" s="18"/>
      <c r="DO260" s="18"/>
      <c r="DP260" s="18"/>
      <c r="DQ260" s="18"/>
      <c r="DR260" s="18"/>
      <c r="DS260" s="18"/>
      <c r="DT260" s="18"/>
      <c r="DU260" s="18"/>
      <c r="DV260" s="18"/>
      <c r="DW260" s="18"/>
      <c r="DX260" s="18"/>
      <c r="DY260" s="18"/>
      <c r="DZ260" s="18"/>
      <c r="EA260" s="18"/>
      <c r="EB260" s="18"/>
      <c r="EC260" s="18"/>
      <c r="ED260" s="18"/>
      <c r="EE260" s="18"/>
    </row>
    <row r="261" spans="1:135" ht="14.25" customHeight="1">
      <c r="A261" s="18"/>
      <c r="B261" s="18"/>
      <c r="C261" s="19"/>
      <c r="D261" s="18"/>
      <c r="E261" s="18"/>
      <c r="F261" s="19"/>
      <c r="G261" s="18"/>
      <c r="H261" s="114"/>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40"/>
      <c r="AL261" s="141"/>
      <c r="AM261" s="141"/>
      <c r="AN261" s="141"/>
      <c r="AO261" s="141"/>
      <c r="AP261" s="141"/>
      <c r="AQ261" s="141"/>
      <c r="AR261" s="141"/>
      <c r="AS261" s="141"/>
      <c r="AT261" s="141"/>
      <c r="AU261" s="141"/>
      <c r="AV261" s="141"/>
      <c r="AW261" s="141"/>
      <c r="AX261" s="141"/>
      <c r="AY261" s="141"/>
      <c r="AZ261" s="141"/>
      <c r="BA261" s="141"/>
      <c r="BB261" s="141"/>
      <c r="BC261" s="141"/>
      <c r="BD261" s="141"/>
      <c r="BE261" s="141"/>
      <c r="BF261" s="141"/>
      <c r="BG261" s="18"/>
      <c r="BH261" s="1"/>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c r="CP261" s="18"/>
      <c r="CQ261" s="18"/>
      <c r="CR261" s="18"/>
      <c r="CS261" s="18"/>
      <c r="CT261" s="18"/>
      <c r="CU261" s="18"/>
      <c r="CV261" s="18"/>
      <c r="CW261" s="18"/>
      <c r="CX261" s="18"/>
      <c r="CY261" s="18"/>
      <c r="CZ261" s="18"/>
      <c r="DA261" s="18"/>
      <c r="DB261" s="18"/>
      <c r="DC261" s="18"/>
      <c r="DD261" s="18"/>
      <c r="DE261" s="18"/>
      <c r="DF261" s="18"/>
      <c r="DG261" s="18"/>
      <c r="DH261" s="18"/>
      <c r="DI261" s="18"/>
      <c r="DJ261" s="18"/>
      <c r="DK261" s="18"/>
      <c r="DL261" s="18"/>
      <c r="DM261" s="18"/>
      <c r="DN261" s="18"/>
      <c r="DO261" s="18"/>
      <c r="DP261" s="18"/>
      <c r="DQ261" s="18"/>
      <c r="DR261" s="18"/>
      <c r="DS261" s="18"/>
      <c r="DT261" s="18"/>
      <c r="DU261" s="18"/>
      <c r="DV261" s="18"/>
      <c r="DW261" s="18"/>
      <c r="DX261" s="18"/>
      <c r="DY261" s="18"/>
      <c r="DZ261" s="18"/>
      <c r="EA261" s="18"/>
      <c r="EB261" s="18"/>
      <c r="EC261" s="18"/>
      <c r="ED261" s="18"/>
      <c r="EE261" s="18"/>
    </row>
    <row r="262" spans="1:135" ht="14.25" customHeight="1">
      <c r="A262" s="18"/>
      <c r="B262" s="18"/>
      <c r="C262" s="19"/>
      <c r="D262" s="18"/>
      <c r="E262" s="18"/>
      <c r="F262" s="19"/>
      <c r="G262" s="18"/>
      <c r="H262" s="114"/>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40"/>
      <c r="AL262" s="141"/>
      <c r="AM262" s="141"/>
      <c r="AN262" s="141"/>
      <c r="AO262" s="141"/>
      <c r="AP262" s="141"/>
      <c r="AQ262" s="141"/>
      <c r="AR262" s="141"/>
      <c r="AS262" s="141"/>
      <c r="AT262" s="141"/>
      <c r="AU262" s="141"/>
      <c r="AV262" s="141"/>
      <c r="AW262" s="141"/>
      <c r="AX262" s="141"/>
      <c r="AY262" s="141"/>
      <c r="AZ262" s="141"/>
      <c r="BA262" s="141"/>
      <c r="BB262" s="141"/>
      <c r="BC262" s="141"/>
      <c r="BD262" s="141"/>
      <c r="BE262" s="141"/>
      <c r="BF262" s="141"/>
      <c r="BG262" s="18"/>
      <c r="BH262" s="1"/>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8"/>
      <c r="CF262" s="18"/>
      <c r="CG262" s="18"/>
      <c r="CH262" s="18"/>
      <c r="CI262" s="18"/>
      <c r="CJ262" s="18"/>
      <c r="CK262" s="18"/>
      <c r="CL262" s="18"/>
      <c r="CM262" s="18"/>
      <c r="CN262" s="18"/>
      <c r="CO262" s="18"/>
      <c r="CP262" s="18"/>
      <c r="CQ262" s="18"/>
      <c r="CR262" s="18"/>
      <c r="CS262" s="18"/>
      <c r="CT262" s="18"/>
      <c r="CU262" s="18"/>
      <c r="CV262" s="18"/>
      <c r="CW262" s="18"/>
      <c r="CX262" s="18"/>
      <c r="CY262" s="18"/>
      <c r="CZ262" s="18"/>
      <c r="DA262" s="18"/>
      <c r="DB262" s="18"/>
      <c r="DC262" s="18"/>
      <c r="DD262" s="18"/>
      <c r="DE262" s="18"/>
      <c r="DF262" s="18"/>
      <c r="DG262" s="18"/>
      <c r="DH262" s="18"/>
      <c r="DI262" s="18"/>
      <c r="DJ262" s="18"/>
      <c r="DK262" s="18"/>
      <c r="DL262" s="18"/>
      <c r="DM262" s="18"/>
      <c r="DN262" s="18"/>
      <c r="DO262" s="18"/>
      <c r="DP262" s="18"/>
      <c r="DQ262" s="18"/>
      <c r="DR262" s="18"/>
      <c r="DS262" s="18"/>
      <c r="DT262" s="18"/>
      <c r="DU262" s="18"/>
      <c r="DV262" s="18"/>
      <c r="DW262" s="18"/>
      <c r="DX262" s="18"/>
      <c r="DY262" s="18"/>
      <c r="DZ262" s="18"/>
      <c r="EA262" s="18"/>
      <c r="EB262" s="18"/>
      <c r="EC262" s="18"/>
      <c r="ED262" s="18"/>
      <c r="EE262" s="18"/>
    </row>
    <row r="263" spans="1:135" ht="14.25" customHeight="1">
      <c r="A263" s="18"/>
      <c r="B263" s="18"/>
      <c r="C263" s="19"/>
      <c r="D263" s="18"/>
      <c r="E263" s="18"/>
      <c r="F263" s="19"/>
      <c r="G263" s="18"/>
      <c r="H263" s="114"/>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40"/>
      <c r="AL263" s="141"/>
      <c r="AM263" s="141"/>
      <c r="AN263" s="141"/>
      <c r="AO263" s="141"/>
      <c r="AP263" s="141"/>
      <c r="AQ263" s="141"/>
      <c r="AR263" s="141"/>
      <c r="AS263" s="141"/>
      <c r="AT263" s="141"/>
      <c r="AU263" s="141"/>
      <c r="AV263" s="141"/>
      <c r="AW263" s="141"/>
      <c r="AX263" s="141"/>
      <c r="AY263" s="141"/>
      <c r="AZ263" s="141"/>
      <c r="BA263" s="141"/>
      <c r="BB263" s="141"/>
      <c r="BC263" s="141"/>
      <c r="BD263" s="141"/>
      <c r="BE263" s="141"/>
      <c r="BF263" s="141"/>
      <c r="BG263" s="18"/>
      <c r="BH263" s="1"/>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c r="CP263" s="18"/>
      <c r="CQ263" s="18"/>
      <c r="CR263" s="18"/>
      <c r="CS263" s="18"/>
      <c r="CT263" s="18"/>
      <c r="CU263" s="18"/>
      <c r="CV263" s="18"/>
      <c r="CW263" s="18"/>
      <c r="CX263" s="18"/>
      <c r="CY263" s="18"/>
      <c r="CZ263" s="18"/>
      <c r="DA263" s="18"/>
      <c r="DB263" s="18"/>
      <c r="DC263" s="18"/>
      <c r="DD263" s="18"/>
      <c r="DE263" s="18"/>
      <c r="DF263" s="18"/>
      <c r="DG263" s="18"/>
      <c r="DH263" s="18"/>
      <c r="DI263" s="18"/>
      <c r="DJ263" s="18"/>
      <c r="DK263" s="18"/>
      <c r="DL263" s="18"/>
      <c r="DM263" s="18"/>
      <c r="DN263" s="18"/>
      <c r="DO263" s="18"/>
      <c r="DP263" s="18"/>
      <c r="DQ263" s="18"/>
      <c r="DR263" s="18"/>
      <c r="DS263" s="18"/>
      <c r="DT263" s="18"/>
      <c r="DU263" s="18"/>
      <c r="DV263" s="18"/>
      <c r="DW263" s="18"/>
      <c r="DX263" s="18"/>
      <c r="DY263" s="18"/>
      <c r="DZ263" s="18"/>
      <c r="EA263" s="18"/>
      <c r="EB263" s="18"/>
      <c r="EC263" s="18"/>
      <c r="ED263" s="18"/>
      <c r="EE263" s="18"/>
    </row>
    <row r="264" spans="1:135" ht="14.25" customHeight="1">
      <c r="A264" s="18"/>
      <c r="B264" s="18"/>
      <c r="C264" s="19"/>
      <c r="D264" s="18"/>
      <c r="E264" s="18"/>
      <c r="F264" s="19"/>
      <c r="G264" s="18"/>
      <c r="H264" s="114"/>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40"/>
      <c r="AL264" s="141"/>
      <c r="AM264" s="141"/>
      <c r="AN264" s="141"/>
      <c r="AO264" s="141"/>
      <c r="AP264" s="141"/>
      <c r="AQ264" s="141"/>
      <c r="AR264" s="141"/>
      <c r="AS264" s="141"/>
      <c r="AT264" s="141"/>
      <c r="AU264" s="141"/>
      <c r="AV264" s="141"/>
      <c r="AW264" s="141"/>
      <c r="AX264" s="141"/>
      <c r="AY264" s="141"/>
      <c r="AZ264" s="141"/>
      <c r="BA264" s="141"/>
      <c r="BB264" s="141"/>
      <c r="BC264" s="141"/>
      <c r="BD264" s="141"/>
      <c r="BE264" s="141"/>
      <c r="BF264" s="141"/>
      <c r="BG264" s="18"/>
      <c r="BH264" s="1"/>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c r="CP264" s="18"/>
      <c r="CQ264" s="18"/>
      <c r="CR264" s="18"/>
      <c r="CS264" s="18"/>
      <c r="CT264" s="18"/>
      <c r="CU264" s="18"/>
      <c r="CV264" s="18"/>
      <c r="CW264" s="18"/>
      <c r="CX264" s="18"/>
      <c r="CY264" s="18"/>
      <c r="CZ264" s="18"/>
      <c r="DA264" s="18"/>
      <c r="DB264" s="18"/>
      <c r="DC264" s="18"/>
      <c r="DD264" s="18"/>
      <c r="DE264" s="18"/>
      <c r="DF264" s="18"/>
      <c r="DG264" s="18"/>
      <c r="DH264" s="18"/>
      <c r="DI264" s="18"/>
      <c r="DJ264" s="18"/>
      <c r="DK264" s="18"/>
      <c r="DL264" s="18"/>
      <c r="DM264" s="18"/>
      <c r="DN264" s="18"/>
      <c r="DO264" s="18"/>
      <c r="DP264" s="18"/>
      <c r="DQ264" s="18"/>
      <c r="DR264" s="18"/>
      <c r="DS264" s="18"/>
      <c r="DT264" s="18"/>
      <c r="DU264" s="18"/>
      <c r="DV264" s="18"/>
      <c r="DW264" s="18"/>
      <c r="DX264" s="18"/>
      <c r="DY264" s="18"/>
      <c r="DZ264" s="18"/>
      <c r="EA264" s="18"/>
      <c r="EB264" s="18"/>
      <c r="EC264" s="18"/>
      <c r="ED264" s="18"/>
      <c r="EE264" s="18"/>
    </row>
    <row r="265" spans="1:135" ht="14.25" customHeight="1">
      <c r="A265" s="18"/>
      <c r="B265" s="18"/>
      <c r="C265" s="19"/>
      <c r="D265" s="18"/>
      <c r="E265" s="18"/>
      <c r="F265" s="19"/>
      <c r="G265" s="18"/>
      <c r="H265" s="114"/>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40"/>
      <c r="AL265" s="141"/>
      <c r="AM265" s="141"/>
      <c r="AN265" s="141"/>
      <c r="AO265" s="141"/>
      <c r="AP265" s="141"/>
      <c r="AQ265" s="141"/>
      <c r="AR265" s="141"/>
      <c r="AS265" s="141"/>
      <c r="AT265" s="141"/>
      <c r="AU265" s="141"/>
      <c r="AV265" s="141"/>
      <c r="AW265" s="141"/>
      <c r="AX265" s="141"/>
      <c r="AY265" s="141"/>
      <c r="AZ265" s="141"/>
      <c r="BA265" s="141"/>
      <c r="BB265" s="141"/>
      <c r="BC265" s="141"/>
      <c r="BD265" s="141"/>
      <c r="BE265" s="141"/>
      <c r="BF265" s="141"/>
      <c r="BG265" s="18"/>
      <c r="BH265" s="1"/>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row>
    <row r="266" spans="1:135" ht="14.25" customHeight="1">
      <c r="A266" s="18"/>
      <c r="B266" s="18"/>
      <c r="C266" s="19"/>
      <c r="D266" s="18"/>
      <c r="E266" s="18"/>
      <c r="F266" s="19"/>
      <c r="G266" s="18"/>
      <c r="H266" s="114"/>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40"/>
      <c r="AL266" s="141"/>
      <c r="AM266" s="141"/>
      <c r="AN266" s="141"/>
      <c r="AO266" s="141"/>
      <c r="AP266" s="141"/>
      <c r="AQ266" s="141"/>
      <c r="AR266" s="141"/>
      <c r="AS266" s="141"/>
      <c r="AT266" s="141"/>
      <c r="AU266" s="141"/>
      <c r="AV266" s="141"/>
      <c r="AW266" s="141"/>
      <c r="AX266" s="141"/>
      <c r="AY266" s="141"/>
      <c r="AZ266" s="141"/>
      <c r="BA266" s="141"/>
      <c r="BB266" s="141"/>
      <c r="BC266" s="141"/>
      <c r="BD266" s="141"/>
      <c r="BE266" s="141"/>
      <c r="BF266" s="141"/>
      <c r="BG266" s="18"/>
      <c r="BH266" s="1"/>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c r="CP266" s="18"/>
      <c r="CQ266" s="18"/>
      <c r="CR266" s="18"/>
      <c r="CS266" s="18"/>
      <c r="CT266" s="18"/>
      <c r="CU266" s="18"/>
      <c r="CV266" s="18"/>
      <c r="CW266" s="18"/>
      <c r="CX266" s="18"/>
      <c r="CY266" s="18"/>
      <c r="CZ266" s="18"/>
      <c r="DA266" s="18"/>
      <c r="DB266" s="18"/>
      <c r="DC266" s="18"/>
      <c r="DD266" s="18"/>
      <c r="DE266" s="18"/>
      <c r="DF266" s="18"/>
      <c r="DG266" s="18"/>
      <c r="DH266" s="18"/>
      <c r="DI266" s="18"/>
      <c r="DJ266" s="18"/>
      <c r="DK266" s="18"/>
      <c r="DL266" s="18"/>
      <c r="DM266" s="18"/>
      <c r="DN266" s="18"/>
      <c r="DO266" s="18"/>
      <c r="DP266" s="18"/>
      <c r="DQ266" s="18"/>
      <c r="DR266" s="18"/>
      <c r="DS266" s="18"/>
      <c r="DT266" s="18"/>
      <c r="DU266" s="18"/>
      <c r="DV266" s="18"/>
      <c r="DW266" s="18"/>
      <c r="DX266" s="18"/>
      <c r="DY266" s="18"/>
      <c r="DZ266" s="18"/>
      <c r="EA266" s="18"/>
      <c r="EB266" s="18"/>
      <c r="EC266" s="18"/>
      <c r="ED266" s="18"/>
      <c r="EE266" s="18"/>
    </row>
    <row r="267" spans="1:135" ht="14.25" customHeight="1">
      <c r="A267" s="18"/>
      <c r="B267" s="18"/>
      <c r="C267" s="19"/>
      <c r="D267" s="18"/>
      <c r="E267" s="18"/>
      <c r="F267" s="19"/>
      <c r="G267" s="18"/>
      <c r="H267" s="114"/>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40"/>
      <c r="AL267" s="141"/>
      <c r="AM267" s="141"/>
      <c r="AN267" s="141"/>
      <c r="AO267" s="141"/>
      <c r="AP267" s="141"/>
      <c r="AQ267" s="141"/>
      <c r="AR267" s="141"/>
      <c r="AS267" s="141"/>
      <c r="AT267" s="141"/>
      <c r="AU267" s="141"/>
      <c r="AV267" s="141"/>
      <c r="AW267" s="141"/>
      <c r="AX267" s="141"/>
      <c r="AY267" s="141"/>
      <c r="AZ267" s="141"/>
      <c r="BA267" s="141"/>
      <c r="BB267" s="141"/>
      <c r="BC267" s="141"/>
      <c r="BD267" s="141"/>
      <c r="BE267" s="141"/>
      <c r="BF267" s="141"/>
      <c r="BG267" s="18"/>
      <c r="BH267" s="1"/>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c r="CP267" s="18"/>
      <c r="CQ267" s="18"/>
      <c r="CR267" s="18"/>
      <c r="CS267" s="18"/>
      <c r="CT267" s="18"/>
      <c r="CU267" s="18"/>
      <c r="CV267" s="18"/>
      <c r="CW267" s="18"/>
      <c r="CX267" s="18"/>
      <c r="CY267" s="18"/>
      <c r="CZ267" s="18"/>
      <c r="DA267" s="18"/>
      <c r="DB267" s="18"/>
      <c r="DC267" s="18"/>
      <c r="DD267" s="18"/>
      <c r="DE267" s="18"/>
      <c r="DF267" s="18"/>
      <c r="DG267" s="18"/>
      <c r="DH267" s="18"/>
      <c r="DI267" s="18"/>
      <c r="DJ267" s="18"/>
      <c r="DK267" s="18"/>
      <c r="DL267" s="18"/>
      <c r="DM267" s="18"/>
      <c r="DN267" s="18"/>
      <c r="DO267" s="18"/>
      <c r="DP267" s="18"/>
      <c r="DQ267" s="18"/>
      <c r="DR267" s="18"/>
      <c r="DS267" s="18"/>
      <c r="DT267" s="18"/>
      <c r="DU267" s="18"/>
      <c r="DV267" s="18"/>
      <c r="DW267" s="18"/>
      <c r="DX267" s="18"/>
      <c r="DY267" s="18"/>
      <c r="DZ267" s="18"/>
      <c r="EA267" s="18"/>
      <c r="EB267" s="18"/>
      <c r="EC267" s="18"/>
      <c r="ED267" s="18"/>
      <c r="EE267" s="18"/>
    </row>
    <row r="268" spans="1:135" ht="14.25" customHeight="1">
      <c r="A268" s="18"/>
      <c r="B268" s="18"/>
      <c r="C268" s="19"/>
      <c r="D268" s="18"/>
      <c r="E268" s="18"/>
      <c r="F268" s="19"/>
      <c r="G268" s="18"/>
      <c r="H268" s="114"/>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40"/>
      <c r="AL268" s="141"/>
      <c r="AM268" s="141"/>
      <c r="AN268" s="141"/>
      <c r="AO268" s="141"/>
      <c r="AP268" s="141"/>
      <c r="AQ268" s="141"/>
      <c r="AR268" s="141"/>
      <c r="AS268" s="141"/>
      <c r="AT268" s="141"/>
      <c r="AU268" s="141"/>
      <c r="AV268" s="141"/>
      <c r="AW268" s="141"/>
      <c r="AX268" s="141"/>
      <c r="AY268" s="141"/>
      <c r="AZ268" s="141"/>
      <c r="BA268" s="141"/>
      <c r="BB268" s="141"/>
      <c r="BC268" s="141"/>
      <c r="BD268" s="141"/>
      <c r="BE268" s="141"/>
      <c r="BF268" s="141"/>
      <c r="BG268" s="18"/>
      <c r="BH268" s="1"/>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row>
    <row r="269" spans="1:135" ht="14.25" customHeight="1">
      <c r="A269" s="18"/>
      <c r="B269" s="18"/>
      <c r="C269" s="19"/>
      <c r="D269" s="18"/>
      <c r="E269" s="18"/>
      <c r="F269" s="19"/>
      <c r="G269" s="18"/>
      <c r="H269" s="114"/>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40"/>
      <c r="AL269" s="141"/>
      <c r="AM269" s="141"/>
      <c r="AN269" s="141"/>
      <c r="AO269" s="141"/>
      <c r="AP269" s="141"/>
      <c r="AQ269" s="141"/>
      <c r="AR269" s="141"/>
      <c r="AS269" s="141"/>
      <c r="AT269" s="141"/>
      <c r="AU269" s="141"/>
      <c r="AV269" s="141"/>
      <c r="AW269" s="141"/>
      <c r="AX269" s="141"/>
      <c r="AY269" s="141"/>
      <c r="AZ269" s="141"/>
      <c r="BA269" s="141"/>
      <c r="BB269" s="141"/>
      <c r="BC269" s="141"/>
      <c r="BD269" s="141"/>
      <c r="BE269" s="141"/>
      <c r="BF269" s="141"/>
      <c r="BG269" s="18"/>
      <c r="BH269" s="1"/>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row>
    <row r="270" spans="1:135" ht="14.25" customHeight="1">
      <c r="A270" s="18"/>
      <c r="B270" s="18"/>
      <c r="C270" s="19"/>
      <c r="D270" s="18"/>
      <c r="E270" s="18"/>
      <c r="F270" s="19"/>
      <c r="G270" s="18"/>
      <c r="H270" s="114"/>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40"/>
      <c r="AL270" s="141"/>
      <c r="AM270" s="141"/>
      <c r="AN270" s="141"/>
      <c r="AO270" s="141"/>
      <c r="AP270" s="141"/>
      <c r="AQ270" s="141"/>
      <c r="AR270" s="141"/>
      <c r="AS270" s="141"/>
      <c r="AT270" s="141"/>
      <c r="AU270" s="141"/>
      <c r="AV270" s="141"/>
      <c r="AW270" s="141"/>
      <c r="AX270" s="141"/>
      <c r="AY270" s="141"/>
      <c r="AZ270" s="141"/>
      <c r="BA270" s="141"/>
      <c r="BB270" s="141"/>
      <c r="BC270" s="141"/>
      <c r="BD270" s="141"/>
      <c r="BE270" s="141"/>
      <c r="BF270" s="141"/>
      <c r="BG270" s="18"/>
      <c r="BH270" s="1"/>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row>
    <row r="271" spans="1:135" ht="14.25" customHeight="1">
      <c r="A271" s="18"/>
      <c r="B271" s="18"/>
      <c r="C271" s="19"/>
      <c r="D271" s="18"/>
      <c r="E271" s="18"/>
      <c r="F271" s="19"/>
      <c r="G271" s="18"/>
      <c r="H271" s="114"/>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40"/>
      <c r="AL271" s="141"/>
      <c r="AM271" s="141"/>
      <c r="AN271" s="141"/>
      <c r="AO271" s="141"/>
      <c r="AP271" s="141"/>
      <c r="AQ271" s="141"/>
      <c r="AR271" s="141"/>
      <c r="AS271" s="141"/>
      <c r="AT271" s="141"/>
      <c r="AU271" s="141"/>
      <c r="AV271" s="141"/>
      <c r="AW271" s="141"/>
      <c r="AX271" s="141"/>
      <c r="AY271" s="141"/>
      <c r="AZ271" s="141"/>
      <c r="BA271" s="141"/>
      <c r="BB271" s="141"/>
      <c r="BC271" s="141"/>
      <c r="BD271" s="141"/>
      <c r="BE271" s="141"/>
      <c r="BF271" s="141"/>
      <c r="BG271" s="18"/>
      <c r="BH271" s="1"/>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row>
    <row r="272" spans="1:135" ht="14.25" customHeight="1">
      <c r="A272" s="18"/>
      <c r="B272" s="18"/>
      <c r="C272" s="19"/>
      <c r="D272" s="18"/>
      <c r="E272" s="18"/>
      <c r="F272" s="19"/>
      <c r="G272" s="18"/>
      <c r="H272" s="114"/>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40"/>
      <c r="AL272" s="141"/>
      <c r="AM272" s="141"/>
      <c r="AN272" s="141"/>
      <c r="AO272" s="141"/>
      <c r="AP272" s="141"/>
      <c r="AQ272" s="141"/>
      <c r="AR272" s="141"/>
      <c r="AS272" s="141"/>
      <c r="AT272" s="141"/>
      <c r="AU272" s="141"/>
      <c r="AV272" s="141"/>
      <c r="AW272" s="141"/>
      <c r="AX272" s="141"/>
      <c r="AY272" s="141"/>
      <c r="AZ272" s="141"/>
      <c r="BA272" s="141"/>
      <c r="BB272" s="141"/>
      <c r="BC272" s="141"/>
      <c r="BD272" s="141"/>
      <c r="BE272" s="141"/>
      <c r="BF272" s="141"/>
      <c r="BG272" s="18"/>
      <c r="BH272" s="1"/>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row>
    <row r="273" spans="1:135" ht="14.25" customHeight="1">
      <c r="A273" s="18"/>
      <c r="B273" s="18"/>
      <c r="C273" s="19"/>
      <c r="D273" s="18"/>
      <c r="E273" s="18"/>
      <c r="F273" s="19"/>
      <c r="G273" s="18"/>
      <c r="H273" s="114"/>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40"/>
      <c r="AL273" s="141"/>
      <c r="AM273" s="141"/>
      <c r="AN273" s="141"/>
      <c r="AO273" s="141"/>
      <c r="AP273" s="141"/>
      <c r="AQ273" s="141"/>
      <c r="AR273" s="141"/>
      <c r="AS273" s="141"/>
      <c r="AT273" s="141"/>
      <c r="AU273" s="141"/>
      <c r="AV273" s="141"/>
      <c r="AW273" s="141"/>
      <c r="AX273" s="141"/>
      <c r="AY273" s="141"/>
      <c r="AZ273" s="141"/>
      <c r="BA273" s="141"/>
      <c r="BB273" s="141"/>
      <c r="BC273" s="141"/>
      <c r="BD273" s="141"/>
      <c r="BE273" s="141"/>
      <c r="BF273" s="141"/>
      <c r="BG273" s="18"/>
      <c r="BH273" s="1"/>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row>
    <row r="274" spans="1:135" ht="14.25" customHeight="1">
      <c r="A274" s="18"/>
      <c r="B274" s="18"/>
      <c r="C274" s="19"/>
      <c r="D274" s="18"/>
      <c r="E274" s="18"/>
      <c r="F274" s="19"/>
      <c r="G274" s="18"/>
      <c r="H274" s="114"/>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40"/>
      <c r="AL274" s="141"/>
      <c r="AM274" s="141"/>
      <c r="AN274" s="141"/>
      <c r="AO274" s="141"/>
      <c r="AP274" s="141"/>
      <c r="AQ274" s="141"/>
      <c r="AR274" s="141"/>
      <c r="AS274" s="141"/>
      <c r="AT274" s="141"/>
      <c r="AU274" s="141"/>
      <c r="AV274" s="141"/>
      <c r="AW274" s="141"/>
      <c r="AX274" s="141"/>
      <c r="AY274" s="141"/>
      <c r="AZ274" s="141"/>
      <c r="BA274" s="141"/>
      <c r="BB274" s="141"/>
      <c r="BC274" s="141"/>
      <c r="BD274" s="141"/>
      <c r="BE274" s="141"/>
      <c r="BF274" s="141"/>
      <c r="BG274" s="18"/>
      <c r="BH274" s="1"/>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row>
    <row r="275" spans="1:135" ht="14.25" customHeight="1">
      <c r="A275" s="18"/>
      <c r="B275" s="18"/>
      <c r="C275" s="19"/>
      <c r="D275" s="18"/>
      <c r="E275" s="18"/>
      <c r="F275" s="19"/>
      <c r="G275" s="18"/>
      <c r="H275" s="114"/>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40"/>
      <c r="AL275" s="141"/>
      <c r="AM275" s="141"/>
      <c r="AN275" s="141"/>
      <c r="AO275" s="141"/>
      <c r="AP275" s="141"/>
      <c r="AQ275" s="141"/>
      <c r="AR275" s="141"/>
      <c r="AS275" s="141"/>
      <c r="AT275" s="141"/>
      <c r="AU275" s="141"/>
      <c r="AV275" s="141"/>
      <c r="AW275" s="141"/>
      <c r="AX275" s="141"/>
      <c r="AY275" s="141"/>
      <c r="AZ275" s="141"/>
      <c r="BA275" s="141"/>
      <c r="BB275" s="141"/>
      <c r="BC275" s="141"/>
      <c r="BD275" s="141"/>
      <c r="BE275" s="141"/>
      <c r="BF275" s="141"/>
      <c r="BG275" s="18"/>
      <c r="BH275" s="1"/>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row>
    <row r="276" spans="1:135" ht="14.25" customHeight="1">
      <c r="A276" s="18"/>
      <c r="B276" s="18"/>
      <c r="C276" s="19"/>
      <c r="D276" s="18"/>
      <c r="E276" s="18"/>
      <c r="F276" s="19"/>
      <c r="G276" s="18"/>
      <c r="H276" s="114"/>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40"/>
      <c r="AL276" s="141"/>
      <c r="AM276" s="141"/>
      <c r="AN276" s="141"/>
      <c r="AO276" s="141"/>
      <c r="AP276" s="141"/>
      <c r="AQ276" s="141"/>
      <c r="AR276" s="141"/>
      <c r="AS276" s="141"/>
      <c r="AT276" s="141"/>
      <c r="AU276" s="141"/>
      <c r="AV276" s="141"/>
      <c r="AW276" s="141"/>
      <c r="AX276" s="141"/>
      <c r="AY276" s="141"/>
      <c r="AZ276" s="141"/>
      <c r="BA276" s="141"/>
      <c r="BB276" s="141"/>
      <c r="BC276" s="141"/>
      <c r="BD276" s="141"/>
      <c r="BE276" s="141"/>
      <c r="BF276" s="141"/>
      <c r="BG276" s="18"/>
      <c r="BH276" s="1"/>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row>
    <row r="277" spans="1:135" ht="14.25" customHeight="1">
      <c r="A277" s="18"/>
      <c r="B277" s="18"/>
      <c r="C277" s="19"/>
      <c r="D277" s="18"/>
      <c r="E277" s="18"/>
      <c r="F277" s="19"/>
      <c r="G277" s="18"/>
      <c r="H277" s="114"/>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40"/>
      <c r="AL277" s="141"/>
      <c r="AM277" s="141"/>
      <c r="AN277" s="141"/>
      <c r="AO277" s="141"/>
      <c r="AP277" s="141"/>
      <c r="AQ277" s="141"/>
      <c r="AR277" s="141"/>
      <c r="AS277" s="141"/>
      <c r="AT277" s="141"/>
      <c r="AU277" s="141"/>
      <c r="AV277" s="141"/>
      <c r="AW277" s="141"/>
      <c r="AX277" s="141"/>
      <c r="AY277" s="141"/>
      <c r="AZ277" s="141"/>
      <c r="BA277" s="141"/>
      <c r="BB277" s="141"/>
      <c r="BC277" s="141"/>
      <c r="BD277" s="141"/>
      <c r="BE277" s="141"/>
      <c r="BF277" s="141"/>
      <c r="BG277" s="18"/>
      <c r="BH277" s="1"/>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row>
    <row r="278" spans="1:135" ht="14.25" customHeight="1">
      <c r="A278" s="18"/>
      <c r="B278" s="18"/>
      <c r="C278" s="19"/>
      <c r="D278" s="18"/>
      <c r="E278" s="18"/>
      <c r="F278" s="19"/>
      <c r="G278" s="18"/>
      <c r="H278" s="114"/>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40"/>
      <c r="AL278" s="141"/>
      <c r="AM278" s="141"/>
      <c r="AN278" s="141"/>
      <c r="AO278" s="141"/>
      <c r="AP278" s="141"/>
      <c r="AQ278" s="141"/>
      <c r="AR278" s="141"/>
      <c r="AS278" s="141"/>
      <c r="AT278" s="141"/>
      <c r="AU278" s="141"/>
      <c r="AV278" s="141"/>
      <c r="AW278" s="141"/>
      <c r="AX278" s="141"/>
      <c r="AY278" s="141"/>
      <c r="AZ278" s="141"/>
      <c r="BA278" s="141"/>
      <c r="BB278" s="141"/>
      <c r="BC278" s="141"/>
      <c r="BD278" s="141"/>
      <c r="BE278" s="141"/>
      <c r="BF278" s="141"/>
      <c r="BG278" s="18"/>
      <c r="BH278" s="1"/>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row>
    <row r="279" spans="1:135" ht="14.25" customHeight="1">
      <c r="A279" s="18"/>
      <c r="B279" s="18"/>
      <c r="C279" s="19"/>
      <c r="D279" s="18"/>
      <c r="E279" s="18"/>
      <c r="F279" s="19"/>
      <c r="G279" s="18"/>
      <c r="H279" s="114"/>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40"/>
      <c r="AL279" s="141"/>
      <c r="AM279" s="141"/>
      <c r="AN279" s="141"/>
      <c r="AO279" s="141"/>
      <c r="AP279" s="141"/>
      <c r="AQ279" s="141"/>
      <c r="AR279" s="141"/>
      <c r="AS279" s="141"/>
      <c r="AT279" s="141"/>
      <c r="AU279" s="141"/>
      <c r="AV279" s="141"/>
      <c r="AW279" s="141"/>
      <c r="AX279" s="141"/>
      <c r="AY279" s="141"/>
      <c r="AZ279" s="141"/>
      <c r="BA279" s="141"/>
      <c r="BB279" s="141"/>
      <c r="BC279" s="141"/>
      <c r="BD279" s="141"/>
      <c r="BE279" s="141"/>
      <c r="BF279" s="141"/>
      <c r="BG279" s="18"/>
      <c r="BH279" s="1"/>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row>
    <row r="280" spans="1:135" ht="14.25" customHeight="1">
      <c r="A280" s="18"/>
      <c r="B280" s="18"/>
      <c r="C280" s="19"/>
      <c r="D280" s="18"/>
      <c r="E280" s="18"/>
      <c r="F280" s="19"/>
      <c r="G280" s="18"/>
      <c r="H280" s="114"/>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40"/>
      <c r="AL280" s="141"/>
      <c r="AM280" s="141"/>
      <c r="AN280" s="141"/>
      <c r="AO280" s="141"/>
      <c r="AP280" s="141"/>
      <c r="AQ280" s="141"/>
      <c r="AR280" s="141"/>
      <c r="AS280" s="141"/>
      <c r="AT280" s="141"/>
      <c r="AU280" s="141"/>
      <c r="AV280" s="141"/>
      <c r="AW280" s="141"/>
      <c r="AX280" s="141"/>
      <c r="AY280" s="141"/>
      <c r="AZ280" s="141"/>
      <c r="BA280" s="141"/>
      <c r="BB280" s="141"/>
      <c r="BC280" s="141"/>
      <c r="BD280" s="141"/>
      <c r="BE280" s="141"/>
      <c r="BF280" s="141"/>
      <c r="BG280" s="18"/>
      <c r="BH280" s="1"/>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row>
    <row r="281" spans="1:135" ht="14.25" customHeight="1">
      <c r="A281" s="18"/>
      <c r="B281" s="18"/>
      <c r="C281" s="19"/>
      <c r="D281" s="18"/>
      <c r="E281" s="18"/>
      <c r="F281" s="19"/>
      <c r="G281" s="18"/>
      <c r="H281" s="114"/>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40"/>
      <c r="AL281" s="141"/>
      <c r="AM281" s="141"/>
      <c r="AN281" s="141"/>
      <c r="AO281" s="141"/>
      <c r="AP281" s="141"/>
      <c r="AQ281" s="141"/>
      <c r="AR281" s="141"/>
      <c r="AS281" s="141"/>
      <c r="AT281" s="141"/>
      <c r="AU281" s="141"/>
      <c r="AV281" s="141"/>
      <c r="AW281" s="141"/>
      <c r="AX281" s="141"/>
      <c r="AY281" s="141"/>
      <c r="AZ281" s="141"/>
      <c r="BA281" s="141"/>
      <c r="BB281" s="141"/>
      <c r="BC281" s="141"/>
      <c r="BD281" s="141"/>
      <c r="BE281" s="141"/>
      <c r="BF281" s="141"/>
      <c r="BG281" s="18"/>
      <c r="BH281" s="1"/>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row>
    <row r="282" spans="1:135" ht="14.25" customHeight="1">
      <c r="A282" s="18"/>
      <c r="B282" s="18"/>
      <c r="C282" s="19"/>
      <c r="D282" s="18"/>
      <c r="E282" s="18"/>
      <c r="F282" s="19"/>
      <c r="G282" s="18"/>
      <c r="H282" s="114"/>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40"/>
      <c r="AL282" s="141"/>
      <c r="AM282" s="141"/>
      <c r="AN282" s="141"/>
      <c r="AO282" s="141"/>
      <c r="AP282" s="141"/>
      <c r="AQ282" s="141"/>
      <c r="AR282" s="141"/>
      <c r="AS282" s="141"/>
      <c r="AT282" s="141"/>
      <c r="AU282" s="141"/>
      <c r="AV282" s="141"/>
      <c r="AW282" s="141"/>
      <c r="AX282" s="141"/>
      <c r="AY282" s="141"/>
      <c r="AZ282" s="141"/>
      <c r="BA282" s="141"/>
      <c r="BB282" s="141"/>
      <c r="BC282" s="141"/>
      <c r="BD282" s="141"/>
      <c r="BE282" s="141"/>
      <c r="BF282" s="141"/>
      <c r="BG282" s="18"/>
      <c r="BH282" s="1"/>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row>
    <row r="283" spans="1:135" ht="14.25" customHeight="1">
      <c r="A283" s="18"/>
      <c r="B283" s="18"/>
      <c r="C283" s="19"/>
      <c r="D283" s="18"/>
      <c r="E283" s="18"/>
      <c r="F283" s="19"/>
      <c r="G283" s="18"/>
      <c r="H283" s="114"/>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40"/>
      <c r="AL283" s="141"/>
      <c r="AM283" s="141"/>
      <c r="AN283" s="141"/>
      <c r="AO283" s="141"/>
      <c r="AP283" s="141"/>
      <c r="AQ283" s="141"/>
      <c r="AR283" s="141"/>
      <c r="AS283" s="141"/>
      <c r="AT283" s="141"/>
      <c r="AU283" s="141"/>
      <c r="AV283" s="141"/>
      <c r="AW283" s="141"/>
      <c r="AX283" s="141"/>
      <c r="AY283" s="141"/>
      <c r="AZ283" s="141"/>
      <c r="BA283" s="141"/>
      <c r="BB283" s="141"/>
      <c r="BC283" s="141"/>
      <c r="BD283" s="141"/>
      <c r="BE283" s="141"/>
      <c r="BF283" s="141"/>
      <c r="BG283" s="18"/>
      <c r="BH283" s="1"/>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row>
    <row r="284" spans="1:135" ht="14.25" customHeight="1">
      <c r="A284" s="18"/>
      <c r="B284" s="18"/>
      <c r="C284" s="19"/>
      <c r="D284" s="18"/>
      <c r="E284" s="18"/>
      <c r="F284" s="19"/>
      <c r="G284" s="18"/>
      <c r="H284" s="114"/>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40"/>
      <c r="AL284" s="141"/>
      <c r="AM284" s="141"/>
      <c r="AN284" s="141"/>
      <c r="AO284" s="141"/>
      <c r="AP284" s="141"/>
      <c r="AQ284" s="141"/>
      <c r="AR284" s="141"/>
      <c r="AS284" s="141"/>
      <c r="AT284" s="141"/>
      <c r="AU284" s="141"/>
      <c r="AV284" s="141"/>
      <c r="AW284" s="141"/>
      <c r="AX284" s="141"/>
      <c r="AY284" s="141"/>
      <c r="AZ284" s="141"/>
      <c r="BA284" s="141"/>
      <c r="BB284" s="141"/>
      <c r="BC284" s="141"/>
      <c r="BD284" s="141"/>
      <c r="BE284" s="141"/>
      <c r="BF284" s="141"/>
      <c r="BG284" s="18"/>
      <c r="BH284" s="1"/>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row>
    <row r="285" spans="1:135" ht="14.25" customHeight="1">
      <c r="A285" s="18"/>
      <c r="B285" s="18"/>
      <c r="C285" s="19"/>
      <c r="D285" s="18"/>
      <c r="E285" s="18"/>
      <c r="F285" s="19"/>
      <c r="G285" s="18"/>
      <c r="H285" s="114"/>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40"/>
      <c r="AL285" s="141"/>
      <c r="AM285" s="141"/>
      <c r="AN285" s="141"/>
      <c r="AO285" s="141"/>
      <c r="AP285" s="141"/>
      <c r="AQ285" s="141"/>
      <c r="AR285" s="141"/>
      <c r="AS285" s="141"/>
      <c r="AT285" s="141"/>
      <c r="AU285" s="141"/>
      <c r="AV285" s="141"/>
      <c r="AW285" s="141"/>
      <c r="AX285" s="141"/>
      <c r="AY285" s="141"/>
      <c r="AZ285" s="141"/>
      <c r="BA285" s="141"/>
      <c r="BB285" s="141"/>
      <c r="BC285" s="141"/>
      <c r="BD285" s="141"/>
      <c r="BE285" s="141"/>
      <c r="BF285" s="141"/>
      <c r="BG285" s="18"/>
      <c r="BH285" s="1"/>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row>
    <row r="286" spans="1:135" ht="14.25" customHeight="1">
      <c r="A286" s="18"/>
      <c r="B286" s="18"/>
      <c r="C286" s="19"/>
      <c r="D286" s="18"/>
      <c r="E286" s="18"/>
      <c r="F286" s="19"/>
      <c r="G286" s="18"/>
      <c r="H286" s="114"/>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40"/>
      <c r="AL286" s="141"/>
      <c r="AM286" s="141"/>
      <c r="AN286" s="141"/>
      <c r="AO286" s="141"/>
      <c r="AP286" s="141"/>
      <c r="AQ286" s="141"/>
      <c r="AR286" s="141"/>
      <c r="AS286" s="141"/>
      <c r="AT286" s="141"/>
      <c r="AU286" s="141"/>
      <c r="AV286" s="141"/>
      <c r="AW286" s="141"/>
      <c r="AX286" s="141"/>
      <c r="AY286" s="141"/>
      <c r="AZ286" s="141"/>
      <c r="BA286" s="141"/>
      <c r="BB286" s="141"/>
      <c r="BC286" s="141"/>
      <c r="BD286" s="141"/>
      <c r="BE286" s="141"/>
      <c r="BF286" s="141"/>
      <c r="BG286" s="18"/>
      <c r="BH286" s="1"/>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row>
    <row r="287" spans="1:135" ht="14.25" customHeight="1">
      <c r="A287" s="18"/>
      <c r="B287" s="18"/>
      <c r="C287" s="19"/>
      <c r="D287" s="18"/>
      <c r="E287" s="18"/>
      <c r="F287" s="19"/>
      <c r="G287" s="18"/>
      <c r="H287" s="114"/>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40"/>
      <c r="AL287" s="141"/>
      <c r="AM287" s="141"/>
      <c r="AN287" s="141"/>
      <c r="AO287" s="141"/>
      <c r="AP287" s="141"/>
      <c r="AQ287" s="141"/>
      <c r="AR287" s="141"/>
      <c r="AS287" s="141"/>
      <c r="AT287" s="141"/>
      <c r="AU287" s="141"/>
      <c r="AV287" s="141"/>
      <c r="AW287" s="141"/>
      <c r="AX287" s="141"/>
      <c r="AY287" s="141"/>
      <c r="AZ287" s="141"/>
      <c r="BA287" s="141"/>
      <c r="BB287" s="141"/>
      <c r="BC287" s="141"/>
      <c r="BD287" s="141"/>
      <c r="BE287" s="141"/>
      <c r="BF287" s="141"/>
      <c r="BG287" s="18"/>
      <c r="BH287" s="1"/>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row>
    <row r="288" spans="1:135" ht="14.25" customHeight="1">
      <c r="A288" s="18"/>
      <c r="B288" s="18"/>
      <c r="C288" s="19"/>
      <c r="D288" s="18"/>
      <c r="E288" s="18"/>
      <c r="F288" s="19"/>
      <c r="G288" s="18"/>
      <c r="H288" s="114"/>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40"/>
      <c r="AL288" s="141"/>
      <c r="AM288" s="141"/>
      <c r="AN288" s="141"/>
      <c r="AO288" s="141"/>
      <c r="AP288" s="141"/>
      <c r="AQ288" s="141"/>
      <c r="AR288" s="141"/>
      <c r="AS288" s="141"/>
      <c r="AT288" s="141"/>
      <c r="AU288" s="141"/>
      <c r="AV288" s="141"/>
      <c r="AW288" s="141"/>
      <c r="AX288" s="141"/>
      <c r="AY288" s="141"/>
      <c r="AZ288" s="141"/>
      <c r="BA288" s="141"/>
      <c r="BB288" s="141"/>
      <c r="BC288" s="141"/>
      <c r="BD288" s="141"/>
      <c r="BE288" s="141"/>
      <c r="BF288" s="141"/>
      <c r="BG288" s="18"/>
      <c r="BH288" s="1"/>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row>
    <row r="289" spans="1:135" ht="14.25" customHeight="1">
      <c r="A289" s="18"/>
      <c r="B289" s="18"/>
      <c r="C289" s="19"/>
      <c r="D289" s="18"/>
      <c r="E289" s="18"/>
      <c r="F289" s="19"/>
      <c r="G289" s="18"/>
      <c r="H289" s="114"/>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40"/>
      <c r="AL289" s="141"/>
      <c r="AM289" s="141"/>
      <c r="AN289" s="141"/>
      <c r="AO289" s="141"/>
      <c r="AP289" s="141"/>
      <c r="AQ289" s="141"/>
      <c r="AR289" s="141"/>
      <c r="AS289" s="141"/>
      <c r="AT289" s="141"/>
      <c r="AU289" s="141"/>
      <c r="AV289" s="141"/>
      <c r="AW289" s="141"/>
      <c r="AX289" s="141"/>
      <c r="AY289" s="141"/>
      <c r="AZ289" s="141"/>
      <c r="BA289" s="141"/>
      <c r="BB289" s="141"/>
      <c r="BC289" s="141"/>
      <c r="BD289" s="141"/>
      <c r="BE289" s="141"/>
      <c r="BF289" s="141"/>
      <c r="BG289" s="18"/>
      <c r="BH289" s="1"/>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row>
    <row r="290" spans="1:135" ht="14.25" customHeight="1">
      <c r="A290" s="18"/>
      <c r="B290" s="18"/>
      <c r="C290" s="19"/>
      <c r="D290" s="18"/>
      <c r="E290" s="18"/>
      <c r="F290" s="19"/>
      <c r="G290" s="18"/>
      <c r="H290" s="114"/>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40"/>
      <c r="AL290" s="141"/>
      <c r="AM290" s="141"/>
      <c r="AN290" s="141"/>
      <c r="AO290" s="141"/>
      <c r="AP290" s="141"/>
      <c r="AQ290" s="141"/>
      <c r="AR290" s="141"/>
      <c r="AS290" s="141"/>
      <c r="AT290" s="141"/>
      <c r="AU290" s="141"/>
      <c r="AV290" s="141"/>
      <c r="AW290" s="141"/>
      <c r="AX290" s="141"/>
      <c r="AY290" s="141"/>
      <c r="AZ290" s="141"/>
      <c r="BA290" s="141"/>
      <c r="BB290" s="141"/>
      <c r="BC290" s="141"/>
      <c r="BD290" s="141"/>
      <c r="BE290" s="141"/>
      <c r="BF290" s="141"/>
      <c r="BG290" s="18"/>
      <c r="BH290" s="1"/>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row>
    <row r="291" spans="1:135" ht="14.25" customHeight="1">
      <c r="A291" s="18"/>
      <c r="B291" s="18"/>
      <c r="C291" s="19"/>
      <c r="D291" s="18"/>
      <c r="E291" s="18"/>
      <c r="F291" s="19"/>
      <c r="G291" s="18"/>
      <c r="H291" s="114"/>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40"/>
      <c r="AL291" s="141"/>
      <c r="AM291" s="141"/>
      <c r="AN291" s="141"/>
      <c r="AO291" s="141"/>
      <c r="AP291" s="141"/>
      <c r="AQ291" s="141"/>
      <c r="AR291" s="141"/>
      <c r="AS291" s="141"/>
      <c r="AT291" s="141"/>
      <c r="AU291" s="141"/>
      <c r="AV291" s="141"/>
      <c r="AW291" s="141"/>
      <c r="AX291" s="141"/>
      <c r="AY291" s="141"/>
      <c r="AZ291" s="141"/>
      <c r="BA291" s="141"/>
      <c r="BB291" s="141"/>
      <c r="BC291" s="141"/>
      <c r="BD291" s="141"/>
      <c r="BE291" s="141"/>
      <c r="BF291" s="141"/>
      <c r="BG291" s="18"/>
      <c r="BH291" s="1"/>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row>
    <row r="292" spans="1:135" ht="14.25" customHeight="1">
      <c r="A292" s="18"/>
      <c r="B292" s="18"/>
      <c r="C292" s="19"/>
      <c r="D292" s="18"/>
      <c r="E292" s="18"/>
      <c r="F292" s="19"/>
      <c r="G292" s="18"/>
      <c r="H292" s="114"/>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40"/>
      <c r="AL292" s="141"/>
      <c r="AM292" s="141"/>
      <c r="AN292" s="141"/>
      <c r="AO292" s="141"/>
      <c r="AP292" s="141"/>
      <c r="AQ292" s="141"/>
      <c r="AR292" s="141"/>
      <c r="AS292" s="141"/>
      <c r="AT292" s="141"/>
      <c r="AU292" s="141"/>
      <c r="AV292" s="141"/>
      <c r="AW292" s="141"/>
      <c r="AX292" s="141"/>
      <c r="AY292" s="141"/>
      <c r="AZ292" s="141"/>
      <c r="BA292" s="141"/>
      <c r="BB292" s="141"/>
      <c r="BC292" s="141"/>
      <c r="BD292" s="141"/>
      <c r="BE292" s="141"/>
      <c r="BF292" s="141"/>
      <c r="BG292" s="18"/>
      <c r="BH292" s="1"/>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row>
    <row r="293" spans="1:135" ht="14.25" customHeight="1">
      <c r="A293" s="18"/>
      <c r="B293" s="18"/>
      <c r="C293" s="19"/>
      <c r="D293" s="18"/>
      <c r="E293" s="18"/>
      <c r="F293" s="19"/>
      <c r="G293" s="18"/>
      <c r="H293" s="114"/>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40"/>
      <c r="AL293" s="141"/>
      <c r="AM293" s="141"/>
      <c r="AN293" s="141"/>
      <c r="AO293" s="141"/>
      <c r="AP293" s="141"/>
      <c r="AQ293" s="141"/>
      <c r="AR293" s="141"/>
      <c r="AS293" s="141"/>
      <c r="AT293" s="141"/>
      <c r="AU293" s="141"/>
      <c r="AV293" s="141"/>
      <c r="AW293" s="141"/>
      <c r="AX293" s="141"/>
      <c r="AY293" s="141"/>
      <c r="AZ293" s="141"/>
      <c r="BA293" s="141"/>
      <c r="BB293" s="141"/>
      <c r="BC293" s="141"/>
      <c r="BD293" s="141"/>
      <c r="BE293" s="141"/>
      <c r="BF293" s="141"/>
      <c r="BG293" s="18"/>
      <c r="BH293" s="1"/>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row>
    <row r="294" spans="1:135" ht="14.25" customHeight="1">
      <c r="A294" s="18"/>
      <c r="B294" s="18"/>
      <c r="C294" s="19"/>
      <c r="D294" s="18"/>
      <c r="E294" s="18"/>
      <c r="F294" s="19"/>
      <c r="G294" s="18"/>
      <c r="H294" s="114"/>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40"/>
      <c r="AL294" s="141"/>
      <c r="AM294" s="141"/>
      <c r="AN294" s="141"/>
      <c r="AO294" s="141"/>
      <c r="AP294" s="141"/>
      <c r="AQ294" s="141"/>
      <c r="AR294" s="141"/>
      <c r="AS294" s="141"/>
      <c r="AT294" s="141"/>
      <c r="AU294" s="141"/>
      <c r="AV294" s="141"/>
      <c r="AW294" s="141"/>
      <c r="AX294" s="141"/>
      <c r="AY294" s="141"/>
      <c r="AZ294" s="141"/>
      <c r="BA294" s="141"/>
      <c r="BB294" s="141"/>
      <c r="BC294" s="141"/>
      <c r="BD294" s="141"/>
      <c r="BE294" s="141"/>
      <c r="BF294" s="141"/>
      <c r="BG294" s="18"/>
      <c r="BH294" s="1"/>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row>
    <row r="295" spans="1:135" ht="14.25" customHeight="1">
      <c r="A295" s="18"/>
      <c r="B295" s="18"/>
      <c r="C295" s="19"/>
      <c r="D295" s="18"/>
      <c r="E295" s="18"/>
      <c r="F295" s="19"/>
      <c r="G295" s="18"/>
      <c r="H295" s="114"/>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40"/>
      <c r="AL295" s="141"/>
      <c r="AM295" s="141"/>
      <c r="AN295" s="141"/>
      <c r="AO295" s="141"/>
      <c r="AP295" s="141"/>
      <c r="AQ295" s="141"/>
      <c r="AR295" s="141"/>
      <c r="AS295" s="141"/>
      <c r="AT295" s="141"/>
      <c r="AU295" s="141"/>
      <c r="AV295" s="141"/>
      <c r="AW295" s="141"/>
      <c r="AX295" s="141"/>
      <c r="AY295" s="141"/>
      <c r="AZ295" s="141"/>
      <c r="BA295" s="141"/>
      <c r="BB295" s="141"/>
      <c r="BC295" s="141"/>
      <c r="BD295" s="141"/>
      <c r="BE295" s="141"/>
      <c r="BF295" s="141"/>
      <c r="BG295" s="18"/>
      <c r="BH295" s="1"/>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row>
    <row r="296" spans="1:135" ht="14.25" customHeight="1">
      <c r="A296" s="18"/>
      <c r="B296" s="18"/>
      <c r="C296" s="19"/>
      <c r="D296" s="18"/>
      <c r="E296" s="18"/>
      <c r="F296" s="19"/>
      <c r="G296" s="18"/>
      <c r="H296" s="114"/>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40"/>
      <c r="AL296" s="141"/>
      <c r="AM296" s="141"/>
      <c r="AN296" s="141"/>
      <c r="AO296" s="141"/>
      <c r="AP296" s="141"/>
      <c r="AQ296" s="141"/>
      <c r="AR296" s="141"/>
      <c r="AS296" s="141"/>
      <c r="AT296" s="141"/>
      <c r="AU296" s="141"/>
      <c r="AV296" s="141"/>
      <c r="AW296" s="141"/>
      <c r="AX296" s="141"/>
      <c r="AY296" s="141"/>
      <c r="AZ296" s="141"/>
      <c r="BA296" s="141"/>
      <c r="BB296" s="141"/>
      <c r="BC296" s="141"/>
      <c r="BD296" s="141"/>
      <c r="BE296" s="141"/>
      <c r="BF296" s="141"/>
      <c r="BG296" s="18"/>
      <c r="BH296" s="1"/>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row>
    <row r="297" spans="1:135" ht="14.25" customHeight="1">
      <c r="A297" s="18"/>
      <c r="B297" s="18"/>
      <c r="C297" s="19"/>
      <c r="D297" s="18"/>
      <c r="E297" s="18"/>
      <c r="F297" s="19"/>
      <c r="G297" s="18"/>
      <c r="H297" s="114"/>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40"/>
      <c r="AL297" s="141"/>
      <c r="AM297" s="141"/>
      <c r="AN297" s="141"/>
      <c r="AO297" s="141"/>
      <c r="AP297" s="141"/>
      <c r="AQ297" s="141"/>
      <c r="AR297" s="141"/>
      <c r="AS297" s="141"/>
      <c r="AT297" s="141"/>
      <c r="AU297" s="141"/>
      <c r="AV297" s="141"/>
      <c r="AW297" s="141"/>
      <c r="AX297" s="141"/>
      <c r="AY297" s="141"/>
      <c r="AZ297" s="141"/>
      <c r="BA297" s="141"/>
      <c r="BB297" s="141"/>
      <c r="BC297" s="141"/>
      <c r="BD297" s="141"/>
      <c r="BE297" s="141"/>
      <c r="BF297" s="141"/>
      <c r="BG297" s="18"/>
      <c r="BH297" s="1"/>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row>
    <row r="298" spans="1:135" ht="14.25" customHeight="1">
      <c r="A298" s="18"/>
      <c r="B298" s="18"/>
      <c r="C298" s="19"/>
      <c r="D298" s="18"/>
      <c r="E298" s="18"/>
      <c r="F298" s="19"/>
      <c r="G298" s="18"/>
      <c r="H298" s="114"/>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40"/>
      <c r="AL298" s="141"/>
      <c r="AM298" s="141"/>
      <c r="AN298" s="141"/>
      <c r="AO298" s="141"/>
      <c r="AP298" s="141"/>
      <c r="AQ298" s="141"/>
      <c r="AR298" s="141"/>
      <c r="AS298" s="141"/>
      <c r="AT298" s="141"/>
      <c r="AU298" s="141"/>
      <c r="AV298" s="141"/>
      <c r="AW298" s="141"/>
      <c r="AX298" s="141"/>
      <c r="AY298" s="141"/>
      <c r="AZ298" s="141"/>
      <c r="BA298" s="141"/>
      <c r="BB298" s="141"/>
      <c r="BC298" s="141"/>
      <c r="BD298" s="141"/>
      <c r="BE298" s="141"/>
      <c r="BF298" s="141"/>
      <c r="BG298" s="18"/>
      <c r="BH298" s="1"/>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row>
    <row r="299" spans="1:135" ht="14.25" customHeight="1">
      <c r="A299" s="18"/>
      <c r="B299" s="18"/>
      <c r="C299" s="19"/>
      <c r="D299" s="18"/>
      <c r="E299" s="18"/>
      <c r="F299" s="19"/>
      <c r="G299" s="18"/>
      <c r="H299" s="114"/>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40"/>
      <c r="AL299" s="141"/>
      <c r="AM299" s="141"/>
      <c r="AN299" s="141"/>
      <c r="AO299" s="141"/>
      <c r="AP299" s="141"/>
      <c r="AQ299" s="141"/>
      <c r="AR299" s="141"/>
      <c r="AS299" s="141"/>
      <c r="AT299" s="141"/>
      <c r="AU299" s="141"/>
      <c r="AV299" s="141"/>
      <c r="AW299" s="141"/>
      <c r="AX299" s="141"/>
      <c r="AY299" s="141"/>
      <c r="AZ299" s="141"/>
      <c r="BA299" s="141"/>
      <c r="BB299" s="141"/>
      <c r="BC299" s="141"/>
      <c r="BD299" s="141"/>
      <c r="BE299" s="141"/>
      <c r="BF299" s="141"/>
      <c r="BG299" s="18"/>
      <c r="BH299" s="1"/>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row>
    <row r="300" spans="1:135" ht="14.25" customHeight="1">
      <c r="A300" s="18"/>
      <c r="B300" s="18"/>
      <c r="C300" s="19"/>
      <c r="D300" s="18"/>
      <c r="E300" s="18"/>
      <c r="F300" s="19"/>
      <c r="G300" s="18"/>
      <c r="H300" s="114"/>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40"/>
      <c r="AL300" s="141"/>
      <c r="AM300" s="141"/>
      <c r="AN300" s="141"/>
      <c r="AO300" s="141"/>
      <c r="AP300" s="141"/>
      <c r="AQ300" s="141"/>
      <c r="AR300" s="141"/>
      <c r="AS300" s="141"/>
      <c r="AT300" s="141"/>
      <c r="AU300" s="141"/>
      <c r="AV300" s="141"/>
      <c r="AW300" s="141"/>
      <c r="AX300" s="141"/>
      <c r="AY300" s="141"/>
      <c r="AZ300" s="141"/>
      <c r="BA300" s="141"/>
      <c r="BB300" s="141"/>
      <c r="BC300" s="141"/>
      <c r="BD300" s="141"/>
      <c r="BE300" s="141"/>
      <c r="BF300" s="141"/>
      <c r="BG300" s="18"/>
      <c r="BH300" s="1"/>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row>
    <row r="301" spans="1:135" ht="14.25" customHeight="1">
      <c r="A301" s="18"/>
      <c r="B301" s="18"/>
      <c r="C301" s="19"/>
      <c r="D301" s="18"/>
      <c r="E301" s="18"/>
      <c r="F301" s="19"/>
      <c r="G301" s="18"/>
      <c r="H301" s="114"/>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40"/>
      <c r="AL301" s="141"/>
      <c r="AM301" s="141"/>
      <c r="AN301" s="141"/>
      <c r="AO301" s="141"/>
      <c r="AP301" s="141"/>
      <c r="AQ301" s="141"/>
      <c r="AR301" s="141"/>
      <c r="AS301" s="141"/>
      <c r="AT301" s="141"/>
      <c r="AU301" s="141"/>
      <c r="AV301" s="141"/>
      <c r="AW301" s="141"/>
      <c r="AX301" s="141"/>
      <c r="AY301" s="141"/>
      <c r="AZ301" s="141"/>
      <c r="BA301" s="141"/>
      <c r="BB301" s="141"/>
      <c r="BC301" s="141"/>
      <c r="BD301" s="141"/>
      <c r="BE301" s="141"/>
      <c r="BF301" s="141"/>
      <c r="BG301" s="18"/>
      <c r="BH301" s="1"/>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row>
    <row r="302" spans="1:135" ht="14.25" customHeight="1">
      <c r="A302" s="18"/>
      <c r="B302" s="18"/>
      <c r="C302" s="19"/>
      <c r="D302" s="18"/>
      <c r="E302" s="18"/>
      <c r="F302" s="19"/>
      <c r="G302" s="18"/>
      <c r="H302" s="114"/>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40"/>
      <c r="AL302" s="141"/>
      <c r="AM302" s="141"/>
      <c r="AN302" s="141"/>
      <c r="AO302" s="141"/>
      <c r="AP302" s="141"/>
      <c r="AQ302" s="141"/>
      <c r="AR302" s="141"/>
      <c r="AS302" s="141"/>
      <c r="AT302" s="141"/>
      <c r="AU302" s="141"/>
      <c r="AV302" s="141"/>
      <c r="AW302" s="141"/>
      <c r="AX302" s="141"/>
      <c r="AY302" s="141"/>
      <c r="AZ302" s="141"/>
      <c r="BA302" s="141"/>
      <c r="BB302" s="141"/>
      <c r="BC302" s="141"/>
      <c r="BD302" s="141"/>
      <c r="BE302" s="141"/>
      <c r="BF302" s="141"/>
      <c r="BG302" s="18"/>
      <c r="BH302" s="1"/>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row>
    <row r="303" spans="1:135" ht="14.25" customHeight="1">
      <c r="A303" s="18"/>
      <c r="B303" s="18"/>
      <c r="C303" s="19"/>
      <c r="D303" s="18"/>
      <c r="E303" s="18"/>
      <c r="F303" s="19"/>
      <c r="G303" s="18"/>
      <c r="H303" s="114"/>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40"/>
      <c r="AL303" s="141"/>
      <c r="AM303" s="141"/>
      <c r="AN303" s="141"/>
      <c r="AO303" s="141"/>
      <c r="AP303" s="141"/>
      <c r="AQ303" s="141"/>
      <c r="AR303" s="141"/>
      <c r="AS303" s="141"/>
      <c r="AT303" s="141"/>
      <c r="AU303" s="141"/>
      <c r="AV303" s="141"/>
      <c r="AW303" s="141"/>
      <c r="AX303" s="141"/>
      <c r="AY303" s="141"/>
      <c r="AZ303" s="141"/>
      <c r="BA303" s="141"/>
      <c r="BB303" s="141"/>
      <c r="BC303" s="141"/>
      <c r="BD303" s="141"/>
      <c r="BE303" s="141"/>
      <c r="BF303" s="141"/>
      <c r="BG303" s="18"/>
      <c r="BH303" s="1"/>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row>
    <row r="304" spans="1:135" ht="14.25" customHeight="1">
      <c r="A304" s="18"/>
      <c r="B304" s="18"/>
      <c r="C304" s="19"/>
      <c r="D304" s="18"/>
      <c r="E304" s="18"/>
      <c r="F304" s="19"/>
      <c r="G304" s="18"/>
      <c r="H304" s="114"/>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40"/>
      <c r="AL304" s="141"/>
      <c r="AM304" s="141"/>
      <c r="AN304" s="141"/>
      <c r="AO304" s="141"/>
      <c r="AP304" s="141"/>
      <c r="AQ304" s="141"/>
      <c r="AR304" s="141"/>
      <c r="AS304" s="141"/>
      <c r="AT304" s="141"/>
      <c r="AU304" s="141"/>
      <c r="AV304" s="141"/>
      <c r="AW304" s="141"/>
      <c r="AX304" s="141"/>
      <c r="AY304" s="141"/>
      <c r="AZ304" s="141"/>
      <c r="BA304" s="141"/>
      <c r="BB304" s="141"/>
      <c r="BC304" s="141"/>
      <c r="BD304" s="141"/>
      <c r="BE304" s="141"/>
      <c r="BF304" s="141"/>
      <c r="BG304" s="18"/>
      <c r="BH304" s="1"/>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row>
    <row r="305" spans="1:135" ht="14.25" customHeight="1">
      <c r="A305" s="18"/>
      <c r="B305" s="18"/>
      <c r="C305" s="19"/>
      <c r="D305" s="18"/>
      <c r="E305" s="18"/>
      <c r="F305" s="19"/>
      <c r="G305" s="18"/>
      <c r="H305" s="114"/>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40"/>
      <c r="AL305" s="141"/>
      <c r="AM305" s="141"/>
      <c r="AN305" s="141"/>
      <c r="AO305" s="141"/>
      <c r="AP305" s="141"/>
      <c r="AQ305" s="141"/>
      <c r="AR305" s="141"/>
      <c r="AS305" s="141"/>
      <c r="AT305" s="141"/>
      <c r="AU305" s="141"/>
      <c r="AV305" s="141"/>
      <c r="AW305" s="141"/>
      <c r="AX305" s="141"/>
      <c r="AY305" s="141"/>
      <c r="AZ305" s="141"/>
      <c r="BA305" s="141"/>
      <c r="BB305" s="141"/>
      <c r="BC305" s="141"/>
      <c r="BD305" s="141"/>
      <c r="BE305" s="141"/>
      <c r="BF305" s="141"/>
      <c r="BG305" s="18"/>
      <c r="BH305" s="1"/>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row>
    <row r="306" spans="1:135" ht="14.25" customHeight="1">
      <c r="A306" s="18"/>
      <c r="B306" s="18"/>
      <c r="C306" s="19"/>
      <c r="D306" s="18"/>
      <c r="E306" s="18"/>
      <c r="F306" s="19"/>
      <c r="G306" s="18"/>
      <c r="H306" s="114"/>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40"/>
      <c r="AL306" s="141"/>
      <c r="AM306" s="141"/>
      <c r="AN306" s="141"/>
      <c r="AO306" s="141"/>
      <c r="AP306" s="141"/>
      <c r="AQ306" s="141"/>
      <c r="AR306" s="141"/>
      <c r="AS306" s="141"/>
      <c r="AT306" s="141"/>
      <c r="AU306" s="141"/>
      <c r="AV306" s="141"/>
      <c r="AW306" s="141"/>
      <c r="AX306" s="141"/>
      <c r="AY306" s="141"/>
      <c r="AZ306" s="141"/>
      <c r="BA306" s="141"/>
      <c r="BB306" s="141"/>
      <c r="BC306" s="141"/>
      <c r="BD306" s="141"/>
      <c r="BE306" s="141"/>
      <c r="BF306" s="141"/>
      <c r="BG306" s="18"/>
      <c r="BH306" s="1"/>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row>
    <row r="307" spans="1:135" ht="14.25" customHeight="1">
      <c r="A307" s="18"/>
      <c r="B307" s="18"/>
      <c r="C307" s="19"/>
      <c r="D307" s="18"/>
      <c r="E307" s="18"/>
      <c r="F307" s="19"/>
      <c r="G307" s="18"/>
      <c r="H307" s="114"/>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40"/>
      <c r="AL307" s="141"/>
      <c r="AM307" s="141"/>
      <c r="AN307" s="141"/>
      <c r="AO307" s="141"/>
      <c r="AP307" s="141"/>
      <c r="AQ307" s="141"/>
      <c r="AR307" s="141"/>
      <c r="AS307" s="141"/>
      <c r="AT307" s="141"/>
      <c r="AU307" s="141"/>
      <c r="AV307" s="141"/>
      <c r="AW307" s="141"/>
      <c r="AX307" s="141"/>
      <c r="AY307" s="141"/>
      <c r="AZ307" s="141"/>
      <c r="BA307" s="141"/>
      <c r="BB307" s="141"/>
      <c r="BC307" s="141"/>
      <c r="BD307" s="141"/>
      <c r="BE307" s="141"/>
      <c r="BF307" s="141"/>
      <c r="BG307" s="18"/>
      <c r="BH307" s="1"/>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row>
    <row r="308" spans="1:135" ht="14.25" customHeight="1">
      <c r="A308" s="18"/>
      <c r="B308" s="18"/>
      <c r="C308" s="19"/>
      <c r="D308" s="18"/>
      <c r="E308" s="18"/>
      <c r="F308" s="19"/>
      <c r="G308" s="18"/>
      <c r="H308" s="114"/>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40"/>
      <c r="AL308" s="141"/>
      <c r="AM308" s="141"/>
      <c r="AN308" s="141"/>
      <c r="AO308" s="141"/>
      <c r="AP308" s="141"/>
      <c r="AQ308" s="141"/>
      <c r="AR308" s="141"/>
      <c r="AS308" s="141"/>
      <c r="AT308" s="141"/>
      <c r="AU308" s="141"/>
      <c r="AV308" s="141"/>
      <c r="AW308" s="141"/>
      <c r="AX308" s="141"/>
      <c r="AY308" s="141"/>
      <c r="AZ308" s="141"/>
      <c r="BA308" s="141"/>
      <c r="BB308" s="141"/>
      <c r="BC308" s="141"/>
      <c r="BD308" s="141"/>
      <c r="BE308" s="141"/>
      <c r="BF308" s="141"/>
      <c r="BG308" s="18"/>
      <c r="BH308" s="1"/>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row>
    <row r="309" spans="1:135" ht="14.25" customHeight="1">
      <c r="A309" s="18"/>
      <c r="B309" s="18"/>
      <c r="C309" s="19"/>
      <c r="D309" s="18"/>
      <c r="E309" s="18"/>
      <c r="F309" s="19"/>
      <c r="G309" s="18"/>
      <c r="H309" s="114"/>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40"/>
      <c r="AL309" s="141"/>
      <c r="AM309" s="141"/>
      <c r="AN309" s="141"/>
      <c r="AO309" s="141"/>
      <c r="AP309" s="141"/>
      <c r="AQ309" s="141"/>
      <c r="AR309" s="141"/>
      <c r="AS309" s="141"/>
      <c r="AT309" s="141"/>
      <c r="AU309" s="141"/>
      <c r="AV309" s="141"/>
      <c r="AW309" s="141"/>
      <c r="AX309" s="141"/>
      <c r="AY309" s="141"/>
      <c r="AZ309" s="141"/>
      <c r="BA309" s="141"/>
      <c r="BB309" s="141"/>
      <c r="BC309" s="141"/>
      <c r="BD309" s="141"/>
      <c r="BE309" s="141"/>
      <c r="BF309" s="141"/>
      <c r="BG309" s="18"/>
      <c r="BH309" s="1"/>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row>
    <row r="310" spans="1:135" ht="14.25" customHeight="1">
      <c r="A310" s="18"/>
      <c r="B310" s="18"/>
      <c r="C310" s="19"/>
      <c r="D310" s="18"/>
      <c r="E310" s="18"/>
      <c r="F310" s="19"/>
      <c r="G310" s="18"/>
      <c r="H310" s="114"/>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40"/>
      <c r="AL310" s="141"/>
      <c r="AM310" s="141"/>
      <c r="AN310" s="141"/>
      <c r="AO310" s="141"/>
      <c r="AP310" s="141"/>
      <c r="AQ310" s="141"/>
      <c r="AR310" s="141"/>
      <c r="AS310" s="141"/>
      <c r="AT310" s="141"/>
      <c r="AU310" s="141"/>
      <c r="AV310" s="141"/>
      <c r="AW310" s="141"/>
      <c r="AX310" s="141"/>
      <c r="AY310" s="141"/>
      <c r="AZ310" s="141"/>
      <c r="BA310" s="141"/>
      <c r="BB310" s="141"/>
      <c r="BC310" s="141"/>
      <c r="BD310" s="141"/>
      <c r="BE310" s="141"/>
      <c r="BF310" s="141"/>
      <c r="BG310" s="18"/>
      <c r="BH310" s="1"/>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row>
    <row r="311" spans="1:135" ht="14.25" customHeight="1">
      <c r="A311" s="18"/>
      <c r="B311" s="18"/>
      <c r="C311" s="19"/>
      <c r="D311" s="18"/>
      <c r="E311" s="18"/>
      <c r="F311" s="19"/>
      <c r="G311" s="18"/>
      <c r="H311" s="114"/>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40"/>
      <c r="AL311" s="141"/>
      <c r="AM311" s="141"/>
      <c r="AN311" s="141"/>
      <c r="AO311" s="141"/>
      <c r="AP311" s="141"/>
      <c r="AQ311" s="141"/>
      <c r="AR311" s="141"/>
      <c r="AS311" s="141"/>
      <c r="AT311" s="141"/>
      <c r="AU311" s="141"/>
      <c r="AV311" s="141"/>
      <c r="AW311" s="141"/>
      <c r="AX311" s="141"/>
      <c r="AY311" s="141"/>
      <c r="AZ311" s="141"/>
      <c r="BA311" s="141"/>
      <c r="BB311" s="141"/>
      <c r="BC311" s="141"/>
      <c r="BD311" s="141"/>
      <c r="BE311" s="141"/>
      <c r="BF311" s="141"/>
      <c r="BG311" s="18"/>
      <c r="BH311" s="1"/>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row>
    <row r="312" spans="1:135" ht="14.25" customHeight="1">
      <c r="A312" s="18"/>
      <c r="B312" s="18"/>
      <c r="C312" s="19"/>
      <c r="D312" s="18"/>
      <c r="E312" s="18"/>
      <c r="F312" s="19"/>
      <c r="G312" s="18"/>
      <c r="H312" s="114"/>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40"/>
      <c r="AL312" s="141"/>
      <c r="AM312" s="141"/>
      <c r="AN312" s="141"/>
      <c r="AO312" s="141"/>
      <c r="AP312" s="141"/>
      <c r="AQ312" s="141"/>
      <c r="AR312" s="141"/>
      <c r="AS312" s="141"/>
      <c r="AT312" s="141"/>
      <c r="AU312" s="141"/>
      <c r="AV312" s="141"/>
      <c r="AW312" s="141"/>
      <c r="AX312" s="141"/>
      <c r="AY312" s="141"/>
      <c r="AZ312" s="141"/>
      <c r="BA312" s="141"/>
      <c r="BB312" s="141"/>
      <c r="BC312" s="141"/>
      <c r="BD312" s="141"/>
      <c r="BE312" s="141"/>
      <c r="BF312" s="141"/>
      <c r="BG312" s="18"/>
      <c r="BH312" s="1"/>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row>
    <row r="313" spans="1:135" ht="14.25" customHeight="1">
      <c r="A313" s="18"/>
      <c r="B313" s="18"/>
      <c r="C313" s="19"/>
      <c r="D313" s="18"/>
      <c r="E313" s="18"/>
      <c r="F313" s="19"/>
      <c r="G313" s="18"/>
      <c r="H313" s="114"/>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40"/>
      <c r="AL313" s="141"/>
      <c r="AM313" s="141"/>
      <c r="AN313" s="141"/>
      <c r="AO313" s="141"/>
      <c r="AP313" s="141"/>
      <c r="AQ313" s="141"/>
      <c r="AR313" s="141"/>
      <c r="AS313" s="141"/>
      <c r="AT313" s="141"/>
      <c r="AU313" s="141"/>
      <c r="AV313" s="141"/>
      <c r="AW313" s="141"/>
      <c r="AX313" s="141"/>
      <c r="AY313" s="141"/>
      <c r="AZ313" s="141"/>
      <c r="BA313" s="141"/>
      <c r="BB313" s="141"/>
      <c r="BC313" s="141"/>
      <c r="BD313" s="141"/>
      <c r="BE313" s="141"/>
      <c r="BF313" s="141"/>
      <c r="BG313" s="18"/>
      <c r="BH313" s="1"/>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row>
    <row r="314" spans="1:135" ht="14.25" customHeight="1">
      <c r="A314" s="18"/>
      <c r="B314" s="18"/>
      <c r="C314" s="19"/>
      <c r="D314" s="18"/>
      <c r="E314" s="18"/>
      <c r="F314" s="19"/>
      <c r="G314" s="18"/>
      <c r="H314" s="114"/>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40"/>
      <c r="AL314" s="141"/>
      <c r="AM314" s="141"/>
      <c r="AN314" s="141"/>
      <c r="AO314" s="141"/>
      <c r="AP314" s="141"/>
      <c r="AQ314" s="141"/>
      <c r="AR314" s="141"/>
      <c r="AS314" s="141"/>
      <c r="AT314" s="141"/>
      <c r="AU314" s="141"/>
      <c r="AV314" s="141"/>
      <c r="AW314" s="141"/>
      <c r="AX314" s="141"/>
      <c r="AY314" s="141"/>
      <c r="AZ314" s="141"/>
      <c r="BA314" s="141"/>
      <c r="BB314" s="141"/>
      <c r="BC314" s="141"/>
      <c r="BD314" s="141"/>
      <c r="BE314" s="141"/>
      <c r="BF314" s="141"/>
      <c r="BG314" s="18"/>
      <c r="BH314" s="1"/>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row>
    <row r="315" spans="1:135" ht="14.25" customHeight="1">
      <c r="A315" s="18"/>
      <c r="B315" s="18"/>
      <c r="C315" s="19"/>
      <c r="D315" s="18"/>
      <c r="E315" s="18"/>
      <c r="F315" s="19"/>
      <c r="G315" s="18"/>
      <c r="H315" s="114"/>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40"/>
      <c r="AL315" s="141"/>
      <c r="AM315" s="141"/>
      <c r="AN315" s="141"/>
      <c r="AO315" s="141"/>
      <c r="AP315" s="141"/>
      <c r="AQ315" s="141"/>
      <c r="AR315" s="141"/>
      <c r="AS315" s="141"/>
      <c r="AT315" s="141"/>
      <c r="AU315" s="141"/>
      <c r="AV315" s="141"/>
      <c r="AW315" s="141"/>
      <c r="AX315" s="141"/>
      <c r="AY315" s="141"/>
      <c r="AZ315" s="141"/>
      <c r="BA315" s="141"/>
      <c r="BB315" s="141"/>
      <c r="BC315" s="141"/>
      <c r="BD315" s="141"/>
      <c r="BE315" s="141"/>
      <c r="BF315" s="141"/>
      <c r="BG315" s="18"/>
      <c r="BH315" s="1"/>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row>
    <row r="316" spans="1:135" ht="14.25" customHeight="1">
      <c r="A316" s="18"/>
      <c r="B316" s="18"/>
      <c r="C316" s="19"/>
      <c r="D316" s="18"/>
      <c r="E316" s="18"/>
      <c r="F316" s="19"/>
      <c r="G316" s="18"/>
      <c r="H316" s="114"/>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40"/>
      <c r="AL316" s="141"/>
      <c r="AM316" s="141"/>
      <c r="AN316" s="141"/>
      <c r="AO316" s="141"/>
      <c r="AP316" s="141"/>
      <c r="AQ316" s="141"/>
      <c r="AR316" s="141"/>
      <c r="AS316" s="141"/>
      <c r="AT316" s="141"/>
      <c r="AU316" s="141"/>
      <c r="AV316" s="141"/>
      <c r="AW316" s="141"/>
      <c r="AX316" s="141"/>
      <c r="AY316" s="141"/>
      <c r="AZ316" s="141"/>
      <c r="BA316" s="141"/>
      <c r="BB316" s="141"/>
      <c r="BC316" s="141"/>
      <c r="BD316" s="141"/>
      <c r="BE316" s="141"/>
      <c r="BF316" s="141"/>
      <c r="BG316" s="18"/>
      <c r="BH316" s="1"/>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row>
    <row r="317" spans="1:135" ht="14.25" customHeight="1">
      <c r="A317" s="18"/>
      <c r="B317" s="18"/>
      <c r="C317" s="19"/>
      <c r="D317" s="18"/>
      <c r="E317" s="18"/>
      <c r="F317" s="19"/>
      <c r="G317" s="18"/>
      <c r="H317" s="114"/>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40"/>
      <c r="AL317" s="141"/>
      <c r="AM317" s="141"/>
      <c r="AN317" s="141"/>
      <c r="AO317" s="141"/>
      <c r="AP317" s="141"/>
      <c r="AQ317" s="141"/>
      <c r="AR317" s="141"/>
      <c r="AS317" s="141"/>
      <c r="AT317" s="141"/>
      <c r="AU317" s="141"/>
      <c r="AV317" s="141"/>
      <c r="AW317" s="141"/>
      <c r="AX317" s="141"/>
      <c r="AY317" s="141"/>
      <c r="AZ317" s="141"/>
      <c r="BA317" s="141"/>
      <c r="BB317" s="141"/>
      <c r="BC317" s="141"/>
      <c r="BD317" s="141"/>
      <c r="BE317" s="141"/>
      <c r="BF317" s="141"/>
      <c r="BG317" s="18"/>
      <c r="BH317" s="1"/>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row>
    <row r="318" spans="1:135" ht="14.25" customHeight="1">
      <c r="A318" s="18"/>
      <c r="B318" s="18"/>
      <c r="C318" s="19"/>
      <c r="D318" s="18"/>
      <c r="E318" s="18"/>
      <c r="F318" s="19"/>
      <c r="G318" s="18"/>
      <c r="H318" s="114"/>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40"/>
      <c r="AL318" s="141"/>
      <c r="AM318" s="141"/>
      <c r="AN318" s="141"/>
      <c r="AO318" s="141"/>
      <c r="AP318" s="141"/>
      <c r="AQ318" s="141"/>
      <c r="AR318" s="141"/>
      <c r="AS318" s="141"/>
      <c r="AT318" s="141"/>
      <c r="AU318" s="141"/>
      <c r="AV318" s="141"/>
      <c r="AW318" s="141"/>
      <c r="AX318" s="141"/>
      <c r="AY318" s="141"/>
      <c r="AZ318" s="141"/>
      <c r="BA318" s="141"/>
      <c r="BB318" s="141"/>
      <c r="BC318" s="141"/>
      <c r="BD318" s="141"/>
      <c r="BE318" s="141"/>
      <c r="BF318" s="141"/>
      <c r="BG318" s="18"/>
      <c r="BH318" s="1"/>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row>
    <row r="319" spans="1:135" ht="14.25" customHeight="1">
      <c r="A319" s="18"/>
      <c r="B319" s="18"/>
      <c r="C319" s="19"/>
      <c r="D319" s="18"/>
      <c r="E319" s="18"/>
      <c r="F319" s="19"/>
      <c r="G319" s="18"/>
      <c r="H319" s="114"/>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40"/>
      <c r="AL319" s="141"/>
      <c r="AM319" s="141"/>
      <c r="AN319" s="141"/>
      <c r="AO319" s="141"/>
      <c r="AP319" s="141"/>
      <c r="AQ319" s="141"/>
      <c r="AR319" s="141"/>
      <c r="AS319" s="141"/>
      <c r="AT319" s="141"/>
      <c r="AU319" s="141"/>
      <c r="AV319" s="141"/>
      <c r="AW319" s="141"/>
      <c r="AX319" s="141"/>
      <c r="AY319" s="141"/>
      <c r="AZ319" s="141"/>
      <c r="BA319" s="141"/>
      <c r="BB319" s="141"/>
      <c r="BC319" s="141"/>
      <c r="BD319" s="141"/>
      <c r="BE319" s="141"/>
      <c r="BF319" s="141"/>
      <c r="BG319" s="18"/>
      <c r="BH319" s="1"/>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row>
    <row r="320" spans="1:135" ht="14.25" customHeight="1">
      <c r="A320" s="18"/>
      <c r="B320" s="18"/>
      <c r="C320" s="19"/>
      <c r="D320" s="18"/>
      <c r="E320" s="18"/>
      <c r="F320" s="19"/>
      <c r="G320" s="18"/>
      <c r="H320" s="114"/>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40"/>
      <c r="AL320" s="141"/>
      <c r="AM320" s="141"/>
      <c r="AN320" s="141"/>
      <c r="AO320" s="141"/>
      <c r="AP320" s="141"/>
      <c r="AQ320" s="141"/>
      <c r="AR320" s="141"/>
      <c r="AS320" s="141"/>
      <c r="AT320" s="141"/>
      <c r="AU320" s="141"/>
      <c r="AV320" s="141"/>
      <c r="AW320" s="141"/>
      <c r="AX320" s="141"/>
      <c r="AY320" s="141"/>
      <c r="AZ320" s="141"/>
      <c r="BA320" s="141"/>
      <c r="BB320" s="141"/>
      <c r="BC320" s="141"/>
      <c r="BD320" s="141"/>
      <c r="BE320" s="141"/>
      <c r="BF320" s="141"/>
      <c r="BG320" s="18"/>
      <c r="BH320" s="1"/>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row>
    <row r="321" spans="1:135" ht="14.25" customHeight="1">
      <c r="A321" s="18"/>
      <c r="B321" s="18"/>
      <c r="C321" s="19"/>
      <c r="D321" s="18"/>
      <c r="E321" s="18"/>
      <c r="F321" s="19"/>
      <c r="G321" s="18"/>
      <c r="H321" s="114"/>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40"/>
      <c r="AL321" s="141"/>
      <c r="AM321" s="141"/>
      <c r="AN321" s="141"/>
      <c r="AO321" s="141"/>
      <c r="AP321" s="141"/>
      <c r="AQ321" s="141"/>
      <c r="AR321" s="141"/>
      <c r="AS321" s="141"/>
      <c r="AT321" s="141"/>
      <c r="AU321" s="141"/>
      <c r="AV321" s="141"/>
      <c r="AW321" s="141"/>
      <c r="AX321" s="141"/>
      <c r="AY321" s="141"/>
      <c r="AZ321" s="141"/>
      <c r="BA321" s="141"/>
      <c r="BB321" s="141"/>
      <c r="BC321" s="141"/>
      <c r="BD321" s="141"/>
      <c r="BE321" s="141"/>
      <c r="BF321" s="141"/>
      <c r="BG321" s="18"/>
      <c r="BH321" s="1"/>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row>
    <row r="322" spans="1:135" ht="14.25" customHeight="1">
      <c r="A322" s="18"/>
      <c r="B322" s="18"/>
      <c r="C322" s="19"/>
      <c r="D322" s="18"/>
      <c r="E322" s="18"/>
      <c r="F322" s="19"/>
      <c r="G322" s="18"/>
      <c r="H322" s="114"/>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40"/>
      <c r="AL322" s="141"/>
      <c r="AM322" s="141"/>
      <c r="AN322" s="141"/>
      <c r="AO322" s="141"/>
      <c r="AP322" s="141"/>
      <c r="AQ322" s="141"/>
      <c r="AR322" s="141"/>
      <c r="AS322" s="141"/>
      <c r="AT322" s="141"/>
      <c r="AU322" s="141"/>
      <c r="AV322" s="141"/>
      <c r="AW322" s="141"/>
      <c r="AX322" s="141"/>
      <c r="AY322" s="141"/>
      <c r="AZ322" s="141"/>
      <c r="BA322" s="141"/>
      <c r="BB322" s="141"/>
      <c r="BC322" s="141"/>
      <c r="BD322" s="141"/>
      <c r="BE322" s="141"/>
      <c r="BF322" s="141"/>
      <c r="BG322" s="18"/>
      <c r="BH322" s="1"/>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row>
    <row r="323" spans="1:135" ht="14.25" customHeight="1">
      <c r="A323" s="18"/>
      <c r="B323" s="18"/>
      <c r="C323" s="19"/>
      <c r="D323" s="18"/>
      <c r="E323" s="18"/>
      <c r="F323" s="19"/>
      <c r="G323" s="18"/>
      <c r="H323" s="114"/>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40"/>
      <c r="AL323" s="141"/>
      <c r="AM323" s="141"/>
      <c r="AN323" s="141"/>
      <c r="AO323" s="141"/>
      <c r="AP323" s="141"/>
      <c r="AQ323" s="141"/>
      <c r="AR323" s="141"/>
      <c r="AS323" s="141"/>
      <c r="AT323" s="141"/>
      <c r="AU323" s="141"/>
      <c r="AV323" s="141"/>
      <c r="AW323" s="141"/>
      <c r="AX323" s="141"/>
      <c r="AY323" s="141"/>
      <c r="AZ323" s="141"/>
      <c r="BA323" s="141"/>
      <c r="BB323" s="141"/>
      <c r="BC323" s="141"/>
      <c r="BD323" s="141"/>
      <c r="BE323" s="141"/>
      <c r="BF323" s="141"/>
      <c r="BG323" s="18"/>
      <c r="BH323" s="1"/>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row>
    <row r="324" spans="1:135" ht="14.25" customHeight="1">
      <c r="A324" s="18"/>
      <c r="B324" s="18"/>
      <c r="C324" s="19"/>
      <c r="D324" s="18"/>
      <c r="E324" s="18"/>
      <c r="F324" s="19"/>
      <c r="G324" s="18"/>
      <c r="H324" s="114"/>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40"/>
      <c r="AL324" s="141"/>
      <c r="AM324" s="141"/>
      <c r="AN324" s="141"/>
      <c r="AO324" s="141"/>
      <c r="AP324" s="141"/>
      <c r="AQ324" s="141"/>
      <c r="AR324" s="141"/>
      <c r="AS324" s="141"/>
      <c r="AT324" s="141"/>
      <c r="AU324" s="141"/>
      <c r="AV324" s="141"/>
      <c r="AW324" s="141"/>
      <c r="AX324" s="141"/>
      <c r="AY324" s="141"/>
      <c r="AZ324" s="141"/>
      <c r="BA324" s="141"/>
      <c r="BB324" s="141"/>
      <c r="BC324" s="141"/>
      <c r="BD324" s="141"/>
      <c r="BE324" s="141"/>
      <c r="BF324" s="141"/>
      <c r="BG324" s="18"/>
      <c r="BH324" s="1"/>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row>
    <row r="325" spans="1:135" ht="14.25" customHeight="1">
      <c r="A325" s="18"/>
      <c r="B325" s="18"/>
      <c r="C325" s="19"/>
      <c r="D325" s="18"/>
      <c r="E325" s="18"/>
      <c r="F325" s="19"/>
      <c r="G325" s="18"/>
      <c r="H325" s="114"/>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40"/>
      <c r="AL325" s="141"/>
      <c r="AM325" s="141"/>
      <c r="AN325" s="141"/>
      <c r="AO325" s="141"/>
      <c r="AP325" s="141"/>
      <c r="AQ325" s="141"/>
      <c r="AR325" s="141"/>
      <c r="AS325" s="141"/>
      <c r="AT325" s="141"/>
      <c r="AU325" s="141"/>
      <c r="AV325" s="141"/>
      <c r="AW325" s="141"/>
      <c r="AX325" s="141"/>
      <c r="AY325" s="141"/>
      <c r="AZ325" s="141"/>
      <c r="BA325" s="141"/>
      <c r="BB325" s="141"/>
      <c r="BC325" s="141"/>
      <c r="BD325" s="141"/>
      <c r="BE325" s="141"/>
      <c r="BF325" s="141"/>
      <c r="BG325" s="18"/>
      <c r="BH325" s="1"/>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row>
    <row r="326" spans="1:135" ht="14.25" customHeight="1">
      <c r="A326" s="18"/>
      <c r="B326" s="18"/>
      <c r="C326" s="19"/>
      <c r="D326" s="18"/>
      <c r="E326" s="18"/>
      <c r="F326" s="19"/>
      <c r="G326" s="18"/>
      <c r="H326" s="114"/>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40"/>
      <c r="AL326" s="141"/>
      <c r="AM326" s="141"/>
      <c r="AN326" s="141"/>
      <c r="AO326" s="141"/>
      <c r="AP326" s="141"/>
      <c r="AQ326" s="141"/>
      <c r="AR326" s="141"/>
      <c r="AS326" s="141"/>
      <c r="AT326" s="141"/>
      <c r="AU326" s="141"/>
      <c r="AV326" s="141"/>
      <c r="AW326" s="141"/>
      <c r="AX326" s="141"/>
      <c r="AY326" s="141"/>
      <c r="AZ326" s="141"/>
      <c r="BA326" s="141"/>
      <c r="BB326" s="141"/>
      <c r="BC326" s="141"/>
      <c r="BD326" s="141"/>
      <c r="BE326" s="141"/>
      <c r="BF326" s="141"/>
      <c r="BG326" s="18"/>
      <c r="BH326" s="1"/>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row>
    <row r="327" spans="1:135" ht="14.25" customHeight="1">
      <c r="A327" s="18"/>
      <c r="B327" s="18"/>
      <c r="C327" s="19"/>
      <c r="D327" s="18"/>
      <c r="E327" s="18"/>
      <c r="F327" s="19"/>
      <c r="G327" s="18"/>
      <c r="H327" s="114"/>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40"/>
      <c r="AL327" s="141"/>
      <c r="AM327" s="141"/>
      <c r="AN327" s="141"/>
      <c r="AO327" s="141"/>
      <c r="AP327" s="141"/>
      <c r="AQ327" s="141"/>
      <c r="AR327" s="141"/>
      <c r="AS327" s="141"/>
      <c r="AT327" s="141"/>
      <c r="AU327" s="141"/>
      <c r="AV327" s="141"/>
      <c r="AW327" s="141"/>
      <c r="AX327" s="141"/>
      <c r="AY327" s="141"/>
      <c r="AZ327" s="141"/>
      <c r="BA327" s="141"/>
      <c r="BB327" s="141"/>
      <c r="BC327" s="141"/>
      <c r="BD327" s="141"/>
      <c r="BE327" s="141"/>
      <c r="BF327" s="141"/>
      <c r="BG327" s="18"/>
      <c r="BH327" s="1"/>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row>
    <row r="328" spans="1:135" ht="14.25" customHeight="1">
      <c r="A328" s="18"/>
      <c r="B328" s="18"/>
      <c r="C328" s="19"/>
      <c r="D328" s="18"/>
      <c r="E328" s="18"/>
      <c r="F328" s="19"/>
      <c r="G328" s="18"/>
      <c r="H328" s="114"/>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40"/>
      <c r="AL328" s="141"/>
      <c r="AM328" s="141"/>
      <c r="AN328" s="141"/>
      <c r="AO328" s="141"/>
      <c r="AP328" s="141"/>
      <c r="AQ328" s="141"/>
      <c r="AR328" s="141"/>
      <c r="AS328" s="141"/>
      <c r="AT328" s="141"/>
      <c r="AU328" s="141"/>
      <c r="AV328" s="141"/>
      <c r="AW328" s="141"/>
      <c r="AX328" s="141"/>
      <c r="AY328" s="141"/>
      <c r="AZ328" s="141"/>
      <c r="BA328" s="141"/>
      <c r="BB328" s="141"/>
      <c r="BC328" s="141"/>
      <c r="BD328" s="141"/>
      <c r="BE328" s="141"/>
      <c r="BF328" s="141"/>
      <c r="BG328" s="18"/>
      <c r="BH328" s="1"/>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row>
    <row r="329" spans="1:135" ht="14.25" customHeight="1">
      <c r="A329" s="18"/>
      <c r="B329" s="18"/>
      <c r="C329" s="19"/>
      <c r="D329" s="18"/>
      <c r="E329" s="18"/>
      <c r="F329" s="19"/>
      <c r="G329" s="18"/>
      <c r="H329" s="114"/>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40"/>
      <c r="AL329" s="141"/>
      <c r="AM329" s="141"/>
      <c r="AN329" s="141"/>
      <c r="AO329" s="141"/>
      <c r="AP329" s="141"/>
      <c r="AQ329" s="141"/>
      <c r="AR329" s="141"/>
      <c r="AS329" s="141"/>
      <c r="AT329" s="141"/>
      <c r="AU329" s="141"/>
      <c r="AV329" s="141"/>
      <c r="AW329" s="141"/>
      <c r="AX329" s="141"/>
      <c r="AY329" s="141"/>
      <c r="AZ329" s="141"/>
      <c r="BA329" s="141"/>
      <c r="BB329" s="141"/>
      <c r="BC329" s="141"/>
      <c r="BD329" s="141"/>
      <c r="BE329" s="141"/>
      <c r="BF329" s="141"/>
      <c r="BG329" s="18"/>
      <c r="BH329" s="1"/>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row>
    <row r="330" spans="1:135" ht="14.25" customHeight="1">
      <c r="A330" s="18"/>
      <c r="B330" s="18"/>
      <c r="C330" s="19"/>
      <c r="D330" s="18"/>
      <c r="E330" s="18"/>
      <c r="F330" s="19"/>
      <c r="G330" s="18"/>
      <c r="H330" s="114"/>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40"/>
      <c r="AL330" s="141"/>
      <c r="AM330" s="141"/>
      <c r="AN330" s="141"/>
      <c r="AO330" s="141"/>
      <c r="AP330" s="141"/>
      <c r="AQ330" s="141"/>
      <c r="AR330" s="141"/>
      <c r="AS330" s="141"/>
      <c r="AT330" s="141"/>
      <c r="AU330" s="141"/>
      <c r="AV330" s="141"/>
      <c r="AW330" s="141"/>
      <c r="AX330" s="141"/>
      <c r="AY330" s="141"/>
      <c r="AZ330" s="141"/>
      <c r="BA330" s="141"/>
      <c r="BB330" s="141"/>
      <c r="BC330" s="141"/>
      <c r="BD330" s="141"/>
      <c r="BE330" s="141"/>
      <c r="BF330" s="141"/>
      <c r="BG330" s="18"/>
      <c r="BH330" s="1"/>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row>
    <row r="331" spans="1:135" ht="14.25" customHeight="1">
      <c r="A331" s="18"/>
      <c r="B331" s="18"/>
      <c r="C331" s="19"/>
      <c r="D331" s="18"/>
      <c r="E331" s="18"/>
      <c r="F331" s="19"/>
      <c r="G331" s="18"/>
      <c r="H331" s="114"/>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40"/>
      <c r="AL331" s="141"/>
      <c r="AM331" s="141"/>
      <c r="AN331" s="141"/>
      <c r="AO331" s="141"/>
      <c r="AP331" s="141"/>
      <c r="AQ331" s="141"/>
      <c r="AR331" s="141"/>
      <c r="AS331" s="141"/>
      <c r="AT331" s="141"/>
      <c r="AU331" s="141"/>
      <c r="AV331" s="141"/>
      <c r="AW331" s="141"/>
      <c r="AX331" s="141"/>
      <c r="AY331" s="141"/>
      <c r="AZ331" s="141"/>
      <c r="BA331" s="141"/>
      <c r="BB331" s="141"/>
      <c r="BC331" s="141"/>
      <c r="BD331" s="141"/>
      <c r="BE331" s="141"/>
      <c r="BF331" s="141"/>
      <c r="BG331" s="18"/>
      <c r="BH331" s="1"/>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row>
    <row r="332" spans="1:135" ht="14.25" customHeight="1">
      <c r="A332" s="18"/>
      <c r="B332" s="18"/>
      <c r="C332" s="19"/>
      <c r="D332" s="18"/>
      <c r="E332" s="18"/>
      <c r="F332" s="19"/>
      <c r="G332" s="18"/>
      <c r="H332" s="114"/>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40"/>
      <c r="AL332" s="141"/>
      <c r="AM332" s="141"/>
      <c r="AN332" s="141"/>
      <c r="AO332" s="141"/>
      <c r="AP332" s="141"/>
      <c r="AQ332" s="141"/>
      <c r="AR332" s="141"/>
      <c r="AS332" s="141"/>
      <c r="AT332" s="141"/>
      <c r="AU332" s="141"/>
      <c r="AV332" s="141"/>
      <c r="AW332" s="141"/>
      <c r="AX332" s="141"/>
      <c r="AY332" s="141"/>
      <c r="AZ332" s="141"/>
      <c r="BA332" s="141"/>
      <c r="BB332" s="141"/>
      <c r="BC332" s="141"/>
      <c r="BD332" s="141"/>
      <c r="BE332" s="141"/>
      <c r="BF332" s="141"/>
      <c r="BG332" s="18"/>
      <c r="BH332" s="1"/>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row>
    <row r="333" spans="1:135" ht="14.25" customHeight="1">
      <c r="A333" s="18"/>
      <c r="B333" s="18"/>
      <c r="C333" s="19"/>
      <c r="D333" s="18"/>
      <c r="E333" s="18"/>
      <c r="F333" s="19"/>
      <c r="G333" s="18"/>
      <c r="H333" s="114"/>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40"/>
      <c r="AL333" s="141"/>
      <c r="AM333" s="141"/>
      <c r="AN333" s="141"/>
      <c r="AO333" s="141"/>
      <c r="AP333" s="141"/>
      <c r="AQ333" s="141"/>
      <c r="AR333" s="141"/>
      <c r="AS333" s="141"/>
      <c r="AT333" s="141"/>
      <c r="AU333" s="141"/>
      <c r="AV333" s="141"/>
      <c r="AW333" s="141"/>
      <c r="AX333" s="141"/>
      <c r="AY333" s="141"/>
      <c r="AZ333" s="141"/>
      <c r="BA333" s="141"/>
      <c r="BB333" s="141"/>
      <c r="BC333" s="141"/>
      <c r="BD333" s="141"/>
      <c r="BE333" s="141"/>
      <c r="BF333" s="141"/>
      <c r="BG333" s="18"/>
      <c r="BH333" s="1"/>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row>
    <row r="334" spans="1:135" ht="14.25" customHeight="1">
      <c r="A334" s="18"/>
      <c r="B334" s="18"/>
      <c r="C334" s="19"/>
      <c r="D334" s="18"/>
      <c r="E334" s="18"/>
      <c r="F334" s="19"/>
      <c r="G334" s="18"/>
      <c r="H334" s="114"/>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40"/>
      <c r="AL334" s="141"/>
      <c r="AM334" s="141"/>
      <c r="AN334" s="141"/>
      <c r="AO334" s="141"/>
      <c r="AP334" s="141"/>
      <c r="AQ334" s="141"/>
      <c r="AR334" s="141"/>
      <c r="AS334" s="141"/>
      <c r="AT334" s="141"/>
      <c r="AU334" s="141"/>
      <c r="AV334" s="141"/>
      <c r="AW334" s="141"/>
      <c r="AX334" s="141"/>
      <c r="AY334" s="141"/>
      <c r="AZ334" s="141"/>
      <c r="BA334" s="141"/>
      <c r="BB334" s="141"/>
      <c r="BC334" s="141"/>
      <c r="BD334" s="141"/>
      <c r="BE334" s="141"/>
      <c r="BF334" s="141"/>
      <c r="BG334" s="18"/>
      <c r="BH334" s="1"/>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row>
    <row r="335" spans="1:135" ht="14.25" customHeight="1">
      <c r="A335" s="18"/>
      <c r="B335" s="18"/>
      <c r="C335" s="19"/>
      <c r="D335" s="18"/>
      <c r="E335" s="18"/>
      <c r="F335" s="19"/>
      <c r="G335" s="18"/>
      <c r="H335" s="114"/>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40"/>
      <c r="AL335" s="141"/>
      <c r="AM335" s="141"/>
      <c r="AN335" s="141"/>
      <c r="AO335" s="141"/>
      <c r="AP335" s="141"/>
      <c r="AQ335" s="141"/>
      <c r="AR335" s="141"/>
      <c r="AS335" s="141"/>
      <c r="AT335" s="141"/>
      <c r="AU335" s="141"/>
      <c r="AV335" s="141"/>
      <c r="AW335" s="141"/>
      <c r="AX335" s="141"/>
      <c r="AY335" s="141"/>
      <c r="AZ335" s="141"/>
      <c r="BA335" s="141"/>
      <c r="BB335" s="141"/>
      <c r="BC335" s="141"/>
      <c r="BD335" s="141"/>
      <c r="BE335" s="141"/>
      <c r="BF335" s="141"/>
      <c r="BG335" s="18"/>
      <c r="BH335" s="1"/>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row>
    <row r="336" spans="1:135" ht="14.25" customHeight="1">
      <c r="A336" s="18"/>
      <c r="B336" s="18"/>
      <c r="C336" s="19"/>
      <c r="D336" s="18"/>
      <c r="E336" s="18"/>
      <c r="F336" s="19"/>
      <c r="G336" s="18"/>
      <c r="H336" s="114"/>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40"/>
      <c r="AL336" s="141"/>
      <c r="AM336" s="141"/>
      <c r="AN336" s="141"/>
      <c r="AO336" s="141"/>
      <c r="AP336" s="141"/>
      <c r="AQ336" s="141"/>
      <c r="AR336" s="141"/>
      <c r="AS336" s="141"/>
      <c r="AT336" s="141"/>
      <c r="AU336" s="141"/>
      <c r="AV336" s="141"/>
      <c r="AW336" s="141"/>
      <c r="AX336" s="141"/>
      <c r="AY336" s="141"/>
      <c r="AZ336" s="141"/>
      <c r="BA336" s="141"/>
      <c r="BB336" s="141"/>
      <c r="BC336" s="141"/>
      <c r="BD336" s="141"/>
      <c r="BE336" s="141"/>
      <c r="BF336" s="141"/>
      <c r="BG336" s="18"/>
      <c r="BH336" s="1"/>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row>
    <row r="337" spans="1:135" ht="14.25" customHeight="1">
      <c r="A337" s="18"/>
      <c r="B337" s="18"/>
      <c r="C337" s="19"/>
      <c r="D337" s="18"/>
      <c r="E337" s="18"/>
      <c r="F337" s="19"/>
      <c r="G337" s="18"/>
      <c r="H337" s="114"/>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40"/>
      <c r="AL337" s="141"/>
      <c r="AM337" s="141"/>
      <c r="AN337" s="141"/>
      <c r="AO337" s="141"/>
      <c r="AP337" s="141"/>
      <c r="AQ337" s="141"/>
      <c r="AR337" s="141"/>
      <c r="AS337" s="141"/>
      <c r="AT337" s="141"/>
      <c r="AU337" s="141"/>
      <c r="AV337" s="141"/>
      <c r="AW337" s="141"/>
      <c r="AX337" s="141"/>
      <c r="AY337" s="141"/>
      <c r="AZ337" s="141"/>
      <c r="BA337" s="141"/>
      <c r="BB337" s="141"/>
      <c r="BC337" s="141"/>
      <c r="BD337" s="141"/>
      <c r="BE337" s="141"/>
      <c r="BF337" s="141"/>
      <c r="BG337" s="18"/>
      <c r="BH337" s="1"/>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row>
    <row r="338" spans="1:135" ht="14.25" customHeight="1">
      <c r="A338" s="18"/>
      <c r="B338" s="18"/>
      <c r="C338" s="19"/>
      <c r="D338" s="18"/>
      <c r="E338" s="18"/>
      <c r="F338" s="19"/>
      <c r="G338" s="18"/>
      <c r="H338" s="114"/>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40"/>
      <c r="AL338" s="141"/>
      <c r="AM338" s="141"/>
      <c r="AN338" s="141"/>
      <c r="AO338" s="141"/>
      <c r="AP338" s="141"/>
      <c r="AQ338" s="141"/>
      <c r="AR338" s="141"/>
      <c r="AS338" s="141"/>
      <c r="AT338" s="141"/>
      <c r="AU338" s="141"/>
      <c r="AV338" s="141"/>
      <c r="AW338" s="141"/>
      <c r="AX338" s="141"/>
      <c r="AY338" s="141"/>
      <c r="AZ338" s="141"/>
      <c r="BA338" s="141"/>
      <c r="BB338" s="141"/>
      <c r="BC338" s="141"/>
      <c r="BD338" s="141"/>
      <c r="BE338" s="141"/>
      <c r="BF338" s="141"/>
      <c r="BG338" s="18"/>
      <c r="BH338" s="1"/>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row>
    <row r="339" spans="1:135" ht="14.25" customHeight="1">
      <c r="A339" s="18"/>
      <c r="B339" s="18"/>
      <c r="C339" s="19"/>
      <c r="D339" s="18"/>
      <c r="E339" s="18"/>
      <c r="F339" s="19"/>
      <c r="G339" s="18"/>
      <c r="H339" s="114"/>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40"/>
      <c r="AL339" s="141"/>
      <c r="AM339" s="141"/>
      <c r="AN339" s="141"/>
      <c r="AO339" s="141"/>
      <c r="AP339" s="141"/>
      <c r="AQ339" s="141"/>
      <c r="AR339" s="141"/>
      <c r="AS339" s="141"/>
      <c r="AT339" s="141"/>
      <c r="AU339" s="141"/>
      <c r="AV339" s="141"/>
      <c r="AW339" s="141"/>
      <c r="AX339" s="141"/>
      <c r="AY339" s="141"/>
      <c r="AZ339" s="141"/>
      <c r="BA339" s="141"/>
      <c r="BB339" s="141"/>
      <c r="BC339" s="141"/>
      <c r="BD339" s="141"/>
      <c r="BE339" s="141"/>
      <c r="BF339" s="141"/>
      <c r="BG339" s="18"/>
      <c r="BH339" s="1"/>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row>
    <row r="340" spans="1:135" ht="14.25" customHeight="1">
      <c r="A340" s="18"/>
      <c r="B340" s="18"/>
      <c r="C340" s="19"/>
      <c r="D340" s="18"/>
      <c r="E340" s="18"/>
      <c r="F340" s="19"/>
      <c r="G340" s="18"/>
      <c r="H340" s="114"/>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40"/>
      <c r="AL340" s="141"/>
      <c r="AM340" s="141"/>
      <c r="AN340" s="141"/>
      <c r="AO340" s="141"/>
      <c r="AP340" s="141"/>
      <c r="AQ340" s="141"/>
      <c r="AR340" s="141"/>
      <c r="AS340" s="141"/>
      <c r="AT340" s="141"/>
      <c r="AU340" s="141"/>
      <c r="AV340" s="141"/>
      <c r="AW340" s="141"/>
      <c r="AX340" s="141"/>
      <c r="AY340" s="141"/>
      <c r="AZ340" s="141"/>
      <c r="BA340" s="141"/>
      <c r="BB340" s="141"/>
      <c r="BC340" s="141"/>
      <c r="BD340" s="141"/>
      <c r="BE340" s="141"/>
      <c r="BF340" s="141"/>
      <c r="BG340" s="18"/>
      <c r="BH340" s="1"/>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row>
    <row r="341" spans="1:135" ht="14.25" customHeight="1">
      <c r="A341" s="18"/>
      <c r="B341" s="18"/>
      <c r="C341" s="19"/>
      <c r="D341" s="18"/>
      <c r="E341" s="18"/>
      <c r="F341" s="19"/>
      <c r="G341" s="18"/>
      <c r="H341" s="114"/>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40"/>
      <c r="AL341" s="141"/>
      <c r="AM341" s="141"/>
      <c r="AN341" s="141"/>
      <c r="AO341" s="141"/>
      <c r="AP341" s="141"/>
      <c r="AQ341" s="141"/>
      <c r="AR341" s="141"/>
      <c r="AS341" s="141"/>
      <c r="AT341" s="141"/>
      <c r="AU341" s="141"/>
      <c r="AV341" s="141"/>
      <c r="AW341" s="141"/>
      <c r="AX341" s="141"/>
      <c r="AY341" s="141"/>
      <c r="AZ341" s="141"/>
      <c r="BA341" s="141"/>
      <c r="BB341" s="141"/>
      <c r="BC341" s="141"/>
      <c r="BD341" s="141"/>
      <c r="BE341" s="141"/>
      <c r="BF341" s="141"/>
      <c r="BG341" s="18"/>
      <c r="BH341" s="1"/>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row>
    <row r="342" spans="1:135" ht="14.25" customHeight="1">
      <c r="A342" s="18"/>
      <c r="B342" s="18"/>
      <c r="C342" s="19"/>
      <c r="D342" s="18"/>
      <c r="E342" s="18"/>
      <c r="F342" s="19"/>
      <c r="G342" s="18"/>
      <c r="H342" s="114"/>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40"/>
      <c r="AL342" s="141"/>
      <c r="AM342" s="141"/>
      <c r="AN342" s="141"/>
      <c r="AO342" s="141"/>
      <c r="AP342" s="141"/>
      <c r="AQ342" s="141"/>
      <c r="AR342" s="141"/>
      <c r="AS342" s="141"/>
      <c r="AT342" s="141"/>
      <c r="AU342" s="141"/>
      <c r="AV342" s="141"/>
      <c r="AW342" s="141"/>
      <c r="AX342" s="141"/>
      <c r="AY342" s="141"/>
      <c r="AZ342" s="141"/>
      <c r="BA342" s="141"/>
      <c r="BB342" s="141"/>
      <c r="BC342" s="141"/>
      <c r="BD342" s="141"/>
      <c r="BE342" s="141"/>
      <c r="BF342" s="141"/>
      <c r="BG342" s="18"/>
      <c r="BH342" s="1"/>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row>
    <row r="343" spans="1:135" ht="14.25" customHeight="1">
      <c r="A343" s="18"/>
      <c r="B343" s="18"/>
      <c r="C343" s="19"/>
      <c r="D343" s="18"/>
      <c r="E343" s="18"/>
      <c r="F343" s="19"/>
      <c r="G343" s="18"/>
      <c r="H343" s="114"/>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40"/>
      <c r="AL343" s="141"/>
      <c r="AM343" s="141"/>
      <c r="AN343" s="141"/>
      <c r="AO343" s="141"/>
      <c r="AP343" s="141"/>
      <c r="AQ343" s="141"/>
      <c r="AR343" s="141"/>
      <c r="AS343" s="141"/>
      <c r="AT343" s="141"/>
      <c r="AU343" s="141"/>
      <c r="AV343" s="141"/>
      <c r="AW343" s="141"/>
      <c r="AX343" s="141"/>
      <c r="AY343" s="141"/>
      <c r="AZ343" s="141"/>
      <c r="BA343" s="141"/>
      <c r="BB343" s="141"/>
      <c r="BC343" s="141"/>
      <c r="BD343" s="141"/>
      <c r="BE343" s="141"/>
      <c r="BF343" s="141"/>
      <c r="BG343" s="18"/>
      <c r="BH343" s="1"/>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row>
    <row r="344" spans="1:135" ht="14.25" customHeight="1">
      <c r="A344" s="18"/>
      <c r="B344" s="18"/>
      <c r="C344" s="19"/>
      <c r="D344" s="18"/>
      <c r="E344" s="18"/>
      <c r="F344" s="19"/>
      <c r="G344" s="18"/>
      <c r="H344" s="114"/>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40"/>
      <c r="AL344" s="141"/>
      <c r="AM344" s="141"/>
      <c r="AN344" s="141"/>
      <c r="AO344" s="141"/>
      <c r="AP344" s="141"/>
      <c r="AQ344" s="141"/>
      <c r="AR344" s="141"/>
      <c r="AS344" s="141"/>
      <c r="AT344" s="141"/>
      <c r="AU344" s="141"/>
      <c r="AV344" s="141"/>
      <c r="AW344" s="141"/>
      <c r="AX344" s="141"/>
      <c r="AY344" s="141"/>
      <c r="AZ344" s="141"/>
      <c r="BA344" s="141"/>
      <c r="BB344" s="141"/>
      <c r="BC344" s="141"/>
      <c r="BD344" s="141"/>
      <c r="BE344" s="141"/>
      <c r="BF344" s="141"/>
      <c r="BG344" s="18"/>
      <c r="BH344" s="1"/>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row>
    <row r="345" spans="1:135" ht="14.25" customHeight="1">
      <c r="A345" s="18"/>
      <c r="B345" s="18"/>
      <c r="C345" s="19"/>
      <c r="D345" s="18"/>
      <c r="E345" s="18"/>
      <c r="F345" s="19"/>
      <c r="G345" s="18"/>
      <c r="H345" s="114"/>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40"/>
      <c r="AL345" s="141"/>
      <c r="AM345" s="141"/>
      <c r="AN345" s="141"/>
      <c r="AO345" s="141"/>
      <c r="AP345" s="141"/>
      <c r="AQ345" s="141"/>
      <c r="AR345" s="141"/>
      <c r="AS345" s="141"/>
      <c r="AT345" s="141"/>
      <c r="AU345" s="141"/>
      <c r="AV345" s="141"/>
      <c r="AW345" s="141"/>
      <c r="AX345" s="141"/>
      <c r="AY345" s="141"/>
      <c r="AZ345" s="141"/>
      <c r="BA345" s="141"/>
      <c r="BB345" s="141"/>
      <c r="BC345" s="141"/>
      <c r="BD345" s="141"/>
      <c r="BE345" s="141"/>
      <c r="BF345" s="141"/>
      <c r="BG345" s="18"/>
      <c r="BH345" s="1"/>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row>
    <row r="346" spans="1:135" ht="14.25" customHeight="1">
      <c r="A346" s="18"/>
      <c r="B346" s="18"/>
      <c r="C346" s="19"/>
      <c r="D346" s="18"/>
      <c r="E346" s="18"/>
      <c r="F346" s="19"/>
      <c r="G346" s="18"/>
      <c r="H346" s="114"/>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40"/>
      <c r="AL346" s="141"/>
      <c r="AM346" s="141"/>
      <c r="AN346" s="141"/>
      <c r="AO346" s="141"/>
      <c r="AP346" s="141"/>
      <c r="AQ346" s="141"/>
      <c r="AR346" s="141"/>
      <c r="AS346" s="141"/>
      <c r="AT346" s="141"/>
      <c r="AU346" s="141"/>
      <c r="AV346" s="141"/>
      <c r="AW346" s="141"/>
      <c r="AX346" s="141"/>
      <c r="AY346" s="141"/>
      <c r="AZ346" s="141"/>
      <c r="BA346" s="141"/>
      <c r="BB346" s="141"/>
      <c r="BC346" s="141"/>
      <c r="BD346" s="141"/>
      <c r="BE346" s="141"/>
      <c r="BF346" s="141"/>
      <c r="BG346" s="18"/>
      <c r="BH346" s="1"/>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row>
    <row r="347" spans="1:135" ht="14.25" customHeight="1">
      <c r="A347" s="18"/>
      <c r="B347" s="18"/>
      <c r="C347" s="19"/>
      <c r="D347" s="18"/>
      <c r="E347" s="18"/>
      <c r="F347" s="19"/>
      <c r="G347" s="18"/>
      <c r="H347" s="114"/>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40"/>
      <c r="AL347" s="141"/>
      <c r="AM347" s="141"/>
      <c r="AN347" s="141"/>
      <c r="AO347" s="141"/>
      <c r="AP347" s="141"/>
      <c r="AQ347" s="141"/>
      <c r="AR347" s="141"/>
      <c r="AS347" s="141"/>
      <c r="AT347" s="141"/>
      <c r="AU347" s="141"/>
      <c r="AV347" s="141"/>
      <c r="AW347" s="141"/>
      <c r="AX347" s="141"/>
      <c r="AY347" s="141"/>
      <c r="AZ347" s="141"/>
      <c r="BA347" s="141"/>
      <c r="BB347" s="141"/>
      <c r="BC347" s="141"/>
      <c r="BD347" s="141"/>
      <c r="BE347" s="141"/>
      <c r="BF347" s="141"/>
      <c r="BG347" s="18"/>
      <c r="BH347" s="1"/>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row>
    <row r="348" spans="1:135" ht="14.25" customHeight="1">
      <c r="A348" s="18"/>
      <c r="B348" s="18"/>
      <c r="C348" s="19"/>
      <c r="D348" s="18"/>
      <c r="E348" s="18"/>
      <c r="F348" s="19"/>
      <c r="G348" s="18"/>
      <c r="H348" s="114"/>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40"/>
      <c r="AL348" s="141"/>
      <c r="AM348" s="141"/>
      <c r="AN348" s="141"/>
      <c r="AO348" s="141"/>
      <c r="AP348" s="141"/>
      <c r="AQ348" s="141"/>
      <c r="AR348" s="141"/>
      <c r="AS348" s="141"/>
      <c r="AT348" s="141"/>
      <c r="AU348" s="141"/>
      <c r="AV348" s="141"/>
      <c r="AW348" s="141"/>
      <c r="AX348" s="141"/>
      <c r="AY348" s="141"/>
      <c r="AZ348" s="141"/>
      <c r="BA348" s="141"/>
      <c r="BB348" s="141"/>
      <c r="BC348" s="141"/>
      <c r="BD348" s="141"/>
      <c r="BE348" s="141"/>
      <c r="BF348" s="141"/>
      <c r="BG348" s="18"/>
      <c r="BH348" s="1"/>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row>
    <row r="349" spans="1:135" ht="14.25" customHeight="1">
      <c r="A349" s="18"/>
      <c r="B349" s="18"/>
      <c r="C349" s="19"/>
      <c r="D349" s="18"/>
      <c r="E349" s="18"/>
      <c r="F349" s="19"/>
      <c r="G349" s="18"/>
      <c r="H349" s="114"/>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40"/>
      <c r="AL349" s="141"/>
      <c r="AM349" s="141"/>
      <c r="AN349" s="141"/>
      <c r="AO349" s="141"/>
      <c r="AP349" s="141"/>
      <c r="AQ349" s="141"/>
      <c r="AR349" s="141"/>
      <c r="AS349" s="141"/>
      <c r="AT349" s="141"/>
      <c r="AU349" s="141"/>
      <c r="AV349" s="141"/>
      <c r="AW349" s="141"/>
      <c r="AX349" s="141"/>
      <c r="AY349" s="141"/>
      <c r="AZ349" s="141"/>
      <c r="BA349" s="141"/>
      <c r="BB349" s="141"/>
      <c r="BC349" s="141"/>
      <c r="BD349" s="141"/>
      <c r="BE349" s="141"/>
      <c r="BF349" s="141"/>
      <c r="BG349" s="18"/>
      <c r="BH349" s="1"/>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row>
    <row r="350" spans="1:135" ht="14.25" customHeight="1">
      <c r="A350" s="18"/>
      <c r="B350" s="18"/>
      <c r="C350" s="19"/>
      <c r="D350" s="18"/>
      <c r="E350" s="18"/>
      <c r="F350" s="19"/>
      <c r="G350" s="18"/>
      <c r="H350" s="114"/>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40"/>
      <c r="AL350" s="141"/>
      <c r="AM350" s="141"/>
      <c r="AN350" s="141"/>
      <c r="AO350" s="141"/>
      <c r="AP350" s="141"/>
      <c r="AQ350" s="141"/>
      <c r="AR350" s="141"/>
      <c r="AS350" s="141"/>
      <c r="AT350" s="141"/>
      <c r="AU350" s="141"/>
      <c r="AV350" s="141"/>
      <c r="AW350" s="141"/>
      <c r="AX350" s="141"/>
      <c r="AY350" s="141"/>
      <c r="AZ350" s="141"/>
      <c r="BA350" s="141"/>
      <c r="BB350" s="141"/>
      <c r="BC350" s="141"/>
      <c r="BD350" s="141"/>
      <c r="BE350" s="141"/>
      <c r="BF350" s="141"/>
      <c r="BG350" s="18"/>
      <c r="BH350" s="1"/>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row>
    <row r="351" spans="1:135" ht="14.25" customHeight="1">
      <c r="A351" s="18"/>
      <c r="B351" s="18"/>
      <c r="C351" s="19"/>
      <c r="D351" s="18"/>
      <c r="E351" s="18"/>
      <c r="F351" s="19"/>
      <c r="G351" s="18"/>
      <c r="H351" s="114"/>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40"/>
      <c r="AL351" s="141"/>
      <c r="AM351" s="141"/>
      <c r="AN351" s="141"/>
      <c r="AO351" s="141"/>
      <c r="AP351" s="141"/>
      <c r="AQ351" s="141"/>
      <c r="AR351" s="141"/>
      <c r="AS351" s="141"/>
      <c r="AT351" s="141"/>
      <c r="AU351" s="141"/>
      <c r="AV351" s="141"/>
      <c r="AW351" s="141"/>
      <c r="AX351" s="141"/>
      <c r="AY351" s="141"/>
      <c r="AZ351" s="141"/>
      <c r="BA351" s="141"/>
      <c r="BB351" s="141"/>
      <c r="BC351" s="141"/>
      <c r="BD351" s="141"/>
      <c r="BE351" s="141"/>
      <c r="BF351" s="141"/>
      <c r="BG351" s="18"/>
      <c r="BH351" s="1"/>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row>
    <row r="352" spans="1:135" ht="14.25" customHeight="1">
      <c r="A352" s="18"/>
      <c r="B352" s="18"/>
      <c r="C352" s="19"/>
      <c r="D352" s="18"/>
      <c r="E352" s="18"/>
      <c r="F352" s="19"/>
      <c r="G352" s="18"/>
      <c r="H352" s="114"/>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40"/>
      <c r="AL352" s="141"/>
      <c r="AM352" s="141"/>
      <c r="AN352" s="141"/>
      <c r="AO352" s="141"/>
      <c r="AP352" s="141"/>
      <c r="AQ352" s="141"/>
      <c r="AR352" s="141"/>
      <c r="AS352" s="141"/>
      <c r="AT352" s="141"/>
      <c r="AU352" s="141"/>
      <c r="AV352" s="141"/>
      <c r="AW352" s="141"/>
      <c r="AX352" s="141"/>
      <c r="AY352" s="141"/>
      <c r="AZ352" s="141"/>
      <c r="BA352" s="141"/>
      <c r="BB352" s="141"/>
      <c r="BC352" s="141"/>
      <c r="BD352" s="141"/>
      <c r="BE352" s="141"/>
      <c r="BF352" s="141"/>
      <c r="BG352" s="18"/>
      <c r="BH352" s="1"/>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row>
    <row r="353" spans="1:135" ht="14.25" customHeight="1">
      <c r="A353" s="18"/>
      <c r="B353" s="18"/>
      <c r="C353" s="19"/>
      <c r="D353" s="18"/>
      <c r="E353" s="18"/>
      <c r="F353" s="19"/>
      <c r="G353" s="18"/>
      <c r="H353" s="114"/>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40"/>
      <c r="AL353" s="141"/>
      <c r="AM353" s="141"/>
      <c r="AN353" s="141"/>
      <c r="AO353" s="141"/>
      <c r="AP353" s="141"/>
      <c r="AQ353" s="141"/>
      <c r="AR353" s="141"/>
      <c r="AS353" s="141"/>
      <c r="AT353" s="141"/>
      <c r="AU353" s="141"/>
      <c r="AV353" s="141"/>
      <c r="AW353" s="141"/>
      <c r="AX353" s="141"/>
      <c r="AY353" s="141"/>
      <c r="AZ353" s="141"/>
      <c r="BA353" s="141"/>
      <c r="BB353" s="141"/>
      <c r="BC353" s="141"/>
      <c r="BD353" s="141"/>
      <c r="BE353" s="141"/>
      <c r="BF353" s="141"/>
      <c r="BG353" s="18"/>
      <c r="BH353" s="1"/>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row>
    <row r="354" spans="1:135" ht="14.25" customHeight="1">
      <c r="A354" s="18"/>
      <c r="B354" s="18"/>
      <c r="C354" s="19"/>
      <c r="D354" s="18"/>
      <c r="E354" s="18"/>
      <c r="F354" s="19"/>
      <c r="G354" s="18"/>
      <c r="H354" s="114"/>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40"/>
      <c r="AL354" s="141"/>
      <c r="AM354" s="141"/>
      <c r="AN354" s="141"/>
      <c r="AO354" s="141"/>
      <c r="AP354" s="141"/>
      <c r="AQ354" s="141"/>
      <c r="AR354" s="141"/>
      <c r="AS354" s="141"/>
      <c r="AT354" s="141"/>
      <c r="AU354" s="141"/>
      <c r="AV354" s="141"/>
      <c r="AW354" s="141"/>
      <c r="AX354" s="141"/>
      <c r="AY354" s="141"/>
      <c r="AZ354" s="141"/>
      <c r="BA354" s="141"/>
      <c r="BB354" s="141"/>
      <c r="BC354" s="141"/>
      <c r="BD354" s="141"/>
      <c r="BE354" s="141"/>
      <c r="BF354" s="141"/>
      <c r="BG354" s="18"/>
      <c r="BH354" s="1"/>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row>
    <row r="355" spans="1:135" ht="14.25" customHeight="1">
      <c r="A355" s="18"/>
      <c r="B355" s="18"/>
      <c r="C355" s="19"/>
      <c r="D355" s="18"/>
      <c r="E355" s="18"/>
      <c r="F355" s="19"/>
      <c r="G355" s="18"/>
      <c r="H355" s="114"/>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40"/>
      <c r="AL355" s="141"/>
      <c r="AM355" s="141"/>
      <c r="AN355" s="141"/>
      <c r="AO355" s="141"/>
      <c r="AP355" s="141"/>
      <c r="AQ355" s="141"/>
      <c r="AR355" s="141"/>
      <c r="AS355" s="141"/>
      <c r="AT355" s="141"/>
      <c r="AU355" s="141"/>
      <c r="AV355" s="141"/>
      <c r="AW355" s="141"/>
      <c r="AX355" s="141"/>
      <c r="AY355" s="141"/>
      <c r="AZ355" s="141"/>
      <c r="BA355" s="141"/>
      <c r="BB355" s="141"/>
      <c r="BC355" s="141"/>
      <c r="BD355" s="141"/>
      <c r="BE355" s="141"/>
      <c r="BF355" s="141"/>
      <c r="BG355" s="18"/>
      <c r="BH355" s="1"/>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row>
    <row r="356" spans="1:135" ht="14.25" customHeight="1">
      <c r="A356" s="18"/>
      <c r="B356" s="18"/>
      <c r="C356" s="19"/>
      <c r="D356" s="18"/>
      <c r="E356" s="18"/>
      <c r="F356" s="19"/>
      <c r="G356" s="18"/>
      <c r="H356" s="114"/>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40"/>
      <c r="AL356" s="141"/>
      <c r="AM356" s="141"/>
      <c r="AN356" s="141"/>
      <c r="AO356" s="141"/>
      <c r="AP356" s="141"/>
      <c r="AQ356" s="141"/>
      <c r="AR356" s="141"/>
      <c r="AS356" s="141"/>
      <c r="AT356" s="141"/>
      <c r="AU356" s="141"/>
      <c r="AV356" s="141"/>
      <c r="AW356" s="141"/>
      <c r="AX356" s="141"/>
      <c r="AY356" s="141"/>
      <c r="AZ356" s="141"/>
      <c r="BA356" s="141"/>
      <c r="BB356" s="141"/>
      <c r="BC356" s="141"/>
      <c r="BD356" s="141"/>
      <c r="BE356" s="141"/>
      <c r="BF356" s="141"/>
      <c r="BG356" s="18"/>
      <c r="BH356" s="1"/>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row>
    <row r="357" spans="1:135" ht="14.25" customHeight="1">
      <c r="A357" s="18"/>
      <c r="B357" s="18"/>
      <c r="C357" s="19"/>
      <c r="D357" s="18"/>
      <c r="E357" s="18"/>
      <c r="F357" s="19"/>
      <c r="G357" s="18"/>
      <c r="H357" s="114"/>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40"/>
      <c r="AL357" s="141"/>
      <c r="AM357" s="141"/>
      <c r="AN357" s="141"/>
      <c r="AO357" s="141"/>
      <c r="AP357" s="141"/>
      <c r="AQ357" s="141"/>
      <c r="AR357" s="141"/>
      <c r="AS357" s="141"/>
      <c r="AT357" s="141"/>
      <c r="AU357" s="141"/>
      <c r="AV357" s="141"/>
      <c r="AW357" s="141"/>
      <c r="AX357" s="141"/>
      <c r="AY357" s="141"/>
      <c r="AZ357" s="141"/>
      <c r="BA357" s="141"/>
      <c r="BB357" s="141"/>
      <c r="BC357" s="141"/>
      <c r="BD357" s="141"/>
      <c r="BE357" s="141"/>
      <c r="BF357" s="141"/>
      <c r="BG357" s="18"/>
      <c r="BH357" s="1"/>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row>
    <row r="358" spans="1:135" ht="14.25" customHeight="1">
      <c r="A358" s="18"/>
      <c r="B358" s="18"/>
      <c r="C358" s="19"/>
      <c r="D358" s="18"/>
      <c r="E358" s="18"/>
      <c r="F358" s="19"/>
      <c r="G358" s="18"/>
      <c r="H358" s="114"/>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40"/>
      <c r="AL358" s="141"/>
      <c r="AM358" s="141"/>
      <c r="AN358" s="141"/>
      <c r="AO358" s="141"/>
      <c r="AP358" s="141"/>
      <c r="AQ358" s="141"/>
      <c r="AR358" s="141"/>
      <c r="AS358" s="141"/>
      <c r="AT358" s="141"/>
      <c r="AU358" s="141"/>
      <c r="AV358" s="141"/>
      <c r="AW358" s="141"/>
      <c r="AX358" s="141"/>
      <c r="AY358" s="141"/>
      <c r="AZ358" s="141"/>
      <c r="BA358" s="141"/>
      <c r="BB358" s="141"/>
      <c r="BC358" s="141"/>
      <c r="BD358" s="141"/>
      <c r="BE358" s="141"/>
      <c r="BF358" s="141"/>
      <c r="BG358" s="18"/>
      <c r="BH358" s="1"/>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row>
    <row r="359" spans="1:135" ht="14.25" customHeight="1">
      <c r="A359" s="18"/>
      <c r="B359" s="18"/>
      <c r="C359" s="19"/>
      <c r="D359" s="18"/>
      <c r="E359" s="18"/>
      <c r="F359" s="19"/>
      <c r="G359" s="18"/>
      <c r="H359" s="114"/>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40"/>
      <c r="AL359" s="141"/>
      <c r="AM359" s="141"/>
      <c r="AN359" s="141"/>
      <c r="AO359" s="141"/>
      <c r="AP359" s="141"/>
      <c r="AQ359" s="141"/>
      <c r="AR359" s="141"/>
      <c r="AS359" s="141"/>
      <c r="AT359" s="141"/>
      <c r="AU359" s="141"/>
      <c r="AV359" s="141"/>
      <c r="AW359" s="141"/>
      <c r="AX359" s="141"/>
      <c r="AY359" s="141"/>
      <c r="AZ359" s="141"/>
      <c r="BA359" s="141"/>
      <c r="BB359" s="141"/>
      <c r="BC359" s="141"/>
      <c r="BD359" s="141"/>
      <c r="BE359" s="141"/>
      <c r="BF359" s="141"/>
      <c r="BG359" s="18"/>
      <c r="BH359" s="1"/>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row>
    <row r="360" spans="1:135" ht="14.25" customHeight="1">
      <c r="A360" s="18"/>
      <c r="B360" s="18"/>
      <c r="C360" s="19"/>
      <c r="D360" s="18"/>
      <c r="E360" s="18"/>
      <c r="F360" s="19"/>
      <c r="G360" s="18"/>
      <c r="H360" s="114"/>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40"/>
      <c r="AL360" s="141"/>
      <c r="AM360" s="141"/>
      <c r="AN360" s="141"/>
      <c r="AO360" s="141"/>
      <c r="AP360" s="141"/>
      <c r="AQ360" s="141"/>
      <c r="AR360" s="141"/>
      <c r="AS360" s="141"/>
      <c r="AT360" s="141"/>
      <c r="AU360" s="141"/>
      <c r="AV360" s="141"/>
      <c r="AW360" s="141"/>
      <c r="AX360" s="141"/>
      <c r="AY360" s="141"/>
      <c r="AZ360" s="141"/>
      <c r="BA360" s="141"/>
      <c r="BB360" s="141"/>
      <c r="BC360" s="141"/>
      <c r="BD360" s="141"/>
      <c r="BE360" s="141"/>
      <c r="BF360" s="141"/>
      <c r="BG360" s="18"/>
      <c r="BH360" s="1"/>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row>
    <row r="361" spans="1:135" ht="14.25" customHeight="1">
      <c r="A361" s="18"/>
      <c r="B361" s="18"/>
      <c r="C361" s="19"/>
      <c r="D361" s="18"/>
      <c r="E361" s="18"/>
      <c r="F361" s="19"/>
      <c r="G361" s="18"/>
      <c r="H361" s="114"/>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40"/>
      <c r="AL361" s="141"/>
      <c r="AM361" s="141"/>
      <c r="AN361" s="141"/>
      <c r="AO361" s="141"/>
      <c r="AP361" s="141"/>
      <c r="AQ361" s="141"/>
      <c r="AR361" s="141"/>
      <c r="AS361" s="141"/>
      <c r="AT361" s="141"/>
      <c r="AU361" s="141"/>
      <c r="AV361" s="141"/>
      <c r="AW361" s="141"/>
      <c r="AX361" s="141"/>
      <c r="AY361" s="141"/>
      <c r="AZ361" s="141"/>
      <c r="BA361" s="141"/>
      <c r="BB361" s="141"/>
      <c r="BC361" s="141"/>
      <c r="BD361" s="141"/>
      <c r="BE361" s="141"/>
      <c r="BF361" s="141"/>
      <c r="BG361" s="18"/>
      <c r="BH361" s="1"/>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row>
    <row r="362" spans="1:135" ht="14.25" customHeight="1">
      <c r="A362" s="18"/>
      <c r="B362" s="18"/>
      <c r="C362" s="19"/>
      <c r="D362" s="18"/>
      <c r="E362" s="18"/>
      <c r="F362" s="19"/>
      <c r="G362" s="18"/>
      <c r="H362" s="114"/>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40"/>
      <c r="AL362" s="141"/>
      <c r="AM362" s="141"/>
      <c r="AN362" s="141"/>
      <c r="AO362" s="141"/>
      <c r="AP362" s="141"/>
      <c r="AQ362" s="141"/>
      <c r="AR362" s="141"/>
      <c r="AS362" s="141"/>
      <c r="AT362" s="141"/>
      <c r="AU362" s="141"/>
      <c r="AV362" s="141"/>
      <c r="AW362" s="141"/>
      <c r="AX362" s="141"/>
      <c r="AY362" s="141"/>
      <c r="AZ362" s="141"/>
      <c r="BA362" s="141"/>
      <c r="BB362" s="141"/>
      <c r="BC362" s="141"/>
      <c r="BD362" s="141"/>
      <c r="BE362" s="141"/>
      <c r="BF362" s="141"/>
      <c r="BG362" s="18"/>
      <c r="BH362" s="1"/>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row>
    <row r="363" spans="1:135" ht="14.25" customHeight="1">
      <c r="A363" s="18"/>
      <c r="B363" s="18"/>
      <c r="C363" s="19"/>
      <c r="D363" s="18"/>
      <c r="E363" s="18"/>
      <c r="F363" s="19"/>
      <c r="G363" s="18"/>
      <c r="H363" s="114"/>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40"/>
      <c r="AL363" s="141"/>
      <c r="AM363" s="141"/>
      <c r="AN363" s="141"/>
      <c r="AO363" s="141"/>
      <c r="AP363" s="141"/>
      <c r="AQ363" s="141"/>
      <c r="AR363" s="141"/>
      <c r="AS363" s="141"/>
      <c r="AT363" s="141"/>
      <c r="AU363" s="141"/>
      <c r="AV363" s="141"/>
      <c r="AW363" s="141"/>
      <c r="AX363" s="141"/>
      <c r="AY363" s="141"/>
      <c r="AZ363" s="141"/>
      <c r="BA363" s="141"/>
      <c r="BB363" s="141"/>
      <c r="BC363" s="141"/>
      <c r="BD363" s="141"/>
      <c r="BE363" s="141"/>
      <c r="BF363" s="141"/>
      <c r="BG363" s="18"/>
      <c r="BH363" s="1"/>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row>
    <row r="364" spans="1:135" ht="14.25" customHeight="1">
      <c r="A364" s="18"/>
      <c r="B364" s="18"/>
      <c r="C364" s="19"/>
      <c r="D364" s="18"/>
      <c r="E364" s="18"/>
      <c r="F364" s="19"/>
      <c r="G364" s="18"/>
      <c r="H364" s="114"/>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40"/>
      <c r="AL364" s="141"/>
      <c r="AM364" s="141"/>
      <c r="AN364" s="141"/>
      <c r="AO364" s="141"/>
      <c r="AP364" s="141"/>
      <c r="AQ364" s="141"/>
      <c r="AR364" s="141"/>
      <c r="AS364" s="141"/>
      <c r="AT364" s="141"/>
      <c r="AU364" s="141"/>
      <c r="AV364" s="141"/>
      <c r="AW364" s="141"/>
      <c r="AX364" s="141"/>
      <c r="AY364" s="141"/>
      <c r="AZ364" s="141"/>
      <c r="BA364" s="141"/>
      <c r="BB364" s="141"/>
      <c r="BC364" s="141"/>
      <c r="BD364" s="141"/>
      <c r="BE364" s="141"/>
      <c r="BF364" s="141"/>
      <c r="BG364" s="18"/>
      <c r="BH364" s="1"/>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row>
    <row r="365" spans="1:135" ht="14.25" customHeight="1">
      <c r="A365" s="18"/>
      <c r="B365" s="18"/>
      <c r="C365" s="19"/>
      <c r="D365" s="18"/>
      <c r="E365" s="18"/>
      <c r="F365" s="19"/>
      <c r="G365" s="18"/>
      <c r="H365" s="114"/>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40"/>
      <c r="AL365" s="141"/>
      <c r="AM365" s="141"/>
      <c r="AN365" s="141"/>
      <c r="AO365" s="141"/>
      <c r="AP365" s="141"/>
      <c r="AQ365" s="141"/>
      <c r="AR365" s="141"/>
      <c r="AS365" s="141"/>
      <c r="AT365" s="141"/>
      <c r="AU365" s="141"/>
      <c r="AV365" s="141"/>
      <c r="AW365" s="141"/>
      <c r="AX365" s="141"/>
      <c r="AY365" s="141"/>
      <c r="AZ365" s="141"/>
      <c r="BA365" s="141"/>
      <c r="BB365" s="141"/>
      <c r="BC365" s="141"/>
      <c r="BD365" s="141"/>
      <c r="BE365" s="141"/>
      <c r="BF365" s="141"/>
      <c r="BG365" s="18"/>
      <c r="BH365" s="1"/>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row>
    <row r="366" spans="1:135" ht="14.25" customHeight="1">
      <c r="A366" s="18"/>
      <c r="B366" s="18"/>
      <c r="C366" s="19"/>
      <c r="D366" s="18"/>
      <c r="E366" s="18"/>
      <c r="F366" s="19"/>
      <c r="G366" s="18"/>
      <c r="H366" s="114"/>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40"/>
      <c r="AL366" s="141"/>
      <c r="AM366" s="141"/>
      <c r="AN366" s="141"/>
      <c r="AO366" s="141"/>
      <c r="AP366" s="141"/>
      <c r="AQ366" s="141"/>
      <c r="AR366" s="141"/>
      <c r="AS366" s="141"/>
      <c r="AT366" s="141"/>
      <c r="AU366" s="141"/>
      <c r="AV366" s="141"/>
      <c r="AW366" s="141"/>
      <c r="AX366" s="141"/>
      <c r="AY366" s="141"/>
      <c r="AZ366" s="141"/>
      <c r="BA366" s="141"/>
      <c r="BB366" s="141"/>
      <c r="BC366" s="141"/>
      <c r="BD366" s="141"/>
      <c r="BE366" s="141"/>
      <c r="BF366" s="141"/>
      <c r="BG366" s="18"/>
      <c r="BH366" s="1"/>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row>
    <row r="367" spans="1:135" ht="14.25" customHeight="1">
      <c r="A367" s="18"/>
      <c r="B367" s="18"/>
      <c r="C367" s="19"/>
      <c r="D367" s="18"/>
      <c r="E367" s="18"/>
      <c r="F367" s="19"/>
      <c r="G367" s="18"/>
      <c r="H367" s="114"/>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40"/>
      <c r="AL367" s="141"/>
      <c r="AM367" s="141"/>
      <c r="AN367" s="141"/>
      <c r="AO367" s="141"/>
      <c r="AP367" s="141"/>
      <c r="AQ367" s="141"/>
      <c r="AR367" s="141"/>
      <c r="AS367" s="141"/>
      <c r="AT367" s="141"/>
      <c r="AU367" s="141"/>
      <c r="AV367" s="141"/>
      <c r="AW367" s="141"/>
      <c r="AX367" s="141"/>
      <c r="AY367" s="141"/>
      <c r="AZ367" s="141"/>
      <c r="BA367" s="141"/>
      <c r="BB367" s="141"/>
      <c r="BC367" s="141"/>
      <c r="BD367" s="141"/>
      <c r="BE367" s="141"/>
      <c r="BF367" s="141"/>
      <c r="BG367" s="18"/>
      <c r="BH367" s="1"/>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row>
    <row r="368" spans="1:135" ht="14.25" customHeight="1">
      <c r="A368" s="18"/>
      <c r="B368" s="18"/>
      <c r="C368" s="19"/>
      <c r="D368" s="18"/>
      <c r="E368" s="18"/>
      <c r="F368" s="19"/>
      <c r="G368" s="18"/>
      <c r="H368" s="114"/>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40"/>
      <c r="AL368" s="141"/>
      <c r="AM368" s="141"/>
      <c r="AN368" s="141"/>
      <c r="AO368" s="141"/>
      <c r="AP368" s="141"/>
      <c r="AQ368" s="141"/>
      <c r="AR368" s="141"/>
      <c r="AS368" s="141"/>
      <c r="AT368" s="141"/>
      <c r="AU368" s="141"/>
      <c r="AV368" s="141"/>
      <c r="AW368" s="141"/>
      <c r="AX368" s="141"/>
      <c r="AY368" s="141"/>
      <c r="AZ368" s="141"/>
      <c r="BA368" s="141"/>
      <c r="BB368" s="141"/>
      <c r="BC368" s="141"/>
      <c r="BD368" s="141"/>
      <c r="BE368" s="141"/>
      <c r="BF368" s="141"/>
      <c r="BG368" s="18"/>
      <c r="BH368" s="1"/>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row>
    <row r="369" spans="1:135" ht="14.25" customHeight="1">
      <c r="A369" s="18"/>
      <c r="B369" s="18"/>
      <c r="C369" s="19"/>
      <c r="D369" s="18"/>
      <c r="E369" s="18"/>
      <c r="F369" s="19"/>
      <c r="G369" s="18"/>
      <c r="H369" s="114"/>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40"/>
      <c r="AL369" s="141"/>
      <c r="AM369" s="141"/>
      <c r="AN369" s="141"/>
      <c r="AO369" s="141"/>
      <c r="AP369" s="141"/>
      <c r="AQ369" s="141"/>
      <c r="AR369" s="141"/>
      <c r="AS369" s="141"/>
      <c r="AT369" s="141"/>
      <c r="AU369" s="141"/>
      <c r="AV369" s="141"/>
      <c r="AW369" s="141"/>
      <c r="AX369" s="141"/>
      <c r="AY369" s="141"/>
      <c r="AZ369" s="141"/>
      <c r="BA369" s="141"/>
      <c r="BB369" s="141"/>
      <c r="BC369" s="141"/>
      <c r="BD369" s="141"/>
      <c r="BE369" s="141"/>
      <c r="BF369" s="141"/>
      <c r="BG369" s="18"/>
      <c r="BH369" s="1"/>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row>
    <row r="370" spans="1:135" ht="14.25" customHeight="1">
      <c r="A370" s="18"/>
      <c r="B370" s="18"/>
      <c r="C370" s="19"/>
      <c r="D370" s="18"/>
      <c r="E370" s="18"/>
      <c r="F370" s="19"/>
      <c r="G370" s="18"/>
      <c r="H370" s="114"/>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40"/>
      <c r="AL370" s="141"/>
      <c r="AM370" s="141"/>
      <c r="AN370" s="141"/>
      <c r="AO370" s="141"/>
      <c r="AP370" s="141"/>
      <c r="AQ370" s="141"/>
      <c r="AR370" s="141"/>
      <c r="AS370" s="141"/>
      <c r="AT370" s="141"/>
      <c r="AU370" s="141"/>
      <c r="AV370" s="141"/>
      <c r="AW370" s="141"/>
      <c r="AX370" s="141"/>
      <c r="AY370" s="141"/>
      <c r="AZ370" s="141"/>
      <c r="BA370" s="141"/>
      <c r="BB370" s="141"/>
      <c r="BC370" s="141"/>
      <c r="BD370" s="141"/>
      <c r="BE370" s="141"/>
      <c r="BF370" s="141"/>
      <c r="BG370" s="18"/>
      <c r="BH370" s="1"/>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row>
    <row r="371" spans="1:135" ht="14.25" customHeight="1">
      <c r="A371" s="18"/>
      <c r="B371" s="18"/>
      <c r="C371" s="19"/>
      <c r="D371" s="18"/>
      <c r="E371" s="18"/>
      <c r="F371" s="19"/>
      <c r="G371" s="18"/>
      <c r="H371" s="114"/>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40"/>
      <c r="AL371" s="141"/>
      <c r="AM371" s="141"/>
      <c r="AN371" s="141"/>
      <c r="AO371" s="141"/>
      <c r="AP371" s="141"/>
      <c r="AQ371" s="141"/>
      <c r="AR371" s="141"/>
      <c r="AS371" s="141"/>
      <c r="AT371" s="141"/>
      <c r="AU371" s="141"/>
      <c r="AV371" s="141"/>
      <c r="AW371" s="141"/>
      <c r="AX371" s="141"/>
      <c r="AY371" s="141"/>
      <c r="AZ371" s="141"/>
      <c r="BA371" s="141"/>
      <c r="BB371" s="141"/>
      <c r="BC371" s="141"/>
      <c r="BD371" s="141"/>
      <c r="BE371" s="141"/>
      <c r="BF371" s="141"/>
      <c r="BG371" s="18"/>
      <c r="BH371" s="1"/>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row>
    <row r="372" spans="1:135" ht="14.25" customHeight="1">
      <c r="A372" s="18"/>
      <c r="B372" s="18"/>
      <c r="C372" s="19"/>
      <c r="D372" s="18"/>
      <c r="E372" s="18"/>
      <c r="F372" s="19"/>
      <c r="G372" s="18"/>
      <c r="H372" s="114"/>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40"/>
      <c r="AL372" s="141"/>
      <c r="AM372" s="141"/>
      <c r="AN372" s="141"/>
      <c r="AO372" s="141"/>
      <c r="AP372" s="141"/>
      <c r="AQ372" s="141"/>
      <c r="AR372" s="141"/>
      <c r="AS372" s="141"/>
      <c r="AT372" s="141"/>
      <c r="AU372" s="141"/>
      <c r="AV372" s="141"/>
      <c r="AW372" s="141"/>
      <c r="AX372" s="141"/>
      <c r="AY372" s="141"/>
      <c r="AZ372" s="141"/>
      <c r="BA372" s="141"/>
      <c r="BB372" s="141"/>
      <c r="BC372" s="141"/>
      <c r="BD372" s="141"/>
      <c r="BE372" s="141"/>
      <c r="BF372" s="141"/>
      <c r="BG372" s="18"/>
      <c r="BH372" s="1"/>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row>
    <row r="373" spans="1:135" ht="14.25" customHeight="1">
      <c r="A373" s="18"/>
      <c r="B373" s="18"/>
      <c r="C373" s="19"/>
      <c r="D373" s="18"/>
      <c r="E373" s="18"/>
      <c r="F373" s="19"/>
      <c r="G373" s="18"/>
      <c r="H373" s="114"/>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40"/>
      <c r="AL373" s="141"/>
      <c r="AM373" s="141"/>
      <c r="AN373" s="141"/>
      <c r="AO373" s="141"/>
      <c r="AP373" s="141"/>
      <c r="AQ373" s="141"/>
      <c r="AR373" s="141"/>
      <c r="AS373" s="141"/>
      <c r="AT373" s="141"/>
      <c r="AU373" s="141"/>
      <c r="AV373" s="141"/>
      <c r="AW373" s="141"/>
      <c r="AX373" s="141"/>
      <c r="AY373" s="141"/>
      <c r="AZ373" s="141"/>
      <c r="BA373" s="141"/>
      <c r="BB373" s="141"/>
      <c r="BC373" s="141"/>
      <c r="BD373" s="141"/>
      <c r="BE373" s="141"/>
      <c r="BF373" s="141"/>
      <c r="BG373" s="18"/>
      <c r="BH373" s="1"/>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row>
    <row r="374" spans="1:135" ht="14.25" customHeight="1">
      <c r="A374" s="18"/>
      <c r="B374" s="18"/>
      <c r="C374" s="19"/>
      <c r="D374" s="18"/>
      <c r="E374" s="18"/>
      <c r="F374" s="19"/>
      <c r="G374" s="18"/>
      <c r="H374" s="114"/>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40"/>
      <c r="AL374" s="141"/>
      <c r="AM374" s="141"/>
      <c r="AN374" s="141"/>
      <c r="AO374" s="141"/>
      <c r="AP374" s="141"/>
      <c r="AQ374" s="141"/>
      <c r="AR374" s="141"/>
      <c r="AS374" s="141"/>
      <c r="AT374" s="141"/>
      <c r="AU374" s="141"/>
      <c r="AV374" s="141"/>
      <c r="AW374" s="141"/>
      <c r="AX374" s="141"/>
      <c r="AY374" s="141"/>
      <c r="AZ374" s="141"/>
      <c r="BA374" s="141"/>
      <c r="BB374" s="141"/>
      <c r="BC374" s="141"/>
      <c r="BD374" s="141"/>
      <c r="BE374" s="141"/>
      <c r="BF374" s="141"/>
      <c r="BG374" s="18"/>
      <c r="BH374" s="1"/>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row>
    <row r="375" spans="1:135" ht="14.25" customHeight="1">
      <c r="A375" s="18"/>
      <c r="B375" s="18"/>
      <c r="C375" s="19"/>
      <c r="D375" s="18"/>
      <c r="E375" s="18"/>
      <c r="F375" s="19"/>
      <c r="G375" s="18"/>
      <c r="H375" s="114"/>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40"/>
      <c r="AL375" s="141"/>
      <c r="AM375" s="141"/>
      <c r="AN375" s="141"/>
      <c r="AO375" s="141"/>
      <c r="AP375" s="141"/>
      <c r="AQ375" s="141"/>
      <c r="AR375" s="141"/>
      <c r="AS375" s="141"/>
      <c r="AT375" s="141"/>
      <c r="AU375" s="141"/>
      <c r="AV375" s="141"/>
      <c r="AW375" s="141"/>
      <c r="AX375" s="141"/>
      <c r="AY375" s="141"/>
      <c r="AZ375" s="141"/>
      <c r="BA375" s="141"/>
      <c r="BB375" s="141"/>
      <c r="BC375" s="141"/>
      <c r="BD375" s="141"/>
      <c r="BE375" s="141"/>
      <c r="BF375" s="141"/>
      <c r="BG375" s="18"/>
      <c r="BH375" s="1"/>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row>
    <row r="376" spans="1:135" ht="14.25" customHeight="1">
      <c r="A376" s="18"/>
      <c r="B376" s="18"/>
      <c r="C376" s="19"/>
      <c r="D376" s="18"/>
      <c r="E376" s="18"/>
      <c r="F376" s="19"/>
      <c r="G376" s="18"/>
      <c r="H376" s="114"/>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40"/>
      <c r="AL376" s="141"/>
      <c r="AM376" s="141"/>
      <c r="AN376" s="141"/>
      <c r="AO376" s="141"/>
      <c r="AP376" s="141"/>
      <c r="AQ376" s="141"/>
      <c r="AR376" s="141"/>
      <c r="AS376" s="141"/>
      <c r="AT376" s="141"/>
      <c r="AU376" s="141"/>
      <c r="AV376" s="141"/>
      <c r="AW376" s="141"/>
      <c r="AX376" s="141"/>
      <c r="AY376" s="141"/>
      <c r="AZ376" s="141"/>
      <c r="BA376" s="141"/>
      <c r="BB376" s="141"/>
      <c r="BC376" s="141"/>
      <c r="BD376" s="141"/>
      <c r="BE376" s="141"/>
      <c r="BF376" s="141"/>
      <c r="BG376" s="18"/>
      <c r="BH376" s="1"/>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row>
    <row r="377" spans="1:135" ht="14.25" customHeight="1">
      <c r="A377" s="18"/>
      <c r="B377" s="18"/>
      <c r="C377" s="19"/>
      <c r="D377" s="18"/>
      <c r="E377" s="18"/>
      <c r="F377" s="19"/>
      <c r="G377" s="18"/>
      <c r="H377" s="114"/>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40"/>
      <c r="AL377" s="141"/>
      <c r="AM377" s="141"/>
      <c r="AN377" s="141"/>
      <c r="AO377" s="141"/>
      <c r="AP377" s="141"/>
      <c r="AQ377" s="141"/>
      <c r="AR377" s="141"/>
      <c r="AS377" s="141"/>
      <c r="AT377" s="141"/>
      <c r="AU377" s="141"/>
      <c r="AV377" s="141"/>
      <c r="AW377" s="141"/>
      <c r="AX377" s="141"/>
      <c r="AY377" s="141"/>
      <c r="AZ377" s="141"/>
      <c r="BA377" s="141"/>
      <c r="BB377" s="141"/>
      <c r="BC377" s="141"/>
      <c r="BD377" s="141"/>
      <c r="BE377" s="141"/>
      <c r="BF377" s="141"/>
      <c r="BG377" s="18"/>
      <c r="BH377" s="1"/>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row>
    <row r="378" spans="1:135" ht="14.25" customHeight="1">
      <c r="A378" s="18"/>
      <c r="B378" s="18"/>
      <c r="C378" s="19"/>
      <c r="D378" s="18"/>
      <c r="E378" s="18"/>
      <c r="F378" s="19"/>
      <c r="G378" s="18"/>
      <c r="H378" s="114"/>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40"/>
      <c r="AL378" s="141"/>
      <c r="AM378" s="141"/>
      <c r="AN378" s="141"/>
      <c r="AO378" s="141"/>
      <c r="AP378" s="141"/>
      <c r="AQ378" s="141"/>
      <c r="AR378" s="141"/>
      <c r="AS378" s="141"/>
      <c r="AT378" s="141"/>
      <c r="AU378" s="141"/>
      <c r="AV378" s="141"/>
      <c r="AW378" s="141"/>
      <c r="AX378" s="141"/>
      <c r="AY378" s="141"/>
      <c r="AZ378" s="141"/>
      <c r="BA378" s="141"/>
      <c r="BB378" s="141"/>
      <c r="BC378" s="141"/>
      <c r="BD378" s="141"/>
      <c r="BE378" s="141"/>
      <c r="BF378" s="141"/>
      <c r="BG378" s="18"/>
      <c r="BH378" s="1"/>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row>
    <row r="379" spans="1:135" ht="14.25" customHeight="1">
      <c r="A379" s="18"/>
      <c r="B379" s="18"/>
      <c r="C379" s="19"/>
      <c r="D379" s="18"/>
      <c r="E379" s="18"/>
      <c r="F379" s="19"/>
      <c r="G379" s="18"/>
      <c r="H379" s="114"/>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40"/>
      <c r="AL379" s="141"/>
      <c r="AM379" s="141"/>
      <c r="AN379" s="141"/>
      <c r="AO379" s="141"/>
      <c r="AP379" s="141"/>
      <c r="AQ379" s="141"/>
      <c r="AR379" s="141"/>
      <c r="AS379" s="141"/>
      <c r="AT379" s="141"/>
      <c r="AU379" s="141"/>
      <c r="AV379" s="141"/>
      <c r="AW379" s="141"/>
      <c r="AX379" s="141"/>
      <c r="AY379" s="141"/>
      <c r="AZ379" s="141"/>
      <c r="BA379" s="141"/>
      <c r="BB379" s="141"/>
      <c r="BC379" s="141"/>
      <c r="BD379" s="141"/>
      <c r="BE379" s="141"/>
      <c r="BF379" s="141"/>
      <c r="BG379" s="18"/>
      <c r="BH379" s="1"/>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row>
    <row r="380" spans="1:135" ht="14.25" customHeight="1">
      <c r="A380" s="18"/>
      <c r="B380" s="18"/>
      <c r="C380" s="19"/>
      <c r="D380" s="18"/>
      <c r="E380" s="18"/>
      <c r="F380" s="19"/>
      <c r="G380" s="18"/>
      <c r="H380" s="114"/>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40"/>
      <c r="AL380" s="141"/>
      <c r="AM380" s="141"/>
      <c r="AN380" s="141"/>
      <c r="AO380" s="141"/>
      <c r="AP380" s="141"/>
      <c r="AQ380" s="141"/>
      <c r="AR380" s="141"/>
      <c r="AS380" s="141"/>
      <c r="AT380" s="141"/>
      <c r="AU380" s="141"/>
      <c r="AV380" s="141"/>
      <c r="AW380" s="141"/>
      <c r="AX380" s="141"/>
      <c r="AY380" s="141"/>
      <c r="AZ380" s="141"/>
      <c r="BA380" s="141"/>
      <c r="BB380" s="141"/>
      <c r="BC380" s="141"/>
      <c r="BD380" s="141"/>
      <c r="BE380" s="141"/>
      <c r="BF380" s="141"/>
      <c r="BG380" s="18"/>
      <c r="BH380" s="1"/>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row>
    <row r="381" spans="1:135" ht="14.25" customHeight="1">
      <c r="A381" s="18"/>
      <c r="B381" s="18"/>
      <c r="C381" s="19"/>
      <c r="D381" s="18"/>
      <c r="E381" s="18"/>
      <c r="F381" s="19"/>
      <c r="G381" s="18"/>
      <c r="H381" s="114"/>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40"/>
      <c r="AL381" s="141"/>
      <c r="AM381" s="141"/>
      <c r="AN381" s="141"/>
      <c r="AO381" s="141"/>
      <c r="AP381" s="141"/>
      <c r="AQ381" s="141"/>
      <c r="AR381" s="141"/>
      <c r="AS381" s="141"/>
      <c r="AT381" s="141"/>
      <c r="AU381" s="141"/>
      <c r="AV381" s="141"/>
      <c r="AW381" s="141"/>
      <c r="AX381" s="141"/>
      <c r="AY381" s="141"/>
      <c r="AZ381" s="141"/>
      <c r="BA381" s="141"/>
      <c r="BB381" s="141"/>
      <c r="BC381" s="141"/>
      <c r="BD381" s="141"/>
      <c r="BE381" s="141"/>
      <c r="BF381" s="141"/>
      <c r="BG381" s="18"/>
      <c r="BH381" s="1"/>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row>
    <row r="382" spans="1:135" ht="14.25" customHeight="1">
      <c r="A382" s="18"/>
      <c r="B382" s="18"/>
      <c r="C382" s="19"/>
      <c r="D382" s="18"/>
      <c r="E382" s="18"/>
      <c r="F382" s="19"/>
      <c r="G382" s="18"/>
      <c r="H382" s="114"/>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40"/>
      <c r="AL382" s="141"/>
      <c r="AM382" s="141"/>
      <c r="AN382" s="141"/>
      <c r="AO382" s="141"/>
      <c r="AP382" s="141"/>
      <c r="AQ382" s="141"/>
      <c r="AR382" s="141"/>
      <c r="AS382" s="141"/>
      <c r="AT382" s="141"/>
      <c r="AU382" s="141"/>
      <c r="AV382" s="141"/>
      <c r="AW382" s="141"/>
      <c r="AX382" s="141"/>
      <c r="AY382" s="141"/>
      <c r="AZ382" s="141"/>
      <c r="BA382" s="141"/>
      <c r="BB382" s="141"/>
      <c r="BC382" s="141"/>
      <c r="BD382" s="141"/>
      <c r="BE382" s="141"/>
      <c r="BF382" s="141"/>
      <c r="BG382" s="18"/>
      <c r="BH382" s="1"/>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row>
    <row r="383" spans="1:135" ht="14.25" customHeight="1">
      <c r="A383" s="18"/>
      <c r="B383" s="18"/>
      <c r="C383" s="19"/>
      <c r="D383" s="18"/>
      <c r="E383" s="18"/>
      <c r="F383" s="19"/>
      <c r="G383" s="18"/>
      <c r="H383" s="114"/>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40"/>
      <c r="AL383" s="141"/>
      <c r="AM383" s="141"/>
      <c r="AN383" s="141"/>
      <c r="AO383" s="141"/>
      <c r="AP383" s="141"/>
      <c r="AQ383" s="141"/>
      <c r="AR383" s="141"/>
      <c r="AS383" s="141"/>
      <c r="AT383" s="141"/>
      <c r="AU383" s="141"/>
      <c r="AV383" s="141"/>
      <c r="AW383" s="141"/>
      <c r="AX383" s="141"/>
      <c r="AY383" s="141"/>
      <c r="AZ383" s="141"/>
      <c r="BA383" s="141"/>
      <c r="BB383" s="141"/>
      <c r="BC383" s="141"/>
      <c r="BD383" s="141"/>
      <c r="BE383" s="141"/>
      <c r="BF383" s="141"/>
      <c r="BG383" s="18"/>
      <c r="BH383" s="1"/>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row>
    <row r="384" spans="1:135" ht="14.25" customHeight="1">
      <c r="A384" s="18"/>
      <c r="B384" s="18"/>
      <c r="C384" s="19"/>
      <c r="D384" s="18"/>
      <c r="E384" s="18"/>
      <c r="F384" s="19"/>
      <c r="G384" s="18"/>
      <c r="H384" s="114"/>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40"/>
      <c r="AL384" s="141"/>
      <c r="AM384" s="141"/>
      <c r="AN384" s="141"/>
      <c r="AO384" s="141"/>
      <c r="AP384" s="141"/>
      <c r="AQ384" s="141"/>
      <c r="AR384" s="141"/>
      <c r="AS384" s="141"/>
      <c r="AT384" s="141"/>
      <c r="AU384" s="141"/>
      <c r="AV384" s="141"/>
      <c r="AW384" s="141"/>
      <c r="AX384" s="141"/>
      <c r="AY384" s="141"/>
      <c r="AZ384" s="141"/>
      <c r="BA384" s="141"/>
      <c r="BB384" s="141"/>
      <c r="BC384" s="141"/>
      <c r="BD384" s="141"/>
      <c r="BE384" s="141"/>
      <c r="BF384" s="141"/>
      <c r="BG384" s="18"/>
      <c r="BH384" s="1"/>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row>
    <row r="385" spans="1:135" ht="14.25" customHeight="1">
      <c r="A385" s="18"/>
      <c r="B385" s="18"/>
      <c r="C385" s="19"/>
      <c r="D385" s="18"/>
      <c r="E385" s="18"/>
      <c r="F385" s="19"/>
      <c r="G385" s="18"/>
      <c r="H385" s="114"/>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40"/>
      <c r="AL385" s="141"/>
      <c r="AM385" s="141"/>
      <c r="AN385" s="141"/>
      <c r="AO385" s="141"/>
      <c r="AP385" s="141"/>
      <c r="AQ385" s="141"/>
      <c r="AR385" s="141"/>
      <c r="AS385" s="141"/>
      <c r="AT385" s="141"/>
      <c r="AU385" s="141"/>
      <c r="AV385" s="141"/>
      <c r="AW385" s="141"/>
      <c r="AX385" s="141"/>
      <c r="AY385" s="141"/>
      <c r="AZ385" s="141"/>
      <c r="BA385" s="141"/>
      <c r="BB385" s="141"/>
      <c r="BC385" s="141"/>
      <c r="BD385" s="141"/>
      <c r="BE385" s="141"/>
      <c r="BF385" s="141"/>
      <c r="BG385" s="18"/>
      <c r="BH385" s="1"/>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row>
    <row r="386" spans="1:135" ht="14.25" customHeight="1">
      <c r="A386" s="18"/>
      <c r="B386" s="18"/>
      <c r="C386" s="19"/>
      <c r="D386" s="18"/>
      <c r="E386" s="18"/>
      <c r="F386" s="19"/>
      <c r="G386" s="18"/>
      <c r="H386" s="114"/>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40"/>
      <c r="AL386" s="141"/>
      <c r="AM386" s="141"/>
      <c r="AN386" s="141"/>
      <c r="AO386" s="141"/>
      <c r="AP386" s="141"/>
      <c r="AQ386" s="141"/>
      <c r="AR386" s="141"/>
      <c r="AS386" s="141"/>
      <c r="AT386" s="141"/>
      <c r="AU386" s="141"/>
      <c r="AV386" s="141"/>
      <c r="AW386" s="141"/>
      <c r="AX386" s="141"/>
      <c r="AY386" s="141"/>
      <c r="AZ386" s="141"/>
      <c r="BA386" s="141"/>
      <c r="BB386" s="141"/>
      <c r="BC386" s="141"/>
      <c r="BD386" s="141"/>
      <c r="BE386" s="141"/>
      <c r="BF386" s="141"/>
      <c r="BG386" s="18"/>
      <c r="BH386" s="1"/>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row>
    <row r="387" spans="1:135" ht="14.25" customHeight="1">
      <c r="A387" s="18"/>
      <c r="B387" s="18"/>
      <c r="C387" s="19"/>
      <c r="D387" s="18"/>
      <c r="E387" s="18"/>
      <c r="F387" s="19"/>
      <c r="G387" s="18"/>
      <c r="H387" s="114"/>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40"/>
      <c r="AL387" s="141"/>
      <c r="AM387" s="141"/>
      <c r="AN387" s="141"/>
      <c r="AO387" s="141"/>
      <c r="AP387" s="141"/>
      <c r="AQ387" s="141"/>
      <c r="AR387" s="141"/>
      <c r="AS387" s="141"/>
      <c r="AT387" s="141"/>
      <c r="AU387" s="141"/>
      <c r="AV387" s="141"/>
      <c r="AW387" s="141"/>
      <c r="AX387" s="141"/>
      <c r="AY387" s="141"/>
      <c r="AZ387" s="141"/>
      <c r="BA387" s="141"/>
      <c r="BB387" s="141"/>
      <c r="BC387" s="141"/>
      <c r="BD387" s="141"/>
      <c r="BE387" s="141"/>
      <c r="BF387" s="141"/>
      <c r="BG387" s="18"/>
      <c r="BH387" s="1"/>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row>
    <row r="388" spans="1:135" ht="14.25" customHeight="1">
      <c r="A388" s="18"/>
      <c r="B388" s="18"/>
      <c r="C388" s="19"/>
      <c r="D388" s="18"/>
      <c r="E388" s="18"/>
      <c r="F388" s="19"/>
      <c r="G388" s="18"/>
      <c r="H388" s="114"/>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40"/>
      <c r="AL388" s="141"/>
      <c r="AM388" s="141"/>
      <c r="AN388" s="141"/>
      <c r="AO388" s="141"/>
      <c r="AP388" s="141"/>
      <c r="AQ388" s="141"/>
      <c r="AR388" s="141"/>
      <c r="AS388" s="141"/>
      <c r="AT388" s="141"/>
      <c r="AU388" s="141"/>
      <c r="AV388" s="141"/>
      <c r="AW388" s="141"/>
      <c r="AX388" s="141"/>
      <c r="AY388" s="141"/>
      <c r="AZ388" s="141"/>
      <c r="BA388" s="141"/>
      <c r="BB388" s="141"/>
      <c r="BC388" s="141"/>
      <c r="BD388" s="141"/>
      <c r="BE388" s="141"/>
      <c r="BF388" s="141"/>
      <c r="BG388" s="18"/>
      <c r="BH388" s="1"/>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row>
    <row r="389" spans="1:135" ht="14.25" customHeight="1">
      <c r="A389" s="18"/>
      <c r="B389" s="18"/>
      <c r="C389" s="19"/>
      <c r="D389" s="18"/>
      <c r="E389" s="18"/>
      <c r="F389" s="19"/>
      <c r="G389" s="18"/>
      <c r="H389" s="114"/>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40"/>
      <c r="AL389" s="141"/>
      <c r="AM389" s="141"/>
      <c r="AN389" s="141"/>
      <c r="AO389" s="141"/>
      <c r="AP389" s="141"/>
      <c r="AQ389" s="141"/>
      <c r="AR389" s="141"/>
      <c r="AS389" s="141"/>
      <c r="AT389" s="141"/>
      <c r="AU389" s="141"/>
      <c r="AV389" s="141"/>
      <c r="AW389" s="141"/>
      <c r="AX389" s="141"/>
      <c r="AY389" s="141"/>
      <c r="AZ389" s="141"/>
      <c r="BA389" s="141"/>
      <c r="BB389" s="141"/>
      <c r="BC389" s="141"/>
      <c r="BD389" s="141"/>
      <c r="BE389" s="141"/>
      <c r="BF389" s="141"/>
      <c r="BG389" s="18"/>
      <c r="BH389" s="1"/>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row>
    <row r="390" spans="1:135" ht="14.25" customHeight="1">
      <c r="A390" s="18"/>
      <c r="B390" s="18"/>
      <c r="C390" s="19"/>
      <c r="D390" s="18"/>
      <c r="E390" s="18"/>
      <c r="F390" s="19"/>
      <c r="G390" s="18"/>
      <c r="H390" s="114"/>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40"/>
      <c r="AL390" s="141"/>
      <c r="AM390" s="141"/>
      <c r="AN390" s="141"/>
      <c r="AO390" s="141"/>
      <c r="AP390" s="141"/>
      <c r="AQ390" s="141"/>
      <c r="AR390" s="141"/>
      <c r="AS390" s="141"/>
      <c r="AT390" s="141"/>
      <c r="AU390" s="141"/>
      <c r="AV390" s="141"/>
      <c r="AW390" s="141"/>
      <c r="AX390" s="141"/>
      <c r="AY390" s="141"/>
      <c r="AZ390" s="141"/>
      <c r="BA390" s="141"/>
      <c r="BB390" s="141"/>
      <c r="BC390" s="141"/>
      <c r="BD390" s="141"/>
      <c r="BE390" s="141"/>
      <c r="BF390" s="141"/>
      <c r="BG390" s="18"/>
      <c r="BH390" s="1"/>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row>
    <row r="391" spans="1:135" ht="14.25" customHeight="1">
      <c r="A391" s="18"/>
      <c r="B391" s="18"/>
      <c r="C391" s="19"/>
      <c r="D391" s="18"/>
      <c r="E391" s="18"/>
      <c r="F391" s="19"/>
      <c r="G391" s="18"/>
      <c r="H391" s="114"/>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40"/>
      <c r="AL391" s="141"/>
      <c r="AM391" s="141"/>
      <c r="AN391" s="141"/>
      <c r="AO391" s="141"/>
      <c r="AP391" s="141"/>
      <c r="AQ391" s="141"/>
      <c r="AR391" s="141"/>
      <c r="AS391" s="141"/>
      <c r="AT391" s="141"/>
      <c r="AU391" s="141"/>
      <c r="AV391" s="141"/>
      <c r="AW391" s="141"/>
      <c r="AX391" s="141"/>
      <c r="AY391" s="141"/>
      <c r="AZ391" s="141"/>
      <c r="BA391" s="141"/>
      <c r="BB391" s="141"/>
      <c r="BC391" s="141"/>
      <c r="BD391" s="141"/>
      <c r="BE391" s="141"/>
      <c r="BF391" s="141"/>
      <c r="BG391" s="18"/>
      <c r="BH391" s="1"/>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row>
    <row r="392" spans="1:135" ht="14.25" customHeight="1">
      <c r="A392" s="18"/>
      <c r="B392" s="18"/>
      <c r="C392" s="19"/>
      <c r="D392" s="18"/>
      <c r="E392" s="18"/>
      <c r="F392" s="19"/>
      <c r="G392" s="18"/>
      <c r="H392" s="114"/>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40"/>
      <c r="AL392" s="141"/>
      <c r="AM392" s="141"/>
      <c r="AN392" s="141"/>
      <c r="AO392" s="141"/>
      <c r="AP392" s="141"/>
      <c r="AQ392" s="141"/>
      <c r="AR392" s="141"/>
      <c r="AS392" s="141"/>
      <c r="AT392" s="141"/>
      <c r="AU392" s="141"/>
      <c r="AV392" s="141"/>
      <c r="AW392" s="141"/>
      <c r="AX392" s="141"/>
      <c r="AY392" s="141"/>
      <c r="AZ392" s="141"/>
      <c r="BA392" s="141"/>
      <c r="BB392" s="141"/>
      <c r="BC392" s="141"/>
      <c r="BD392" s="141"/>
      <c r="BE392" s="141"/>
      <c r="BF392" s="141"/>
      <c r="BG392" s="18"/>
      <c r="BH392" s="1"/>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row>
    <row r="393" spans="1:135" ht="14.25" customHeight="1">
      <c r="A393" s="18"/>
      <c r="B393" s="18"/>
      <c r="C393" s="19"/>
      <c r="D393" s="18"/>
      <c r="E393" s="18"/>
      <c r="F393" s="19"/>
      <c r="G393" s="18"/>
      <c r="H393" s="114"/>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40"/>
      <c r="AL393" s="141"/>
      <c r="AM393" s="141"/>
      <c r="AN393" s="141"/>
      <c r="AO393" s="141"/>
      <c r="AP393" s="141"/>
      <c r="AQ393" s="141"/>
      <c r="AR393" s="141"/>
      <c r="AS393" s="141"/>
      <c r="AT393" s="141"/>
      <c r="AU393" s="141"/>
      <c r="AV393" s="141"/>
      <c r="AW393" s="141"/>
      <c r="AX393" s="141"/>
      <c r="AY393" s="141"/>
      <c r="AZ393" s="141"/>
      <c r="BA393" s="141"/>
      <c r="BB393" s="141"/>
      <c r="BC393" s="141"/>
      <c r="BD393" s="141"/>
      <c r="BE393" s="141"/>
      <c r="BF393" s="141"/>
      <c r="BG393" s="18"/>
      <c r="BH393" s="1"/>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row>
    <row r="394" spans="1:135" ht="14.25" customHeight="1">
      <c r="A394" s="18"/>
      <c r="B394" s="18"/>
      <c r="C394" s="19"/>
      <c r="D394" s="18"/>
      <c r="E394" s="18"/>
      <c r="F394" s="19"/>
      <c r="G394" s="18"/>
      <c r="H394" s="114"/>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40"/>
      <c r="AL394" s="141"/>
      <c r="AM394" s="141"/>
      <c r="AN394" s="141"/>
      <c r="AO394" s="141"/>
      <c r="AP394" s="141"/>
      <c r="AQ394" s="141"/>
      <c r="AR394" s="141"/>
      <c r="AS394" s="141"/>
      <c r="AT394" s="141"/>
      <c r="AU394" s="141"/>
      <c r="AV394" s="141"/>
      <c r="AW394" s="141"/>
      <c r="AX394" s="141"/>
      <c r="AY394" s="141"/>
      <c r="AZ394" s="141"/>
      <c r="BA394" s="141"/>
      <c r="BB394" s="141"/>
      <c r="BC394" s="141"/>
      <c r="BD394" s="141"/>
      <c r="BE394" s="141"/>
      <c r="BF394" s="141"/>
      <c r="BG394" s="18"/>
      <c r="BH394" s="1"/>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row>
    <row r="395" spans="1:135" ht="14.25" customHeight="1">
      <c r="A395" s="18"/>
      <c r="B395" s="18"/>
      <c r="C395" s="19"/>
      <c r="D395" s="18"/>
      <c r="E395" s="18"/>
      <c r="F395" s="19"/>
      <c r="G395" s="18"/>
      <c r="H395" s="114"/>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40"/>
      <c r="AL395" s="141"/>
      <c r="AM395" s="141"/>
      <c r="AN395" s="141"/>
      <c r="AO395" s="141"/>
      <c r="AP395" s="141"/>
      <c r="AQ395" s="141"/>
      <c r="AR395" s="141"/>
      <c r="AS395" s="141"/>
      <c r="AT395" s="141"/>
      <c r="AU395" s="141"/>
      <c r="AV395" s="141"/>
      <c r="AW395" s="141"/>
      <c r="AX395" s="141"/>
      <c r="AY395" s="141"/>
      <c r="AZ395" s="141"/>
      <c r="BA395" s="141"/>
      <c r="BB395" s="141"/>
      <c r="BC395" s="141"/>
      <c r="BD395" s="141"/>
      <c r="BE395" s="141"/>
      <c r="BF395" s="141"/>
      <c r="BG395" s="18"/>
      <c r="BH395" s="1"/>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row>
    <row r="396" spans="1:135" ht="14.25" customHeight="1">
      <c r="A396" s="18"/>
      <c r="B396" s="18"/>
      <c r="C396" s="19"/>
      <c r="D396" s="18"/>
      <c r="E396" s="18"/>
      <c r="F396" s="19"/>
      <c r="G396" s="18"/>
      <c r="H396" s="114"/>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40"/>
      <c r="AL396" s="141"/>
      <c r="AM396" s="141"/>
      <c r="AN396" s="141"/>
      <c r="AO396" s="141"/>
      <c r="AP396" s="141"/>
      <c r="AQ396" s="141"/>
      <c r="AR396" s="141"/>
      <c r="AS396" s="141"/>
      <c r="AT396" s="141"/>
      <c r="AU396" s="141"/>
      <c r="AV396" s="141"/>
      <c r="AW396" s="141"/>
      <c r="AX396" s="141"/>
      <c r="AY396" s="141"/>
      <c r="AZ396" s="141"/>
      <c r="BA396" s="141"/>
      <c r="BB396" s="141"/>
      <c r="BC396" s="141"/>
      <c r="BD396" s="141"/>
      <c r="BE396" s="141"/>
      <c r="BF396" s="141"/>
      <c r="BG396" s="18"/>
      <c r="BH396" s="1"/>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row>
    <row r="397" spans="1:135" ht="14.25" customHeight="1">
      <c r="A397" s="18"/>
      <c r="B397" s="18"/>
      <c r="C397" s="19"/>
      <c r="D397" s="18"/>
      <c r="E397" s="18"/>
      <c r="F397" s="19"/>
      <c r="G397" s="18"/>
      <c r="H397" s="114"/>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40"/>
      <c r="AL397" s="141"/>
      <c r="AM397" s="141"/>
      <c r="AN397" s="141"/>
      <c r="AO397" s="141"/>
      <c r="AP397" s="141"/>
      <c r="AQ397" s="141"/>
      <c r="AR397" s="141"/>
      <c r="AS397" s="141"/>
      <c r="AT397" s="141"/>
      <c r="AU397" s="141"/>
      <c r="AV397" s="141"/>
      <c r="AW397" s="141"/>
      <c r="AX397" s="141"/>
      <c r="AY397" s="141"/>
      <c r="AZ397" s="141"/>
      <c r="BA397" s="141"/>
      <c r="BB397" s="141"/>
      <c r="BC397" s="141"/>
      <c r="BD397" s="141"/>
      <c r="BE397" s="141"/>
      <c r="BF397" s="141"/>
      <c r="BG397" s="18"/>
      <c r="BH397" s="1"/>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row>
    <row r="398" spans="1:135" ht="14.25" customHeight="1">
      <c r="A398" s="18"/>
      <c r="B398" s="18"/>
      <c r="C398" s="19"/>
      <c r="D398" s="18"/>
      <c r="E398" s="18"/>
      <c r="F398" s="19"/>
      <c r="G398" s="18"/>
      <c r="H398" s="114"/>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40"/>
      <c r="AL398" s="141"/>
      <c r="AM398" s="141"/>
      <c r="AN398" s="141"/>
      <c r="AO398" s="141"/>
      <c r="AP398" s="141"/>
      <c r="AQ398" s="141"/>
      <c r="AR398" s="141"/>
      <c r="AS398" s="141"/>
      <c r="AT398" s="141"/>
      <c r="AU398" s="141"/>
      <c r="AV398" s="141"/>
      <c r="AW398" s="141"/>
      <c r="AX398" s="141"/>
      <c r="AY398" s="141"/>
      <c r="AZ398" s="141"/>
      <c r="BA398" s="141"/>
      <c r="BB398" s="141"/>
      <c r="BC398" s="141"/>
      <c r="BD398" s="141"/>
      <c r="BE398" s="141"/>
      <c r="BF398" s="141"/>
      <c r="BG398" s="18"/>
      <c r="BH398" s="1"/>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row>
    <row r="399" spans="1:135" ht="14.25" customHeight="1">
      <c r="A399" s="18"/>
      <c r="B399" s="18"/>
      <c r="C399" s="19"/>
      <c r="D399" s="18"/>
      <c r="E399" s="18"/>
      <c r="F399" s="19"/>
      <c r="G399" s="18"/>
      <c r="H399" s="114"/>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40"/>
      <c r="AL399" s="141"/>
      <c r="AM399" s="141"/>
      <c r="AN399" s="141"/>
      <c r="AO399" s="141"/>
      <c r="AP399" s="141"/>
      <c r="AQ399" s="141"/>
      <c r="AR399" s="141"/>
      <c r="AS399" s="141"/>
      <c r="AT399" s="141"/>
      <c r="AU399" s="141"/>
      <c r="AV399" s="141"/>
      <c r="AW399" s="141"/>
      <c r="AX399" s="141"/>
      <c r="AY399" s="141"/>
      <c r="AZ399" s="141"/>
      <c r="BA399" s="141"/>
      <c r="BB399" s="141"/>
      <c r="BC399" s="141"/>
      <c r="BD399" s="141"/>
      <c r="BE399" s="141"/>
      <c r="BF399" s="141"/>
      <c r="BG399" s="18"/>
      <c r="BH399" s="1"/>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row>
    <row r="400" spans="1:135" ht="14.25" customHeight="1">
      <c r="A400" s="18"/>
      <c r="B400" s="18"/>
      <c r="C400" s="19"/>
      <c r="D400" s="18"/>
      <c r="E400" s="18"/>
      <c r="F400" s="19"/>
      <c r="G400" s="18"/>
      <c r="H400" s="114"/>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40"/>
      <c r="AL400" s="141"/>
      <c r="AM400" s="141"/>
      <c r="AN400" s="141"/>
      <c r="AO400" s="141"/>
      <c r="AP400" s="141"/>
      <c r="AQ400" s="141"/>
      <c r="AR400" s="141"/>
      <c r="AS400" s="141"/>
      <c r="AT400" s="141"/>
      <c r="AU400" s="141"/>
      <c r="AV400" s="141"/>
      <c r="AW400" s="141"/>
      <c r="AX400" s="141"/>
      <c r="AY400" s="141"/>
      <c r="AZ400" s="141"/>
      <c r="BA400" s="141"/>
      <c r="BB400" s="141"/>
      <c r="BC400" s="141"/>
      <c r="BD400" s="141"/>
      <c r="BE400" s="141"/>
      <c r="BF400" s="141"/>
      <c r="BG400" s="18"/>
      <c r="BH400" s="1"/>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row>
    <row r="401" spans="1:135" ht="14.25" customHeight="1">
      <c r="A401" s="18"/>
      <c r="B401" s="18"/>
      <c r="C401" s="19"/>
      <c r="D401" s="18"/>
      <c r="E401" s="18"/>
      <c r="F401" s="19"/>
      <c r="G401" s="18"/>
      <c r="H401" s="114"/>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40"/>
      <c r="AL401" s="141"/>
      <c r="AM401" s="141"/>
      <c r="AN401" s="141"/>
      <c r="AO401" s="141"/>
      <c r="AP401" s="141"/>
      <c r="AQ401" s="141"/>
      <c r="AR401" s="141"/>
      <c r="AS401" s="141"/>
      <c r="AT401" s="141"/>
      <c r="AU401" s="141"/>
      <c r="AV401" s="141"/>
      <c r="AW401" s="141"/>
      <c r="AX401" s="141"/>
      <c r="AY401" s="141"/>
      <c r="AZ401" s="141"/>
      <c r="BA401" s="141"/>
      <c r="BB401" s="141"/>
      <c r="BC401" s="141"/>
      <c r="BD401" s="141"/>
      <c r="BE401" s="141"/>
      <c r="BF401" s="141"/>
      <c r="BG401" s="18"/>
      <c r="BH401" s="1"/>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row>
    <row r="402" spans="1:135" ht="14.25" customHeight="1">
      <c r="A402" s="18"/>
      <c r="B402" s="18"/>
      <c r="C402" s="19"/>
      <c r="D402" s="18"/>
      <c r="E402" s="18"/>
      <c r="F402" s="19"/>
      <c r="G402" s="18"/>
      <c r="H402" s="114"/>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40"/>
      <c r="AL402" s="141"/>
      <c r="AM402" s="141"/>
      <c r="AN402" s="141"/>
      <c r="AO402" s="141"/>
      <c r="AP402" s="141"/>
      <c r="AQ402" s="141"/>
      <c r="AR402" s="141"/>
      <c r="AS402" s="141"/>
      <c r="AT402" s="141"/>
      <c r="AU402" s="141"/>
      <c r="AV402" s="141"/>
      <c r="AW402" s="141"/>
      <c r="AX402" s="141"/>
      <c r="AY402" s="141"/>
      <c r="AZ402" s="141"/>
      <c r="BA402" s="141"/>
      <c r="BB402" s="141"/>
      <c r="BC402" s="141"/>
      <c r="BD402" s="141"/>
      <c r="BE402" s="141"/>
      <c r="BF402" s="141"/>
      <c r="BG402" s="18"/>
      <c r="BH402" s="1"/>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row>
    <row r="403" spans="1:135" ht="14.25" customHeight="1">
      <c r="A403" s="18"/>
      <c r="B403" s="18"/>
      <c r="C403" s="19"/>
      <c r="D403" s="18"/>
      <c r="E403" s="18"/>
      <c r="F403" s="19"/>
      <c r="G403" s="18"/>
      <c r="H403" s="114"/>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40"/>
      <c r="AL403" s="141"/>
      <c r="AM403" s="141"/>
      <c r="AN403" s="141"/>
      <c r="AO403" s="141"/>
      <c r="AP403" s="141"/>
      <c r="AQ403" s="141"/>
      <c r="AR403" s="141"/>
      <c r="AS403" s="141"/>
      <c r="AT403" s="141"/>
      <c r="AU403" s="141"/>
      <c r="AV403" s="141"/>
      <c r="AW403" s="141"/>
      <c r="AX403" s="141"/>
      <c r="AY403" s="141"/>
      <c r="AZ403" s="141"/>
      <c r="BA403" s="141"/>
      <c r="BB403" s="141"/>
      <c r="BC403" s="141"/>
      <c r="BD403" s="141"/>
      <c r="BE403" s="141"/>
      <c r="BF403" s="141"/>
      <c r="BG403" s="18"/>
      <c r="BH403" s="1"/>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row>
    <row r="404" spans="1:135" ht="14.25" customHeight="1">
      <c r="A404" s="18"/>
      <c r="B404" s="18"/>
      <c r="C404" s="19"/>
      <c r="D404" s="18"/>
      <c r="E404" s="18"/>
      <c r="F404" s="19"/>
      <c r="G404" s="18"/>
      <c r="H404" s="114"/>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40"/>
      <c r="AL404" s="141"/>
      <c r="AM404" s="141"/>
      <c r="AN404" s="141"/>
      <c r="AO404" s="141"/>
      <c r="AP404" s="141"/>
      <c r="AQ404" s="141"/>
      <c r="AR404" s="141"/>
      <c r="AS404" s="141"/>
      <c r="AT404" s="141"/>
      <c r="AU404" s="141"/>
      <c r="AV404" s="141"/>
      <c r="AW404" s="141"/>
      <c r="AX404" s="141"/>
      <c r="AY404" s="141"/>
      <c r="AZ404" s="141"/>
      <c r="BA404" s="141"/>
      <c r="BB404" s="141"/>
      <c r="BC404" s="141"/>
      <c r="BD404" s="141"/>
      <c r="BE404" s="141"/>
      <c r="BF404" s="141"/>
      <c r="BG404" s="18"/>
      <c r="BH404" s="1"/>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row>
    <row r="405" spans="1:135" ht="14.25" customHeight="1">
      <c r="A405" s="18"/>
      <c r="B405" s="18"/>
      <c r="C405" s="19"/>
      <c r="D405" s="18"/>
      <c r="E405" s="18"/>
      <c r="F405" s="19"/>
      <c r="G405" s="18"/>
      <c r="H405" s="114"/>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40"/>
      <c r="AL405" s="141"/>
      <c r="AM405" s="141"/>
      <c r="AN405" s="141"/>
      <c r="AO405" s="141"/>
      <c r="AP405" s="141"/>
      <c r="AQ405" s="141"/>
      <c r="AR405" s="141"/>
      <c r="AS405" s="141"/>
      <c r="AT405" s="141"/>
      <c r="AU405" s="141"/>
      <c r="AV405" s="141"/>
      <c r="AW405" s="141"/>
      <c r="AX405" s="141"/>
      <c r="AY405" s="141"/>
      <c r="AZ405" s="141"/>
      <c r="BA405" s="141"/>
      <c r="BB405" s="141"/>
      <c r="BC405" s="141"/>
      <c r="BD405" s="141"/>
      <c r="BE405" s="141"/>
      <c r="BF405" s="141"/>
      <c r="BG405" s="18"/>
      <c r="BH405" s="1"/>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row>
    <row r="406" spans="1:135" ht="14.25" customHeight="1">
      <c r="A406" s="18"/>
      <c r="B406" s="18"/>
      <c r="C406" s="19"/>
      <c r="D406" s="18"/>
      <c r="E406" s="18"/>
      <c r="F406" s="19"/>
      <c r="G406" s="18"/>
      <c r="H406" s="114"/>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40"/>
      <c r="AL406" s="141"/>
      <c r="AM406" s="141"/>
      <c r="AN406" s="141"/>
      <c r="AO406" s="141"/>
      <c r="AP406" s="141"/>
      <c r="AQ406" s="141"/>
      <c r="AR406" s="141"/>
      <c r="AS406" s="141"/>
      <c r="AT406" s="141"/>
      <c r="AU406" s="141"/>
      <c r="AV406" s="141"/>
      <c r="AW406" s="141"/>
      <c r="AX406" s="141"/>
      <c r="AY406" s="141"/>
      <c r="AZ406" s="141"/>
      <c r="BA406" s="141"/>
      <c r="BB406" s="141"/>
      <c r="BC406" s="141"/>
      <c r="BD406" s="141"/>
      <c r="BE406" s="141"/>
      <c r="BF406" s="141"/>
      <c r="BG406" s="18"/>
      <c r="BH406" s="1"/>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row>
    <row r="407" spans="1:135" ht="14.25" customHeight="1">
      <c r="A407" s="18"/>
      <c r="B407" s="18"/>
      <c r="C407" s="19"/>
      <c r="D407" s="18"/>
      <c r="E407" s="18"/>
      <c r="F407" s="19"/>
      <c r="G407" s="18"/>
      <c r="H407" s="114"/>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40"/>
      <c r="AL407" s="141"/>
      <c r="AM407" s="141"/>
      <c r="AN407" s="141"/>
      <c r="AO407" s="141"/>
      <c r="AP407" s="141"/>
      <c r="AQ407" s="141"/>
      <c r="AR407" s="141"/>
      <c r="AS407" s="141"/>
      <c r="AT407" s="141"/>
      <c r="AU407" s="141"/>
      <c r="AV407" s="141"/>
      <c r="AW407" s="141"/>
      <c r="AX407" s="141"/>
      <c r="AY407" s="141"/>
      <c r="AZ407" s="141"/>
      <c r="BA407" s="141"/>
      <c r="BB407" s="141"/>
      <c r="BC407" s="141"/>
      <c r="BD407" s="141"/>
      <c r="BE407" s="141"/>
      <c r="BF407" s="141"/>
      <c r="BG407" s="18"/>
      <c r="BH407" s="1"/>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row>
    <row r="408" spans="1:135" ht="14.25" customHeight="1">
      <c r="A408" s="18"/>
      <c r="B408" s="18"/>
      <c r="C408" s="19"/>
      <c r="D408" s="18"/>
      <c r="E408" s="18"/>
      <c r="F408" s="19"/>
      <c r="G408" s="18"/>
      <c r="H408" s="114"/>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40"/>
      <c r="AL408" s="141"/>
      <c r="AM408" s="141"/>
      <c r="AN408" s="141"/>
      <c r="AO408" s="141"/>
      <c r="AP408" s="141"/>
      <c r="AQ408" s="141"/>
      <c r="AR408" s="141"/>
      <c r="AS408" s="141"/>
      <c r="AT408" s="141"/>
      <c r="AU408" s="141"/>
      <c r="AV408" s="141"/>
      <c r="AW408" s="141"/>
      <c r="AX408" s="141"/>
      <c r="AY408" s="141"/>
      <c r="AZ408" s="141"/>
      <c r="BA408" s="141"/>
      <c r="BB408" s="141"/>
      <c r="BC408" s="141"/>
      <c r="BD408" s="141"/>
      <c r="BE408" s="141"/>
      <c r="BF408" s="141"/>
      <c r="BG408" s="18"/>
      <c r="BH408" s="1"/>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row>
    <row r="409" spans="1:135" ht="14.25" customHeight="1">
      <c r="A409" s="18"/>
      <c r="B409" s="18"/>
      <c r="C409" s="19"/>
      <c r="D409" s="18"/>
      <c r="E409" s="18"/>
      <c r="F409" s="19"/>
      <c r="G409" s="18"/>
      <c r="H409" s="114"/>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40"/>
      <c r="AL409" s="141"/>
      <c r="AM409" s="141"/>
      <c r="AN409" s="141"/>
      <c r="AO409" s="141"/>
      <c r="AP409" s="141"/>
      <c r="AQ409" s="141"/>
      <c r="AR409" s="141"/>
      <c r="AS409" s="141"/>
      <c r="AT409" s="141"/>
      <c r="AU409" s="141"/>
      <c r="AV409" s="141"/>
      <c r="AW409" s="141"/>
      <c r="AX409" s="141"/>
      <c r="AY409" s="141"/>
      <c r="AZ409" s="141"/>
      <c r="BA409" s="141"/>
      <c r="BB409" s="141"/>
      <c r="BC409" s="141"/>
      <c r="BD409" s="141"/>
      <c r="BE409" s="141"/>
      <c r="BF409" s="141"/>
      <c r="BG409" s="18"/>
      <c r="BH409" s="1"/>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row>
    <row r="410" spans="1:135" ht="14.25" customHeight="1">
      <c r="A410" s="18"/>
      <c r="B410" s="18"/>
      <c r="C410" s="19"/>
      <c r="D410" s="18"/>
      <c r="E410" s="18"/>
      <c r="F410" s="19"/>
      <c r="G410" s="18"/>
      <c r="H410" s="114"/>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40"/>
      <c r="AL410" s="141"/>
      <c r="AM410" s="141"/>
      <c r="AN410" s="141"/>
      <c r="AO410" s="141"/>
      <c r="AP410" s="141"/>
      <c r="AQ410" s="141"/>
      <c r="AR410" s="141"/>
      <c r="AS410" s="141"/>
      <c r="AT410" s="141"/>
      <c r="AU410" s="141"/>
      <c r="AV410" s="141"/>
      <c r="AW410" s="141"/>
      <c r="AX410" s="141"/>
      <c r="AY410" s="141"/>
      <c r="AZ410" s="141"/>
      <c r="BA410" s="141"/>
      <c r="BB410" s="141"/>
      <c r="BC410" s="141"/>
      <c r="BD410" s="141"/>
      <c r="BE410" s="141"/>
      <c r="BF410" s="141"/>
      <c r="BG410" s="18"/>
      <c r="BH410" s="1"/>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row>
    <row r="411" spans="1:135" ht="14.25" customHeight="1">
      <c r="A411" s="18"/>
      <c r="B411" s="18"/>
      <c r="C411" s="19"/>
      <c r="D411" s="18"/>
      <c r="E411" s="18"/>
      <c r="F411" s="19"/>
      <c r="G411" s="18"/>
      <c r="H411" s="114"/>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40"/>
      <c r="AL411" s="141"/>
      <c r="AM411" s="141"/>
      <c r="AN411" s="141"/>
      <c r="AO411" s="141"/>
      <c r="AP411" s="141"/>
      <c r="AQ411" s="141"/>
      <c r="AR411" s="141"/>
      <c r="AS411" s="141"/>
      <c r="AT411" s="141"/>
      <c r="AU411" s="141"/>
      <c r="AV411" s="141"/>
      <c r="AW411" s="141"/>
      <c r="AX411" s="141"/>
      <c r="AY411" s="141"/>
      <c r="AZ411" s="141"/>
      <c r="BA411" s="141"/>
      <c r="BB411" s="141"/>
      <c r="BC411" s="141"/>
      <c r="BD411" s="141"/>
      <c r="BE411" s="141"/>
      <c r="BF411" s="141"/>
      <c r="BG411" s="18"/>
      <c r="BH411" s="1"/>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row>
    <row r="412" spans="1:135" ht="14.25" customHeight="1">
      <c r="A412" s="18"/>
      <c r="B412" s="18"/>
      <c r="C412" s="19"/>
      <c r="D412" s="18"/>
      <c r="E412" s="18"/>
      <c r="F412" s="19"/>
      <c r="G412" s="18"/>
      <c r="H412" s="114"/>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40"/>
      <c r="AL412" s="141"/>
      <c r="AM412" s="141"/>
      <c r="AN412" s="141"/>
      <c r="AO412" s="141"/>
      <c r="AP412" s="141"/>
      <c r="AQ412" s="141"/>
      <c r="AR412" s="141"/>
      <c r="AS412" s="141"/>
      <c r="AT412" s="141"/>
      <c r="AU412" s="141"/>
      <c r="AV412" s="141"/>
      <c r="AW412" s="141"/>
      <c r="AX412" s="141"/>
      <c r="AY412" s="141"/>
      <c r="AZ412" s="141"/>
      <c r="BA412" s="141"/>
      <c r="BB412" s="141"/>
      <c r="BC412" s="141"/>
      <c r="BD412" s="141"/>
      <c r="BE412" s="141"/>
      <c r="BF412" s="141"/>
      <c r="BG412" s="18"/>
      <c r="BH412" s="1"/>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row>
    <row r="413" spans="1:135" ht="14.25" customHeight="1">
      <c r="A413" s="18"/>
      <c r="B413" s="18"/>
      <c r="C413" s="19"/>
      <c r="D413" s="18"/>
      <c r="E413" s="18"/>
      <c r="F413" s="19"/>
      <c r="G413" s="18"/>
      <c r="H413" s="114"/>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40"/>
      <c r="AL413" s="141"/>
      <c r="AM413" s="141"/>
      <c r="AN413" s="141"/>
      <c r="AO413" s="141"/>
      <c r="AP413" s="141"/>
      <c r="AQ413" s="141"/>
      <c r="AR413" s="141"/>
      <c r="AS413" s="141"/>
      <c r="AT413" s="141"/>
      <c r="AU413" s="141"/>
      <c r="AV413" s="141"/>
      <c r="AW413" s="141"/>
      <c r="AX413" s="141"/>
      <c r="AY413" s="141"/>
      <c r="AZ413" s="141"/>
      <c r="BA413" s="141"/>
      <c r="BB413" s="141"/>
      <c r="BC413" s="141"/>
      <c r="BD413" s="141"/>
      <c r="BE413" s="141"/>
      <c r="BF413" s="141"/>
      <c r="BG413" s="18"/>
      <c r="BH413" s="1"/>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row>
    <row r="414" spans="1:135" ht="14.25" customHeight="1">
      <c r="A414" s="18"/>
      <c r="B414" s="18"/>
      <c r="C414" s="19"/>
      <c r="D414" s="18"/>
      <c r="E414" s="18"/>
      <c r="F414" s="19"/>
      <c r="G414" s="18"/>
      <c r="H414" s="114"/>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40"/>
      <c r="AL414" s="141"/>
      <c r="AM414" s="141"/>
      <c r="AN414" s="141"/>
      <c r="AO414" s="141"/>
      <c r="AP414" s="141"/>
      <c r="AQ414" s="141"/>
      <c r="AR414" s="141"/>
      <c r="AS414" s="141"/>
      <c r="AT414" s="141"/>
      <c r="AU414" s="141"/>
      <c r="AV414" s="141"/>
      <c r="AW414" s="141"/>
      <c r="AX414" s="141"/>
      <c r="AY414" s="141"/>
      <c r="AZ414" s="141"/>
      <c r="BA414" s="141"/>
      <c r="BB414" s="141"/>
      <c r="BC414" s="141"/>
      <c r="BD414" s="141"/>
      <c r="BE414" s="141"/>
      <c r="BF414" s="141"/>
      <c r="BG414" s="18"/>
      <c r="BH414" s="1"/>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row>
    <row r="415" spans="1:135" ht="14.25" customHeight="1">
      <c r="A415" s="18"/>
      <c r="B415" s="18"/>
      <c r="C415" s="19"/>
      <c r="D415" s="18"/>
      <c r="E415" s="18"/>
      <c r="F415" s="19"/>
      <c r="G415" s="18"/>
      <c r="H415" s="114"/>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40"/>
      <c r="AL415" s="141"/>
      <c r="AM415" s="141"/>
      <c r="AN415" s="141"/>
      <c r="AO415" s="141"/>
      <c r="AP415" s="141"/>
      <c r="AQ415" s="141"/>
      <c r="AR415" s="141"/>
      <c r="AS415" s="141"/>
      <c r="AT415" s="141"/>
      <c r="AU415" s="141"/>
      <c r="AV415" s="141"/>
      <c r="AW415" s="141"/>
      <c r="AX415" s="141"/>
      <c r="AY415" s="141"/>
      <c r="AZ415" s="141"/>
      <c r="BA415" s="141"/>
      <c r="BB415" s="141"/>
      <c r="BC415" s="141"/>
      <c r="BD415" s="141"/>
      <c r="BE415" s="141"/>
      <c r="BF415" s="141"/>
      <c r="BG415" s="18"/>
      <c r="BH415" s="1"/>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row>
    <row r="416" spans="1:135" ht="14.25" customHeight="1">
      <c r="A416" s="18"/>
      <c r="B416" s="18"/>
      <c r="C416" s="19"/>
      <c r="D416" s="18"/>
      <c r="E416" s="18"/>
      <c r="F416" s="19"/>
      <c r="G416" s="18"/>
      <c r="H416" s="114"/>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40"/>
      <c r="AL416" s="141"/>
      <c r="AM416" s="141"/>
      <c r="AN416" s="141"/>
      <c r="AO416" s="141"/>
      <c r="AP416" s="141"/>
      <c r="AQ416" s="141"/>
      <c r="AR416" s="141"/>
      <c r="AS416" s="141"/>
      <c r="AT416" s="141"/>
      <c r="AU416" s="141"/>
      <c r="AV416" s="141"/>
      <c r="AW416" s="141"/>
      <c r="AX416" s="141"/>
      <c r="AY416" s="141"/>
      <c r="AZ416" s="141"/>
      <c r="BA416" s="141"/>
      <c r="BB416" s="141"/>
      <c r="BC416" s="141"/>
      <c r="BD416" s="141"/>
      <c r="BE416" s="141"/>
      <c r="BF416" s="141"/>
      <c r="BG416" s="18"/>
      <c r="BH416" s="1"/>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row>
    <row r="417" spans="1:135" ht="14.25" customHeight="1">
      <c r="A417" s="18"/>
      <c r="B417" s="18"/>
      <c r="C417" s="19"/>
      <c r="D417" s="18"/>
      <c r="E417" s="18"/>
      <c r="F417" s="19"/>
      <c r="G417" s="18"/>
      <c r="H417" s="114"/>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40"/>
      <c r="AL417" s="141"/>
      <c r="AM417" s="141"/>
      <c r="AN417" s="141"/>
      <c r="AO417" s="141"/>
      <c r="AP417" s="141"/>
      <c r="AQ417" s="141"/>
      <c r="AR417" s="141"/>
      <c r="AS417" s="141"/>
      <c r="AT417" s="141"/>
      <c r="AU417" s="141"/>
      <c r="AV417" s="141"/>
      <c r="AW417" s="141"/>
      <c r="AX417" s="141"/>
      <c r="AY417" s="141"/>
      <c r="AZ417" s="141"/>
      <c r="BA417" s="141"/>
      <c r="BB417" s="141"/>
      <c r="BC417" s="141"/>
      <c r="BD417" s="141"/>
      <c r="BE417" s="141"/>
      <c r="BF417" s="141"/>
      <c r="BG417" s="18"/>
      <c r="BH417" s="1"/>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row>
    <row r="418" spans="1:135" ht="14.25" customHeight="1">
      <c r="A418" s="18"/>
      <c r="B418" s="18"/>
      <c r="C418" s="19"/>
      <c r="D418" s="18"/>
      <c r="E418" s="18"/>
      <c r="F418" s="19"/>
      <c r="G418" s="18"/>
      <c r="H418" s="114"/>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40"/>
      <c r="AL418" s="141"/>
      <c r="AM418" s="141"/>
      <c r="AN418" s="141"/>
      <c r="AO418" s="141"/>
      <c r="AP418" s="141"/>
      <c r="AQ418" s="141"/>
      <c r="AR418" s="141"/>
      <c r="AS418" s="141"/>
      <c r="AT418" s="141"/>
      <c r="AU418" s="141"/>
      <c r="AV418" s="141"/>
      <c r="AW418" s="141"/>
      <c r="AX418" s="141"/>
      <c r="AY418" s="141"/>
      <c r="AZ418" s="141"/>
      <c r="BA418" s="141"/>
      <c r="BB418" s="141"/>
      <c r="BC418" s="141"/>
      <c r="BD418" s="141"/>
      <c r="BE418" s="141"/>
      <c r="BF418" s="141"/>
      <c r="BG418" s="18"/>
      <c r="BH418" s="1"/>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row>
    <row r="419" spans="1:135" ht="14.25" customHeight="1">
      <c r="A419" s="18"/>
      <c r="B419" s="18"/>
      <c r="C419" s="19"/>
      <c r="D419" s="18"/>
      <c r="E419" s="18"/>
      <c r="F419" s="19"/>
      <c r="G419" s="18"/>
      <c r="H419" s="114"/>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40"/>
      <c r="AL419" s="141"/>
      <c r="AM419" s="141"/>
      <c r="AN419" s="141"/>
      <c r="AO419" s="141"/>
      <c r="AP419" s="141"/>
      <c r="AQ419" s="141"/>
      <c r="AR419" s="141"/>
      <c r="AS419" s="141"/>
      <c r="AT419" s="141"/>
      <c r="AU419" s="141"/>
      <c r="AV419" s="141"/>
      <c r="AW419" s="141"/>
      <c r="AX419" s="141"/>
      <c r="AY419" s="141"/>
      <c r="AZ419" s="141"/>
      <c r="BA419" s="141"/>
      <c r="BB419" s="141"/>
      <c r="BC419" s="141"/>
      <c r="BD419" s="141"/>
      <c r="BE419" s="141"/>
      <c r="BF419" s="141"/>
      <c r="BG419" s="18"/>
      <c r="BH419" s="1"/>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row>
    <row r="420" spans="1:135" ht="14.25" customHeight="1">
      <c r="A420" s="18"/>
      <c r="B420" s="18"/>
      <c r="C420" s="19"/>
      <c r="D420" s="18"/>
      <c r="E420" s="18"/>
      <c r="F420" s="19"/>
      <c r="G420" s="18"/>
      <c r="H420" s="114"/>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40"/>
      <c r="AL420" s="141"/>
      <c r="AM420" s="141"/>
      <c r="AN420" s="141"/>
      <c r="AO420" s="141"/>
      <c r="AP420" s="141"/>
      <c r="AQ420" s="141"/>
      <c r="AR420" s="141"/>
      <c r="AS420" s="141"/>
      <c r="AT420" s="141"/>
      <c r="AU420" s="141"/>
      <c r="AV420" s="141"/>
      <c r="AW420" s="141"/>
      <c r="AX420" s="141"/>
      <c r="AY420" s="141"/>
      <c r="AZ420" s="141"/>
      <c r="BA420" s="141"/>
      <c r="BB420" s="141"/>
      <c r="BC420" s="141"/>
      <c r="BD420" s="141"/>
      <c r="BE420" s="141"/>
      <c r="BF420" s="141"/>
      <c r="BG420" s="18"/>
      <c r="BH420" s="1"/>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row>
    <row r="421" spans="1:135" ht="14.25" customHeight="1">
      <c r="A421" s="18"/>
      <c r="B421" s="18"/>
      <c r="C421" s="19"/>
      <c r="D421" s="18"/>
      <c r="E421" s="18"/>
      <c r="F421" s="19"/>
      <c r="G421" s="18"/>
      <c r="H421" s="114"/>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40"/>
      <c r="AL421" s="141"/>
      <c r="AM421" s="141"/>
      <c r="AN421" s="141"/>
      <c r="AO421" s="141"/>
      <c r="AP421" s="141"/>
      <c r="AQ421" s="141"/>
      <c r="AR421" s="141"/>
      <c r="AS421" s="141"/>
      <c r="AT421" s="141"/>
      <c r="AU421" s="141"/>
      <c r="AV421" s="141"/>
      <c r="AW421" s="141"/>
      <c r="AX421" s="141"/>
      <c r="AY421" s="141"/>
      <c r="AZ421" s="141"/>
      <c r="BA421" s="141"/>
      <c r="BB421" s="141"/>
      <c r="BC421" s="141"/>
      <c r="BD421" s="141"/>
      <c r="BE421" s="141"/>
      <c r="BF421" s="141"/>
      <c r="BG421" s="18"/>
      <c r="BH421" s="1"/>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row>
    <row r="422" spans="1:135" ht="14.25" customHeight="1">
      <c r="A422" s="18"/>
      <c r="B422" s="18"/>
      <c r="C422" s="19"/>
      <c r="D422" s="18"/>
      <c r="E422" s="18"/>
      <c r="F422" s="19"/>
      <c r="G422" s="18"/>
      <c r="H422" s="114"/>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40"/>
      <c r="AL422" s="141"/>
      <c r="AM422" s="141"/>
      <c r="AN422" s="141"/>
      <c r="AO422" s="141"/>
      <c r="AP422" s="141"/>
      <c r="AQ422" s="141"/>
      <c r="AR422" s="141"/>
      <c r="AS422" s="141"/>
      <c r="AT422" s="141"/>
      <c r="AU422" s="141"/>
      <c r="AV422" s="141"/>
      <c r="AW422" s="141"/>
      <c r="AX422" s="141"/>
      <c r="AY422" s="141"/>
      <c r="AZ422" s="141"/>
      <c r="BA422" s="141"/>
      <c r="BB422" s="141"/>
      <c r="BC422" s="141"/>
      <c r="BD422" s="141"/>
      <c r="BE422" s="141"/>
      <c r="BF422" s="141"/>
      <c r="BG422" s="18"/>
      <c r="BH422" s="1"/>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row>
    <row r="423" spans="1:135" ht="14.25" customHeight="1">
      <c r="A423" s="18"/>
      <c r="B423" s="18"/>
      <c r="C423" s="19"/>
      <c r="D423" s="18"/>
      <c r="E423" s="18"/>
      <c r="F423" s="19"/>
      <c r="G423" s="18"/>
      <c r="H423" s="114"/>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40"/>
      <c r="AL423" s="141"/>
      <c r="AM423" s="141"/>
      <c r="AN423" s="141"/>
      <c r="AO423" s="141"/>
      <c r="AP423" s="141"/>
      <c r="AQ423" s="141"/>
      <c r="AR423" s="141"/>
      <c r="AS423" s="141"/>
      <c r="AT423" s="141"/>
      <c r="AU423" s="141"/>
      <c r="AV423" s="141"/>
      <c r="AW423" s="141"/>
      <c r="AX423" s="141"/>
      <c r="AY423" s="141"/>
      <c r="AZ423" s="141"/>
      <c r="BA423" s="141"/>
      <c r="BB423" s="141"/>
      <c r="BC423" s="141"/>
      <c r="BD423" s="141"/>
      <c r="BE423" s="141"/>
      <c r="BF423" s="141"/>
      <c r="BG423" s="18"/>
      <c r="BH423" s="1"/>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row>
    <row r="424" spans="1:135" ht="14.25" customHeight="1">
      <c r="A424" s="18"/>
      <c r="B424" s="18"/>
      <c r="C424" s="19"/>
      <c r="D424" s="18"/>
      <c r="E424" s="18"/>
      <c r="F424" s="19"/>
      <c r="G424" s="18"/>
      <c r="H424" s="114"/>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40"/>
      <c r="AL424" s="141"/>
      <c r="AM424" s="141"/>
      <c r="AN424" s="141"/>
      <c r="AO424" s="141"/>
      <c r="AP424" s="141"/>
      <c r="AQ424" s="141"/>
      <c r="AR424" s="141"/>
      <c r="AS424" s="141"/>
      <c r="AT424" s="141"/>
      <c r="AU424" s="141"/>
      <c r="AV424" s="141"/>
      <c r="AW424" s="141"/>
      <c r="AX424" s="141"/>
      <c r="AY424" s="141"/>
      <c r="AZ424" s="141"/>
      <c r="BA424" s="141"/>
      <c r="BB424" s="141"/>
      <c r="BC424" s="141"/>
      <c r="BD424" s="141"/>
      <c r="BE424" s="141"/>
      <c r="BF424" s="141"/>
      <c r="BG424" s="18"/>
      <c r="BH424" s="1"/>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row>
    <row r="425" spans="1:135" ht="14.25" customHeight="1">
      <c r="A425" s="18"/>
      <c r="B425" s="18"/>
      <c r="C425" s="19"/>
      <c r="D425" s="18"/>
      <c r="E425" s="18"/>
      <c r="F425" s="19"/>
      <c r="G425" s="18"/>
      <c r="H425" s="114"/>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40"/>
      <c r="AL425" s="141"/>
      <c r="AM425" s="141"/>
      <c r="AN425" s="141"/>
      <c r="AO425" s="141"/>
      <c r="AP425" s="141"/>
      <c r="AQ425" s="141"/>
      <c r="AR425" s="141"/>
      <c r="AS425" s="141"/>
      <c r="AT425" s="141"/>
      <c r="AU425" s="141"/>
      <c r="AV425" s="141"/>
      <c r="AW425" s="141"/>
      <c r="AX425" s="141"/>
      <c r="AY425" s="141"/>
      <c r="AZ425" s="141"/>
      <c r="BA425" s="141"/>
      <c r="BB425" s="141"/>
      <c r="BC425" s="141"/>
      <c r="BD425" s="141"/>
      <c r="BE425" s="141"/>
      <c r="BF425" s="141"/>
      <c r="BG425" s="18"/>
      <c r="BH425" s="1"/>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row>
    <row r="426" spans="1:135" ht="14.25" customHeight="1">
      <c r="A426" s="18"/>
      <c r="B426" s="18"/>
      <c r="C426" s="19"/>
      <c r="D426" s="18"/>
      <c r="E426" s="18"/>
      <c r="F426" s="19"/>
      <c r="G426" s="18"/>
      <c r="H426" s="114"/>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40"/>
      <c r="AL426" s="141"/>
      <c r="AM426" s="141"/>
      <c r="AN426" s="141"/>
      <c r="AO426" s="141"/>
      <c r="AP426" s="141"/>
      <c r="AQ426" s="141"/>
      <c r="AR426" s="141"/>
      <c r="AS426" s="141"/>
      <c r="AT426" s="141"/>
      <c r="AU426" s="141"/>
      <c r="AV426" s="141"/>
      <c r="AW426" s="141"/>
      <c r="AX426" s="141"/>
      <c r="AY426" s="141"/>
      <c r="AZ426" s="141"/>
      <c r="BA426" s="141"/>
      <c r="BB426" s="141"/>
      <c r="BC426" s="141"/>
      <c r="BD426" s="141"/>
      <c r="BE426" s="141"/>
      <c r="BF426" s="141"/>
      <c r="BG426" s="18"/>
      <c r="BH426" s="1"/>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row>
    <row r="427" spans="1:135" ht="14.25" customHeight="1">
      <c r="A427" s="18"/>
      <c r="B427" s="18"/>
      <c r="C427" s="19"/>
      <c r="D427" s="18"/>
      <c r="E427" s="18"/>
      <c r="F427" s="19"/>
      <c r="G427" s="18"/>
      <c r="H427" s="114"/>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40"/>
      <c r="AL427" s="141"/>
      <c r="AM427" s="141"/>
      <c r="AN427" s="141"/>
      <c r="AO427" s="141"/>
      <c r="AP427" s="141"/>
      <c r="AQ427" s="141"/>
      <c r="AR427" s="141"/>
      <c r="AS427" s="141"/>
      <c r="AT427" s="141"/>
      <c r="AU427" s="141"/>
      <c r="AV427" s="141"/>
      <c r="AW427" s="141"/>
      <c r="AX427" s="141"/>
      <c r="AY427" s="141"/>
      <c r="AZ427" s="141"/>
      <c r="BA427" s="141"/>
      <c r="BB427" s="141"/>
      <c r="BC427" s="141"/>
      <c r="BD427" s="141"/>
      <c r="BE427" s="141"/>
      <c r="BF427" s="141"/>
      <c r="BG427" s="18"/>
      <c r="BH427" s="1"/>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row>
    <row r="428" spans="1:135" ht="14.25" customHeight="1">
      <c r="A428" s="18"/>
      <c r="B428" s="18"/>
      <c r="C428" s="19"/>
      <c r="D428" s="18"/>
      <c r="E428" s="18"/>
      <c r="F428" s="19"/>
      <c r="G428" s="18"/>
      <c r="H428" s="114"/>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40"/>
      <c r="AL428" s="141"/>
      <c r="AM428" s="141"/>
      <c r="AN428" s="141"/>
      <c r="AO428" s="141"/>
      <c r="AP428" s="141"/>
      <c r="AQ428" s="141"/>
      <c r="AR428" s="141"/>
      <c r="AS428" s="141"/>
      <c r="AT428" s="141"/>
      <c r="AU428" s="141"/>
      <c r="AV428" s="141"/>
      <c r="AW428" s="141"/>
      <c r="AX428" s="141"/>
      <c r="AY428" s="141"/>
      <c r="AZ428" s="141"/>
      <c r="BA428" s="141"/>
      <c r="BB428" s="141"/>
      <c r="BC428" s="141"/>
      <c r="BD428" s="141"/>
      <c r="BE428" s="141"/>
      <c r="BF428" s="141"/>
      <c r="BG428" s="18"/>
      <c r="BH428" s="1"/>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row>
    <row r="429" spans="1:135" ht="14.25" customHeight="1">
      <c r="A429" s="18"/>
      <c r="B429" s="18"/>
      <c r="C429" s="19"/>
      <c r="D429" s="18"/>
      <c r="E429" s="18"/>
      <c r="F429" s="19"/>
      <c r="G429" s="18"/>
      <c r="H429" s="114"/>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40"/>
      <c r="AL429" s="141"/>
      <c r="AM429" s="141"/>
      <c r="AN429" s="141"/>
      <c r="AO429" s="141"/>
      <c r="AP429" s="141"/>
      <c r="AQ429" s="141"/>
      <c r="AR429" s="141"/>
      <c r="AS429" s="141"/>
      <c r="AT429" s="141"/>
      <c r="AU429" s="141"/>
      <c r="AV429" s="141"/>
      <c r="AW429" s="141"/>
      <c r="AX429" s="141"/>
      <c r="AY429" s="141"/>
      <c r="AZ429" s="141"/>
      <c r="BA429" s="141"/>
      <c r="BB429" s="141"/>
      <c r="BC429" s="141"/>
      <c r="BD429" s="141"/>
      <c r="BE429" s="141"/>
      <c r="BF429" s="141"/>
      <c r="BG429" s="18"/>
      <c r="BH429" s="1"/>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row>
    <row r="430" spans="1:135" ht="14.25" customHeight="1">
      <c r="A430" s="18"/>
      <c r="B430" s="18"/>
      <c r="C430" s="19"/>
      <c r="D430" s="18"/>
      <c r="E430" s="18"/>
      <c r="F430" s="19"/>
      <c r="G430" s="18"/>
      <c r="H430" s="114"/>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40"/>
      <c r="AL430" s="141"/>
      <c r="AM430" s="141"/>
      <c r="AN430" s="141"/>
      <c r="AO430" s="141"/>
      <c r="AP430" s="141"/>
      <c r="AQ430" s="141"/>
      <c r="AR430" s="141"/>
      <c r="AS430" s="141"/>
      <c r="AT430" s="141"/>
      <c r="AU430" s="141"/>
      <c r="AV430" s="141"/>
      <c r="AW430" s="141"/>
      <c r="AX430" s="141"/>
      <c r="AY430" s="141"/>
      <c r="AZ430" s="141"/>
      <c r="BA430" s="141"/>
      <c r="BB430" s="141"/>
      <c r="BC430" s="141"/>
      <c r="BD430" s="141"/>
      <c r="BE430" s="141"/>
      <c r="BF430" s="141"/>
      <c r="BG430" s="18"/>
      <c r="BH430" s="1"/>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row>
    <row r="431" spans="1:135" ht="14.25" customHeight="1">
      <c r="A431" s="18"/>
      <c r="B431" s="18"/>
      <c r="C431" s="19"/>
      <c r="D431" s="18"/>
      <c r="E431" s="18"/>
      <c r="F431" s="19"/>
      <c r="G431" s="18"/>
      <c r="H431" s="114"/>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40"/>
      <c r="AL431" s="141"/>
      <c r="AM431" s="141"/>
      <c r="AN431" s="141"/>
      <c r="AO431" s="141"/>
      <c r="AP431" s="141"/>
      <c r="AQ431" s="141"/>
      <c r="AR431" s="141"/>
      <c r="AS431" s="141"/>
      <c r="AT431" s="141"/>
      <c r="AU431" s="141"/>
      <c r="AV431" s="141"/>
      <c r="AW431" s="141"/>
      <c r="AX431" s="141"/>
      <c r="AY431" s="141"/>
      <c r="AZ431" s="141"/>
      <c r="BA431" s="141"/>
      <c r="BB431" s="141"/>
      <c r="BC431" s="141"/>
      <c r="BD431" s="141"/>
      <c r="BE431" s="141"/>
      <c r="BF431" s="141"/>
      <c r="BG431" s="18"/>
      <c r="BH431" s="1"/>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row>
    <row r="432" spans="1:135" ht="14.25" customHeight="1">
      <c r="A432" s="18"/>
      <c r="B432" s="18"/>
      <c r="C432" s="19"/>
      <c r="D432" s="18"/>
      <c r="E432" s="18"/>
      <c r="F432" s="19"/>
      <c r="G432" s="18"/>
      <c r="H432" s="114"/>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40"/>
      <c r="AL432" s="141"/>
      <c r="AM432" s="141"/>
      <c r="AN432" s="141"/>
      <c r="AO432" s="141"/>
      <c r="AP432" s="141"/>
      <c r="AQ432" s="141"/>
      <c r="AR432" s="141"/>
      <c r="AS432" s="141"/>
      <c r="AT432" s="141"/>
      <c r="AU432" s="141"/>
      <c r="AV432" s="141"/>
      <c r="AW432" s="141"/>
      <c r="AX432" s="141"/>
      <c r="AY432" s="141"/>
      <c r="AZ432" s="141"/>
      <c r="BA432" s="141"/>
      <c r="BB432" s="141"/>
      <c r="BC432" s="141"/>
      <c r="BD432" s="141"/>
      <c r="BE432" s="141"/>
      <c r="BF432" s="141"/>
      <c r="BG432" s="18"/>
      <c r="BH432" s="1"/>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row>
    <row r="433" spans="1:135" ht="14.25" customHeight="1">
      <c r="A433" s="18"/>
      <c r="B433" s="18"/>
      <c r="C433" s="19"/>
      <c r="D433" s="18"/>
      <c r="E433" s="18"/>
      <c r="F433" s="19"/>
      <c r="G433" s="18"/>
      <c r="H433" s="114"/>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40"/>
      <c r="AL433" s="141"/>
      <c r="AM433" s="141"/>
      <c r="AN433" s="141"/>
      <c r="AO433" s="141"/>
      <c r="AP433" s="141"/>
      <c r="AQ433" s="141"/>
      <c r="AR433" s="141"/>
      <c r="AS433" s="141"/>
      <c r="AT433" s="141"/>
      <c r="AU433" s="141"/>
      <c r="AV433" s="141"/>
      <c r="AW433" s="141"/>
      <c r="AX433" s="141"/>
      <c r="AY433" s="141"/>
      <c r="AZ433" s="141"/>
      <c r="BA433" s="141"/>
      <c r="BB433" s="141"/>
      <c r="BC433" s="141"/>
      <c r="BD433" s="141"/>
      <c r="BE433" s="141"/>
      <c r="BF433" s="141"/>
      <c r="BG433" s="18"/>
      <c r="BH433" s="1"/>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row>
    <row r="434" spans="1:135" ht="14.25" customHeight="1">
      <c r="A434" s="18"/>
      <c r="B434" s="18"/>
      <c r="C434" s="19"/>
      <c r="D434" s="18"/>
      <c r="E434" s="18"/>
      <c r="F434" s="19"/>
      <c r="G434" s="18"/>
      <c r="H434" s="114"/>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40"/>
      <c r="AL434" s="141"/>
      <c r="AM434" s="141"/>
      <c r="AN434" s="141"/>
      <c r="AO434" s="141"/>
      <c r="AP434" s="141"/>
      <c r="AQ434" s="141"/>
      <c r="AR434" s="141"/>
      <c r="AS434" s="141"/>
      <c r="AT434" s="141"/>
      <c r="AU434" s="141"/>
      <c r="AV434" s="141"/>
      <c r="AW434" s="141"/>
      <c r="AX434" s="141"/>
      <c r="AY434" s="141"/>
      <c r="AZ434" s="141"/>
      <c r="BA434" s="141"/>
      <c r="BB434" s="141"/>
      <c r="BC434" s="141"/>
      <c r="BD434" s="141"/>
      <c r="BE434" s="141"/>
      <c r="BF434" s="141"/>
      <c r="BG434" s="18"/>
      <c r="BH434" s="1"/>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row>
    <row r="435" spans="1:135" ht="14.25" customHeight="1">
      <c r="A435" s="18"/>
      <c r="B435" s="18"/>
      <c r="C435" s="19"/>
      <c r="D435" s="18"/>
      <c r="E435" s="18"/>
      <c r="F435" s="19"/>
      <c r="G435" s="18"/>
      <c r="H435" s="114"/>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40"/>
      <c r="AL435" s="141"/>
      <c r="AM435" s="141"/>
      <c r="AN435" s="141"/>
      <c r="AO435" s="141"/>
      <c r="AP435" s="141"/>
      <c r="AQ435" s="141"/>
      <c r="AR435" s="141"/>
      <c r="AS435" s="141"/>
      <c r="AT435" s="141"/>
      <c r="AU435" s="141"/>
      <c r="AV435" s="141"/>
      <c r="AW435" s="141"/>
      <c r="AX435" s="141"/>
      <c r="AY435" s="141"/>
      <c r="AZ435" s="141"/>
      <c r="BA435" s="141"/>
      <c r="BB435" s="141"/>
      <c r="BC435" s="141"/>
      <c r="BD435" s="141"/>
      <c r="BE435" s="141"/>
      <c r="BF435" s="141"/>
      <c r="BG435" s="18"/>
      <c r="BH435" s="1"/>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row>
    <row r="436" spans="1:135" ht="14.25" customHeight="1">
      <c r="A436" s="18"/>
      <c r="B436" s="18"/>
      <c r="C436" s="19"/>
      <c r="D436" s="18"/>
      <c r="E436" s="18"/>
      <c r="F436" s="19"/>
      <c r="G436" s="18"/>
      <c r="H436" s="114"/>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40"/>
      <c r="AL436" s="141"/>
      <c r="AM436" s="141"/>
      <c r="AN436" s="141"/>
      <c r="AO436" s="141"/>
      <c r="AP436" s="141"/>
      <c r="AQ436" s="141"/>
      <c r="AR436" s="141"/>
      <c r="AS436" s="141"/>
      <c r="AT436" s="141"/>
      <c r="AU436" s="141"/>
      <c r="AV436" s="141"/>
      <c r="AW436" s="141"/>
      <c r="AX436" s="141"/>
      <c r="AY436" s="141"/>
      <c r="AZ436" s="141"/>
      <c r="BA436" s="141"/>
      <c r="BB436" s="141"/>
      <c r="BC436" s="141"/>
      <c r="BD436" s="141"/>
      <c r="BE436" s="141"/>
      <c r="BF436" s="141"/>
      <c r="BG436" s="18"/>
      <c r="BH436" s="1"/>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row>
    <row r="437" spans="1:135" ht="14.25" customHeight="1">
      <c r="A437" s="18"/>
      <c r="B437" s="18"/>
      <c r="C437" s="19"/>
      <c r="D437" s="18"/>
      <c r="E437" s="18"/>
      <c r="F437" s="19"/>
      <c r="G437" s="18"/>
      <c r="H437" s="114"/>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40"/>
      <c r="AL437" s="141"/>
      <c r="AM437" s="141"/>
      <c r="AN437" s="141"/>
      <c r="AO437" s="141"/>
      <c r="AP437" s="141"/>
      <c r="AQ437" s="141"/>
      <c r="AR437" s="141"/>
      <c r="AS437" s="141"/>
      <c r="AT437" s="141"/>
      <c r="AU437" s="141"/>
      <c r="AV437" s="141"/>
      <c r="AW437" s="141"/>
      <c r="AX437" s="141"/>
      <c r="AY437" s="141"/>
      <c r="AZ437" s="141"/>
      <c r="BA437" s="141"/>
      <c r="BB437" s="141"/>
      <c r="BC437" s="141"/>
      <c r="BD437" s="141"/>
      <c r="BE437" s="141"/>
      <c r="BF437" s="141"/>
      <c r="BG437" s="18"/>
      <c r="BH437" s="1"/>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row>
    <row r="438" spans="1:135" ht="14.25" customHeight="1">
      <c r="A438" s="18"/>
      <c r="B438" s="18"/>
      <c r="C438" s="19"/>
      <c r="D438" s="18"/>
      <c r="E438" s="18"/>
      <c r="F438" s="19"/>
      <c r="G438" s="18"/>
      <c r="H438" s="114"/>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40"/>
      <c r="AL438" s="141"/>
      <c r="AM438" s="141"/>
      <c r="AN438" s="141"/>
      <c r="AO438" s="141"/>
      <c r="AP438" s="141"/>
      <c r="AQ438" s="141"/>
      <c r="AR438" s="141"/>
      <c r="AS438" s="141"/>
      <c r="AT438" s="141"/>
      <c r="AU438" s="141"/>
      <c r="AV438" s="141"/>
      <c r="AW438" s="141"/>
      <c r="AX438" s="141"/>
      <c r="AY438" s="141"/>
      <c r="AZ438" s="141"/>
      <c r="BA438" s="141"/>
      <c r="BB438" s="141"/>
      <c r="BC438" s="141"/>
      <c r="BD438" s="141"/>
      <c r="BE438" s="141"/>
      <c r="BF438" s="141"/>
      <c r="BG438" s="18"/>
      <c r="BH438" s="1"/>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row>
    <row r="439" spans="1:135" ht="14.25" customHeight="1">
      <c r="A439" s="18"/>
      <c r="B439" s="18"/>
      <c r="C439" s="19"/>
      <c r="D439" s="18"/>
      <c r="E439" s="18"/>
      <c r="F439" s="19"/>
      <c r="G439" s="18"/>
      <c r="H439" s="114"/>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40"/>
      <c r="AL439" s="141"/>
      <c r="AM439" s="141"/>
      <c r="AN439" s="141"/>
      <c r="AO439" s="141"/>
      <c r="AP439" s="141"/>
      <c r="AQ439" s="141"/>
      <c r="AR439" s="141"/>
      <c r="AS439" s="141"/>
      <c r="AT439" s="141"/>
      <c r="AU439" s="141"/>
      <c r="AV439" s="141"/>
      <c r="AW439" s="141"/>
      <c r="AX439" s="141"/>
      <c r="AY439" s="141"/>
      <c r="AZ439" s="141"/>
      <c r="BA439" s="141"/>
      <c r="BB439" s="141"/>
      <c r="BC439" s="141"/>
      <c r="BD439" s="141"/>
      <c r="BE439" s="141"/>
      <c r="BF439" s="141"/>
      <c r="BG439" s="18"/>
      <c r="BH439" s="1"/>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row>
    <row r="440" spans="1:135" ht="14.25" customHeight="1">
      <c r="A440" s="18"/>
      <c r="B440" s="18"/>
      <c r="C440" s="19"/>
      <c r="D440" s="18"/>
      <c r="E440" s="18"/>
      <c r="F440" s="19"/>
      <c r="G440" s="18"/>
      <c r="H440" s="114"/>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40"/>
      <c r="AL440" s="141"/>
      <c r="AM440" s="141"/>
      <c r="AN440" s="141"/>
      <c r="AO440" s="141"/>
      <c r="AP440" s="141"/>
      <c r="AQ440" s="141"/>
      <c r="AR440" s="141"/>
      <c r="AS440" s="141"/>
      <c r="AT440" s="141"/>
      <c r="AU440" s="141"/>
      <c r="AV440" s="141"/>
      <c r="AW440" s="141"/>
      <c r="AX440" s="141"/>
      <c r="AY440" s="141"/>
      <c r="AZ440" s="141"/>
      <c r="BA440" s="141"/>
      <c r="BB440" s="141"/>
      <c r="BC440" s="141"/>
      <c r="BD440" s="141"/>
      <c r="BE440" s="141"/>
      <c r="BF440" s="141"/>
      <c r="BG440" s="18"/>
      <c r="BH440" s="1"/>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row>
    <row r="441" spans="1:135" ht="14.25" customHeight="1">
      <c r="A441" s="18"/>
      <c r="B441" s="18"/>
      <c r="C441" s="19"/>
      <c r="D441" s="18"/>
      <c r="E441" s="18"/>
      <c r="F441" s="19"/>
      <c r="G441" s="18"/>
      <c r="H441" s="114"/>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40"/>
      <c r="AL441" s="141"/>
      <c r="AM441" s="141"/>
      <c r="AN441" s="141"/>
      <c r="AO441" s="141"/>
      <c r="AP441" s="141"/>
      <c r="AQ441" s="141"/>
      <c r="AR441" s="141"/>
      <c r="AS441" s="141"/>
      <c r="AT441" s="141"/>
      <c r="AU441" s="141"/>
      <c r="AV441" s="141"/>
      <c r="AW441" s="141"/>
      <c r="AX441" s="141"/>
      <c r="AY441" s="141"/>
      <c r="AZ441" s="141"/>
      <c r="BA441" s="141"/>
      <c r="BB441" s="141"/>
      <c r="BC441" s="141"/>
      <c r="BD441" s="141"/>
      <c r="BE441" s="141"/>
      <c r="BF441" s="141"/>
      <c r="BG441" s="18"/>
      <c r="BH441" s="1"/>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row>
    <row r="442" spans="1:135" ht="14.25" customHeight="1">
      <c r="A442" s="18"/>
      <c r="B442" s="18"/>
      <c r="C442" s="19"/>
      <c r="D442" s="18"/>
      <c r="E442" s="18"/>
      <c r="F442" s="19"/>
      <c r="G442" s="18"/>
      <c r="H442" s="114"/>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40"/>
      <c r="AL442" s="141"/>
      <c r="AM442" s="141"/>
      <c r="AN442" s="141"/>
      <c r="AO442" s="141"/>
      <c r="AP442" s="141"/>
      <c r="AQ442" s="141"/>
      <c r="AR442" s="141"/>
      <c r="AS442" s="141"/>
      <c r="AT442" s="141"/>
      <c r="AU442" s="141"/>
      <c r="AV442" s="141"/>
      <c r="AW442" s="141"/>
      <c r="AX442" s="141"/>
      <c r="AY442" s="141"/>
      <c r="AZ442" s="141"/>
      <c r="BA442" s="141"/>
      <c r="BB442" s="141"/>
      <c r="BC442" s="141"/>
      <c r="BD442" s="141"/>
      <c r="BE442" s="141"/>
      <c r="BF442" s="141"/>
      <c r="BG442" s="18"/>
      <c r="BH442" s="1"/>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row>
    <row r="443" spans="1:135" ht="14.25" customHeight="1">
      <c r="A443" s="18"/>
      <c r="B443" s="18"/>
      <c r="C443" s="19"/>
      <c r="D443" s="18"/>
      <c r="E443" s="18"/>
      <c r="F443" s="19"/>
      <c r="G443" s="18"/>
      <c r="H443" s="114"/>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40"/>
      <c r="AL443" s="141"/>
      <c r="AM443" s="141"/>
      <c r="AN443" s="141"/>
      <c r="AO443" s="141"/>
      <c r="AP443" s="141"/>
      <c r="AQ443" s="141"/>
      <c r="AR443" s="141"/>
      <c r="AS443" s="141"/>
      <c r="AT443" s="141"/>
      <c r="AU443" s="141"/>
      <c r="AV443" s="141"/>
      <c r="AW443" s="141"/>
      <c r="AX443" s="141"/>
      <c r="AY443" s="141"/>
      <c r="AZ443" s="141"/>
      <c r="BA443" s="141"/>
      <c r="BB443" s="141"/>
      <c r="BC443" s="141"/>
      <c r="BD443" s="141"/>
      <c r="BE443" s="141"/>
      <c r="BF443" s="141"/>
      <c r="BG443" s="18"/>
      <c r="BH443" s="1"/>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row>
    <row r="444" spans="1:135" ht="14.25" customHeight="1">
      <c r="A444" s="18"/>
      <c r="B444" s="18"/>
      <c r="C444" s="19"/>
      <c r="D444" s="18"/>
      <c r="E444" s="18"/>
      <c r="F444" s="19"/>
      <c r="G444" s="18"/>
      <c r="H444" s="114"/>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40"/>
      <c r="AL444" s="141"/>
      <c r="AM444" s="141"/>
      <c r="AN444" s="141"/>
      <c r="AO444" s="141"/>
      <c r="AP444" s="141"/>
      <c r="AQ444" s="141"/>
      <c r="AR444" s="141"/>
      <c r="AS444" s="141"/>
      <c r="AT444" s="141"/>
      <c r="AU444" s="141"/>
      <c r="AV444" s="141"/>
      <c r="AW444" s="141"/>
      <c r="AX444" s="141"/>
      <c r="AY444" s="141"/>
      <c r="AZ444" s="141"/>
      <c r="BA444" s="141"/>
      <c r="BB444" s="141"/>
      <c r="BC444" s="141"/>
      <c r="BD444" s="141"/>
      <c r="BE444" s="141"/>
      <c r="BF444" s="141"/>
      <c r="BG444" s="18"/>
      <c r="BH444" s="1"/>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row>
    <row r="445" spans="1:135" ht="14.25" customHeight="1">
      <c r="A445" s="18"/>
      <c r="B445" s="18"/>
      <c r="C445" s="19"/>
      <c r="D445" s="18"/>
      <c r="E445" s="18"/>
      <c r="F445" s="19"/>
      <c r="G445" s="18"/>
      <c r="H445" s="114"/>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40"/>
      <c r="AL445" s="141"/>
      <c r="AM445" s="141"/>
      <c r="AN445" s="141"/>
      <c r="AO445" s="141"/>
      <c r="AP445" s="141"/>
      <c r="AQ445" s="141"/>
      <c r="AR445" s="141"/>
      <c r="AS445" s="141"/>
      <c r="AT445" s="141"/>
      <c r="AU445" s="141"/>
      <c r="AV445" s="141"/>
      <c r="AW445" s="141"/>
      <c r="AX445" s="141"/>
      <c r="AY445" s="141"/>
      <c r="AZ445" s="141"/>
      <c r="BA445" s="141"/>
      <c r="BB445" s="141"/>
      <c r="BC445" s="141"/>
      <c r="BD445" s="141"/>
      <c r="BE445" s="141"/>
      <c r="BF445" s="141"/>
      <c r="BG445" s="18"/>
      <c r="BH445" s="1"/>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row>
    <row r="446" spans="1:135" ht="14.25" customHeight="1">
      <c r="A446" s="18"/>
      <c r="B446" s="18"/>
      <c r="C446" s="19"/>
      <c r="D446" s="18"/>
      <c r="E446" s="18"/>
      <c r="F446" s="19"/>
      <c r="G446" s="18"/>
      <c r="H446" s="114"/>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40"/>
      <c r="AL446" s="141"/>
      <c r="AM446" s="141"/>
      <c r="AN446" s="141"/>
      <c r="AO446" s="141"/>
      <c r="AP446" s="141"/>
      <c r="AQ446" s="141"/>
      <c r="AR446" s="141"/>
      <c r="AS446" s="141"/>
      <c r="AT446" s="141"/>
      <c r="AU446" s="141"/>
      <c r="AV446" s="141"/>
      <c r="AW446" s="141"/>
      <c r="AX446" s="141"/>
      <c r="AY446" s="141"/>
      <c r="AZ446" s="141"/>
      <c r="BA446" s="141"/>
      <c r="BB446" s="141"/>
      <c r="BC446" s="141"/>
      <c r="BD446" s="141"/>
      <c r="BE446" s="141"/>
      <c r="BF446" s="141"/>
      <c r="BG446" s="18"/>
      <c r="BH446" s="1"/>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row>
    <row r="447" spans="1:135" ht="14.25" customHeight="1">
      <c r="A447" s="18"/>
      <c r="B447" s="18"/>
      <c r="C447" s="19"/>
      <c r="D447" s="18"/>
      <c r="E447" s="18"/>
      <c r="F447" s="19"/>
      <c r="G447" s="18"/>
      <c r="H447" s="114"/>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40"/>
      <c r="AL447" s="141"/>
      <c r="AM447" s="141"/>
      <c r="AN447" s="141"/>
      <c r="AO447" s="141"/>
      <c r="AP447" s="141"/>
      <c r="AQ447" s="141"/>
      <c r="AR447" s="141"/>
      <c r="AS447" s="141"/>
      <c r="AT447" s="141"/>
      <c r="AU447" s="141"/>
      <c r="AV447" s="141"/>
      <c r="AW447" s="141"/>
      <c r="AX447" s="141"/>
      <c r="AY447" s="141"/>
      <c r="AZ447" s="141"/>
      <c r="BA447" s="141"/>
      <c r="BB447" s="141"/>
      <c r="BC447" s="141"/>
      <c r="BD447" s="141"/>
      <c r="BE447" s="141"/>
      <c r="BF447" s="141"/>
      <c r="BG447" s="18"/>
      <c r="BH447" s="1"/>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row>
    <row r="448" spans="1:135" ht="14.25" customHeight="1">
      <c r="A448" s="18"/>
      <c r="B448" s="18"/>
      <c r="C448" s="19"/>
      <c r="D448" s="18"/>
      <c r="E448" s="18"/>
      <c r="F448" s="19"/>
      <c r="G448" s="18"/>
      <c r="H448" s="114"/>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40"/>
      <c r="AL448" s="141"/>
      <c r="AM448" s="141"/>
      <c r="AN448" s="141"/>
      <c r="AO448" s="141"/>
      <c r="AP448" s="141"/>
      <c r="AQ448" s="141"/>
      <c r="AR448" s="141"/>
      <c r="AS448" s="141"/>
      <c r="AT448" s="141"/>
      <c r="AU448" s="141"/>
      <c r="AV448" s="141"/>
      <c r="AW448" s="141"/>
      <c r="AX448" s="141"/>
      <c r="AY448" s="141"/>
      <c r="AZ448" s="141"/>
      <c r="BA448" s="141"/>
      <c r="BB448" s="141"/>
      <c r="BC448" s="141"/>
      <c r="BD448" s="141"/>
      <c r="BE448" s="141"/>
      <c r="BF448" s="141"/>
      <c r="BG448" s="18"/>
      <c r="BH448" s="1"/>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row>
    <row r="449" spans="1:135" ht="14.25" customHeight="1">
      <c r="A449" s="18"/>
      <c r="B449" s="18"/>
      <c r="C449" s="19"/>
      <c r="D449" s="18"/>
      <c r="E449" s="18"/>
      <c r="F449" s="19"/>
      <c r="G449" s="18"/>
      <c r="H449" s="114"/>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40"/>
      <c r="AL449" s="141"/>
      <c r="AM449" s="141"/>
      <c r="AN449" s="141"/>
      <c r="AO449" s="141"/>
      <c r="AP449" s="141"/>
      <c r="AQ449" s="141"/>
      <c r="AR449" s="141"/>
      <c r="AS449" s="141"/>
      <c r="AT449" s="141"/>
      <c r="AU449" s="141"/>
      <c r="AV449" s="141"/>
      <c r="AW449" s="141"/>
      <c r="AX449" s="141"/>
      <c r="AY449" s="141"/>
      <c r="AZ449" s="141"/>
      <c r="BA449" s="141"/>
      <c r="BB449" s="141"/>
      <c r="BC449" s="141"/>
      <c r="BD449" s="141"/>
      <c r="BE449" s="141"/>
      <c r="BF449" s="141"/>
      <c r="BG449" s="18"/>
      <c r="BH449" s="1"/>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row>
    <row r="450" spans="1:135" ht="14.25" customHeight="1">
      <c r="A450" s="18"/>
      <c r="B450" s="18"/>
      <c r="C450" s="19"/>
      <c r="D450" s="18"/>
      <c r="E450" s="18"/>
      <c r="F450" s="19"/>
      <c r="G450" s="18"/>
      <c r="H450" s="114"/>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40"/>
      <c r="AL450" s="141"/>
      <c r="AM450" s="141"/>
      <c r="AN450" s="141"/>
      <c r="AO450" s="141"/>
      <c r="AP450" s="141"/>
      <c r="AQ450" s="141"/>
      <c r="AR450" s="141"/>
      <c r="AS450" s="141"/>
      <c r="AT450" s="141"/>
      <c r="AU450" s="141"/>
      <c r="AV450" s="141"/>
      <c r="AW450" s="141"/>
      <c r="AX450" s="141"/>
      <c r="AY450" s="141"/>
      <c r="AZ450" s="141"/>
      <c r="BA450" s="141"/>
      <c r="BB450" s="141"/>
      <c r="BC450" s="141"/>
      <c r="BD450" s="141"/>
      <c r="BE450" s="141"/>
      <c r="BF450" s="141"/>
      <c r="BG450" s="18"/>
      <c r="BH450" s="1"/>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row>
    <row r="451" spans="1:135" ht="14.25" customHeight="1">
      <c r="A451" s="18"/>
      <c r="B451" s="18"/>
      <c r="C451" s="19"/>
      <c r="D451" s="18"/>
      <c r="E451" s="18"/>
      <c r="F451" s="19"/>
      <c r="G451" s="18"/>
      <c r="H451" s="114"/>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40"/>
      <c r="AL451" s="141"/>
      <c r="AM451" s="141"/>
      <c r="AN451" s="141"/>
      <c r="AO451" s="141"/>
      <c r="AP451" s="141"/>
      <c r="AQ451" s="141"/>
      <c r="AR451" s="141"/>
      <c r="AS451" s="141"/>
      <c r="AT451" s="141"/>
      <c r="AU451" s="141"/>
      <c r="AV451" s="141"/>
      <c r="AW451" s="141"/>
      <c r="AX451" s="141"/>
      <c r="AY451" s="141"/>
      <c r="AZ451" s="141"/>
      <c r="BA451" s="141"/>
      <c r="BB451" s="141"/>
      <c r="BC451" s="141"/>
      <c r="BD451" s="141"/>
      <c r="BE451" s="141"/>
      <c r="BF451" s="141"/>
      <c r="BG451" s="18"/>
      <c r="BH451" s="1"/>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row>
    <row r="452" spans="1:135" ht="14.25" customHeight="1">
      <c r="A452" s="18"/>
      <c r="B452" s="18"/>
      <c r="C452" s="19"/>
      <c r="D452" s="18"/>
      <c r="E452" s="18"/>
      <c r="F452" s="19"/>
      <c r="G452" s="18"/>
      <c r="H452" s="114"/>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40"/>
      <c r="AL452" s="141"/>
      <c r="AM452" s="141"/>
      <c r="AN452" s="141"/>
      <c r="AO452" s="141"/>
      <c r="AP452" s="141"/>
      <c r="AQ452" s="141"/>
      <c r="AR452" s="141"/>
      <c r="AS452" s="141"/>
      <c r="AT452" s="141"/>
      <c r="AU452" s="141"/>
      <c r="AV452" s="141"/>
      <c r="AW452" s="141"/>
      <c r="AX452" s="141"/>
      <c r="AY452" s="141"/>
      <c r="AZ452" s="141"/>
      <c r="BA452" s="141"/>
      <c r="BB452" s="141"/>
      <c r="BC452" s="141"/>
      <c r="BD452" s="141"/>
      <c r="BE452" s="141"/>
      <c r="BF452" s="141"/>
      <c r="BG452" s="18"/>
      <c r="BH452" s="1"/>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row>
    <row r="453" spans="1:135" ht="14.25" customHeight="1">
      <c r="A453" s="18"/>
      <c r="B453" s="18"/>
      <c r="C453" s="19"/>
      <c r="D453" s="18"/>
      <c r="E453" s="18"/>
      <c r="F453" s="19"/>
      <c r="G453" s="18"/>
      <c r="H453" s="114"/>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40"/>
      <c r="AL453" s="141"/>
      <c r="AM453" s="141"/>
      <c r="AN453" s="141"/>
      <c r="AO453" s="141"/>
      <c r="AP453" s="141"/>
      <c r="AQ453" s="141"/>
      <c r="AR453" s="141"/>
      <c r="AS453" s="141"/>
      <c r="AT453" s="141"/>
      <c r="AU453" s="141"/>
      <c r="AV453" s="141"/>
      <c r="AW453" s="141"/>
      <c r="AX453" s="141"/>
      <c r="AY453" s="141"/>
      <c r="AZ453" s="141"/>
      <c r="BA453" s="141"/>
      <c r="BB453" s="141"/>
      <c r="BC453" s="141"/>
      <c r="BD453" s="141"/>
      <c r="BE453" s="141"/>
      <c r="BF453" s="141"/>
      <c r="BG453" s="18"/>
      <c r="BH453" s="1"/>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row>
    <row r="454" spans="1:135" ht="14.25" customHeight="1">
      <c r="A454" s="18"/>
      <c r="B454" s="18"/>
      <c r="C454" s="19"/>
      <c r="D454" s="18"/>
      <c r="E454" s="18"/>
      <c r="F454" s="19"/>
      <c r="G454" s="18"/>
      <c r="H454" s="114"/>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40"/>
      <c r="AL454" s="141"/>
      <c r="AM454" s="141"/>
      <c r="AN454" s="141"/>
      <c r="AO454" s="141"/>
      <c r="AP454" s="141"/>
      <c r="AQ454" s="141"/>
      <c r="AR454" s="141"/>
      <c r="AS454" s="141"/>
      <c r="AT454" s="141"/>
      <c r="AU454" s="141"/>
      <c r="AV454" s="141"/>
      <c r="AW454" s="141"/>
      <c r="AX454" s="141"/>
      <c r="AY454" s="141"/>
      <c r="AZ454" s="141"/>
      <c r="BA454" s="141"/>
      <c r="BB454" s="141"/>
      <c r="BC454" s="141"/>
      <c r="BD454" s="141"/>
      <c r="BE454" s="141"/>
      <c r="BF454" s="141"/>
      <c r="BG454" s="18"/>
      <c r="BH454" s="1"/>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row>
    <row r="455" spans="1:135" ht="14.25" customHeight="1">
      <c r="A455" s="18"/>
      <c r="B455" s="18"/>
      <c r="C455" s="19"/>
      <c r="D455" s="18"/>
      <c r="E455" s="18"/>
      <c r="F455" s="19"/>
      <c r="G455" s="18"/>
      <c r="H455" s="114"/>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40"/>
      <c r="AL455" s="141"/>
      <c r="AM455" s="141"/>
      <c r="AN455" s="141"/>
      <c r="AO455" s="141"/>
      <c r="AP455" s="141"/>
      <c r="AQ455" s="141"/>
      <c r="AR455" s="141"/>
      <c r="AS455" s="141"/>
      <c r="AT455" s="141"/>
      <c r="AU455" s="141"/>
      <c r="AV455" s="141"/>
      <c r="AW455" s="141"/>
      <c r="AX455" s="141"/>
      <c r="AY455" s="141"/>
      <c r="AZ455" s="141"/>
      <c r="BA455" s="141"/>
      <c r="BB455" s="141"/>
      <c r="BC455" s="141"/>
      <c r="BD455" s="141"/>
      <c r="BE455" s="141"/>
      <c r="BF455" s="141"/>
      <c r="BG455" s="18"/>
      <c r="BH455" s="1"/>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row>
    <row r="456" spans="1:135" ht="14.25" customHeight="1">
      <c r="A456" s="18"/>
      <c r="B456" s="18"/>
      <c r="C456" s="19"/>
      <c r="D456" s="18"/>
      <c r="E456" s="18"/>
      <c r="F456" s="19"/>
      <c r="G456" s="18"/>
      <c r="H456" s="114"/>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40"/>
      <c r="AL456" s="141"/>
      <c r="AM456" s="141"/>
      <c r="AN456" s="141"/>
      <c r="AO456" s="141"/>
      <c r="AP456" s="141"/>
      <c r="AQ456" s="141"/>
      <c r="AR456" s="141"/>
      <c r="AS456" s="141"/>
      <c r="AT456" s="141"/>
      <c r="AU456" s="141"/>
      <c r="AV456" s="141"/>
      <c r="AW456" s="141"/>
      <c r="AX456" s="141"/>
      <c r="AY456" s="141"/>
      <c r="AZ456" s="141"/>
      <c r="BA456" s="141"/>
      <c r="BB456" s="141"/>
      <c r="BC456" s="141"/>
      <c r="BD456" s="141"/>
      <c r="BE456" s="141"/>
      <c r="BF456" s="141"/>
      <c r="BG456" s="18"/>
      <c r="BH456" s="1"/>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row>
    <row r="457" spans="1:135" ht="14.25" customHeight="1">
      <c r="A457" s="18"/>
      <c r="B457" s="18"/>
      <c r="C457" s="19"/>
      <c r="D457" s="18"/>
      <c r="E457" s="18"/>
      <c r="F457" s="19"/>
      <c r="G457" s="18"/>
      <c r="H457" s="114"/>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40"/>
      <c r="AL457" s="141"/>
      <c r="AM457" s="141"/>
      <c r="AN457" s="141"/>
      <c r="AO457" s="141"/>
      <c r="AP457" s="141"/>
      <c r="AQ457" s="141"/>
      <c r="AR457" s="141"/>
      <c r="AS457" s="141"/>
      <c r="AT457" s="141"/>
      <c r="AU457" s="141"/>
      <c r="AV457" s="141"/>
      <c r="AW457" s="141"/>
      <c r="AX457" s="141"/>
      <c r="AY457" s="141"/>
      <c r="AZ457" s="141"/>
      <c r="BA457" s="141"/>
      <c r="BB457" s="141"/>
      <c r="BC457" s="141"/>
      <c r="BD457" s="141"/>
      <c r="BE457" s="141"/>
      <c r="BF457" s="141"/>
      <c r="BG457" s="18"/>
      <c r="BH457" s="1"/>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row>
    <row r="458" spans="1:135" ht="14.25" customHeight="1">
      <c r="A458" s="18"/>
      <c r="B458" s="18"/>
      <c r="C458" s="19"/>
      <c r="D458" s="18"/>
      <c r="E458" s="18"/>
      <c r="F458" s="19"/>
      <c r="G458" s="18"/>
      <c r="H458" s="114"/>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40"/>
      <c r="AL458" s="141"/>
      <c r="AM458" s="141"/>
      <c r="AN458" s="141"/>
      <c r="AO458" s="141"/>
      <c r="AP458" s="141"/>
      <c r="AQ458" s="141"/>
      <c r="AR458" s="141"/>
      <c r="AS458" s="141"/>
      <c r="AT458" s="141"/>
      <c r="AU458" s="141"/>
      <c r="AV458" s="141"/>
      <c r="AW458" s="141"/>
      <c r="AX458" s="141"/>
      <c r="AY458" s="141"/>
      <c r="AZ458" s="141"/>
      <c r="BA458" s="141"/>
      <c r="BB458" s="141"/>
      <c r="BC458" s="141"/>
      <c r="BD458" s="141"/>
      <c r="BE458" s="141"/>
      <c r="BF458" s="141"/>
      <c r="BG458" s="18"/>
      <c r="BH458" s="1"/>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row>
    <row r="459" spans="1:135" ht="14.25" customHeight="1">
      <c r="A459" s="18"/>
      <c r="B459" s="18"/>
      <c r="C459" s="19"/>
      <c r="D459" s="18"/>
      <c r="E459" s="18"/>
      <c r="F459" s="19"/>
      <c r="G459" s="18"/>
      <c r="H459" s="114"/>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40"/>
      <c r="AL459" s="141"/>
      <c r="AM459" s="141"/>
      <c r="AN459" s="141"/>
      <c r="AO459" s="141"/>
      <c r="AP459" s="141"/>
      <c r="AQ459" s="141"/>
      <c r="AR459" s="141"/>
      <c r="AS459" s="141"/>
      <c r="AT459" s="141"/>
      <c r="AU459" s="141"/>
      <c r="AV459" s="141"/>
      <c r="AW459" s="141"/>
      <c r="AX459" s="141"/>
      <c r="AY459" s="141"/>
      <c r="AZ459" s="141"/>
      <c r="BA459" s="141"/>
      <c r="BB459" s="141"/>
      <c r="BC459" s="141"/>
      <c r="BD459" s="141"/>
      <c r="BE459" s="141"/>
      <c r="BF459" s="141"/>
      <c r="BG459" s="18"/>
      <c r="BH459" s="1"/>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row>
    <row r="460" spans="1:135" ht="14.25" customHeight="1">
      <c r="A460" s="18"/>
      <c r="B460" s="18"/>
      <c r="C460" s="19"/>
      <c r="D460" s="18"/>
      <c r="E460" s="18"/>
      <c r="F460" s="19"/>
      <c r="G460" s="18"/>
      <c r="H460" s="114"/>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40"/>
      <c r="AL460" s="141"/>
      <c r="AM460" s="141"/>
      <c r="AN460" s="141"/>
      <c r="AO460" s="141"/>
      <c r="AP460" s="141"/>
      <c r="AQ460" s="141"/>
      <c r="AR460" s="141"/>
      <c r="AS460" s="141"/>
      <c r="AT460" s="141"/>
      <c r="AU460" s="141"/>
      <c r="AV460" s="141"/>
      <c r="AW460" s="141"/>
      <c r="AX460" s="141"/>
      <c r="AY460" s="141"/>
      <c r="AZ460" s="141"/>
      <c r="BA460" s="141"/>
      <c r="BB460" s="141"/>
      <c r="BC460" s="141"/>
      <c r="BD460" s="141"/>
      <c r="BE460" s="141"/>
      <c r="BF460" s="141"/>
      <c r="BG460" s="18"/>
      <c r="BH460" s="1"/>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row>
    <row r="461" spans="1:135" ht="14.25" customHeight="1">
      <c r="A461" s="18"/>
      <c r="B461" s="18"/>
      <c r="C461" s="19"/>
      <c r="D461" s="18"/>
      <c r="E461" s="18"/>
      <c r="F461" s="19"/>
      <c r="G461" s="18"/>
      <c r="H461" s="114"/>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40"/>
      <c r="AL461" s="141"/>
      <c r="AM461" s="141"/>
      <c r="AN461" s="141"/>
      <c r="AO461" s="141"/>
      <c r="AP461" s="141"/>
      <c r="AQ461" s="141"/>
      <c r="AR461" s="141"/>
      <c r="AS461" s="141"/>
      <c r="AT461" s="141"/>
      <c r="AU461" s="141"/>
      <c r="AV461" s="141"/>
      <c r="AW461" s="141"/>
      <c r="AX461" s="141"/>
      <c r="AY461" s="141"/>
      <c r="AZ461" s="141"/>
      <c r="BA461" s="141"/>
      <c r="BB461" s="141"/>
      <c r="BC461" s="141"/>
      <c r="BD461" s="141"/>
      <c r="BE461" s="141"/>
      <c r="BF461" s="141"/>
      <c r="BG461" s="18"/>
      <c r="BH461" s="1"/>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row>
    <row r="462" spans="1:135" ht="14.25" customHeight="1">
      <c r="A462" s="18"/>
      <c r="B462" s="18"/>
      <c r="C462" s="19"/>
      <c r="D462" s="18"/>
      <c r="E462" s="18"/>
      <c r="F462" s="19"/>
      <c r="G462" s="18"/>
      <c r="H462" s="114"/>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40"/>
      <c r="AL462" s="141"/>
      <c r="AM462" s="141"/>
      <c r="AN462" s="141"/>
      <c r="AO462" s="141"/>
      <c r="AP462" s="141"/>
      <c r="AQ462" s="141"/>
      <c r="AR462" s="141"/>
      <c r="AS462" s="141"/>
      <c r="AT462" s="141"/>
      <c r="AU462" s="141"/>
      <c r="AV462" s="141"/>
      <c r="AW462" s="141"/>
      <c r="AX462" s="141"/>
      <c r="AY462" s="141"/>
      <c r="AZ462" s="141"/>
      <c r="BA462" s="141"/>
      <c r="BB462" s="141"/>
      <c r="BC462" s="141"/>
      <c r="BD462" s="141"/>
      <c r="BE462" s="141"/>
      <c r="BF462" s="141"/>
      <c r="BG462" s="18"/>
      <c r="BH462" s="1"/>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row>
    <row r="463" spans="1:135" ht="14.25" customHeight="1">
      <c r="A463" s="18"/>
      <c r="B463" s="18"/>
      <c r="C463" s="19"/>
      <c r="D463" s="18"/>
      <c r="E463" s="18"/>
      <c r="F463" s="19"/>
      <c r="G463" s="18"/>
      <c r="H463" s="114"/>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40"/>
      <c r="AL463" s="141"/>
      <c r="AM463" s="141"/>
      <c r="AN463" s="141"/>
      <c r="AO463" s="141"/>
      <c r="AP463" s="141"/>
      <c r="AQ463" s="141"/>
      <c r="AR463" s="141"/>
      <c r="AS463" s="141"/>
      <c r="AT463" s="141"/>
      <c r="AU463" s="141"/>
      <c r="AV463" s="141"/>
      <c r="AW463" s="141"/>
      <c r="AX463" s="141"/>
      <c r="AY463" s="141"/>
      <c r="AZ463" s="141"/>
      <c r="BA463" s="141"/>
      <c r="BB463" s="141"/>
      <c r="BC463" s="141"/>
      <c r="BD463" s="141"/>
      <c r="BE463" s="141"/>
      <c r="BF463" s="141"/>
      <c r="BG463" s="18"/>
      <c r="BH463" s="1"/>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row>
    <row r="464" spans="1:135" ht="14.25" customHeight="1">
      <c r="A464" s="18"/>
      <c r="B464" s="18"/>
      <c r="C464" s="19"/>
      <c r="D464" s="18"/>
      <c r="E464" s="18"/>
      <c r="F464" s="19"/>
      <c r="G464" s="18"/>
      <c r="H464" s="114"/>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40"/>
      <c r="AL464" s="141"/>
      <c r="AM464" s="141"/>
      <c r="AN464" s="141"/>
      <c r="AO464" s="141"/>
      <c r="AP464" s="141"/>
      <c r="AQ464" s="141"/>
      <c r="AR464" s="141"/>
      <c r="AS464" s="141"/>
      <c r="AT464" s="141"/>
      <c r="AU464" s="141"/>
      <c r="AV464" s="141"/>
      <c r="AW464" s="141"/>
      <c r="AX464" s="141"/>
      <c r="AY464" s="141"/>
      <c r="AZ464" s="141"/>
      <c r="BA464" s="141"/>
      <c r="BB464" s="141"/>
      <c r="BC464" s="141"/>
      <c r="BD464" s="141"/>
      <c r="BE464" s="141"/>
      <c r="BF464" s="141"/>
      <c r="BG464" s="18"/>
      <c r="BH464" s="1"/>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row>
    <row r="465" spans="1:135" ht="14.25" customHeight="1">
      <c r="A465" s="18"/>
      <c r="B465" s="18"/>
      <c r="C465" s="19"/>
      <c r="D465" s="18"/>
      <c r="E465" s="18"/>
      <c r="F465" s="19"/>
      <c r="G465" s="18"/>
      <c r="H465" s="114"/>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40"/>
      <c r="AL465" s="141"/>
      <c r="AM465" s="141"/>
      <c r="AN465" s="141"/>
      <c r="AO465" s="141"/>
      <c r="AP465" s="141"/>
      <c r="AQ465" s="141"/>
      <c r="AR465" s="141"/>
      <c r="AS465" s="141"/>
      <c r="AT465" s="141"/>
      <c r="AU465" s="141"/>
      <c r="AV465" s="141"/>
      <c r="AW465" s="141"/>
      <c r="AX465" s="141"/>
      <c r="AY465" s="141"/>
      <c r="AZ465" s="141"/>
      <c r="BA465" s="141"/>
      <c r="BB465" s="141"/>
      <c r="BC465" s="141"/>
      <c r="BD465" s="141"/>
      <c r="BE465" s="141"/>
      <c r="BF465" s="141"/>
      <c r="BG465" s="18"/>
      <c r="BH465" s="1"/>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row>
    <row r="466" spans="1:135" ht="14.25" customHeight="1">
      <c r="A466" s="18"/>
      <c r="B466" s="18"/>
      <c r="C466" s="19"/>
      <c r="D466" s="18"/>
      <c r="E466" s="18"/>
      <c r="F466" s="19"/>
      <c r="G466" s="18"/>
      <c r="H466" s="114"/>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40"/>
      <c r="AL466" s="141"/>
      <c r="AM466" s="141"/>
      <c r="AN466" s="141"/>
      <c r="AO466" s="141"/>
      <c r="AP466" s="141"/>
      <c r="AQ466" s="141"/>
      <c r="AR466" s="141"/>
      <c r="AS466" s="141"/>
      <c r="AT466" s="141"/>
      <c r="AU466" s="141"/>
      <c r="AV466" s="141"/>
      <c r="AW466" s="141"/>
      <c r="AX466" s="141"/>
      <c r="AY466" s="141"/>
      <c r="AZ466" s="141"/>
      <c r="BA466" s="141"/>
      <c r="BB466" s="141"/>
      <c r="BC466" s="141"/>
      <c r="BD466" s="141"/>
      <c r="BE466" s="141"/>
      <c r="BF466" s="141"/>
      <c r="BG466" s="18"/>
      <c r="BH466" s="1"/>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row>
    <row r="467" spans="1:135" ht="14.25" customHeight="1">
      <c r="A467" s="18"/>
      <c r="B467" s="18"/>
      <c r="C467" s="19"/>
      <c r="D467" s="18"/>
      <c r="E467" s="18"/>
      <c r="F467" s="19"/>
      <c r="G467" s="18"/>
      <c r="H467" s="114"/>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40"/>
      <c r="AL467" s="141"/>
      <c r="AM467" s="141"/>
      <c r="AN467" s="141"/>
      <c r="AO467" s="141"/>
      <c r="AP467" s="141"/>
      <c r="AQ467" s="141"/>
      <c r="AR467" s="141"/>
      <c r="AS467" s="141"/>
      <c r="AT467" s="141"/>
      <c r="AU467" s="141"/>
      <c r="AV467" s="141"/>
      <c r="AW467" s="141"/>
      <c r="AX467" s="141"/>
      <c r="AY467" s="141"/>
      <c r="AZ467" s="141"/>
      <c r="BA467" s="141"/>
      <c r="BB467" s="141"/>
      <c r="BC467" s="141"/>
      <c r="BD467" s="141"/>
      <c r="BE467" s="141"/>
      <c r="BF467" s="141"/>
      <c r="BG467" s="18"/>
      <c r="BH467" s="1"/>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row>
    <row r="468" spans="1:135" ht="14.25" customHeight="1">
      <c r="A468" s="18"/>
      <c r="B468" s="18"/>
      <c r="C468" s="19"/>
      <c r="D468" s="18"/>
      <c r="E468" s="18"/>
      <c r="F468" s="19"/>
      <c r="G468" s="18"/>
      <c r="H468" s="114"/>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40"/>
      <c r="AL468" s="141"/>
      <c r="AM468" s="141"/>
      <c r="AN468" s="141"/>
      <c r="AO468" s="141"/>
      <c r="AP468" s="141"/>
      <c r="AQ468" s="141"/>
      <c r="AR468" s="141"/>
      <c r="AS468" s="141"/>
      <c r="AT468" s="141"/>
      <c r="AU468" s="141"/>
      <c r="AV468" s="141"/>
      <c r="AW468" s="141"/>
      <c r="AX468" s="141"/>
      <c r="AY468" s="141"/>
      <c r="AZ468" s="141"/>
      <c r="BA468" s="141"/>
      <c r="BB468" s="141"/>
      <c r="BC468" s="141"/>
      <c r="BD468" s="141"/>
      <c r="BE468" s="141"/>
      <c r="BF468" s="141"/>
      <c r="BG468" s="18"/>
      <c r="BH468" s="1"/>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row>
    <row r="469" spans="1:135" ht="14.25" customHeight="1">
      <c r="A469" s="18"/>
      <c r="B469" s="18"/>
      <c r="C469" s="19"/>
      <c r="D469" s="18"/>
      <c r="E469" s="18"/>
      <c r="F469" s="19"/>
      <c r="G469" s="18"/>
      <c r="H469" s="114"/>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40"/>
      <c r="AL469" s="141"/>
      <c r="AM469" s="141"/>
      <c r="AN469" s="141"/>
      <c r="AO469" s="141"/>
      <c r="AP469" s="141"/>
      <c r="AQ469" s="141"/>
      <c r="AR469" s="141"/>
      <c r="AS469" s="141"/>
      <c r="AT469" s="141"/>
      <c r="AU469" s="141"/>
      <c r="AV469" s="141"/>
      <c r="AW469" s="141"/>
      <c r="AX469" s="141"/>
      <c r="AY469" s="141"/>
      <c r="AZ469" s="141"/>
      <c r="BA469" s="141"/>
      <c r="BB469" s="141"/>
      <c r="BC469" s="141"/>
      <c r="BD469" s="141"/>
      <c r="BE469" s="141"/>
      <c r="BF469" s="141"/>
      <c r="BG469" s="18"/>
      <c r="BH469" s="1"/>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row>
    <row r="470" spans="1:135" ht="14.25" customHeight="1">
      <c r="A470" s="18"/>
      <c r="B470" s="18"/>
      <c r="C470" s="19"/>
      <c r="D470" s="18"/>
      <c r="E470" s="18"/>
      <c r="F470" s="19"/>
      <c r="G470" s="18"/>
      <c r="H470" s="114"/>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40"/>
      <c r="AL470" s="141"/>
      <c r="AM470" s="141"/>
      <c r="AN470" s="141"/>
      <c r="AO470" s="141"/>
      <c r="AP470" s="141"/>
      <c r="AQ470" s="141"/>
      <c r="AR470" s="141"/>
      <c r="AS470" s="141"/>
      <c r="AT470" s="141"/>
      <c r="AU470" s="141"/>
      <c r="AV470" s="141"/>
      <c r="AW470" s="141"/>
      <c r="AX470" s="141"/>
      <c r="AY470" s="141"/>
      <c r="AZ470" s="141"/>
      <c r="BA470" s="141"/>
      <c r="BB470" s="141"/>
      <c r="BC470" s="141"/>
      <c r="BD470" s="141"/>
      <c r="BE470" s="141"/>
      <c r="BF470" s="141"/>
      <c r="BG470" s="18"/>
      <c r="BH470" s="1"/>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row>
    <row r="471" spans="1:135" ht="14.25" customHeight="1">
      <c r="A471" s="18"/>
      <c r="B471" s="18"/>
      <c r="C471" s="19"/>
      <c r="D471" s="18"/>
      <c r="E471" s="18"/>
      <c r="F471" s="19"/>
      <c r="G471" s="18"/>
      <c r="H471" s="114"/>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40"/>
      <c r="AL471" s="141"/>
      <c r="AM471" s="141"/>
      <c r="AN471" s="141"/>
      <c r="AO471" s="141"/>
      <c r="AP471" s="141"/>
      <c r="AQ471" s="141"/>
      <c r="AR471" s="141"/>
      <c r="AS471" s="141"/>
      <c r="AT471" s="141"/>
      <c r="AU471" s="141"/>
      <c r="AV471" s="141"/>
      <c r="AW471" s="141"/>
      <c r="AX471" s="141"/>
      <c r="AY471" s="141"/>
      <c r="AZ471" s="141"/>
      <c r="BA471" s="141"/>
      <c r="BB471" s="141"/>
      <c r="BC471" s="141"/>
      <c r="BD471" s="141"/>
      <c r="BE471" s="141"/>
      <c r="BF471" s="141"/>
      <c r="BG471" s="18"/>
      <c r="BH471" s="1"/>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row>
    <row r="472" spans="1:135" ht="14.25" customHeight="1">
      <c r="A472" s="18"/>
      <c r="B472" s="18"/>
      <c r="C472" s="19"/>
      <c r="D472" s="18"/>
      <c r="E472" s="18"/>
      <c r="F472" s="19"/>
      <c r="G472" s="18"/>
      <c r="H472" s="114"/>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40"/>
      <c r="AL472" s="141"/>
      <c r="AM472" s="141"/>
      <c r="AN472" s="141"/>
      <c r="AO472" s="141"/>
      <c r="AP472" s="141"/>
      <c r="AQ472" s="141"/>
      <c r="AR472" s="141"/>
      <c r="AS472" s="141"/>
      <c r="AT472" s="141"/>
      <c r="AU472" s="141"/>
      <c r="AV472" s="141"/>
      <c r="AW472" s="141"/>
      <c r="AX472" s="141"/>
      <c r="AY472" s="141"/>
      <c r="AZ472" s="141"/>
      <c r="BA472" s="141"/>
      <c r="BB472" s="141"/>
      <c r="BC472" s="141"/>
      <c r="BD472" s="141"/>
      <c r="BE472" s="141"/>
      <c r="BF472" s="141"/>
      <c r="BG472" s="18"/>
      <c r="BH472" s="1"/>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row>
    <row r="473" spans="1:135" ht="14.25" customHeight="1">
      <c r="A473" s="18"/>
      <c r="B473" s="18"/>
      <c r="C473" s="19"/>
      <c r="D473" s="18"/>
      <c r="E473" s="18"/>
      <c r="F473" s="19"/>
      <c r="G473" s="18"/>
      <c r="H473" s="114"/>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40"/>
      <c r="AL473" s="141"/>
      <c r="AM473" s="141"/>
      <c r="AN473" s="141"/>
      <c r="AO473" s="141"/>
      <c r="AP473" s="141"/>
      <c r="AQ473" s="141"/>
      <c r="AR473" s="141"/>
      <c r="AS473" s="141"/>
      <c r="AT473" s="141"/>
      <c r="AU473" s="141"/>
      <c r="AV473" s="141"/>
      <c r="AW473" s="141"/>
      <c r="AX473" s="141"/>
      <c r="AY473" s="141"/>
      <c r="AZ473" s="141"/>
      <c r="BA473" s="141"/>
      <c r="BB473" s="141"/>
      <c r="BC473" s="141"/>
      <c r="BD473" s="141"/>
      <c r="BE473" s="141"/>
      <c r="BF473" s="141"/>
      <c r="BG473" s="18"/>
      <c r="BH473" s="1"/>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row>
    <row r="474" spans="1:135" ht="14.25" customHeight="1">
      <c r="A474" s="18"/>
      <c r="B474" s="18"/>
      <c r="C474" s="19"/>
      <c r="D474" s="18"/>
      <c r="E474" s="18"/>
      <c r="F474" s="19"/>
      <c r="G474" s="18"/>
      <c r="H474" s="114"/>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40"/>
      <c r="AL474" s="141"/>
      <c r="AM474" s="141"/>
      <c r="AN474" s="141"/>
      <c r="AO474" s="141"/>
      <c r="AP474" s="141"/>
      <c r="AQ474" s="141"/>
      <c r="AR474" s="141"/>
      <c r="AS474" s="141"/>
      <c r="AT474" s="141"/>
      <c r="AU474" s="141"/>
      <c r="AV474" s="141"/>
      <c r="AW474" s="141"/>
      <c r="AX474" s="141"/>
      <c r="AY474" s="141"/>
      <c r="AZ474" s="141"/>
      <c r="BA474" s="141"/>
      <c r="BB474" s="141"/>
      <c r="BC474" s="141"/>
      <c r="BD474" s="141"/>
      <c r="BE474" s="141"/>
      <c r="BF474" s="141"/>
      <c r="BG474" s="18"/>
      <c r="BH474" s="1"/>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row>
    <row r="475" spans="1:135" ht="14.25" customHeight="1">
      <c r="A475" s="18"/>
      <c r="B475" s="18"/>
      <c r="C475" s="19"/>
      <c r="D475" s="18"/>
      <c r="E475" s="18"/>
      <c r="F475" s="19"/>
      <c r="G475" s="18"/>
      <c r="H475" s="114"/>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40"/>
      <c r="AL475" s="141"/>
      <c r="AM475" s="141"/>
      <c r="AN475" s="141"/>
      <c r="AO475" s="141"/>
      <c r="AP475" s="141"/>
      <c r="AQ475" s="141"/>
      <c r="AR475" s="141"/>
      <c r="AS475" s="141"/>
      <c r="AT475" s="141"/>
      <c r="AU475" s="141"/>
      <c r="AV475" s="141"/>
      <c r="AW475" s="141"/>
      <c r="AX475" s="141"/>
      <c r="AY475" s="141"/>
      <c r="AZ475" s="141"/>
      <c r="BA475" s="141"/>
      <c r="BB475" s="141"/>
      <c r="BC475" s="141"/>
      <c r="BD475" s="141"/>
      <c r="BE475" s="141"/>
      <c r="BF475" s="141"/>
      <c r="BG475" s="18"/>
      <c r="BH475" s="1"/>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row>
    <row r="476" spans="1:135" ht="14.25" customHeight="1">
      <c r="A476" s="18"/>
      <c r="B476" s="18"/>
      <c r="C476" s="19"/>
      <c r="D476" s="18"/>
      <c r="E476" s="18"/>
      <c r="F476" s="19"/>
      <c r="G476" s="18"/>
      <c r="H476" s="114"/>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40"/>
      <c r="AL476" s="141"/>
      <c r="AM476" s="141"/>
      <c r="AN476" s="141"/>
      <c r="AO476" s="141"/>
      <c r="AP476" s="141"/>
      <c r="AQ476" s="141"/>
      <c r="AR476" s="141"/>
      <c r="AS476" s="141"/>
      <c r="AT476" s="141"/>
      <c r="AU476" s="141"/>
      <c r="AV476" s="141"/>
      <c r="AW476" s="141"/>
      <c r="AX476" s="141"/>
      <c r="AY476" s="141"/>
      <c r="AZ476" s="141"/>
      <c r="BA476" s="141"/>
      <c r="BB476" s="141"/>
      <c r="BC476" s="141"/>
      <c r="BD476" s="141"/>
      <c r="BE476" s="141"/>
      <c r="BF476" s="141"/>
      <c r="BG476" s="18"/>
      <c r="BH476" s="1"/>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row>
    <row r="477" spans="1:135" ht="14.25" customHeight="1">
      <c r="A477" s="18"/>
      <c r="B477" s="18"/>
      <c r="C477" s="19"/>
      <c r="D477" s="18"/>
      <c r="E477" s="18"/>
      <c r="F477" s="19"/>
      <c r="G477" s="18"/>
      <c r="H477" s="114"/>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40"/>
      <c r="AL477" s="141"/>
      <c r="AM477" s="141"/>
      <c r="AN477" s="141"/>
      <c r="AO477" s="141"/>
      <c r="AP477" s="141"/>
      <c r="AQ477" s="141"/>
      <c r="AR477" s="141"/>
      <c r="AS477" s="141"/>
      <c r="AT477" s="141"/>
      <c r="AU477" s="141"/>
      <c r="AV477" s="141"/>
      <c r="AW477" s="141"/>
      <c r="AX477" s="141"/>
      <c r="AY477" s="141"/>
      <c r="AZ477" s="141"/>
      <c r="BA477" s="141"/>
      <c r="BB477" s="141"/>
      <c r="BC477" s="141"/>
      <c r="BD477" s="141"/>
      <c r="BE477" s="141"/>
      <c r="BF477" s="141"/>
      <c r="BG477" s="18"/>
      <c r="BH477" s="1"/>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row>
    <row r="478" spans="1:135" ht="14.25" customHeight="1">
      <c r="A478" s="18"/>
      <c r="B478" s="18"/>
      <c r="C478" s="19"/>
      <c r="D478" s="18"/>
      <c r="E478" s="18"/>
      <c r="F478" s="19"/>
      <c r="G478" s="18"/>
      <c r="H478" s="114"/>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40"/>
      <c r="AL478" s="141"/>
      <c r="AM478" s="141"/>
      <c r="AN478" s="141"/>
      <c r="AO478" s="141"/>
      <c r="AP478" s="141"/>
      <c r="AQ478" s="141"/>
      <c r="AR478" s="141"/>
      <c r="AS478" s="141"/>
      <c r="AT478" s="141"/>
      <c r="AU478" s="141"/>
      <c r="AV478" s="141"/>
      <c r="AW478" s="141"/>
      <c r="AX478" s="141"/>
      <c r="AY478" s="141"/>
      <c r="AZ478" s="141"/>
      <c r="BA478" s="141"/>
      <c r="BB478" s="141"/>
      <c r="BC478" s="141"/>
      <c r="BD478" s="141"/>
      <c r="BE478" s="141"/>
      <c r="BF478" s="141"/>
      <c r="BG478" s="18"/>
      <c r="BH478" s="1"/>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row>
    <row r="479" spans="1:135" ht="14.25" customHeight="1">
      <c r="A479" s="18"/>
      <c r="B479" s="18"/>
      <c r="C479" s="19"/>
      <c r="D479" s="18"/>
      <c r="E479" s="18"/>
      <c r="F479" s="19"/>
      <c r="G479" s="18"/>
      <c r="H479" s="114"/>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40"/>
      <c r="AL479" s="141"/>
      <c r="AM479" s="141"/>
      <c r="AN479" s="141"/>
      <c r="AO479" s="141"/>
      <c r="AP479" s="141"/>
      <c r="AQ479" s="141"/>
      <c r="AR479" s="141"/>
      <c r="AS479" s="141"/>
      <c r="AT479" s="141"/>
      <c r="AU479" s="141"/>
      <c r="AV479" s="141"/>
      <c r="AW479" s="141"/>
      <c r="AX479" s="141"/>
      <c r="AY479" s="141"/>
      <c r="AZ479" s="141"/>
      <c r="BA479" s="141"/>
      <c r="BB479" s="141"/>
      <c r="BC479" s="141"/>
      <c r="BD479" s="141"/>
      <c r="BE479" s="141"/>
      <c r="BF479" s="141"/>
      <c r="BG479" s="18"/>
      <c r="BH479" s="1"/>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row>
    <row r="480" spans="1:135" ht="14.25" customHeight="1">
      <c r="A480" s="18"/>
      <c r="B480" s="18"/>
      <c r="C480" s="19"/>
      <c r="D480" s="18"/>
      <c r="E480" s="18"/>
      <c r="F480" s="19"/>
      <c r="G480" s="18"/>
      <c r="H480" s="114"/>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40"/>
      <c r="AL480" s="141"/>
      <c r="AM480" s="141"/>
      <c r="AN480" s="141"/>
      <c r="AO480" s="141"/>
      <c r="AP480" s="141"/>
      <c r="AQ480" s="141"/>
      <c r="AR480" s="141"/>
      <c r="AS480" s="141"/>
      <c r="AT480" s="141"/>
      <c r="AU480" s="141"/>
      <c r="AV480" s="141"/>
      <c r="AW480" s="141"/>
      <c r="AX480" s="141"/>
      <c r="AY480" s="141"/>
      <c r="AZ480" s="141"/>
      <c r="BA480" s="141"/>
      <c r="BB480" s="141"/>
      <c r="BC480" s="141"/>
      <c r="BD480" s="141"/>
      <c r="BE480" s="141"/>
      <c r="BF480" s="141"/>
      <c r="BG480" s="18"/>
      <c r="BH480" s="1"/>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row>
    <row r="481" spans="1:135" ht="14.25" customHeight="1">
      <c r="A481" s="18"/>
      <c r="B481" s="18"/>
      <c r="C481" s="19"/>
      <c r="D481" s="18"/>
      <c r="E481" s="18"/>
      <c r="F481" s="19"/>
      <c r="G481" s="18"/>
      <c r="H481" s="114"/>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40"/>
      <c r="AL481" s="141"/>
      <c r="AM481" s="141"/>
      <c r="AN481" s="141"/>
      <c r="AO481" s="141"/>
      <c r="AP481" s="141"/>
      <c r="AQ481" s="141"/>
      <c r="AR481" s="141"/>
      <c r="AS481" s="141"/>
      <c r="AT481" s="141"/>
      <c r="AU481" s="141"/>
      <c r="AV481" s="141"/>
      <c r="AW481" s="141"/>
      <c r="AX481" s="141"/>
      <c r="AY481" s="141"/>
      <c r="AZ481" s="141"/>
      <c r="BA481" s="141"/>
      <c r="BB481" s="141"/>
      <c r="BC481" s="141"/>
      <c r="BD481" s="141"/>
      <c r="BE481" s="141"/>
      <c r="BF481" s="141"/>
      <c r="BG481" s="18"/>
      <c r="BH481" s="1"/>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row>
    <row r="482" spans="1:135" ht="14.25" customHeight="1">
      <c r="A482" s="18"/>
      <c r="B482" s="18"/>
      <c r="C482" s="19"/>
      <c r="D482" s="18"/>
      <c r="E482" s="18"/>
      <c r="F482" s="19"/>
      <c r="G482" s="18"/>
      <c r="H482" s="114"/>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40"/>
      <c r="AL482" s="141"/>
      <c r="AM482" s="141"/>
      <c r="AN482" s="141"/>
      <c r="AO482" s="141"/>
      <c r="AP482" s="141"/>
      <c r="AQ482" s="141"/>
      <c r="AR482" s="141"/>
      <c r="AS482" s="141"/>
      <c r="AT482" s="141"/>
      <c r="AU482" s="141"/>
      <c r="AV482" s="141"/>
      <c r="AW482" s="141"/>
      <c r="AX482" s="141"/>
      <c r="AY482" s="141"/>
      <c r="AZ482" s="141"/>
      <c r="BA482" s="141"/>
      <c r="BB482" s="141"/>
      <c r="BC482" s="141"/>
      <c r="BD482" s="141"/>
      <c r="BE482" s="141"/>
      <c r="BF482" s="141"/>
      <c r="BG482" s="18"/>
      <c r="BH482" s="1"/>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row>
    <row r="483" spans="1:135" ht="14.25" customHeight="1">
      <c r="A483" s="18"/>
      <c r="B483" s="18"/>
      <c r="C483" s="19"/>
      <c r="D483" s="18"/>
      <c r="E483" s="18"/>
      <c r="F483" s="19"/>
      <c r="G483" s="18"/>
      <c r="H483" s="114"/>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40"/>
      <c r="AL483" s="141"/>
      <c r="AM483" s="141"/>
      <c r="AN483" s="141"/>
      <c r="AO483" s="141"/>
      <c r="AP483" s="141"/>
      <c r="AQ483" s="141"/>
      <c r="AR483" s="141"/>
      <c r="AS483" s="141"/>
      <c r="AT483" s="141"/>
      <c r="AU483" s="141"/>
      <c r="AV483" s="141"/>
      <c r="AW483" s="141"/>
      <c r="AX483" s="141"/>
      <c r="AY483" s="141"/>
      <c r="AZ483" s="141"/>
      <c r="BA483" s="141"/>
      <c r="BB483" s="141"/>
      <c r="BC483" s="141"/>
      <c r="BD483" s="141"/>
      <c r="BE483" s="141"/>
      <c r="BF483" s="141"/>
      <c r="BG483" s="18"/>
      <c r="BH483" s="1"/>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row>
    <row r="484" spans="1:135" ht="14.25" customHeight="1">
      <c r="A484" s="18"/>
      <c r="B484" s="18"/>
      <c r="C484" s="19"/>
      <c r="D484" s="18"/>
      <c r="E484" s="18"/>
      <c r="F484" s="19"/>
      <c r="G484" s="18"/>
      <c r="H484" s="114"/>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40"/>
      <c r="AL484" s="141"/>
      <c r="AM484" s="141"/>
      <c r="AN484" s="141"/>
      <c r="AO484" s="141"/>
      <c r="AP484" s="141"/>
      <c r="AQ484" s="141"/>
      <c r="AR484" s="141"/>
      <c r="AS484" s="141"/>
      <c r="AT484" s="141"/>
      <c r="AU484" s="141"/>
      <c r="AV484" s="141"/>
      <c r="AW484" s="141"/>
      <c r="AX484" s="141"/>
      <c r="AY484" s="141"/>
      <c r="AZ484" s="141"/>
      <c r="BA484" s="141"/>
      <c r="BB484" s="141"/>
      <c r="BC484" s="141"/>
      <c r="BD484" s="141"/>
      <c r="BE484" s="141"/>
      <c r="BF484" s="141"/>
      <c r="BG484" s="18"/>
      <c r="BH484" s="1"/>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row>
    <row r="485" spans="1:135" ht="14.25" customHeight="1">
      <c r="A485" s="18"/>
      <c r="B485" s="18"/>
      <c r="C485" s="19"/>
      <c r="D485" s="18"/>
      <c r="E485" s="18"/>
      <c r="F485" s="19"/>
      <c r="G485" s="18"/>
      <c r="H485" s="114"/>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40"/>
      <c r="AL485" s="141"/>
      <c r="AM485" s="141"/>
      <c r="AN485" s="141"/>
      <c r="AO485" s="141"/>
      <c r="AP485" s="141"/>
      <c r="AQ485" s="141"/>
      <c r="AR485" s="141"/>
      <c r="AS485" s="141"/>
      <c r="AT485" s="141"/>
      <c r="AU485" s="141"/>
      <c r="AV485" s="141"/>
      <c r="AW485" s="141"/>
      <c r="AX485" s="141"/>
      <c r="AY485" s="141"/>
      <c r="AZ485" s="141"/>
      <c r="BA485" s="141"/>
      <c r="BB485" s="141"/>
      <c r="BC485" s="141"/>
      <c r="BD485" s="141"/>
      <c r="BE485" s="141"/>
      <c r="BF485" s="141"/>
      <c r="BG485" s="18"/>
      <c r="BH485" s="1"/>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row>
    <row r="486" spans="1:135" ht="14.25" customHeight="1">
      <c r="A486" s="18"/>
      <c r="B486" s="18"/>
      <c r="C486" s="19"/>
      <c r="D486" s="18"/>
      <c r="E486" s="18"/>
      <c r="F486" s="19"/>
      <c r="G486" s="18"/>
      <c r="H486" s="114"/>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40"/>
      <c r="AL486" s="141"/>
      <c r="AM486" s="141"/>
      <c r="AN486" s="141"/>
      <c r="AO486" s="141"/>
      <c r="AP486" s="141"/>
      <c r="AQ486" s="141"/>
      <c r="AR486" s="141"/>
      <c r="AS486" s="141"/>
      <c r="AT486" s="141"/>
      <c r="AU486" s="141"/>
      <c r="AV486" s="141"/>
      <c r="AW486" s="141"/>
      <c r="AX486" s="141"/>
      <c r="AY486" s="141"/>
      <c r="AZ486" s="141"/>
      <c r="BA486" s="141"/>
      <c r="BB486" s="141"/>
      <c r="BC486" s="141"/>
      <c r="BD486" s="141"/>
      <c r="BE486" s="141"/>
      <c r="BF486" s="141"/>
      <c r="BG486" s="18"/>
      <c r="BH486" s="1"/>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row>
    <row r="487" spans="1:135" ht="14.25" customHeight="1">
      <c r="A487" s="18"/>
      <c r="B487" s="18"/>
      <c r="C487" s="19"/>
      <c r="D487" s="18"/>
      <c r="E487" s="18"/>
      <c r="F487" s="19"/>
      <c r="G487" s="18"/>
      <c r="H487" s="114"/>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40"/>
      <c r="AL487" s="141"/>
      <c r="AM487" s="141"/>
      <c r="AN487" s="141"/>
      <c r="AO487" s="141"/>
      <c r="AP487" s="141"/>
      <c r="AQ487" s="141"/>
      <c r="AR487" s="141"/>
      <c r="AS487" s="141"/>
      <c r="AT487" s="141"/>
      <c r="AU487" s="141"/>
      <c r="AV487" s="141"/>
      <c r="AW487" s="141"/>
      <c r="AX487" s="141"/>
      <c r="AY487" s="141"/>
      <c r="AZ487" s="141"/>
      <c r="BA487" s="141"/>
      <c r="BB487" s="141"/>
      <c r="BC487" s="141"/>
      <c r="BD487" s="141"/>
      <c r="BE487" s="141"/>
      <c r="BF487" s="141"/>
      <c r="BG487" s="18"/>
      <c r="BH487" s="1"/>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row>
    <row r="488" spans="1:135" ht="14.25" customHeight="1">
      <c r="A488" s="18"/>
      <c r="B488" s="18"/>
      <c r="C488" s="19"/>
      <c r="D488" s="18"/>
      <c r="E488" s="18"/>
      <c r="F488" s="19"/>
      <c r="G488" s="18"/>
      <c r="H488" s="114"/>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40"/>
      <c r="AL488" s="141"/>
      <c r="AM488" s="141"/>
      <c r="AN488" s="141"/>
      <c r="AO488" s="141"/>
      <c r="AP488" s="141"/>
      <c r="AQ488" s="141"/>
      <c r="AR488" s="141"/>
      <c r="AS488" s="141"/>
      <c r="AT488" s="141"/>
      <c r="AU488" s="141"/>
      <c r="AV488" s="141"/>
      <c r="AW488" s="141"/>
      <c r="AX488" s="141"/>
      <c r="AY488" s="141"/>
      <c r="AZ488" s="141"/>
      <c r="BA488" s="141"/>
      <c r="BB488" s="141"/>
      <c r="BC488" s="141"/>
      <c r="BD488" s="141"/>
      <c r="BE488" s="141"/>
      <c r="BF488" s="141"/>
      <c r="BG488" s="18"/>
      <c r="BH488" s="1"/>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row>
    <row r="489" spans="1:135" ht="14.25" customHeight="1">
      <c r="A489" s="18"/>
      <c r="B489" s="18"/>
      <c r="C489" s="19"/>
      <c r="D489" s="18"/>
      <c r="E489" s="18"/>
      <c r="F489" s="19"/>
      <c r="G489" s="18"/>
      <c r="H489" s="114"/>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40"/>
      <c r="AL489" s="141"/>
      <c r="AM489" s="141"/>
      <c r="AN489" s="141"/>
      <c r="AO489" s="141"/>
      <c r="AP489" s="141"/>
      <c r="AQ489" s="141"/>
      <c r="AR489" s="141"/>
      <c r="AS489" s="141"/>
      <c r="AT489" s="141"/>
      <c r="AU489" s="141"/>
      <c r="AV489" s="141"/>
      <c r="AW489" s="141"/>
      <c r="AX489" s="141"/>
      <c r="AY489" s="141"/>
      <c r="AZ489" s="141"/>
      <c r="BA489" s="141"/>
      <c r="BB489" s="141"/>
      <c r="BC489" s="141"/>
      <c r="BD489" s="141"/>
      <c r="BE489" s="141"/>
      <c r="BF489" s="141"/>
      <c r="BG489" s="18"/>
      <c r="BH489" s="1"/>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row>
    <row r="490" spans="1:135" ht="14.25" customHeight="1">
      <c r="A490" s="18"/>
      <c r="B490" s="18"/>
      <c r="C490" s="19"/>
      <c r="D490" s="18"/>
      <c r="E490" s="18"/>
      <c r="F490" s="19"/>
      <c r="G490" s="18"/>
      <c r="H490" s="114"/>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40"/>
      <c r="AL490" s="141"/>
      <c r="AM490" s="141"/>
      <c r="AN490" s="141"/>
      <c r="AO490" s="141"/>
      <c r="AP490" s="141"/>
      <c r="AQ490" s="141"/>
      <c r="AR490" s="141"/>
      <c r="AS490" s="141"/>
      <c r="AT490" s="141"/>
      <c r="AU490" s="141"/>
      <c r="AV490" s="141"/>
      <c r="AW490" s="141"/>
      <c r="AX490" s="141"/>
      <c r="AY490" s="141"/>
      <c r="AZ490" s="141"/>
      <c r="BA490" s="141"/>
      <c r="BB490" s="141"/>
      <c r="BC490" s="141"/>
      <c r="BD490" s="141"/>
      <c r="BE490" s="141"/>
      <c r="BF490" s="141"/>
      <c r="BG490" s="18"/>
      <c r="BH490" s="1"/>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row>
    <row r="491" spans="1:135" ht="14.25" customHeight="1">
      <c r="A491" s="18"/>
      <c r="B491" s="18"/>
      <c r="C491" s="19"/>
      <c r="D491" s="18"/>
      <c r="E491" s="18"/>
      <c r="F491" s="19"/>
      <c r="G491" s="18"/>
      <c r="H491" s="114"/>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40"/>
      <c r="AL491" s="141"/>
      <c r="AM491" s="141"/>
      <c r="AN491" s="141"/>
      <c r="AO491" s="141"/>
      <c r="AP491" s="141"/>
      <c r="AQ491" s="141"/>
      <c r="AR491" s="141"/>
      <c r="AS491" s="141"/>
      <c r="AT491" s="141"/>
      <c r="AU491" s="141"/>
      <c r="AV491" s="141"/>
      <c r="AW491" s="141"/>
      <c r="AX491" s="141"/>
      <c r="AY491" s="141"/>
      <c r="AZ491" s="141"/>
      <c r="BA491" s="141"/>
      <c r="BB491" s="141"/>
      <c r="BC491" s="141"/>
      <c r="BD491" s="141"/>
      <c r="BE491" s="141"/>
      <c r="BF491" s="141"/>
      <c r="BG491" s="18"/>
      <c r="BH491" s="1"/>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row>
    <row r="492" spans="1:135" ht="14.25" customHeight="1">
      <c r="A492" s="18"/>
      <c r="B492" s="18"/>
      <c r="C492" s="19"/>
      <c r="D492" s="18"/>
      <c r="E492" s="18"/>
      <c r="F492" s="19"/>
      <c r="G492" s="18"/>
      <c r="H492" s="114"/>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40"/>
      <c r="AL492" s="141"/>
      <c r="AM492" s="141"/>
      <c r="AN492" s="141"/>
      <c r="AO492" s="141"/>
      <c r="AP492" s="141"/>
      <c r="AQ492" s="141"/>
      <c r="AR492" s="141"/>
      <c r="AS492" s="141"/>
      <c r="AT492" s="141"/>
      <c r="AU492" s="141"/>
      <c r="AV492" s="141"/>
      <c r="AW492" s="141"/>
      <c r="AX492" s="141"/>
      <c r="AY492" s="141"/>
      <c r="AZ492" s="141"/>
      <c r="BA492" s="141"/>
      <c r="BB492" s="141"/>
      <c r="BC492" s="141"/>
      <c r="BD492" s="141"/>
      <c r="BE492" s="141"/>
      <c r="BF492" s="141"/>
      <c r="BG492" s="18"/>
      <c r="BH492" s="1"/>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row>
    <row r="493" spans="1:135" ht="14.25" customHeight="1">
      <c r="A493" s="18"/>
      <c r="B493" s="18"/>
      <c r="C493" s="19"/>
      <c r="D493" s="18"/>
      <c r="E493" s="18"/>
      <c r="F493" s="19"/>
      <c r="G493" s="18"/>
      <c r="H493" s="114"/>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40"/>
      <c r="AL493" s="141"/>
      <c r="AM493" s="141"/>
      <c r="AN493" s="141"/>
      <c r="AO493" s="141"/>
      <c r="AP493" s="141"/>
      <c r="AQ493" s="141"/>
      <c r="AR493" s="141"/>
      <c r="AS493" s="141"/>
      <c r="AT493" s="141"/>
      <c r="AU493" s="141"/>
      <c r="AV493" s="141"/>
      <c r="AW493" s="141"/>
      <c r="AX493" s="141"/>
      <c r="AY493" s="141"/>
      <c r="AZ493" s="141"/>
      <c r="BA493" s="141"/>
      <c r="BB493" s="141"/>
      <c r="BC493" s="141"/>
      <c r="BD493" s="141"/>
      <c r="BE493" s="141"/>
      <c r="BF493" s="141"/>
      <c r="BG493" s="18"/>
      <c r="BH493" s="1"/>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row>
    <row r="494" spans="1:135" ht="14.25" customHeight="1">
      <c r="A494" s="18"/>
      <c r="B494" s="18"/>
      <c r="C494" s="19"/>
      <c r="D494" s="18"/>
      <c r="E494" s="18"/>
      <c r="F494" s="19"/>
      <c r="G494" s="18"/>
      <c r="H494" s="114"/>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40"/>
      <c r="AL494" s="141"/>
      <c r="AM494" s="141"/>
      <c r="AN494" s="141"/>
      <c r="AO494" s="141"/>
      <c r="AP494" s="141"/>
      <c r="AQ494" s="141"/>
      <c r="AR494" s="141"/>
      <c r="AS494" s="141"/>
      <c r="AT494" s="141"/>
      <c r="AU494" s="141"/>
      <c r="AV494" s="141"/>
      <c r="AW494" s="141"/>
      <c r="AX494" s="141"/>
      <c r="AY494" s="141"/>
      <c r="AZ494" s="141"/>
      <c r="BA494" s="141"/>
      <c r="BB494" s="141"/>
      <c r="BC494" s="141"/>
      <c r="BD494" s="141"/>
      <c r="BE494" s="141"/>
      <c r="BF494" s="141"/>
      <c r="BG494" s="18"/>
      <c r="BH494" s="1"/>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row>
    <row r="495" spans="1:135" ht="14.25" customHeight="1">
      <c r="A495" s="18"/>
      <c r="B495" s="18"/>
      <c r="C495" s="19"/>
      <c r="D495" s="18"/>
      <c r="E495" s="18"/>
      <c r="F495" s="19"/>
      <c r="G495" s="18"/>
      <c r="H495" s="114"/>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40"/>
      <c r="AL495" s="141"/>
      <c r="AM495" s="141"/>
      <c r="AN495" s="141"/>
      <c r="AO495" s="141"/>
      <c r="AP495" s="141"/>
      <c r="AQ495" s="141"/>
      <c r="AR495" s="141"/>
      <c r="AS495" s="141"/>
      <c r="AT495" s="141"/>
      <c r="AU495" s="141"/>
      <c r="AV495" s="141"/>
      <c r="AW495" s="141"/>
      <c r="AX495" s="141"/>
      <c r="AY495" s="141"/>
      <c r="AZ495" s="141"/>
      <c r="BA495" s="141"/>
      <c r="BB495" s="141"/>
      <c r="BC495" s="141"/>
      <c r="BD495" s="141"/>
      <c r="BE495" s="141"/>
      <c r="BF495" s="141"/>
      <c r="BG495" s="18"/>
      <c r="BH495" s="1"/>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row>
    <row r="496" spans="1:135" ht="14.25" customHeight="1">
      <c r="A496" s="18"/>
      <c r="B496" s="18"/>
      <c r="C496" s="19"/>
      <c r="D496" s="18"/>
      <c r="E496" s="18"/>
      <c r="F496" s="19"/>
      <c r="G496" s="18"/>
      <c r="H496" s="114"/>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40"/>
      <c r="AL496" s="141"/>
      <c r="AM496" s="141"/>
      <c r="AN496" s="141"/>
      <c r="AO496" s="141"/>
      <c r="AP496" s="141"/>
      <c r="AQ496" s="141"/>
      <c r="AR496" s="141"/>
      <c r="AS496" s="141"/>
      <c r="AT496" s="141"/>
      <c r="AU496" s="141"/>
      <c r="AV496" s="141"/>
      <c r="AW496" s="141"/>
      <c r="AX496" s="141"/>
      <c r="AY496" s="141"/>
      <c r="AZ496" s="141"/>
      <c r="BA496" s="141"/>
      <c r="BB496" s="141"/>
      <c r="BC496" s="141"/>
      <c r="BD496" s="141"/>
      <c r="BE496" s="141"/>
      <c r="BF496" s="141"/>
      <c r="BG496" s="18"/>
      <c r="BH496" s="1"/>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row>
    <row r="497" spans="1:135" ht="14.25" customHeight="1">
      <c r="A497" s="18"/>
      <c r="B497" s="18"/>
      <c r="C497" s="19"/>
      <c r="D497" s="18"/>
      <c r="E497" s="18"/>
      <c r="F497" s="19"/>
      <c r="G497" s="18"/>
      <c r="H497" s="114"/>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40"/>
      <c r="AL497" s="141"/>
      <c r="AM497" s="141"/>
      <c r="AN497" s="141"/>
      <c r="AO497" s="141"/>
      <c r="AP497" s="141"/>
      <c r="AQ497" s="141"/>
      <c r="AR497" s="141"/>
      <c r="AS497" s="141"/>
      <c r="AT497" s="141"/>
      <c r="AU497" s="141"/>
      <c r="AV497" s="141"/>
      <c r="AW497" s="141"/>
      <c r="AX497" s="141"/>
      <c r="AY497" s="141"/>
      <c r="AZ497" s="141"/>
      <c r="BA497" s="141"/>
      <c r="BB497" s="141"/>
      <c r="BC497" s="141"/>
      <c r="BD497" s="141"/>
      <c r="BE497" s="141"/>
      <c r="BF497" s="141"/>
      <c r="BG497" s="18"/>
      <c r="BH497" s="1"/>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row>
    <row r="498" spans="1:135" ht="14.25" customHeight="1">
      <c r="A498" s="18"/>
      <c r="B498" s="18"/>
      <c r="C498" s="19"/>
      <c r="D498" s="18"/>
      <c r="E498" s="18"/>
      <c r="F498" s="19"/>
      <c r="G498" s="18"/>
      <c r="H498" s="114"/>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40"/>
      <c r="AL498" s="141"/>
      <c r="AM498" s="141"/>
      <c r="AN498" s="141"/>
      <c r="AO498" s="141"/>
      <c r="AP498" s="141"/>
      <c r="AQ498" s="141"/>
      <c r="AR498" s="141"/>
      <c r="AS498" s="141"/>
      <c r="AT498" s="141"/>
      <c r="AU498" s="141"/>
      <c r="AV498" s="141"/>
      <c r="AW498" s="141"/>
      <c r="AX498" s="141"/>
      <c r="AY498" s="141"/>
      <c r="AZ498" s="141"/>
      <c r="BA498" s="141"/>
      <c r="BB498" s="141"/>
      <c r="BC498" s="141"/>
      <c r="BD498" s="141"/>
      <c r="BE498" s="141"/>
      <c r="BF498" s="141"/>
      <c r="BG498" s="18"/>
      <c r="BH498" s="1"/>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row>
    <row r="499" spans="1:135" ht="14.25" customHeight="1">
      <c r="A499" s="18"/>
      <c r="B499" s="18"/>
      <c r="C499" s="19"/>
      <c r="D499" s="18"/>
      <c r="E499" s="18"/>
      <c r="F499" s="19"/>
      <c r="G499" s="18"/>
      <c r="H499" s="114"/>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40"/>
      <c r="AL499" s="141"/>
      <c r="AM499" s="141"/>
      <c r="AN499" s="141"/>
      <c r="AO499" s="141"/>
      <c r="AP499" s="141"/>
      <c r="AQ499" s="141"/>
      <c r="AR499" s="141"/>
      <c r="AS499" s="141"/>
      <c r="AT499" s="141"/>
      <c r="AU499" s="141"/>
      <c r="AV499" s="141"/>
      <c r="AW499" s="141"/>
      <c r="AX499" s="141"/>
      <c r="AY499" s="141"/>
      <c r="AZ499" s="141"/>
      <c r="BA499" s="141"/>
      <c r="BB499" s="141"/>
      <c r="BC499" s="141"/>
      <c r="BD499" s="141"/>
      <c r="BE499" s="141"/>
      <c r="BF499" s="141"/>
      <c r="BG499" s="18"/>
      <c r="BH499" s="1"/>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row>
    <row r="500" spans="1:135" ht="14.25" customHeight="1">
      <c r="A500" s="18"/>
      <c r="B500" s="18"/>
      <c r="C500" s="19"/>
      <c r="D500" s="18"/>
      <c r="E500" s="18"/>
      <c r="F500" s="19"/>
      <c r="G500" s="18"/>
      <c r="H500" s="114"/>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40"/>
      <c r="AL500" s="141"/>
      <c r="AM500" s="141"/>
      <c r="AN500" s="141"/>
      <c r="AO500" s="141"/>
      <c r="AP500" s="141"/>
      <c r="AQ500" s="141"/>
      <c r="AR500" s="141"/>
      <c r="AS500" s="141"/>
      <c r="AT500" s="141"/>
      <c r="AU500" s="141"/>
      <c r="AV500" s="141"/>
      <c r="AW500" s="141"/>
      <c r="AX500" s="141"/>
      <c r="AY500" s="141"/>
      <c r="AZ500" s="141"/>
      <c r="BA500" s="141"/>
      <c r="BB500" s="141"/>
      <c r="BC500" s="141"/>
      <c r="BD500" s="141"/>
      <c r="BE500" s="141"/>
      <c r="BF500" s="141"/>
      <c r="BG500" s="18"/>
      <c r="BH500" s="1"/>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row>
    <row r="501" spans="1:135" ht="14.25" customHeight="1">
      <c r="A501" s="18"/>
      <c r="B501" s="18"/>
      <c r="C501" s="19"/>
      <c r="D501" s="18"/>
      <c r="E501" s="18"/>
      <c r="F501" s="19"/>
      <c r="G501" s="18"/>
      <c r="H501" s="114"/>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40"/>
      <c r="AL501" s="141"/>
      <c r="AM501" s="141"/>
      <c r="AN501" s="141"/>
      <c r="AO501" s="141"/>
      <c r="AP501" s="141"/>
      <c r="AQ501" s="141"/>
      <c r="AR501" s="141"/>
      <c r="AS501" s="141"/>
      <c r="AT501" s="141"/>
      <c r="AU501" s="141"/>
      <c r="AV501" s="141"/>
      <c r="AW501" s="141"/>
      <c r="AX501" s="141"/>
      <c r="AY501" s="141"/>
      <c r="AZ501" s="141"/>
      <c r="BA501" s="141"/>
      <c r="BB501" s="141"/>
      <c r="BC501" s="141"/>
      <c r="BD501" s="141"/>
      <c r="BE501" s="141"/>
      <c r="BF501" s="141"/>
      <c r="BG501" s="18"/>
      <c r="BH501" s="1"/>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row>
    <row r="502" spans="1:135" ht="14.25" customHeight="1">
      <c r="A502" s="18"/>
      <c r="B502" s="18"/>
      <c r="C502" s="19"/>
      <c r="D502" s="18"/>
      <c r="E502" s="18"/>
      <c r="F502" s="19"/>
      <c r="G502" s="18"/>
      <c r="H502" s="114"/>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40"/>
      <c r="AL502" s="141"/>
      <c r="AM502" s="141"/>
      <c r="AN502" s="141"/>
      <c r="AO502" s="141"/>
      <c r="AP502" s="141"/>
      <c r="AQ502" s="141"/>
      <c r="AR502" s="141"/>
      <c r="AS502" s="141"/>
      <c r="AT502" s="141"/>
      <c r="AU502" s="141"/>
      <c r="AV502" s="141"/>
      <c r="AW502" s="141"/>
      <c r="AX502" s="141"/>
      <c r="AY502" s="141"/>
      <c r="AZ502" s="141"/>
      <c r="BA502" s="141"/>
      <c r="BB502" s="141"/>
      <c r="BC502" s="141"/>
      <c r="BD502" s="141"/>
      <c r="BE502" s="141"/>
      <c r="BF502" s="141"/>
      <c r="BG502" s="18"/>
      <c r="BH502" s="1"/>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row>
    <row r="503" spans="1:135" ht="14.25" customHeight="1">
      <c r="A503" s="18"/>
      <c r="B503" s="18"/>
      <c r="C503" s="19"/>
      <c r="D503" s="18"/>
      <c r="E503" s="18"/>
      <c r="F503" s="19"/>
      <c r="G503" s="18"/>
      <c r="H503" s="114"/>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40"/>
      <c r="AL503" s="141"/>
      <c r="AM503" s="141"/>
      <c r="AN503" s="141"/>
      <c r="AO503" s="141"/>
      <c r="AP503" s="141"/>
      <c r="AQ503" s="141"/>
      <c r="AR503" s="141"/>
      <c r="AS503" s="141"/>
      <c r="AT503" s="141"/>
      <c r="AU503" s="141"/>
      <c r="AV503" s="141"/>
      <c r="AW503" s="141"/>
      <c r="AX503" s="141"/>
      <c r="AY503" s="141"/>
      <c r="AZ503" s="141"/>
      <c r="BA503" s="141"/>
      <c r="BB503" s="141"/>
      <c r="BC503" s="141"/>
      <c r="BD503" s="141"/>
      <c r="BE503" s="141"/>
      <c r="BF503" s="141"/>
      <c r="BG503" s="18"/>
      <c r="BH503" s="1"/>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row>
    <row r="504" spans="1:135" ht="14.25" customHeight="1">
      <c r="A504" s="18"/>
      <c r="B504" s="18"/>
      <c r="C504" s="19"/>
      <c r="D504" s="18"/>
      <c r="E504" s="18"/>
      <c r="F504" s="19"/>
      <c r="G504" s="18"/>
      <c r="H504" s="114"/>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40"/>
      <c r="AL504" s="141"/>
      <c r="AM504" s="141"/>
      <c r="AN504" s="141"/>
      <c r="AO504" s="141"/>
      <c r="AP504" s="141"/>
      <c r="AQ504" s="141"/>
      <c r="AR504" s="141"/>
      <c r="AS504" s="141"/>
      <c r="AT504" s="141"/>
      <c r="AU504" s="141"/>
      <c r="AV504" s="141"/>
      <c r="AW504" s="141"/>
      <c r="AX504" s="141"/>
      <c r="AY504" s="141"/>
      <c r="AZ504" s="141"/>
      <c r="BA504" s="141"/>
      <c r="BB504" s="141"/>
      <c r="BC504" s="141"/>
      <c r="BD504" s="141"/>
      <c r="BE504" s="141"/>
      <c r="BF504" s="141"/>
      <c r="BG504" s="18"/>
      <c r="BH504" s="1"/>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row>
    <row r="505" spans="1:135" ht="14.25" customHeight="1">
      <c r="A505" s="18"/>
      <c r="B505" s="18"/>
      <c r="C505" s="19"/>
      <c r="D505" s="18"/>
      <c r="E505" s="18"/>
      <c r="F505" s="19"/>
      <c r="G505" s="18"/>
      <c r="H505" s="114"/>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40"/>
      <c r="AL505" s="141"/>
      <c r="AM505" s="141"/>
      <c r="AN505" s="141"/>
      <c r="AO505" s="141"/>
      <c r="AP505" s="141"/>
      <c r="AQ505" s="141"/>
      <c r="AR505" s="141"/>
      <c r="AS505" s="141"/>
      <c r="AT505" s="141"/>
      <c r="AU505" s="141"/>
      <c r="AV505" s="141"/>
      <c r="AW505" s="141"/>
      <c r="AX505" s="141"/>
      <c r="AY505" s="141"/>
      <c r="AZ505" s="141"/>
      <c r="BA505" s="141"/>
      <c r="BB505" s="141"/>
      <c r="BC505" s="141"/>
      <c r="BD505" s="141"/>
      <c r="BE505" s="141"/>
      <c r="BF505" s="141"/>
      <c r="BG505" s="18"/>
      <c r="BH505" s="1"/>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row>
    <row r="506" spans="1:135" ht="14.25" customHeight="1">
      <c r="A506" s="18"/>
      <c r="B506" s="18"/>
      <c r="C506" s="19"/>
      <c r="D506" s="18"/>
      <c r="E506" s="18"/>
      <c r="F506" s="19"/>
      <c r="G506" s="18"/>
      <c r="H506" s="114"/>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40"/>
      <c r="AL506" s="141"/>
      <c r="AM506" s="141"/>
      <c r="AN506" s="141"/>
      <c r="AO506" s="141"/>
      <c r="AP506" s="141"/>
      <c r="AQ506" s="141"/>
      <c r="AR506" s="141"/>
      <c r="AS506" s="141"/>
      <c r="AT506" s="141"/>
      <c r="AU506" s="141"/>
      <c r="AV506" s="141"/>
      <c r="AW506" s="141"/>
      <c r="AX506" s="141"/>
      <c r="AY506" s="141"/>
      <c r="AZ506" s="141"/>
      <c r="BA506" s="141"/>
      <c r="BB506" s="141"/>
      <c r="BC506" s="141"/>
      <c r="BD506" s="141"/>
      <c r="BE506" s="141"/>
      <c r="BF506" s="141"/>
      <c r="BG506" s="18"/>
      <c r="BH506" s="1"/>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row>
    <row r="507" spans="1:135" ht="14.25" customHeight="1">
      <c r="A507" s="18"/>
      <c r="B507" s="18"/>
      <c r="C507" s="19"/>
      <c r="D507" s="18"/>
      <c r="E507" s="18"/>
      <c r="F507" s="19"/>
      <c r="G507" s="18"/>
      <c r="H507" s="114"/>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40"/>
      <c r="AL507" s="141"/>
      <c r="AM507" s="141"/>
      <c r="AN507" s="141"/>
      <c r="AO507" s="141"/>
      <c r="AP507" s="141"/>
      <c r="AQ507" s="141"/>
      <c r="AR507" s="141"/>
      <c r="AS507" s="141"/>
      <c r="AT507" s="141"/>
      <c r="AU507" s="141"/>
      <c r="AV507" s="141"/>
      <c r="AW507" s="141"/>
      <c r="AX507" s="141"/>
      <c r="AY507" s="141"/>
      <c r="AZ507" s="141"/>
      <c r="BA507" s="141"/>
      <c r="BB507" s="141"/>
      <c r="BC507" s="141"/>
      <c r="BD507" s="141"/>
      <c r="BE507" s="141"/>
      <c r="BF507" s="141"/>
      <c r="BG507" s="18"/>
      <c r="BH507" s="1"/>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row>
    <row r="508" spans="1:135" ht="14.25" customHeight="1">
      <c r="A508" s="18"/>
      <c r="B508" s="18"/>
      <c r="C508" s="19"/>
      <c r="D508" s="18"/>
      <c r="E508" s="18"/>
      <c r="F508" s="19"/>
      <c r="G508" s="18"/>
      <c r="H508" s="114"/>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40"/>
      <c r="AL508" s="141"/>
      <c r="AM508" s="141"/>
      <c r="AN508" s="141"/>
      <c r="AO508" s="141"/>
      <c r="AP508" s="141"/>
      <c r="AQ508" s="141"/>
      <c r="AR508" s="141"/>
      <c r="AS508" s="141"/>
      <c r="AT508" s="141"/>
      <c r="AU508" s="141"/>
      <c r="AV508" s="141"/>
      <c r="AW508" s="141"/>
      <c r="AX508" s="141"/>
      <c r="AY508" s="141"/>
      <c r="AZ508" s="141"/>
      <c r="BA508" s="141"/>
      <c r="BB508" s="141"/>
      <c r="BC508" s="141"/>
      <c r="BD508" s="141"/>
      <c r="BE508" s="141"/>
      <c r="BF508" s="141"/>
      <c r="BG508" s="18"/>
      <c r="BH508" s="1"/>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row>
    <row r="509" spans="1:135" ht="14.25" customHeight="1">
      <c r="A509" s="18"/>
      <c r="B509" s="18"/>
      <c r="C509" s="19"/>
      <c r="D509" s="18"/>
      <c r="E509" s="18"/>
      <c r="F509" s="19"/>
      <c r="G509" s="18"/>
      <c r="H509" s="114"/>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40"/>
      <c r="AL509" s="141"/>
      <c r="AM509" s="141"/>
      <c r="AN509" s="141"/>
      <c r="AO509" s="141"/>
      <c r="AP509" s="141"/>
      <c r="AQ509" s="141"/>
      <c r="AR509" s="141"/>
      <c r="AS509" s="141"/>
      <c r="AT509" s="141"/>
      <c r="AU509" s="141"/>
      <c r="AV509" s="141"/>
      <c r="AW509" s="141"/>
      <c r="AX509" s="141"/>
      <c r="AY509" s="141"/>
      <c r="AZ509" s="141"/>
      <c r="BA509" s="141"/>
      <c r="BB509" s="141"/>
      <c r="BC509" s="141"/>
      <c r="BD509" s="141"/>
      <c r="BE509" s="141"/>
      <c r="BF509" s="141"/>
      <c r="BG509" s="18"/>
      <c r="BH509" s="1"/>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row>
    <row r="510" spans="1:135" ht="14.25" customHeight="1">
      <c r="A510" s="18"/>
      <c r="B510" s="18"/>
      <c r="C510" s="19"/>
      <c r="D510" s="18"/>
      <c r="E510" s="18"/>
      <c r="F510" s="19"/>
      <c r="G510" s="18"/>
      <c r="H510" s="114"/>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40"/>
      <c r="AL510" s="141"/>
      <c r="AM510" s="141"/>
      <c r="AN510" s="141"/>
      <c r="AO510" s="141"/>
      <c r="AP510" s="141"/>
      <c r="AQ510" s="141"/>
      <c r="AR510" s="141"/>
      <c r="AS510" s="141"/>
      <c r="AT510" s="141"/>
      <c r="AU510" s="141"/>
      <c r="AV510" s="141"/>
      <c r="AW510" s="141"/>
      <c r="AX510" s="141"/>
      <c r="AY510" s="141"/>
      <c r="AZ510" s="141"/>
      <c r="BA510" s="141"/>
      <c r="BB510" s="141"/>
      <c r="BC510" s="141"/>
      <c r="BD510" s="141"/>
      <c r="BE510" s="141"/>
      <c r="BF510" s="141"/>
      <c r="BG510" s="18"/>
      <c r="BH510" s="1"/>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row>
    <row r="511" spans="1:135" ht="14.25" customHeight="1">
      <c r="A511" s="18"/>
      <c r="B511" s="18"/>
      <c r="C511" s="19"/>
      <c r="D511" s="18"/>
      <c r="E511" s="18"/>
      <c r="F511" s="19"/>
      <c r="G511" s="18"/>
      <c r="H511" s="114"/>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40"/>
      <c r="AL511" s="141"/>
      <c r="AM511" s="141"/>
      <c r="AN511" s="141"/>
      <c r="AO511" s="141"/>
      <c r="AP511" s="141"/>
      <c r="AQ511" s="141"/>
      <c r="AR511" s="141"/>
      <c r="AS511" s="141"/>
      <c r="AT511" s="141"/>
      <c r="AU511" s="141"/>
      <c r="AV511" s="141"/>
      <c r="AW511" s="141"/>
      <c r="AX511" s="141"/>
      <c r="AY511" s="141"/>
      <c r="AZ511" s="141"/>
      <c r="BA511" s="141"/>
      <c r="BB511" s="141"/>
      <c r="BC511" s="141"/>
      <c r="BD511" s="141"/>
      <c r="BE511" s="141"/>
      <c r="BF511" s="141"/>
      <c r="BG511" s="18"/>
      <c r="BH511" s="1"/>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row>
    <row r="512" spans="1:135" ht="14.25" customHeight="1">
      <c r="A512" s="18"/>
      <c r="B512" s="18"/>
      <c r="C512" s="19"/>
      <c r="D512" s="18"/>
      <c r="E512" s="18"/>
      <c r="F512" s="19"/>
      <c r="G512" s="18"/>
      <c r="H512" s="114"/>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40"/>
      <c r="AL512" s="141"/>
      <c r="AM512" s="141"/>
      <c r="AN512" s="141"/>
      <c r="AO512" s="141"/>
      <c r="AP512" s="141"/>
      <c r="AQ512" s="141"/>
      <c r="AR512" s="141"/>
      <c r="AS512" s="141"/>
      <c r="AT512" s="141"/>
      <c r="AU512" s="141"/>
      <c r="AV512" s="141"/>
      <c r="AW512" s="141"/>
      <c r="AX512" s="141"/>
      <c r="AY512" s="141"/>
      <c r="AZ512" s="141"/>
      <c r="BA512" s="141"/>
      <c r="BB512" s="141"/>
      <c r="BC512" s="141"/>
      <c r="BD512" s="141"/>
      <c r="BE512" s="141"/>
      <c r="BF512" s="141"/>
      <c r="BG512" s="18"/>
      <c r="BH512" s="1"/>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row>
    <row r="513" spans="1:135" ht="14.25" customHeight="1">
      <c r="A513" s="18"/>
      <c r="B513" s="18"/>
      <c r="C513" s="19"/>
      <c r="D513" s="18"/>
      <c r="E513" s="18"/>
      <c r="F513" s="19"/>
      <c r="G513" s="18"/>
      <c r="H513" s="114"/>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40"/>
      <c r="AL513" s="141"/>
      <c r="AM513" s="141"/>
      <c r="AN513" s="141"/>
      <c r="AO513" s="141"/>
      <c r="AP513" s="141"/>
      <c r="AQ513" s="141"/>
      <c r="AR513" s="141"/>
      <c r="AS513" s="141"/>
      <c r="AT513" s="141"/>
      <c r="AU513" s="141"/>
      <c r="AV513" s="141"/>
      <c r="AW513" s="141"/>
      <c r="AX513" s="141"/>
      <c r="AY513" s="141"/>
      <c r="AZ513" s="141"/>
      <c r="BA513" s="141"/>
      <c r="BB513" s="141"/>
      <c r="BC513" s="141"/>
      <c r="BD513" s="141"/>
      <c r="BE513" s="141"/>
      <c r="BF513" s="141"/>
      <c r="BG513" s="18"/>
      <c r="BH513" s="1"/>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row>
    <row r="514" spans="1:135" ht="14.25" customHeight="1">
      <c r="A514" s="18"/>
      <c r="B514" s="18"/>
      <c r="C514" s="19"/>
      <c r="D514" s="18"/>
      <c r="E514" s="18"/>
      <c r="F514" s="19"/>
      <c r="G514" s="18"/>
      <c r="H514" s="114"/>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40"/>
      <c r="AL514" s="141"/>
      <c r="AM514" s="141"/>
      <c r="AN514" s="141"/>
      <c r="AO514" s="141"/>
      <c r="AP514" s="141"/>
      <c r="AQ514" s="141"/>
      <c r="AR514" s="141"/>
      <c r="AS514" s="141"/>
      <c r="AT514" s="141"/>
      <c r="AU514" s="141"/>
      <c r="AV514" s="141"/>
      <c r="AW514" s="141"/>
      <c r="AX514" s="141"/>
      <c r="AY514" s="141"/>
      <c r="AZ514" s="141"/>
      <c r="BA514" s="141"/>
      <c r="BB514" s="141"/>
      <c r="BC514" s="141"/>
      <c r="BD514" s="141"/>
      <c r="BE514" s="141"/>
      <c r="BF514" s="141"/>
      <c r="BG514" s="18"/>
      <c r="BH514" s="1"/>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row>
    <row r="515" spans="1:135" ht="14.25" customHeight="1">
      <c r="A515" s="18"/>
      <c r="B515" s="18"/>
      <c r="C515" s="19"/>
      <c r="D515" s="18"/>
      <c r="E515" s="18"/>
      <c r="F515" s="19"/>
      <c r="G515" s="18"/>
      <c r="H515" s="114"/>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40"/>
      <c r="AL515" s="141"/>
      <c r="AM515" s="141"/>
      <c r="AN515" s="141"/>
      <c r="AO515" s="141"/>
      <c r="AP515" s="141"/>
      <c r="AQ515" s="141"/>
      <c r="AR515" s="141"/>
      <c r="AS515" s="141"/>
      <c r="AT515" s="141"/>
      <c r="AU515" s="141"/>
      <c r="AV515" s="141"/>
      <c r="AW515" s="141"/>
      <c r="AX515" s="141"/>
      <c r="AY515" s="141"/>
      <c r="AZ515" s="141"/>
      <c r="BA515" s="141"/>
      <c r="BB515" s="141"/>
      <c r="BC515" s="141"/>
      <c r="BD515" s="141"/>
      <c r="BE515" s="141"/>
      <c r="BF515" s="141"/>
      <c r="BG515" s="18"/>
      <c r="BH515" s="1"/>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row>
    <row r="516" spans="1:135" ht="14.25" customHeight="1">
      <c r="A516" s="18"/>
      <c r="B516" s="18"/>
      <c r="C516" s="19"/>
      <c r="D516" s="18"/>
      <c r="E516" s="18"/>
      <c r="F516" s="19"/>
      <c r="G516" s="18"/>
      <c r="H516" s="114"/>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40"/>
      <c r="AL516" s="141"/>
      <c r="AM516" s="141"/>
      <c r="AN516" s="141"/>
      <c r="AO516" s="141"/>
      <c r="AP516" s="141"/>
      <c r="AQ516" s="141"/>
      <c r="AR516" s="141"/>
      <c r="AS516" s="141"/>
      <c r="AT516" s="141"/>
      <c r="AU516" s="141"/>
      <c r="AV516" s="141"/>
      <c r="AW516" s="141"/>
      <c r="AX516" s="141"/>
      <c r="AY516" s="141"/>
      <c r="AZ516" s="141"/>
      <c r="BA516" s="141"/>
      <c r="BB516" s="141"/>
      <c r="BC516" s="141"/>
      <c r="BD516" s="141"/>
      <c r="BE516" s="141"/>
      <c r="BF516" s="141"/>
      <c r="BG516" s="18"/>
      <c r="BH516" s="1"/>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row>
    <row r="517" spans="1:135" ht="14.25" customHeight="1">
      <c r="A517" s="18"/>
      <c r="B517" s="18"/>
      <c r="C517" s="19"/>
      <c r="D517" s="18"/>
      <c r="E517" s="18"/>
      <c r="F517" s="19"/>
      <c r="G517" s="18"/>
      <c r="H517" s="114"/>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40"/>
      <c r="AL517" s="141"/>
      <c r="AM517" s="141"/>
      <c r="AN517" s="141"/>
      <c r="AO517" s="141"/>
      <c r="AP517" s="141"/>
      <c r="AQ517" s="141"/>
      <c r="AR517" s="141"/>
      <c r="AS517" s="141"/>
      <c r="AT517" s="141"/>
      <c r="AU517" s="141"/>
      <c r="AV517" s="141"/>
      <c r="AW517" s="141"/>
      <c r="AX517" s="141"/>
      <c r="AY517" s="141"/>
      <c r="AZ517" s="141"/>
      <c r="BA517" s="141"/>
      <c r="BB517" s="141"/>
      <c r="BC517" s="141"/>
      <c r="BD517" s="141"/>
      <c r="BE517" s="141"/>
      <c r="BF517" s="141"/>
      <c r="BG517" s="18"/>
      <c r="BH517" s="1"/>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row>
    <row r="518" spans="1:135" ht="14.25" customHeight="1">
      <c r="A518" s="18"/>
      <c r="B518" s="18"/>
      <c r="C518" s="19"/>
      <c r="D518" s="18"/>
      <c r="E518" s="18"/>
      <c r="F518" s="19"/>
      <c r="G518" s="18"/>
      <c r="H518" s="114"/>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40"/>
      <c r="AL518" s="141"/>
      <c r="AM518" s="141"/>
      <c r="AN518" s="141"/>
      <c r="AO518" s="141"/>
      <c r="AP518" s="141"/>
      <c r="AQ518" s="141"/>
      <c r="AR518" s="141"/>
      <c r="AS518" s="141"/>
      <c r="AT518" s="141"/>
      <c r="AU518" s="141"/>
      <c r="AV518" s="141"/>
      <c r="AW518" s="141"/>
      <c r="AX518" s="141"/>
      <c r="AY518" s="141"/>
      <c r="AZ518" s="141"/>
      <c r="BA518" s="141"/>
      <c r="BB518" s="141"/>
      <c r="BC518" s="141"/>
      <c r="BD518" s="141"/>
      <c r="BE518" s="141"/>
      <c r="BF518" s="141"/>
      <c r="BG518" s="18"/>
      <c r="BH518" s="1"/>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row>
    <row r="519" spans="1:135" ht="14.25" customHeight="1">
      <c r="A519" s="18"/>
      <c r="B519" s="18"/>
      <c r="C519" s="19"/>
      <c r="D519" s="18"/>
      <c r="E519" s="18"/>
      <c r="F519" s="19"/>
      <c r="G519" s="18"/>
      <c r="H519" s="114"/>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40"/>
      <c r="AL519" s="141"/>
      <c r="AM519" s="141"/>
      <c r="AN519" s="141"/>
      <c r="AO519" s="141"/>
      <c r="AP519" s="141"/>
      <c r="AQ519" s="141"/>
      <c r="AR519" s="141"/>
      <c r="AS519" s="141"/>
      <c r="AT519" s="141"/>
      <c r="AU519" s="141"/>
      <c r="AV519" s="141"/>
      <c r="AW519" s="141"/>
      <c r="AX519" s="141"/>
      <c r="AY519" s="141"/>
      <c r="AZ519" s="141"/>
      <c r="BA519" s="141"/>
      <c r="BB519" s="141"/>
      <c r="BC519" s="141"/>
      <c r="BD519" s="141"/>
      <c r="BE519" s="141"/>
      <c r="BF519" s="141"/>
      <c r="BG519" s="18"/>
      <c r="BH519" s="1"/>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row>
    <row r="520" spans="1:135" ht="14.25" customHeight="1">
      <c r="A520" s="18"/>
      <c r="B520" s="18"/>
      <c r="C520" s="19"/>
      <c r="D520" s="18"/>
      <c r="E520" s="18"/>
      <c r="F520" s="19"/>
      <c r="G520" s="18"/>
      <c r="H520" s="114"/>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40"/>
      <c r="AL520" s="141"/>
      <c r="AM520" s="141"/>
      <c r="AN520" s="141"/>
      <c r="AO520" s="141"/>
      <c r="AP520" s="141"/>
      <c r="AQ520" s="141"/>
      <c r="AR520" s="141"/>
      <c r="AS520" s="141"/>
      <c r="AT520" s="141"/>
      <c r="AU520" s="141"/>
      <c r="AV520" s="141"/>
      <c r="AW520" s="141"/>
      <c r="AX520" s="141"/>
      <c r="AY520" s="141"/>
      <c r="AZ520" s="141"/>
      <c r="BA520" s="141"/>
      <c r="BB520" s="141"/>
      <c r="BC520" s="141"/>
      <c r="BD520" s="141"/>
      <c r="BE520" s="141"/>
      <c r="BF520" s="141"/>
      <c r="BG520" s="18"/>
      <c r="BH520" s="1"/>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row>
    <row r="521" spans="1:135" ht="14.25" customHeight="1">
      <c r="A521" s="18"/>
      <c r="B521" s="18"/>
      <c r="C521" s="19"/>
      <c r="D521" s="18"/>
      <c r="E521" s="18"/>
      <c r="F521" s="19"/>
      <c r="G521" s="18"/>
      <c r="H521" s="114"/>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40"/>
      <c r="AL521" s="141"/>
      <c r="AM521" s="141"/>
      <c r="AN521" s="141"/>
      <c r="AO521" s="141"/>
      <c r="AP521" s="141"/>
      <c r="AQ521" s="141"/>
      <c r="AR521" s="141"/>
      <c r="AS521" s="141"/>
      <c r="AT521" s="141"/>
      <c r="AU521" s="141"/>
      <c r="AV521" s="141"/>
      <c r="AW521" s="141"/>
      <c r="AX521" s="141"/>
      <c r="AY521" s="141"/>
      <c r="AZ521" s="141"/>
      <c r="BA521" s="141"/>
      <c r="BB521" s="141"/>
      <c r="BC521" s="141"/>
      <c r="BD521" s="141"/>
      <c r="BE521" s="141"/>
      <c r="BF521" s="141"/>
      <c r="BG521" s="18"/>
      <c r="BH521" s="1"/>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row>
    <row r="522" spans="1:135" ht="14.25" customHeight="1">
      <c r="A522" s="18"/>
      <c r="B522" s="18"/>
      <c r="C522" s="19"/>
      <c r="D522" s="18"/>
      <c r="E522" s="18"/>
      <c r="F522" s="19"/>
      <c r="G522" s="18"/>
      <c r="H522" s="114"/>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40"/>
      <c r="AL522" s="141"/>
      <c r="AM522" s="141"/>
      <c r="AN522" s="141"/>
      <c r="AO522" s="141"/>
      <c r="AP522" s="141"/>
      <c r="AQ522" s="141"/>
      <c r="AR522" s="141"/>
      <c r="AS522" s="141"/>
      <c r="AT522" s="141"/>
      <c r="AU522" s="141"/>
      <c r="AV522" s="141"/>
      <c r="AW522" s="141"/>
      <c r="AX522" s="141"/>
      <c r="AY522" s="141"/>
      <c r="AZ522" s="141"/>
      <c r="BA522" s="141"/>
      <c r="BB522" s="141"/>
      <c r="BC522" s="141"/>
      <c r="BD522" s="141"/>
      <c r="BE522" s="141"/>
      <c r="BF522" s="141"/>
      <c r="BG522" s="18"/>
      <c r="BH522" s="1"/>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row>
    <row r="523" spans="1:135" ht="14.25" customHeight="1">
      <c r="A523" s="18"/>
      <c r="B523" s="18"/>
      <c r="C523" s="19"/>
      <c r="D523" s="18"/>
      <c r="E523" s="18"/>
      <c r="F523" s="19"/>
      <c r="G523" s="18"/>
      <c r="H523" s="114"/>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40"/>
      <c r="AL523" s="141"/>
      <c r="AM523" s="141"/>
      <c r="AN523" s="141"/>
      <c r="AO523" s="141"/>
      <c r="AP523" s="141"/>
      <c r="AQ523" s="141"/>
      <c r="AR523" s="141"/>
      <c r="AS523" s="141"/>
      <c r="AT523" s="141"/>
      <c r="AU523" s="141"/>
      <c r="AV523" s="141"/>
      <c r="AW523" s="141"/>
      <c r="AX523" s="141"/>
      <c r="AY523" s="141"/>
      <c r="AZ523" s="141"/>
      <c r="BA523" s="141"/>
      <c r="BB523" s="141"/>
      <c r="BC523" s="141"/>
      <c r="BD523" s="141"/>
      <c r="BE523" s="141"/>
      <c r="BF523" s="141"/>
      <c r="BG523" s="18"/>
      <c r="BH523" s="1"/>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row>
    <row r="524" spans="1:135" ht="14.25" customHeight="1">
      <c r="A524" s="18"/>
      <c r="B524" s="18"/>
      <c r="C524" s="19"/>
      <c r="D524" s="18"/>
      <c r="E524" s="18"/>
      <c r="F524" s="19"/>
      <c r="G524" s="18"/>
      <c r="H524" s="114"/>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40"/>
      <c r="AL524" s="141"/>
      <c r="AM524" s="141"/>
      <c r="AN524" s="141"/>
      <c r="AO524" s="141"/>
      <c r="AP524" s="141"/>
      <c r="AQ524" s="141"/>
      <c r="AR524" s="141"/>
      <c r="AS524" s="141"/>
      <c r="AT524" s="141"/>
      <c r="AU524" s="141"/>
      <c r="AV524" s="141"/>
      <c r="AW524" s="141"/>
      <c r="AX524" s="141"/>
      <c r="AY524" s="141"/>
      <c r="AZ524" s="141"/>
      <c r="BA524" s="141"/>
      <c r="BB524" s="141"/>
      <c r="BC524" s="141"/>
      <c r="BD524" s="141"/>
      <c r="BE524" s="141"/>
      <c r="BF524" s="141"/>
      <c r="BG524" s="18"/>
      <c r="BH524" s="1"/>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row>
    <row r="525" spans="1:135" ht="14.25" customHeight="1">
      <c r="A525" s="18"/>
      <c r="B525" s="18"/>
      <c r="C525" s="19"/>
      <c r="D525" s="18"/>
      <c r="E525" s="18"/>
      <c r="F525" s="19"/>
      <c r="G525" s="18"/>
      <c r="H525" s="114"/>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40"/>
      <c r="AL525" s="141"/>
      <c r="AM525" s="141"/>
      <c r="AN525" s="141"/>
      <c r="AO525" s="141"/>
      <c r="AP525" s="141"/>
      <c r="AQ525" s="141"/>
      <c r="AR525" s="141"/>
      <c r="AS525" s="141"/>
      <c r="AT525" s="141"/>
      <c r="AU525" s="141"/>
      <c r="AV525" s="141"/>
      <c r="AW525" s="141"/>
      <c r="AX525" s="141"/>
      <c r="AY525" s="141"/>
      <c r="AZ525" s="141"/>
      <c r="BA525" s="141"/>
      <c r="BB525" s="141"/>
      <c r="BC525" s="141"/>
      <c r="BD525" s="141"/>
      <c r="BE525" s="141"/>
      <c r="BF525" s="141"/>
      <c r="BG525" s="18"/>
      <c r="BH525" s="1"/>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row>
    <row r="526" spans="1:135" ht="14.25" customHeight="1">
      <c r="A526" s="18"/>
      <c r="B526" s="18"/>
      <c r="C526" s="19"/>
      <c r="D526" s="18"/>
      <c r="E526" s="18"/>
      <c r="F526" s="19"/>
      <c r="G526" s="18"/>
      <c r="H526" s="114"/>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40"/>
      <c r="AL526" s="141"/>
      <c r="AM526" s="141"/>
      <c r="AN526" s="141"/>
      <c r="AO526" s="141"/>
      <c r="AP526" s="141"/>
      <c r="AQ526" s="141"/>
      <c r="AR526" s="141"/>
      <c r="AS526" s="141"/>
      <c r="AT526" s="141"/>
      <c r="AU526" s="141"/>
      <c r="AV526" s="141"/>
      <c r="AW526" s="141"/>
      <c r="AX526" s="141"/>
      <c r="AY526" s="141"/>
      <c r="AZ526" s="141"/>
      <c r="BA526" s="141"/>
      <c r="BB526" s="141"/>
      <c r="BC526" s="141"/>
      <c r="BD526" s="141"/>
      <c r="BE526" s="141"/>
      <c r="BF526" s="141"/>
      <c r="BG526" s="18"/>
      <c r="BH526" s="1"/>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row>
    <row r="527" spans="1:135" ht="14.25" customHeight="1">
      <c r="A527" s="18"/>
      <c r="B527" s="18"/>
      <c r="C527" s="19"/>
      <c r="D527" s="18"/>
      <c r="E527" s="18"/>
      <c r="F527" s="19"/>
      <c r="G527" s="18"/>
      <c r="H527" s="114"/>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40"/>
      <c r="AL527" s="141"/>
      <c r="AM527" s="141"/>
      <c r="AN527" s="141"/>
      <c r="AO527" s="141"/>
      <c r="AP527" s="141"/>
      <c r="AQ527" s="141"/>
      <c r="AR527" s="141"/>
      <c r="AS527" s="141"/>
      <c r="AT527" s="141"/>
      <c r="AU527" s="141"/>
      <c r="AV527" s="141"/>
      <c r="AW527" s="141"/>
      <c r="AX527" s="141"/>
      <c r="AY527" s="141"/>
      <c r="AZ527" s="141"/>
      <c r="BA527" s="141"/>
      <c r="BB527" s="141"/>
      <c r="BC527" s="141"/>
      <c r="BD527" s="141"/>
      <c r="BE527" s="141"/>
      <c r="BF527" s="141"/>
      <c r="BG527" s="18"/>
      <c r="BH527" s="1"/>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row>
    <row r="528" spans="1:135" ht="14.25" customHeight="1">
      <c r="A528" s="18"/>
      <c r="B528" s="18"/>
      <c r="C528" s="19"/>
      <c r="D528" s="18"/>
      <c r="E528" s="18"/>
      <c r="F528" s="19"/>
      <c r="G528" s="18"/>
      <c r="H528" s="114"/>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40"/>
      <c r="AL528" s="141"/>
      <c r="AM528" s="141"/>
      <c r="AN528" s="141"/>
      <c r="AO528" s="141"/>
      <c r="AP528" s="141"/>
      <c r="AQ528" s="141"/>
      <c r="AR528" s="141"/>
      <c r="AS528" s="141"/>
      <c r="AT528" s="141"/>
      <c r="AU528" s="141"/>
      <c r="AV528" s="141"/>
      <c r="AW528" s="141"/>
      <c r="AX528" s="141"/>
      <c r="AY528" s="141"/>
      <c r="AZ528" s="141"/>
      <c r="BA528" s="141"/>
      <c r="BB528" s="141"/>
      <c r="BC528" s="141"/>
      <c r="BD528" s="141"/>
      <c r="BE528" s="141"/>
      <c r="BF528" s="141"/>
      <c r="BG528" s="18"/>
      <c r="BH528" s="1"/>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row>
    <row r="529" spans="1:135" ht="14.25" customHeight="1">
      <c r="A529" s="18"/>
      <c r="B529" s="18"/>
      <c r="C529" s="19"/>
      <c r="D529" s="18"/>
      <c r="E529" s="18"/>
      <c r="F529" s="19"/>
      <c r="G529" s="18"/>
      <c r="H529" s="114"/>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40"/>
      <c r="AL529" s="141"/>
      <c r="AM529" s="141"/>
      <c r="AN529" s="141"/>
      <c r="AO529" s="141"/>
      <c r="AP529" s="141"/>
      <c r="AQ529" s="141"/>
      <c r="AR529" s="141"/>
      <c r="AS529" s="141"/>
      <c r="AT529" s="141"/>
      <c r="AU529" s="141"/>
      <c r="AV529" s="141"/>
      <c r="AW529" s="141"/>
      <c r="AX529" s="141"/>
      <c r="AY529" s="141"/>
      <c r="AZ529" s="141"/>
      <c r="BA529" s="141"/>
      <c r="BB529" s="141"/>
      <c r="BC529" s="141"/>
      <c r="BD529" s="141"/>
      <c r="BE529" s="141"/>
      <c r="BF529" s="141"/>
      <c r="BG529" s="18"/>
      <c r="BH529" s="1"/>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row>
    <row r="530" spans="1:135" ht="14.25" customHeight="1">
      <c r="A530" s="18"/>
      <c r="B530" s="18"/>
      <c r="C530" s="19"/>
      <c r="D530" s="18"/>
      <c r="E530" s="18"/>
      <c r="F530" s="19"/>
      <c r="G530" s="18"/>
      <c r="H530" s="114"/>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40"/>
      <c r="AL530" s="141"/>
      <c r="AM530" s="141"/>
      <c r="AN530" s="141"/>
      <c r="AO530" s="141"/>
      <c r="AP530" s="141"/>
      <c r="AQ530" s="141"/>
      <c r="AR530" s="141"/>
      <c r="AS530" s="141"/>
      <c r="AT530" s="141"/>
      <c r="AU530" s="141"/>
      <c r="AV530" s="141"/>
      <c r="AW530" s="141"/>
      <c r="AX530" s="141"/>
      <c r="AY530" s="141"/>
      <c r="AZ530" s="141"/>
      <c r="BA530" s="141"/>
      <c r="BB530" s="141"/>
      <c r="BC530" s="141"/>
      <c r="BD530" s="141"/>
      <c r="BE530" s="141"/>
      <c r="BF530" s="141"/>
      <c r="BG530" s="18"/>
      <c r="BH530" s="1"/>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row>
    <row r="531" spans="1:135" ht="14.25" customHeight="1">
      <c r="A531" s="18"/>
      <c r="B531" s="18"/>
      <c r="C531" s="19"/>
      <c r="D531" s="18"/>
      <c r="E531" s="18"/>
      <c r="F531" s="19"/>
      <c r="G531" s="18"/>
      <c r="H531" s="114"/>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40"/>
      <c r="AL531" s="141"/>
      <c r="AM531" s="141"/>
      <c r="AN531" s="141"/>
      <c r="AO531" s="141"/>
      <c r="AP531" s="141"/>
      <c r="AQ531" s="141"/>
      <c r="AR531" s="141"/>
      <c r="AS531" s="141"/>
      <c r="AT531" s="141"/>
      <c r="AU531" s="141"/>
      <c r="AV531" s="141"/>
      <c r="AW531" s="141"/>
      <c r="AX531" s="141"/>
      <c r="AY531" s="141"/>
      <c r="AZ531" s="141"/>
      <c r="BA531" s="141"/>
      <c r="BB531" s="141"/>
      <c r="BC531" s="141"/>
      <c r="BD531" s="141"/>
      <c r="BE531" s="141"/>
      <c r="BF531" s="141"/>
      <c r="BG531" s="18"/>
      <c r="BH531" s="1"/>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row>
    <row r="532" spans="1:135" ht="14.25" customHeight="1">
      <c r="A532" s="18"/>
      <c r="B532" s="18"/>
      <c r="C532" s="19"/>
      <c r="D532" s="18"/>
      <c r="E532" s="18"/>
      <c r="F532" s="19"/>
      <c r="G532" s="18"/>
      <c r="H532" s="114"/>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40"/>
      <c r="AL532" s="141"/>
      <c r="AM532" s="141"/>
      <c r="AN532" s="141"/>
      <c r="AO532" s="141"/>
      <c r="AP532" s="141"/>
      <c r="AQ532" s="141"/>
      <c r="AR532" s="141"/>
      <c r="AS532" s="141"/>
      <c r="AT532" s="141"/>
      <c r="AU532" s="141"/>
      <c r="AV532" s="141"/>
      <c r="AW532" s="141"/>
      <c r="AX532" s="141"/>
      <c r="AY532" s="141"/>
      <c r="AZ532" s="141"/>
      <c r="BA532" s="141"/>
      <c r="BB532" s="141"/>
      <c r="BC532" s="141"/>
      <c r="BD532" s="141"/>
      <c r="BE532" s="141"/>
      <c r="BF532" s="141"/>
      <c r="BG532" s="18"/>
      <c r="BH532" s="1"/>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row>
    <row r="533" spans="1:135" ht="14.25" customHeight="1">
      <c r="A533" s="18"/>
      <c r="B533" s="18"/>
      <c r="C533" s="19"/>
      <c r="D533" s="18"/>
      <c r="E533" s="18"/>
      <c r="F533" s="19"/>
      <c r="G533" s="18"/>
      <c r="H533" s="114"/>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40"/>
      <c r="AL533" s="141"/>
      <c r="AM533" s="141"/>
      <c r="AN533" s="141"/>
      <c r="AO533" s="141"/>
      <c r="AP533" s="141"/>
      <c r="AQ533" s="141"/>
      <c r="AR533" s="141"/>
      <c r="AS533" s="141"/>
      <c r="AT533" s="141"/>
      <c r="AU533" s="141"/>
      <c r="AV533" s="141"/>
      <c r="AW533" s="141"/>
      <c r="AX533" s="141"/>
      <c r="AY533" s="141"/>
      <c r="AZ533" s="141"/>
      <c r="BA533" s="141"/>
      <c r="BB533" s="141"/>
      <c r="BC533" s="141"/>
      <c r="BD533" s="141"/>
      <c r="BE533" s="141"/>
      <c r="BF533" s="141"/>
      <c r="BG533" s="18"/>
      <c r="BH533" s="1"/>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row>
    <row r="534" spans="1:135" ht="14.25" customHeight="1">
      <c r="A534" s="18"/>
      <c r="B534" s="18"/>
      <c r="C534" s="19"/>
      <c r="D534" s="18"/>
      <c r="E534" s="18"/>
      <c r="F534" s="19"/>
      <c r="G534" s="18"/>
      <c r="H534" s="114"/>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40"/>
      <c r="AL534" s="141"/>
      <c r="AM534" s="141"/>
      <c r="AN534" s="141"/>
      <c r="AO534" s="141"/>
      <c r="AP534" s="141"/>
      <c r="AQ534" s="141"/>
      <c r="AR534" s="141"/>
      <c r="AS534" s="141"/>
      <c r="AT534" s="141"/>
      <c r="AU534" s="141"/>
      <c r="AV534" s="141"/>
      <c r="AW534" s="141"/>
      <c r="AX534" s="141"/>
      <c r="AY534" s="141"/>
      <c r="AZ534" s="141"/>
      <c r="BA534" s="141"/>
      <c r="BB534" s="141"/>
      <c r="BC534" s="141"/>
      <c r="BD534" s="141"/>
      <c r="BE534" s="141"/>
      <c r="BF534" s="141"/>
      <c r="BG534" s="18"/>
      <c r="BH534" s="1"/>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row>
    <row r="535" spans="1:135" ht="14.25" customHeight="1">
      <c r="A535" s="18"/>
      <c r="B535" s="18"/>
      <c r="C535" s="19"/>
      <c r="D535" s="18"/>
      <c r="E535" s="18"/>
      <c r="F535" s="19"/>
      <c r="G535" s="18"/>
      <c r="H535" s="114"/>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40"/>
      <c r="AL535" s="141"/>
      <c r="AM535" s="141"/>
      <c r="AN535" s="141"/>
      <c r="AO535" s="141"/>
      <c r="AP535" s="141"/>
      <c r="AQ535" s="141"/>
      <c r="AR535" s="141"/>
      <c r="AS535" s="141"/>
      <c r="AT535" s="141"/>
      <c r="AU535" s="141"/>
      <c r="AV535" s="141"/>
      <c r="AW535" s="141"/>
      <c r="AX535" s="141"/>
      <c r="AY535" s="141"/>
      <c r="AZ535" s="141"/>
      <c r="BA535" s="141"/>
      <c r="BB535" s="141"/>
      <c r="BC535" s="141"/>
      <c r="BD535" s="141"/>
      <c r="BE535" s="141"/>
      <c r="BF535" s="141"/>
      <c r="BG535" s="18"/>
      <c r="BH535" s="1"/>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row>
    <row r="536" spans="1:135" ht="14.25" customHeight="1">
      <c r="A536" s="18"/>
      <c r="B536" s="18"/>
      <c r="C536" s="19"/>
      <c r="D536" s="18"/>
      <c r="E536" s="18"/>
      <c r="F536" s="19"/>
      <c r="G536" s="18"/>
      <c r="H536" s="114"/>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40"/>
      <c r="AL536" s="141"/>
      <c r="AM536" s="141"/>
      <c r="AN536" s="141"/>
      <c r="AO536" s="141"/>
      <c r="AP536" s="141"/>
      <c r="AQ536" s="141"/>
      <c r="AR536" s="141"/>
      <c r="AS536" s="141"/>
      <c r="AT536" s="141"/>
      <c r="AU536" s="141"/>
      <c r="AV536" s="141"/>
      <c r="AW536" s="141"/>
      <c r="AX536" s="141"/>
      <c r="AY536" s="141"/>
      <c r="AZ536" s="141"/>
      <c r="BA536" s="141"/>
      <c r="BB536" s="141"/>
      <c r="BC536" s="141"/>
      <c r="BD536" s="141"/>
      <c r="BE536" s="141"/>
      <c r="BF536" s="141"/>
      <c r="BG536" s="18"/>
      <c r="BH536" s="1"/>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row>
    <row r="537" spans="1:135" ht="14.25" customHeight="1">
      <c r="A537" s="18"/>
      <c r="B537" s="18"/>
      <c r="C537" s="19"/>
      <c r="D537" s="18"/>
      <c r="E537" s="18"/>
      <c r="F537" s="19"/>
      <c r="G537" s="18"/>
      <c r="H537" s="114"/>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40"/>
      <c r="AL537" s="141"/>
      <c r="AM537" s="141"/>
      <c r="AN537" s="141"/>
      <c r="AO537" s="141"/>
      <c r="AP537" s="141"/>
      <c r="AQ537" s="141"/>
      <c r="AR537" s="141"/>
      <c r="AS537" s="141"/>
      <c r="AT537" s="141"/>
      <c r="AU537" s="141"/>
      <c r="AV537" s="141"/>
      <c r="AW537" s="141"/>
      <c r="AX537" s="141"/>
      <c r="AY537" s="141"/>
      <c r="AZ537" s="141"/>
      <c r="BA537" s="141"/>
      <c r="BB537" s="141"/>
      <c r="BC537" s="141"/>
      <c r="BD537" s="141"/>
      <c r="BE537" s="141"/>
      <c r="BF537" s="141"/>
      <c r="BG537" s="18"/>
      <c r="BH537" s="1"/>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row>
    <row r="538" spans="1:135" ht="14.25" customHeight="1">
      <c r="A538" s="18"/>
      <c r="B538" s="18"/>
      <c r="C538" s="19"/>
      <c r="D538" s="18"/>
      <c r="E538" s="18"/>
      <c r="F538" s="19"/>
      <c r="G538" s="18"/>
      <c r="H538" s="114"/>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40"/>
      <c r="AL538" s="141"/>
      <c r="AM538" s="141"/>
      <c r="AN538" s="141"/>
      <c r="AO538" s="141"/>
      <c r="AP538" s="141"/>
      <c r="AQ538" s="141"/>
      <c r="AR538" s="141"/>
      <c r="AS538" s="141"/>
      <c r="AT538" s="141"/>
      <c r="AU538" s="141"/>
      <c r="AV538" s="141"/>
      <c r="AW538" s="141"/>
      <c r="AX538" s="141"/>
      <c r="AY538" s="141"/>
      <c r="AZ538" s="141"/>
      <c r="BA538" s="141"/>
      <c r="BB538" s="141"/>
      <c r="BC538" s="141"/>
      <c r="BD538" s="141"/>
      <c r="BE538" s="141"/>
      <c r="BF538" s="141"/>
      <c r="BG538" s="18"/>
      <c r="BH538" s="1"/>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row>
    <row r="539" spans="1:135" ht="14.25" customHeight="1">
      <c r="A539" s="18"/>
      <c r="B539" s="18"/>
      <c r="C539" s="19"/>
      <c r="D539" s="18"/>
      <c r="E539" s="18"/>
      <c r="F539" s="19"/>
      <c r="G539" s="18"/>
      <c r="H539" s="114"/>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40"/>
      <c r="AL539" s="141"/>
      <c r="AM539" s="141"/>
      <c r="AN539" s="141"/>
      <c r="AO539" s="141"/>
      <c r="AP539" s="141"/>
      <c r="AQ539" s="141"/>
      <c r="AR539" s="141"/>
      <c r="AS539" s="141"/>
      <c r="AT539" s="141"/>
      <c r="AU539" s="141"/>
      <c r="AV539" s="141"/>
      <c r="AW539" s="141"/>
      <c r="AX539" s="141"/>
      <c r="AY539" s="141"/>
      <c r="AZ539" s="141"/>
      <c r="BA539" s="141"/>
      <c r="BB539" s="141"/>
      <c r="BC539" s="141"/>
      <c r="BD539" s="141"/>
      <c r="BE539" s="141"/>
      <c r="BF539" s="141"/>
      <c r="BG539" s="18"/>
      <c r="BH539" s="1"/>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row>
    <row r="540" spans="1:135" ht="14.25" customHeight="1">
      <c r="A540" s="18"/>
      <c r="B540" s="18"/>
      <c r="C540" s="19"/>
      <c r="D540" s="18"/>
      <c r="E540" s="18"/>
      <c r="F540" s="19"/>
      <c r="G540" s="18"/>
      <c r="H540" s="114"/>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40"/>
      <c r="AL540" s="141"/>
      <c r="AM540" s="141"/>
      <c r="AN540" s="141"/>
      <c r="AO540" s="141"/>
      <c r="AP540" s="141"/>
      <c r="AQ540" s="141"/>
      <c r="AR540" s="141"/>
      <c r="AS540" s="141"/>
      <c r="AT540" s="141"/>
      <c r="AU540" s="141"/>
      <c r="AV540" s="141"/>
      <c r="AW540" s="141"/>
      <c r="AX540" s="141"/>
      <c r="AY540" s="141"/>
      <c r="AZ540" s="141"/>
      <c r="BA540" s="141"/>
      <c r="BB540" s="141"/>
      <c r="BC540" s="141"/>
      <c r="BD540" s="141"/>
      <c r="BE540" s="141"/>
      <c r="BF540" s="141"/>
      <c r="BG540" s="18"/>
      <c r="BH540" s="1"/>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row>
    <row r="541" spans="1:135" ht="14.25" customHeight="1">
      <c r="A541" s="18"/>
      <c r="B541" s="18"/>
      <c r="C541" s="19"/>
      <c r="D541" s="18"/>
      <c r="E541" s="18"/>
      <c r="F541" s="19"/>
      <c r="G541" s="18"/>
      <c r="H541" s="114"/>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40"/>
      <c r="AL541" s="141"/>
      <c r="AM541" s="141"/>
      <c r="AN541" s="141"/>
      <c r="AO541" s="141"/>
      <c r="AP541" s="141"/>
      <c r="AQ541" s="141"/>
      <c r="AR541" s="141"/>
      <c r="AS541" s="141"/>
      <c r="AT541" s="141"/>
      <c r="AU541" s="141"/>
      <c r="AV541" s="141"/>
      <c r="AW541" s="141"/>
      <c r="AX541" s="141"/>
      <c r="AY541" s="141"/>
      <c r="AZ541" s="141"/>
      <c r="BA541" s="141"/>
      <c r="BB541" s="141"/>
      <c r="BC541" s="141"/>
      <c r="BD541" s="141"/>
      <c r="BE541" s="141"/>
      <c r="BF541" s="141"/>
      <c r="BG541" s="18"/>
      <c r="BH541" s="1"/>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row>
    <row r="542" spans="1:135" ht="14.25" customHeight="1">
      <c r="A542" s="18"/>
      <c r="B542" s="18"/>
      <c r="C542" s="19"/>
      <c r="D542" s="18"/>
      <c r="E542" s="18"/>
      <c r="F542" s="19"/>
      <c r="G542" s="18"/>
      <c r="H542" s="114"/>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40"/>
      <c r="AL542" s="141"/>
      <c r="AM542" s="141"/>
      <c r="AN542" s="141"/>
      <c r="AO542" s="141"/>
      <c r="AP542" s="141"/>
      <c r="AQ542" s="141"/>
      <c r="AR542" s="141"/>
      <c r="AS542" s="141"/>
      <c r="AT542" s="141"/>
      <c r="AU542" s="141"/>
      <c r="AV542" s="141"/>
      <c r="AW542" s="141"/>
      <c r="AX542" s="141"/>
      <c r="AY542" s="141"/>
      <c r="AZ542" s="141"/>
      <c r="BA542" s="141"/>
      <c r="BB542" s="141"/>
      <c r="BC542" s="141"/>
      <c r="BD542" s="141"/>
      <c r="BE542" s="141"/>
      <c r="BF542" s="141"/>
      <c r="BG542" s="18"/>
      <c r="BH542" s="1"/>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row>
    <row r="543" spans="1:135" ht="14.25" customHeight="1">
      <c r="A543" s="18"/>
      <c r="B543" s="18"/>
      <c r="C543" s="19"/>
      <c r="D543" s="18"/>
      <c r="E543" s="18"/>
      <c r="F543" s="19"/>
      <c r="G543" s="18"/>
      <c r="H543" s="114"/>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40"/>
      <c r="AL543" s="141"/>
      <c r="AM543" s="141"/>
      <c r="AN543" s="141"/>
      <c r="AO543" s="141"/>
      <c r="AP543" s="141"/>
      <c r="AQ543" s="141"/>
      <c r="AR543" s="141"/>
      <c r="AS543" s="141"/>
      <c r="AT543" s="141"/>
      <c r="AU543" s="141"/>
      <c r="AV543" s="141"/>
      <c r="AW543" s="141"/>
      <c r="AX543" s="141"/>
      <c r="AY543" s="141"/>
      <c r="AZ543" s="141"/>
      <c r="BA543" s="141"/>
      <c r="BB543" s="141"/>
      <c r="BC543" s="141"/>
      <c r="BD543" s="141"/>
      <c r="BE543" s="141"/>
      <c r="BF543" s="141"/>
      <c r="BG543" s="18"/>
      <c r="BH543" s="1"/>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row>
    <row r="544" spans="1:135" ht="14.25" customHeight="1">
      <c r="A544" s="18"/>
      <c r="B544" s="18"/>
      <c r="C544" s="19"/>
      <c r="D544" s="18"/>
      <c r="E544" s="18"/>
      <c r="F544" s="19"/>
      <c r="G544" s="18"/>
      <c r="H544" s="114"/>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40"/>
      <c r="AL544" s="141"/>
      <c r="AM544" s="141"/>
      <c r="AN544" s="141"/>
      <c r="AO544" s="141"/>
      <c r="AP544" s="141"/>
      <c r="AQ544" s="141"/>
      <c r="AR544" s="141"/>
      <c r="AS544" s="141"/>
      <c r="AT544" s="141"/>
      <c r="AU544" s="141"/>
      <c r="AV544" s="141"/>
      <c r="AW544" s="141"/>
      <c r="AX544" s="141"/>
      <c r="AY544" s="141"/>
      <c r="AZ544" s="141"/>
      <c r="BA544" s="141"/>
      <c r="BB544" s="141"/>
      <c r="BC544" s="141"/>
      <c r="BD544" s="141"/>
      <c r="BE544" s="141"/>
      <c r="BF544" s="141"/>
      <c r="BG544" s="18"/>
      <c r="BH544" s="1"/>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row>
    <row r="545" spans="1:135" ht="14.25" customHeight="1">
      <c r="A545" s="18"/>
      <c r="B545" s="18"/>
      <c r="C545" s="19"/>
      <c r="D545" s="18"/>
      <c r="E545" s="18"/>
      <c r="F545" s="19"/>
      <c r="G545" s="18"/>
      <c r="H545" s="114"/>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40"/>
      <c r="AL545" s="141"/>
      <c r="AM545" s="141"/>
      <c r="AN545" s="141"/>
      <c r="AO545" s="141"/>
      <c r="AP545" s="141"/>
      <c r="AQ545" s="141"/>
      <c r="AR545" s="141"/>
      <c r="AS545" s="141"/>
      <c r="AT545" s="141"/>
      <c r="AU545" s="141"/>
      <c r="AV545" s="141"/>
      <c r="AW545" s="141"/>
      <c r="AX545" s="141"/>
      <c r="AY545" s="141"/>
      <c r="AZ545" s="141"/>
      <c r="BA545" s="141"/>
      <c r="BB545" s="141"/>
      <c r="BC545" s="141"/>
      <c r="BD545" s="141"/>
      <c r="BE545" s="141"/>
      <c r="BF545" s="141"/>
      <c r="BG545" s="18"/>
      <c r="BH545" s="1"/>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row>
    <row r="546" spans="1:135" ht="14.25" customHeight="1">
      <c r="A546" s="18"/>
      <c r="B546" s="18"/>
      <c r="C546" s="19"/>
      <c r="D546" s="18"/>
      <c r="E546" s="18"/>
      <c r="F546" s="19"/>
      <c r="G546" s="18"/>
      <c r="H546" s="114"/>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40"/>
      <c r="AL546" s="141"/>
      <c r="AM546" s="141"/>
      <c r="AN546" s="141"/>
      <c r="AO546" s="141"/>
      <c r="AP546" s="141"/>
      <c r="AQ546" s="141"/>
      <c r="AR546" s="141"/>
      <c r="AS546" s="141"/>
      <c r="AT546" s="141"/>
      <c r="AU546" s="141"/>
      <c r="AV546" s="141"/>
      <c r="AW546" s="141"/>
      <c r="AX546" s="141"/>
      <c r="AY546" s="141"/>
      <c r="AZ546" s="141"/>
      <c r="BA546" s="141"/>
      <c r="BB546" s="141"/>
      <c r="BC546" s="141"/>
      <c r="BD546" s="141"/>
      <c r="BE546" s="141"/>
      <c r="BF546" s="141"/>
      <c r="BG546" s="18"/>
      <c r="BH546" s="1"/>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row>
    <row r="547" spans="1:135" ht="14.25" customHeight="1">
      <c r="A547" s="18"/>
      <c r="B547" s="18"/>
      <c r="C547" s="19"/>
      <c r="D547" s="18"/>
      <c r="E547" s="18"/>
      <c r="F547" s="19"/>
      <c r="G547" s="18"/>
      <c r="H547" s="114"/>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40"/>
      <c r="AL547" s="141"/>
      <c r="AM547" s="141"/>
      <c r="AN547" s="141"/>
      <c r="AO547" s="141"/>
      <c r="AP547" s="141"/>
      <c r="AQ547" s="141"/>
      <c r="AR547" s="141"/>
      <c r="AS547" s="141"/>
      <c r="AT547" s="141"/>
      <c r="AU547" s="141"/>
      <c r="AV547" s="141"/>
      <c r="AW547" s="141"/>
      <c r="AX547" s="141"/>
      <c r="AY547" s="141"/>
      <c r="AZ547" s="141"/>
      <c r="BA547" s="141"/>
      <c r="BB547" s="141"/>
      <c r="BC547" s="141"/>
      <c r="BD547" s="141"/>
      <c r="BE547" s="141"/>
      <c r="BF547" s="141"/>
      <c r="BG547" s="18"/>
      <c r="BH547" s="1"/>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row>
    <row r="548" spans="1:135" ht="14.25" customHeight="1">
      <c r="A548" s="18"/>
      <c r="B548" s="18"/>
      <c r="C548" s="19"/>
      <c r="D548" s="18"/>
      <c r="E548" s="18"/>
      <c r="F548" s="19"/>
      <c r="G548" s="18"/>
      <c r="H548" s="114"/>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40"/>
      <c r="AL548" s="141"/>
      <c r="AM548" s="141"/>
      <c r="AN548" s="141"/>
      <c r="AO548" s="141"/>
      <c r="AP548" s="141"/>
      <c r="AQ548" s="141"/>
      <c r="AR548" s="141"/>
      <c r="AS548" s="141"/>
      <c r="AT548" s="141"/>
      <c r="AU548" s="141"/>
      <c r="AV548" s="141"/>
      <c r="AW548" s="141"/>
      <c r="AX548" s="141"/>
      <c r="AY548" s="141"/>
      <c r="AZ548" s="141"/>
      <c r="BA548" s="141"/>
      <c r="BB548" s="141"/>
      <c r="BC548" s="141"/>
      <c r="BD548" s="141"/>
      <c r="BE548" s="141"/>
      <c r="BF548" s="141"/>
      <c r="BG548" s="18"/>
      <c r="BH548" s="1"/>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row>
    <row r="549" spans="1:135" ht="14.25" customHeight="1">
      <c r="A549" s="18"/>
      <c r="B549" s="18"/>
      <c r="C549" s="19"/>
      <c r="D549" s="18"/>
      <c r="E549" s="18"/>
      <c r="F549" s="19"/>
      <c r="G549" s="18"/>
      <c r="H549" s="114"/>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40"/>
      <c r="AL549" s="141"/>
      <c r="AM549" s="141"/>
      <c r="AN549" s="141"/>
      <c r="AO549" s="141"/>
      <c r="AP549" s="141"/>
      <c r="AQ549" s="141"/>
      <c r="AR549" s="141"/>
      <c r="AS549" s="141"/>
      <c r="AT549" s="141"/>
      <c r="AU549" s="141"/>
      <c r="AV549" s="141"/>
      <c r="AW549" s="141"/>
      <c r="AX549" s="141"/>
      <c r="AY549" s="141"/>
      <c r="AZ549" s="141"/>
      <c r="BA549" s="141"/>
      <c r="BB549" s="141"/>
      <c r="BC549" s="141"/>
      <c r="BD549" s="141"/>
      <c r="BE549" s="141"/>
      <c r="BF549" s="141"/>
      <c r="BG549" s="18"/>
      <c r="BH549" s="1"/>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row>
    <row r="550" spans="1:135" ht="14.25" customHeight="1">
      <c r="A550" s="18"/>
      <c r="B550" s="18"/>
      <c r="C550" s="19"/>
      <c r="D550" s="18"/>
      <c r="E550" s="18"/>
      <c r="F550" s="19"/>
      <c r="G550" s="18"/>
      <c r="H550" s="114"/>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40"/>
      <c r="AL550" s="141"/>
      <c r="AM550" s="141"/>
      <c r="AN550" s="141"/>
      <c r="AO550" s="141"/>
      <c r="AP550" s="141"/>
      <c r="AQ550" s="141"/>
      <c r="AR550" s="141"/>
      <c r="AS550" s="141"/>
      <c r="AT550" s="141"/>
      <c r="AU550" s="141"/>
      <c r="AV550" s="141"/>
      <c r="AW550" s="141"/>
      <c r="AX550" s="141"/>
      <c r="AY550" s="141"/>
      <c r="AZ550" s="141"/>
      <c r="BA550" s="141"/>
      <c r="BB550" s="141"/>
      <c r="BC550" s="141"/>
      <c r="BD550" s="141"/>
      <c r="BE550" s="141"/>
      <c r="BF550" s="141"/>
      <c r="BG550" s="18"/>
      <c r="BH550" s="1"/>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row>
    <row r="551" spans="1:135" ht="14.25" customHeight="1">
      <c r="A551" s="18"/>
      <c r="B551" s="18"/>
      <c r="C551" s="19"/>
      <c r="D551" s="18"/>
      <c r="E551" s="18"/>
      <c r="F551" s="19"/>
      <c r="G551" s="18"/>
      <c r="H551" s="114"/>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40"/>
      <c r="AL551" s="141"/>
      <c r="AM551" s="141"/>
      <c r="AN551" s="141"/>
      <c r="AO551" s="141"/>
      <c r="AP551" s="141"/>
      <c r="AQ551" s="141"/>
      <c r="AR551" s="141"/>
      <c r="AS551" s="141"/>
      <c r="AT551" s="141"/>
      <c r="AU551" s="141"/>
      <c r="AV551" s="141"/>
      <c r="AW551" s="141"/>
      <c r="AX551" s="141"/>
      <c r="AY551" s="141"/>
      <c r="AZ551" s="141"/>
      <c r="BA551" s="141"/>
      <c r="BB551" s="141"/>
      <c r="BC551" s="141"/>
      <c r="BD551" s="141"/>
      <c r="BE551" s="141"/>
      <c r="BF551" s="141"/>
      <c r="BG551" s="18"/>
      <c r="BH551" s="1"/>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row>
    <row r="552" spans="1:135" ht="14.25" customHeight="1">
      <c r="A552" s="18"/>
      <c r="B552" s="18"/>
      <c r="C552" s="19"/>
      <c r="D552" s="18"/>
      <c r="E552" s="18"/>
      <c r="F552" s="19"/>
      <c r="G552" s="18"/>
      <c r="H552" s="114"/>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40"/>
      <c r="AL552" s="141"/>
      <c r="AM552" s="141"/>
      <c r="AN552" s="141"/>
      <c r="AO552" s="141"/>
      <c r="AP552" s="141"/>
      <c r="AQ552" s="141"/>
      <c r="AR552" s="141"/>
      <c r="AS552" s="141"/>
      <c r="AT552" s="141"/>
      <c r="AU552" s="141"/>
      <c r="AV552" s="141"/>
      <c r="AW552" s="141"/>
      <c r="AX552" s="141"/>
      <c r="AY552" s="141"/>
      <c r="AZ552" s="141"/>
      <c r="BA552" s="141"/>
      <c r="BB552" s="141"/>
      <c r="BC552" s="141"/>
      <c r="BD552" s="141"/>
      <c r="BE552" s="141"/>
      <c r="BF552" s="141"/>
      <c r="BG552" s="18"/>
      <c r="BH552" s="1"/>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row>
    <row r="553" spans="1:135" ht="14.25" customHeight="1">
      <c r="A553" s="18"/>
      <c r="B553" s="18"/>
      <c r="C553" s="19"/>
      <c r="D553" s="18"/>
      <c r="E553" s="18"/>
      <c r="F553" s="19"/>
      <c r="G553" s="18"/>
      <c r="H553" s="114"/>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40"/>
      <c r="AL553" s="141"/>
      <c r="AM553" s="141"/>
      <c r="AN553" s="141"/>
      <c r="AO553" s="141"/>
      <c r="AP553" s="141"/>
      <c r="AQ553" s="141"/>
      <c r="AR553" s="141"/>
      <c r="AS553" s="141"/>
      <c r="AT553" s="141"/>
      <c r="AU553" s="141"/>
      <c r="AV553" s="141"/>
      <c r="AW553" s="141"/>
      <c r="AX553" s="141"/>
      <c r="AY553" s="141"/>
      <c r="AZ553" s="141"/>
      <c r="BA553" s="141"/>
      <c r="BB553" s="141"/>
      <c r="BC553" s="141"/>
      <c r="BD553" s="141"/>
      <c r="BE553" s="141"/>
      <c r="BF553" s="141"/>
      <c r="BG553" s="18"/>
      <c r="BH553" s="1"/>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row>
    <row r="554" spans="1:135" ht="14.25" customHeight="1">
      <c r="A554" s="18"/>
      <c r="B554" s="18"/>
      <c r="C554" s="19"/>
      <c r="D554" s="18"/>
      <c r="E554" s="18"/>
      <c r="F554" s="19"/>
      <c r="G554" s="18"/>
      <c r="H554" s="114"/>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40"/>
      <c r="AL554" s="141"/>
      <c r="AM554" s="141"/>
      <c r="AN554" s="141"/>
      <c r="AO554" s="141"/>
      <c r="AP554" s="141"/>
      <c r="AQ554" s="141"/>
      <c r="AR554" s="141"/>
      <c r="AS554" s="141"/>
      <c r="AT554" s="141"/>
      <c r="AU554" s="141"/>
      <c r="AV554" s="141"/>
      <c r="AW554" s="141"/>
      <c r="AX554" s="141"/>
      <c r="AY554" s="141"/>
      <c r="AZ554" s="141"/>
      <c r="BA554" s="141"/>
      <c r="BB554" s="141"/>
      <c r="BC554" s="141"/>
      <c r="BD554" s="141"/>
      <c r="BE554" s="141"/>
      <c r="BF554" s="141"/>
      <c r="BG554" s="18"/>
      <c r="BH554" s="1"/>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row>
    <row r="555" spans="1:135" ht="14.25" customHeight="1">
      <c r="A555" s="18"/>
      <c r="B555" s="18"/>
      <c r="C555" s="19"/>
      <c r="D555" s="18"/>
      <c r="E555" s="18"/>
      <c r="F555" s="19"/>
      <c r="G555" s="18"/>
      <c r="H555" s="114"/>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40"/>
      <c r="AL555" s="141"/>
      <c r="AM555" s="141"/>
      <c r="AN555" s="141"/>
      <c r="AO555" s="141"/>
      <c r="AP555" s="141"/>
      <c r="AQ555" s="141"/>
      <c r="AR555" s="141"/>
      <c r="AS555" s="141"/>
      <c r="AT555" s="141"/>
      <c r="AU555" s="141"/>
      <c r="AV555" s="141"/>
      <c r="AW555" s="141"/>
      <c r="AX555" s="141"/>
      <c r="AY555" s="141"/>
      <c r="AZ555" s="141"/>
      <c r="BA555" s="141"/>
      <c r="BB555" s="141"/>
      <c r="BC555" s="141"/>
      <c r="BD555" s="141"/>
      <c r="BE555" s="141"/>
      <c r="BF555" s="141"/>
      <c r="BG555" s="18"/>
      <c r="BH555" s="1"/>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row>
    <row r="556" spans="1:135" ht="14.25" customHeight="1">
      <c r="A556" s="18"/>
      <c r="B556" s="18"/>
      <c r="C556" s="19"/>
      <c r="D556" s="18"/>
      <c r="E556" s="18"/>
      <c r="F556" s="19"/>
      <c r="G556" s="18"/>
      <c r="H556" s="114"/>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40"/>
      <c r="AL556" s="141"/>
      <c r="AM556" s="141"/>
      <c r="AN556" s="141"/>
      <c r="AO556" s="141"/>
      <c r="AP556" s="141"/>
      <c r="AQ556" s="141"/>
      <c r="AR556" s="141"/>
      <c r="AS556" s="141"/>
      <c r="AT556" s="141"/>
      <c r="AU556" s="141"/>
      <c r="AV556" s="141"/>
      <c r="AW556" s="141"/>
      <c r="AX556" s="141"/>
      <c r="AY556" s="141"/>
      <c r="AZ556" s="141"/>
      <c r="BA556" s="141"/>
      <c r="BB556" s="141"/>
      <c r="BC556" s="141"/>
      <c r="BD556" s="141"/>
      <c r="BE556" s="141"/>
      <c r="BF556" s="141"/>
      <c r="BG556" s="18"/>
      <c r="BH556" s="1"/>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row>
    <row r="557" spans="1:135" ht="14.25" customHeight="1">
      <c r="A557" s="18"/>
      <c r="B557" s="18"/>
      <c r="C557" s="19"/>
      <c r="D557" s="18"/>
      <c r="E557" s="18"/>
      <c r="F557" s="19"/>
      <c r="G557" s="18"/>
      <c r="H557" s="114"/>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40"/>
      <c r="AL557" s="141"/>
      <c r="AM557" s="141"/>
      <c r="AN557" s="141"/>
      <c r="AO557" s="141"/>
      <c r="AP557" s="141"/>
      <c r="AQ557" s="141"/>
      <c r="AR557" s="141"/>
      <c r="AS557" s="141"/>
      <c r="AT557" s="141"/>
      <c r="AU557" s="141"/>
      <c r="AV557" s="141"/>
      <c r="AW557" s="141"/>
      <c r="AX557" s="141"/>
      <c r="AY557" s="141"/>
      <c r="AZ557" s="141"/>
      <c r="BA557" s="141"/>
      <c r="BB557" s="141"/>
      <c r="BC557" s="141"/>
      <c r="BD557" s="141"/>
      <c r="BE557" s="141"/>
      <c r="BF557" s="141"/>
      <c r="BG557" s="18"/>
      <c r="BH557" s="1"/>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row>
    <row r="558" spans="1:135" ht="14.25" customHeight="1">
      <c r="A558" s="18"/>
      <c r="B558" s="18"/>
      <c r="C558" s="19"/>
      <c r="D558" s="18"/>
      <c r="E558" s="18"/>
      <c r="F558" s="19"/>
      <c r="G558" s="18"/>
      <c r="H558" s="114"/>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40"/>
      <c r="AL558" s="141"/>
      <c r="AM558" s="141"/>
      <c r="AN558" s="141"/>
      <c r="AO558" s="141"/>
      <c r="AP558" s="141"/>
      <c r="AQ558" s="141"/>
      <c r="AR558" s="141"/>
      <c r="AS558" s="141"/>
      <c r="AT558" s="141"/>
      <c r="AU558" s="141"/>
      <c r="AV558" s="141"/>
      <c r="AW558" s="141"/>
      <c r="AX558" s="141"/>
      <c r="AY558" s="141"/>
      <c r="AZ558" s="141"/>
      <c r="BA558" s="141"/>
      <c r="BB558" s="141"/>
      <c r="BC558" s="141"/>
      <c r="BD558" s="141"/>
      <c r="BE558" s="141"/>
      <c r="BF558" s="141"/>
      <c r="BG558" s="18"/>
      <c r="BH558" s="1"/>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row>
    <row r="559" spans="1:135" ht="14.25" customHeight="1">
      <c r="A559" s="18"/>
      <c r="B559" s="18"/>
      <c r="C559" s="19"/>
      <c r="D559" s="18"/>
      <c r="E559" s="18"/>
      <c r="F559" s="19"/>
      <c r="G559" s="18"/>
      <c r="H559" s="114"/>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40"/>
      <c r="AL559" s="141"/>
      <c r="AM559" s="141"/>
      <c r="AN559" s="141"/>
      <c r="AO559" s="141"/>
      <c r="AP559" s="141"/>
      <c r="AQ559" s="141"/>
      <c r="AR559" s="141"/>
      <c r="AS559" s="141"/>
      <c r="AT559" s="141"/>
      <c r="AU559" s="141"/>
      <c r="AV559" s="141"/>
      <c r="AW559" s="141"/>
      <c r="AX559" s="141"/>
      <c r="AY559" s="141"/>
      <c r="AZ559" s="141"/>
      <c r="BA559" s="141"/>
      <c r="BB559" s="141"/>
      <c r="BC559" s="141"/>
      <c r="BD559" s="141"/>
      <c r="BE559" s="141"/>
      <c r="BF559" s="141"/>
      <c r="BG559" s="18"/>
      <c r="BH559" s="1"/>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row>
    <row r="560" spans="1:135" ht="14.25" customHeight="1">
      <c r="A560" s="18"/>
      <c r="B560" s="18"/>
      <c r="C560" s="19"/>
      <c r="D560" s="18"/>
      <c r="E560" s="18"/>
      <c r="F560" s="19"/>
      <c r="G560" s="18"/>
      <c r="H560" s="114"/>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40"/>
      <c r="AL560" s="141"/>
      <c r="AM560" s="141"/>
      <c r="AN560" s="141"/>
      <c r="AO560" s="141"/>
      <c r="AP560" s="141"/>
      <c r="AQ560" s="141"/>
      <c r="AR560" s="141"/>
      <c r="AS560" s="141"/>
      <c r="AT560" s="141"/>
      <c r="AU560" s="141"/>
      <c r="AV560" s="141"/>
      <c r="AW560" s="141"/>
      <c r="AX560" s="141"/>
      <c r="AY560" s="141"/>
      <c r="AZ560" s="141"/>
      <c r="BA560" s="141"/>
      <c r="BB560" s="141"/>
      <c r="BC560" s="141"/>
      <c r="BD560" s="141"/>
      <c r="BE560" s="141"/>
      <c r="BF560" s="141"/>
      <c r="BG560" s="18"/>
      <c r="BH560" s="1"/>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row>
    <row r="561" spans="1:135" ht="14.25" customHeight="1">
      <c r="A561" s="18"/>
      <c r="B561" s="18"/>
      <c r="C561" s="19"/>
      <c r="D561" s="18"/>
      <c r="E561" s="18"/>
      <c r="F561" s="19"/>
      <c r="G561" s="18"/>
      <c r="H561" s="114"/>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40"/>
      <c r="AL561" s="141"/>
      <c r="AM561" s="141"/>
      <c r="AN561" s="141"/>
      <c r="AO561" s="141"/>
      <c r="AP561" s="141"/>
      <c r="AQ561" s="141"/>
      <c r="AR561" s="141"/>
      <c r="AS561" s="141"/>
      <c r="AT561" s="141"/>
      <c r="AU561" s="141"/>
      <c r="AV561" s="141"/>
      <c r="AW561" s="141"/>
      <c r="AX561" s="141"/>
      <c r="AY561" s="141"/>
      <c r="AZ561" s="141"/>
      <c r="BA561" s="141"/>
      <c r="BB561" s="141"/>
      <c r="BC561" s="141"/>
      <c r="BD561" s="141"/>
      <c r="BE561" s="141"/>
      <c r="BF561" s="141"/>
      <c r="BG561" s="18"/>
      <c r="BH561" s="1"/>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row>
    <row r="562" spans="1:135" ht="14.25" customHeight="1">
      <c r="A562" s="18"/>
      <c r="B562" s="18"/>
      <c r="C562" s="19"/>
      <c r="D562" s="18"/>
      <c r="E562" s="18"/>
      <c r="F562" s="19"/>
      <c r="G562" s="18"/>
      <c r="H562" s="114"/>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40"/>
      <c r="AL562" s="141"/>
      <c r="AM562" s="141"/>
      <c r="AN562" s="141"/>
      <c r="AO562" s="141"/>
      <c r="AP562" s="141"/>
      <c r="AQ562" s="141"/>
      <c r="AR562" s="141"/>
      <c r="AS562" s="141"/>
      <c r="AT562" s="141"/>
      <c r="AU562" s="141"/>
      <c r="AV562" s="141"/>
      <c r="AW562" s="141"/>
      <c r="AX562" s="141"/>
      <c r="AY562" s="141"/>
      <c r="AZ562" s="141"/>
      <c r="BA562" s="141"/>
      <c r="BB562" s="141"/>
      <c r="BC562" s="141"/>
      <c r="BD562" s="141"/>
      <c r="BE562" s="141"/>
      <c r="BF562" s="141"/>
      <c r="BG562" s="18"/>
      <c r="BH562" s="1"/>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row>
    <row r="563" spans="1:135" ht="14.25" customHeight="1">
      <c r="A563" s="18"/>
      <c r="B563" s="18"/>
      <c r="C563" s="19"/>
      <c r="D563" s="18"/>
      <c r="E563" s="18"/>
      <c r="F563" s="19"/>
      <c r="G563" s="18"/>
      <c r="H563" s="114"/>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40"/>
      <c r="AL563" s="141"/>
      <c r="AM563" s="141"/>
      <c r="AN563" s="141"/>
      <c r="AO563" s="141"/>
      <c r="AP563" s="141"/>
      <c r="AQ563" s="141"/>
      <c r="AR563" s="141"/>
      <c r="AS563" s="141"/>
      <c r="AT563" s="141"/>
      <c r="AU563" s="141"/>
      <c r="AV563" s="141"/>
      <c r="AW563" s="141"/>
      <c r="AX563" s="141"/>
      <c r="AY563" s="141"/>
      <c r="AZ563" s="141"/>
      <c r="BA563" s="141"/>
      <c r="BB563" s="141"/>
      <c r="BC563" s="141"/>
      <c r="BD563" s="141"/>
      <c r="BE563" s="141"/>
      <c r="BF563" s="141"/>
      <c r="BG563" s="18"/>
      <c r="BH563" s="1"/>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row>
    <row r="564" spans="1:135" ht="14.25" customHeight="1">
      <c r="A564" s="18"/>
      <c r="B564" s="18"/>
      <c r="C564" s="19"/>
      <c r="D564" s="18"/>
      <c r="E564" s="18"/>
      <c r="F564" s="19"/>
      <c r="G564" s="18"/>
      <c r="H564" s="114"/>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40"/>
      <c r="AL564" s="141"/>
      <c r="AM564" s="141"/>
      <c r="AN564" s="141"/>
      <c r="AO564" s="141"/>
      <c r="AP564" s="141"/>
      <c r="AQ564" s="141"/>
      <c r="AR564" s="141"/>
      <c r="AS564" s="141"/>
      <c r="AT564" s="141"/>
      <c r="AU564" s="141"/>
      <c r="AV564" s="141"/>
      <c r="AW564" s="141"/>
      <c r="AX564" s="141"/>
      <c r="AY564" s="141"/>
      <c r="AZ564" s="141"/>
      <c r="BA564" s="141"/>
      <c r="BB564" s="141"/>
      <c r="BC564" s="141"/>
      <c r="BD564" s="141"/>
      <c r="BE564" s="141"/>
      <c r="BF564" s="141"/>
      <c r="BG564" s="18"/>
      <c r="BH564" s="1"/>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row>
    <row r="565" spans="1:135" ht="14.25" customHeight="1">
      <c r="A565" s="18"/>
      <c r="B565" s="18"/>
      <c r="C565" s="19"/>
      <c r="D565" s="18"/>
      <c r="E565" s="18"/>
      <c r="F565" s="19"/>
      <c r="G565" s="18"/>
      <c r="H565" s="114"/>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40"/>
      <c r="AL565" s="141"/>
      <c r="AM565" s="141"/>
      <c r="AN565" s="141"/>
      <c r="AO565" s="141"/>
      <c r="AP565" s="141"/>
      <c r="AQ565" s="141"/>
      <c r="AR565" s="141"/>
      <c r="AS565" s="141"/>
      <c r="AT565" s="141"/>
      <c r="AU565" s="141"/>
      <c r="AV565" s="141"/>
      <c r="AW565" s="141"/>
      <c r="AX565" s="141"/>
      <c r="AY565" s="141"/>
      <c r="AZ565" s="141"/>
      <c r="BA565" s="141"/>
      <c r="BB565" s="141"/>
      <c r="BC565" s="141"/>
      <c r="BD565" s="141"/>
      <c r="BE565" s="141"/>
      <c r="BF565" s="141"/>
      <c r="BG565" s="18"/>
      <c r="BH565" s="1"/>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row>
    <row r="566" spans="1:135" ht="14.25" customHeight="1">
      <c r="A566" s="18"/>
      <c r="B566" s="18"/>
      <c r="C566" s="19"/>
      <c r="D566" s="18"/>
      <c r="E566" s="18"/>
      <c r="F566" s="19"/>
      <c r="G566" s="18"/>
      <c r="H566" s="114"/>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40"/>
      <c r="AL566" s="141"/>
      <c r="AM566" s="141"/>
      <c r="AN566" s="141"/>
      <c r="AO566" s="141"/>
      <c r="AP566" s="141"/>
      <c r="AQ566" s="141"/>
      <c r="AR566" s="141"/>
      <c r="AS566" s="141"/>
      <c r="AT566" s="141"/>
      <c r="AU566" s="141"/>
      <c r="AV566" s="141"/>
      <c r="AW566" s="141"/>
      <c r="AX566" s="141"/>
      <c r="AY566" s="141"/>
      <c r="AZ566" s="141"/>
      <c r="BA566" s="141"/>
      <c r="BB566" s="141"/>
      <c r="BC566" s="141"/>
      <c r="BD566" s="141"/>
      <c r="BE566" s="141"/>
      <c r="BF566" s="141"/>
      <c r="BG566" s="18"/>
      <c r="BH566" s="1"/>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row>
    <row r="567" spans="1:135" ht="14.25" customHeight="1">
      <c r="A567" s="18"/>
      <c r="B567" s="18"/>
      <c r="C567" s="19"/>
      <c r="D567" s="18"/>
      <c r="E567" s="18"/>
      <c r="F567" s="19"/>
      <c r="G567" s="18"/>
      <c r="H567" s="114"/>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40"/>
      <c r="AL567" s="141"/>
      <c r="AM567" s="141"/>
      <c r="AN567" s="141"/>
      <c r="AO567" s="141"/>
      <c r="AP567" s="141"/>
      <c r="AQ567" s="141"/>
      <c r="AR567" s="141"/>
      <c r="AS567" s="141"/>
      <c r="AT567" s="141"/>
      <c r="AU567" s="141"/>
      <c r="AV567" s="141"/>
      <c r="AW567" s="141"/>
      <c r="AX567" s="141"/>
      <c r="AY567" s="141"/>
      <c r="AZ567" s="141"/>
      <c r="BA567" s="141"/>
      <c r="BB567" s="141"/>
      <c r="BC567" s="141"/>
      <c r="BD567" s="141"/>
      <c r="BE567" s="141"/>
      <c r="BF567" s="141"/>
      <c r="BG567" s="18"/>
      <c r="BH567" s="1"/>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row>
    <row r="568" spans="1:135" ht="14.25" customHeight="1">
      <c r="A568" s="18"/>
      <c r="B568" s="18"/>
      <c r="C568" s="19"/>
      <c r="D568" s="18"/>
      <c r="E568" s="18"/>
      <c r="F568" s="19"/>
      <c r="G568" s="18"/>
      <c r="H568" s="114"/>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40"/>
      <c r="AL568" s="141"/>
      <c r="AM568" s="141"/>
      <c r="AN568" s="141"/>
      <c r="AO568" s="141"/>
      <c r="AP568" s="141"/>
      <c r="AQ568" s="141"/>
      <c r="AR568" s="141"/>
      <c r="AS568" s="141"/>
      <c r="AT568" s="141"/>
      <c r="AU568" s="141"/>
      <c r="AV568" s="141"/>
      <c r="AW568" s="141"/>
      <c r="AX568" s="141"/>
      <c r="AY568" s="141"/>
      <c r="AZ568" s="141"/>
      <c r="BA568" s="141"/>
      <c r="BB568" s="141"/>
      <c r="BC568" s="141"/>
      <c r="BD568" s="141"/>
      <c r="BE568" s="141"/>
      <c r="BF568" s="141"/>
      <c r="BG568" s="18"/>
      <c r="BH568" s="1"/>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row>
    <row r="569" spans="1:135" ht="14.25" customHeight="1">
      <c r="A569" s="18"/>
      <c r="B569" s="18"/>
      <c r="C569" s="19"/>
      <c r="D569" s="18"/>
      <c r="E569" s="18"/>
      <c r="F569" s="19"/>
      <c r="G569" s="18"/>
      <c r="H569" s="114"/>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40"/>
      <c r="AL569" s="141"/>
      <c r="AM569" s="141"/>
      <c r="AN569" s="141"/>
      <c r="AO569" s="141"/>
      <c r="AP569" s="141"/>
      <c r="AQ569" s="141"/>
      <c r="AR569" s="141"/>
      <c r="AS569" s="141"/>
      <c r="AT569" s="141"/>
      <c r="AU569" s="141"/>
      <c r="AV569" s="141"/>
      <c r="AW569" s="141"/>
      <c r="AX569" s="141"/>
      <c r="AY569" s="141"/>
      <c r="AZ569" s="141"/>
      <c r="BA569" s="141"/>
      <c r="BB569" s="141"/>
      <c r="BC569" s="141"/>
      <c r="BD569" s="141"/>
      <c r="BE569" s="141"/>
      <c r="BF569" s="141"/>
      <c r="BG569" s="18"/>
      <c r="BH569" s="1"/>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row>
    <row r="570" spans="1:135" ht="14.25" customHeight="1">
      <c r="A570" s="18"/>
      <c r="B570" s="18"/>
      <c r="C570" s="19"/>
      <c r="D570" s="18"/>
      <c r="E570" s="18"/>
      <c r="F570" s="19"/>
      <c r="G570" s="18"/>
      <c r="H570" s="114"/>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40"/>
      <c r="AL570" s="141"/>
      <c r="AM570" s="141"/>
      <c r="AN570" s="141"/>
      <c r="AO570" s="141"/>
      <c r="AP570" s="141"/>
      <c r="AQ570" s="141"/>
      <c r="AR570" s="141"/>
      <c r="AS570" s="141"/>
      <c r="AT570" s="141"/>
      <c r="AU570" s="141"/>
      <c r="AV570" s="141"/>
      <c r="AW570" s="141"/>
      <c r="AX570" s="141"/>
      <c r="AY570" s="141"/>
      <c r="AZ570" s="141"/>
      <c r="BA570" s="141"/>
      <c r="BB570" s="141"/>
      <c r="BC570" s="141"/>
      <c r="BD570" s="141"/>
      <c r="BE570" s="141"/>
      <c r="BF570" s="141"/>
      <c r="BG570" s="18"/>
      <c r="BH570" s="1"/>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row>
    <row r="571" spans="1:135" ht="14.25" customHeight="1">
      <c r="A571" s="18"/>
      <c r="B571" s="18"/>
      <c r="C571" s="19"/>
      <c r="D571" s="18"/>
      <c r="E571" s="18"/>
      <c r="F571" s="19"/>
      <c r="G571" s="18"/>
      <c r="H571" s="114"/>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40"/>
      <c r="AL571" s="141"/>
      <c r="AM571" s="141"/>
      <c r="AN571" s="141"/>
      <c r="AO571" s="141"/>
      <c r="AP571" s="141"/>
      <c r="AQ571" s="141"/>
      <c r="AR571" s="141"/>
      <c r="AS571" s="141"/>
      <c r="AT571" s="141"/>
      <c r="AU571" s="141"/>
      <c r="AV571" s="141"/>
      <c r="AW571" s="141"/>
      <c r="AX571" s="141"/>
      <c r="AY571" s="141"/>
      <c r="AZ571" s="141"/>
      <c r="BA571" s="141"/>
      <c r="BB571" s="141"/>
      <c r="BC571" s="141"/>
      <c r="BD571" s="141"/>
      <c r="BE571" s="141"/>
      <c r="BF571" s="141"/>
      <c r="BG571" s="18"/>
      <c r="BH571" s="1"/>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row>
    <row r="572" spans="1:135" ht="14.25" customHeight="1">
      <c r="A572" s="18"/>
      <c r="B572" s="18"/>
      <c r="C572" s="19"/>
      <c r="D572" s="18"/>
      <c r="E572" s="18"/>
      <c r="F572" s="19"/>
      <c r="G572" s="18"/>
      <c r="H572" s="114"/>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40"/>
      <c r="AL572" s="141"/>
      <c r="AM572" s="141"/>
      <c r="AN572" s="141"/>
      <c r="AO572" s="141"/>
      <c r="AP572" s="141"/>
      <c r="AQ572" s="141"/>
      <c r="AR572" s="141"/>
      <c r="AS572" s="141"/>
      <c r="AT572" s="141"/>
      <c r="AU572" s="141"/>
      <c r="AV572" s="141"/>
      <c r="AW572" s="141"/>
      <c r="AX572" s="141"/>
      <c r="AY572" s="141"/>
      <c r="AZ572" s="141"/>
      <c r="BA572" s="141"/>
      <c r="BB572" s="141"/>
      <c r="BC572" s="141"/>
      <c r="BD572" s="141"/>
      <c r="BE572" s="141"/>
      <c r="BF572" s="141"/>
      <c r="BG572" s="18"/>
      <c r="BH572" s="1"/>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row>
    <row r="573" spans="1:135" ht="14.25" customHeight="1">
      <c r="A573" s="18"/>
      <c r="B573" s="18"/>
      <c r="C573" s="19"/>
      <c r="D573" s="18"/>
      <c r="E573" s="18"/>
      <c r="F573" s="19"/>
      <c r="G573" s="18"/>
      <c r="H573" s="114"/>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40"/>
      <c r="AL573" s="141"/>
      <c r="AM573" s="141"/>
      <c r="AN573" s="141"/>
      <c r="AO573" s="141"/>
      <c r="AP573" s="141"/>
      <c r="AQ573" s="141"/>
      <c r="AR573" s="141"/>
      <c r="AS573" s="141"/>
      <c r="AT573" s="141"/>
      <c r="AU573" s="141"/>
      <c r="AV573" s="141"/>
      <c r="AW573" s="141"/>
      <c r="AX573" s="141"/>
      <c r="AY573" s="141"/>
      <c r="AZ573" s="141"/>
      <c r="BA573" s="141"/>
      <c r="BB573" s="141"/>
      <c r="BC573" s="141"/>
      <c r="BD573" s="141"/>
      <c r="BE573" s="141"/>
      <c r="BF573" s="141"/>
      <c r="BG573" s="18"/>
      <c r="BH573" s="1"/>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row>
    <row r="574" spans="1:135" ht="14.25" customHeight="1">
      <c r="A574" s="18"/>
      <c r="B574" s="18"/>
      <c r="C574" s="19"/>
      <c r="D574" s="18"/>
      <c r="E574" s="18"/>
      <c r="F574" s="19"/>
      <c r="G574" s="18"/>
      <c r="H574" s="114"/>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40"/>
      <c r="AL574" s="141"/>
      <c r="AM574" s="141"/>
      <c r="AN574" s="141"/>
      <c r="AO574" s="141"/>
      <c r="AP574" s="141"/>
      <c r="AQ574" s="141"/>
      <c r="AR574" s="141"/>
      <c r="AS574" s="141"/>
      <c r="AT574" s="141"/>
      <c r="AU574" s="141"/>
      <c r="AV574" s="141"/>
      <c r="AW574" s="141"/>
      <c r="AX574" s="141"/>
      <c r="AY574" s="141"/>
      <c r="AZ574" s="141"/>
      <c r="BA574" s="141"/>
      <c r="BB574" s="141"/>
      <c r="BC574" s="141"/>
      <c r="BD574" s="141"/>
      <c r="BE574" s="141"/>
      <c r="BF574" s="141"/>
      <c r="BG574" s="18"/>
      <c r="BH574" s="1"/>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row>
    <row r="575" spans="1:135" ht="14.25" customHeight="1">
      <c r="A575" s="18"/>
      <c r="B575" s="18"/>
      <c r="C575" s="19"/>
      <c r="D575" s="18"/>
      <c r="E575" s="18"/>
      <c r="F575" s="19"/>
      <c r="G575" s="18"/>
      <c r="H575" s="114"/>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40"/>
      <c r="AL575" s="141"/>
      <c r="AM575" s="141"/>
      <c r="AN575" s="141"/>
      <c r="AO575" s="141"/>
      <c r="AP575" s="141"/>
      <c r="AQ575" s="141"/>
      <c r="AR575" s="141"/>
      <c r="AS575" s="141"/>
      <c r="AT575" s="141"/>
      <c r="AU575" s="141"/>
      <c r="AV575" s="141"/>
      <c r="AW575" s="141"/>
      <c r="AX575" s="141"/>
      <c r="AY575" s="141"/>
      <c r="AZ575" s="141"/>
      <c r="BA575" s="141"/>
      <c r="BB575" s="141"/>
      <c r="BC575" s="141"/>
      <c r="BD575" s="141"/>
      <c r="BE575" s="141"/>
      <c r="BF575" s="141"/>
      <c r="BG575" s="18"/>
      <c r="BH575" s="1"/>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row>
    <row r="576" spans="1:135" ht="14.25" customHeight="1">
      <c r="A576" s="18"/>
      <c r="B576" s="18"/>
      <c r="C576" s="19"/>
      <c r="D576" s="18"/>
      <c r="E576" s="18"/>
      <c r="F576" s="19"/>
      <c r="G576" s="18"/>
      <c r="H576" s="114"/>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40"/>
      <c r="AL576" s="141"/>
      <c r="AM576" s="141"/>
      <c r="AN576" s="141"/>
      <c r="AO576" s="141"/>
      <c r="AP576" s="141"/>
      <c r="AQ576" s="141"/>
      <c r="AR576" s="141"/>
      <c r="AS576" s="141"/>
      <c r="AT576" s="141"/>
      <c r="AU576" s="141"/>
      <c r="AV576" s="141"/>
      <c r="AW576" s="141"/>
      <c r="AX576" s="141"/>
      <c r="AY576" s="141"/>
      <c r="AZ576" s="141"/>
      <c r="BA576" s="141"/>
      <c r="BB576" s="141"/>
      <c r="BC576" s="141"/>
      <c r="BD576" s="141"/>
      <c r="BE576" s="141"/>
      <c r="BF576" s="141"/>
      <c r="BG576" s="18"/>
      <c r="BH576" s="1"/>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row>
    <row r="577" spans="1:135" ht="14.25" customHeight="1">
      <c r="A577" s="18"/>
      <c r="B577" s="18"/>
      <c r="C577" s="19"/>
      <c r="D577" s="18"/>
      <c r="E577" s="18"/>
      <c r="F577" s="19"/>
      <c r="G577" s="18"/>
      <c r="H577" s="114"/>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40"/>
      <c r="AL577" s="141"/>
      <c r="AM577" s="141"/>
      <c r="AN577" s="141"/>
      <c r="AO577" s="141"/>
      <c r="AP577" s="141"/>
      <c r="AQ577" s="141"/>
      <c r="AR577" s="141"/>
      <c r="AS577" s="141"/>
      <c r="AT577" s="141"/>
      <c r="AU577" s="141"/>
      <c r="AV577" s="141"/>
      <c r="AW577" s="141"/>
      <c r="AX577" s="141"/>
      <c r="AY577" s="141"/>
      <c r="AZ577" s="141"/>
      <c r="BA577" s="141"/>
      <c r="BB577" s="141"/>
      <c r="BC577" s="141"/>
      <c r="BD577" s="141"/>
      <c r="BE577" s="141"/>
      <c r="BF577" s="141"/>
      <c r="BG577" s="18"/>
      <c r="BH577" s="1"/>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row>
    <row r="578" spans="1:135" ht="14.25" customHeight="1">
      <c r="A578" s="18"/>
      <c r="B578" s="18"/>
      <c r="C578" s="19"/>
      <c r="D578" s="18"/>
      <c r="E578" s="18"/>
      <c r="F578" s="19"/>
      <c r="G578" s="18"/>
      <c r="H578" s="114"/>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40"/>
      <c r="AL578" s="141"/>
      <c r="AM578" s="141"/>
      <c r="AN578" s="141"/>
      <c r="AO578" s="141"/>
      <c r="AP578" s="141"/>
      <c r="AQ578" s="141"/>
      <c r="AR578" s="141"/>
      <c r="AS578" s="141"/>
      <c r="AT578" s="141"/>
      <c r="AU578" s="141"/>
      <c r="AV578" s="141"/>
      <c r="AW578" s="141"/>
      <c r="AX578" s="141"/>
      <c r="AY578" s="141"/>
      <c r="AZ578" s="141"/>
      <c r="BA578" s="141"/>
      <c r="BB578" s="141"/>
      <c r="BC578" s="141"/>
      <c r="BD578" s="141"/>
      <c r="BE578" s="141"/>
      <c r="BF578" s="141"/>
      <c r="BG578" s="18"/>
      <c r="BH578" s="1"/>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row>
    <row r="579" spans="1:135" ht="14.25" customHeight="1">
      <c r="A579" s="18"/>
      <c r="B579" s="18"/>
      <c r="C579" s="19"/>
      <c r="D579" s="18"/>
      <c r="E579" s="18"/>
      <c r="F579" s="19"/>
      <c r="G579" s="18"/>
      <c r="H579" s="114"/>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40"/>
      <c r="AL579" s="141"/>
      <c r="AM579" s="141"/>
      <c r="AN579" s="141"/>
      <c r="AO579" s="141"/>
      <c r="AP579" s="141"/>
      <c r="AQ579" s="141"/>
      <c r="AR579" s="141"/>
      <c r="AS579" s="141"/>
      <c r="AT579" s="141"/>
      <c r="AU579" s="141"/>
      <c r="AV579" s="141"/>
      <c r="AW579" s="141"/>
      <c r="AX579" s="141"/>
      <c r="AY579" s="141"/>
      <c r="AZ579" s="141"/>
      <c r="BA579" s="141"/>
      <c r="BB579" s="141"/>
      <c r="BC579" s="141"/>
      <c r="BD579" s="141"/>
      <c r="BE579" s="141"/>
      <c r="BF579" s="141"/>
      <c r="BG579" s="18"/>
      <c r="BH579" s="1"/>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row>
    <row r="580" spans="1:135" ht="14.25" customHeight="1">
      <c r="A580" s="18"/>
      <c r="B580" s="18"/>
      <c r="C580" s="19"/>
      <c r="D580" s="18"/>
      <c r="E580" s="18"/>
      <c r="F580" s="19"/>
      <c r="G580" s="18"/>
      <c r="H580" s="114"/>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40"/>
      <c r="AL580" s="141"/>
      <c r="AM580" s="141"/>
      <c r="AN580" s="141"/>
      <c r="AO580" s="141"/>
      <c r="AP580" s="141"/>
      <c r="AQ580" s="141"/>
      <c r="AR580" s="141"/>
      <c r="AS580" s="141"/>
      <c r="AT580" s="141"/>
      <c r="AU580" s="141"/>
      <c r="AV580" s="141"/>
      <c r="AW580" s="141"/>
      <c r="AX580" s="141"/>
      <c r="AY580" s="141"/>
      <c r="AZ580" s="141"/>
      <c r="BA580" s="141"/>
      <c r="BB580" s="141"/>
      <c r="BC580" s="141"/>
      <c r="BD580" s="141"/>
      <c r="BE580" s="141"/>
      <c r="BF580" s="141"/>
      <c r="BG580" s="18"/>
      <c r="BH580" s="1"/>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row>
    <row r="581" spans="1:135" ht="14.25" customHeight="1">
      <c r="A581" s="18"/>
      <c r="B581" s="18"/>
      <c r="C581" s="19"/>
      <c r="D581" s="18"/>
      <c r="E581" s="18"/>
      <c r="F581" s="19"/>
      <c r="G581" s="18"/>
      <c r="H581" s="114"/>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40"/>
      <c r="AL581" s="141"/>
      <c r="AM581" s="141"/>
      <c r="AN581" s="141"/>
      <c r="AO581" s="141"/>
      <c r="AP581" s="141"/>
      <c r="AQ581" s="141"/>
      <c r="AR581" s="141"/>
      <c r="AS581" s="141"/>
      <c r="AT581" s="141"/>
      <c r="AU581" s="141"/>
      <c r="AV581" s="141"/>
      <c r="AW581" s="141"/>
      <c r="AX581" s="141"/>
      <c r="AY581" s="141"/>
      <c r="AZ581" s="141"/>
      <c r="BA581" s="141"/>
      <c r="BB581" s="141"/>
      <c r="BC581" s="141"/>
      <c r="BD581" s="141"/>
      <c r="BE581" s="141"/>
      <c r="BF581" s="141"/>
      <c r="BG581" s="18"/>
      <c r="BH581" s="1"/>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row>
    <row r="582" spans="1:135" ht="14.25" customHeight="1">
      <c r="A582" s="18"/>
      <c r="B582" s="18"/>
      <c r="C582" s="19"/>
      <c r="D582" s="18"/>
      <c r="E582" s="18"/>
      <c r="F582" s="19"/>
      <c r="G582" s="18"/>
      <c r="H582" s="114"/>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40"/>
      <c r="AL582" s="141"/>
      <c r="AM582" s="141"/>
      <c r="AN582" s="141"/>
      <c r="AO582" s="141"/>
      <c r="AP582" s="141"/>
      <c r="AQ582" s="141"/>
      <c r="AR582" s="141"/>
      <c r="AS582" s="141"/>
      <c r="AT582" s="141"/>
      <c r="AU582" s="141"/>
      <c r="AV582" s="141"/>
      <c r="AW582" s="141"/>
      <c r="AX582" s="141"/>
      <c r="AY582" s="141"/>
      <c r="AZ582" s="141"/>
      <c r="BA582" s="141"/>
      <c r="BB582" s="141"/>
      <c r="BC582" s="141"/>
      <c r="BD582" s="141"/>
      <c r="BE582" s="141"/>
      <c r="BF582" s="141"/>
      <c r="BG582" s="18"/>
      <c r="BH582" s="1"/>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row>
    <row r="583" spans="1:135" ht="14.25" customHeight="1">
      <c r="A583" s="18"/>
      <c r="B583" s="18"/>
      <c r="C583" s="19"/>
      <c r="D583" s="18"/>
      <c r="E583" s="18"/>
      <c r="F583" s="19"/>
      <c r="G583" s="18"/>
      <c r="H583" s="114"/>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40"/>
      <c r="AL583" s="141"/>
      <c r="AM583" s="141"/>
      <c r="AN583" s="141"/>
      <c r="AO583" s="141"/>
      <c r="AP583" s="141"/>
      <c r="AQ583" s="141"/>
      <c r="AR583" s="141"/>
      <c r="AS583" s="141"/>
      <c r="AT583" s="141"/>
      <c r="AU583" s="141"/>
      <c r="AV583" s="141"/>
      <c r="AW583" s="141"/>
      <c r="AX583" s="141"/>
      <c r="AY583" s="141"/>
      <c r="AZ583" s="141"/>
      <c r="BA583" s="141"/>
      <c r="BB583" s="141"/>
      <c r="BC583" s="141"/>
      <c r="BD583" s="141"/>
      <c r="BE583" s="141"/>
      <c r="BF583" s="141"/>
      <c r="BG583" s="18"/>
      <c r="BH583" s="1"/>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row>
    <row r="584" spans="1:135" ht="14.25" customHeight="1">
      <c r="A584" s="18"/>
      <c r="B584" s="18"/>
      <c r="C584" s="19"/>
      <c r="D584" s="18"/>
      <c r="E584" s="18"/>
      <c r="F584" s="19"/>
      <c r="G584" s="18"/>
      <c r="H584" s="114"/>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40"/>
      <c r="AL584" s="141"/>
      <c r="AM584" s="141"/>
      <c r="AN584" s="141"/>
      <c r="AO584" s="141"/>
      <c r="AP584" s="141"/>
      <c r="AQ584" s="141"/>
      <c r="AR584" s="141"/>
      <c r="AS584" s="141"/>
      <c r="AT584" s="141"/>
      <c r="AU584" s="141"/>
      <c r="AV584" s="141"/>
      <c r="AW584" s="141"/>
      <c r="AX584" s="141"/>
      <c r="AY584" s="141"/>
      <c r="AZ584" s="141"/>
      <c r="BA584" s="141"/>
      <c r="BB584" s="141"/>
      <c r="BC584" s="141"/>
      <c r="BD584" s="141"/>
      <c r="BE584" s="141"/>
      <c r="BF584" s="141"/>
      <c r="BG584" s="18"/>
      <c r="BH584" s="1"/>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row>
    <row r="585" spans="1:135" ht="14.25" customHeight="1">
      <c r="A585" s="18"/>
      <c r="B585" s="18"/>
      <c r="C585" s="19"/>
      <c r="D585" s="18"/>
      <c r="E585" s="18"/>
      <c r="F585" s="19"/>
      <c r="G585" s="18"/>
      <c r="H585" s="114"/>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40"/>
      <c r="AL585" s="141"/>
      <c r="AM585" s="141"/>
      <c r="AN585" s="141"/>
      <c r="AO585" s="141"/>
      <c r="AP585" s="141"/>
      <c r="AQ585" s="141"/>
      <c r="AR585" s="141"/>
      <c r="AS585" s="141"/>
      <c r="AT585" s="141"/>
      <c r="AU585" s="141"/>
      <c r="AV585" s="141"/>
      <c r="AW585" s="141"/>
      <c r="AX585" s="141"/>
      <c r="AY585" s="141"/>
      <c r="AZ585" s="141"/>
      <c r="BA585" s="141"/>
      <c r="BB585" s="141"/>
      <c r="BC585" s="141"/>
      <c r="BD585" s="141"/>
      <c r="BE585" s="141"/>
      <c r="BF585" s="141"/>
      <c r="BG585" s="18"/>
      <c r="BH585" s="1"/>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row>
    <row r="586" spans="1:135" ht="14.25" customHeight="1">
      <c r="A586" s="18"/>
      <c r="B586" s="18"/>
      <c r="C586" s="19"/>
      <c r="D586" s="18"/>
      <c r="E586" s="18"/>
      <c r="F586" s="19"/>
      <c r="G586" s="18"/>
      <c r="H586" s="114"/>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40"/>
      <c r="AL586" s="141"/>
      <c r="AM586" s="141"/>
      <c r="AN586" s="141"/>
      <c r="AO586" s="141"/>
      <c r="AP586" s="141"/>
      <c r="AQ586" s="141"/>
      <c r="AR586" s="141"/>
      <c r="AS586" s="141"/>
      <c r="AT586" s="141"/>
      <c r="AU586" s="141"/>
      <c r="AV586" s="141"/>
      <c r="AW586" s="141"/>
      <c r="AX586" s="141"/>
      <c r="AY586" s="141"/>
      <c r="AZ586" s="141"/>
      <c r="BA586" s="141"/>
      <c r="BB586" s="141"/>
      <c r="BC586" s="141"/>
      <c r="BD586" s="141"/>
      <c r="BE586" s="141"/>
      <c r="BF586" s="141"/>
      <c r="BG586" s="18"/>
      <c r="BH586" s="1"/>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row>
    <row r="587" spans="1:135" ht="14.25" customHeight="1">
      <c r="A587" s="18"/>
      <c r="B587" s="18"/>
      <c r="C587" s="19"/>
      <c r="D587" s="18"/>
      <c r="E587" s="18"/>
      <c r="F587" s="19"/>
      <c r="G587" s="18"/>
      <c r="H587" s="114"/>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40"/>
      <c r="AL587" s="141"/>
      <c r="AM587" s="141"/>
      <c r="AN587" s="141"/>
      <c r="AO587" s="141"/>
      <c r="AP587" s="141"/>
      <c r="AQ587" s="141"/>
      <c r="AR587" s="141"/>
      <c r="AS587" s="141"/>
      <c r="AT587" s="141"/>
      <c r="AU587" s="141"/>
      <c r="AV587" s="141"/>
      <c r="AW587" s="141"/>
      <c r="AX587" s="141"/>
      <c r="AY587" s="141"/>
      <c r="AZ587" s="141"/>
      <c r="BA587" s="141"/>
      <c r="BB587" s="141"/>
      <c r="BC587" s="141"/>
      <c r="BD587" s="141"/>
      <c r="BE587" s="141"/>
      <c r="BF587" s="141"/>
      <c r="BG587" s="18"/>
      <c r="BH587" s="1"/>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row>
    <row r="588" spans="1:135" ht="14.25" customHeight="1">
      <c r="A588" s="18"/>
      <c r="B588" s="18"/>
      <c r="C588" s="19"/>
      <c r="D588" s="18"/>
      <c r="E588" s="18"/>
      <c r="F588" s="19"/>
      <c r="G588" s="18"/>
      <c r="H588" s="114"/>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40"/>
      <c r="AL588" s="141"/>
      <c r="AM588" s="141"/>
      <c r="AN588" s="141"/>
      <c r="AO588" s="141"/>
      <c r="AP588" s="141"/>
      <c r="AQ588" s="141"/>
      <c r="AR588" s="141"/>
      <c r="AS588" s="141"/>
      <c r="AT588" s="141"/>
      <c r="AU588" s="141"/>
      <c r="AV588" s="141"/>
      <c r="AW588" s="141"/>
      <c r="AX588" s="141"/>
      <c r="AY588" s="141"/>
      <c r="AZ588" s="141"/>
      <c r="BA588" s="141"/>
      <c r="BB588" s="141"/>
      <c r="BC588" s="141"/>
      <c r="BD588" s="141"/>
      <c r="BE588" s="141"/>
      <c r="BF588" s="141"/>
      <c r="BG588" s="18"/>
      <c r="BH588" s="1"/>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row>
    <row r="589" spans="1:135" ht="14.25" customHeight="1">
      <c r="A589" s="18"/>
      <c r="B589" s="18"/>
      <c r="C589" s="19"/>
      <c r="D589" s="18"/>
      <c r="E589" s="18"/>
      <c r="F589" s="19"/>
      <c r="G589" s="18"/>
      <c r="H589" s="114"/>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40"/>
      <c r="AL589" s="141"/>
      <c r="AM589" s="141"/>
      <c r="AN589" s="141"/>
      <c r="AO589" s="141"/>
      <c r="AP589" s="141"/>
      <c r="AQ589" s="141"/>
      <c r="AR589" s="141"/>
      <c r="AS589" s="141"/>
      <c r="AT589" s="141"/>
      <c r="AU589" s="141"/>
      <c r="AV589" s="141"/>
      <c r="AW589" s="141"/>
      <c r="AX589" s="141"/>
      <c r="AY589" s="141"/>
      <c r="AZ589" s="141"/>
      <c r="BA589" s="141"/>
      <c r="BB589" s="141"/>
      <c r="BC589" s="141"/>
      <c r="BD589" s="141"/>
      <c r="BE589" s="141"/>
      <c r="BF589" s="141"/>
      <c r="BG589" s="18"/>
      <c r="BH589" s="1"/>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row>
    <row r="590" spans="1:135" ht="14.25" customHeight="1">
      <c r="A590" s="18"/>
      <c r="B590" s="18"/>
      <c r="C590" s="19"/>
      <c r="D590" s="18"/>
      <c r="E590" s="18"/>
      <c r="F590" s="19"/>
      <c r="G590" s="18"/>
      <c r="H590" s="114"/>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40"/>
      <c r="AL590" s="141"/>
      <c r="AM590" s="141"/>
      <c r="AN590" s="141"/>
      <c r="AO590" s="141"/>
      <c r="AP590" s="141"/>
      <c r="AQ590" s="141"/>
      <c r="AR590" s="141"/>
      <c r="AS590" s="141"/>
      <c r="AT590" s="141"/>
      <c r="AU590" s="141"/>
      <c r="AV590" s="141"/>
      <c r="AW590" s="141"/>
      <c r="AX590" s="141"/>
      <c r="AY590" s="141"/>
      <c r="AZ590" s="141"/>
      <c r="BA590" s="141"/>
      <c r="BB590" s="141"/>
      <c r="BC590" s="141"/>
      <c r="BD590" s="141"/>
      <c r="BE590" s="141"/>
      <c r="BF590" s="141"/>
      <c r="BG590" s="18"/>
      <c r="BH590" s="1"/>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row>
    <row r="591" spans="1:135" ht="14.25" customHeight="1">
      <c r="A591" s="18"/>
      <c r="B591" s="18"/>
      <c r="C591" s="19"/>
      <c r="D591" s="18"/>
      <c r="E591" s="18"/>
      <c r="F591" s="19"/>
      <c r="G591" s="18"/>
      <c r="H591" s="114"/>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40"/>
      <c r="AL591" s="141"/>
      <c r="AM591" s="141"/>
      <c r="AN591" s="141"/>
      <c r="AO591" s="141"/>
      <c r="AP591" s="141"/>
      <c r="AQ591" s="141"/>
      <c r="AR591" s="141"/>
      <c r="AS591" s="141"/>
      <c r="AT591" s="141"/>
      <c r="AU591" s="141"/>
      <c r="AV591" s="141"/>
      <c r="AW591" s="141"/>
      <c r="AX591" s="141"/>
      <c r="AY591" s="141"/>
      <c r="AZ591" s="141"/>
      <c r="BA591" s="141"/>
      <c r="BB591" s="141"/>
      <c r="BC591" s="141"/>
      <c r="BD591" s="141"/>
      <c r="BE591" s="141"/>
      <c r="BF591" s="141"/>
      <c r="BG591" s="18"/>
      <c r="BH591" s="1"/>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row>
    <row r="592" spans="1:135" ht="14.25" customHeight="1">
      <c r="A592" s="18"/>
      <c r="B592" s="18"/>
      <c r="C592" s="19"/>
      <c r="D592" s="18"/>
      <c r="E592" s="18"/>
      <c r="F592" s="19"/>
      <c r="G592" s="18"/>
      <c r="H592" s="114"/>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40"/>
      <c r="AL592" s="141"/>
      <c r="AM592" s="141"/>
      <c r="AN592" s="141"/>
      <c r="AO592" s="141"/>
      <c r="AP592" s="141"/>
      <c r="AQ592" s="141"/>
      <c r="AR592" s="141"/>
      <c r="AS592" s="141"/>
      <c r="AT592" s="141"/>
      <c r="AU592" s="141"/>
      <c r="AV592" s="141"/>
      <c r="AW592" s="141"/>
      <c r="AX592" s="141"/>
      <c r="AY592" s="141"/>
      <c r="AZ592" s="141"/>
      <c r="BA592" s="141"/>
      <c r="BB592" s="141"/>
      <c r="BC592" s="141"/>
      <c r="BD592" s="141"/>
      <c r="BE592" s="141"/>
      <c r="BF592" s="141"/>
      <c r="BG592" s="18"/>
      <c r="BH592" s="1"/>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row>
    <row r="593" spans="1:135" ht="14.25" customHeight="1">
      <c r="A593" s="18"/>
      <c r="B593" s="18"/>
      <c r="C593" s="19"/>
      <c r="D593" s="18"/>
      <c r="E593" s="18"/>
      <c r="F593" s="19"/>
      <c r="G593" s="18"/>
      <c r="H593" s="114"/>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40"/>
      <c r="AL593" s="141"/>
      <c r="AM593" s="141"/>
      <c r="AN593" s="141"/>
      <c r="AO593" s="141"/>
      <c r="AP593" s="141"/>
      <c r="AQ593" s="141"/>
      <c r="AR593" s="141"/>
      <c r="AS593" s="141"/>
      <c r="AT593" s="141"/>
      <c r="AU593" s="141"/>
      <c r="AV593" s="141"/>
      <c r="AW593" s="141"/>
      <c r="AX593" s="141"/>
      <c r="AY593" s="141"/>
      <c r="AZ593" s="141"/>
      <c r="BA593" s="141"/>
      <c r="BB593" s="141"/>
      <c r="BC593" s="141"/>
      <c r="BD593" s="141"/>
      <c r="BE593" s="141"/>
      <c r="BF593" s="141"/>
      <c r="BG593" s="18"/>
      <c r="BH593" s="1"/>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row>
    <row r="594" spans="1:135" ht="14.25" customHeight="1">
      <c r="A594" s="18"/>
      <c r="B594" s="18"/>
      <c r="C594" s="19"/>
      <c r="D594" s="18"/>
      <c r="E594" s="18"/>
      <c r="F594" s="19"/>
      <c r="G594" s="18"/>
      <c r="H594" s="114"/>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40"/>
      <c r="AL594" s="141"/>
      <c r="AM594" s="141"/>
      <c r="AN594" s="141"/>
      <c r="AO594" s="141"/>
      <c r="AP594" s="141"/>
      <c r="AQ594" s="141"/>
      <c r="AR594" s="141"/>
      <c r="AS594" s="141"/>
      <c r="AT594" s="141"/>
      <c r="AU594" s="141"/>
      <c r="AV594" s="141"/>
      <c r="AW594" s="141"/>
      <c r="AX594" s="141"/>
      <c r="AY594" s="141"/>
      <c r="AZ594" s="141"/>
      <c r="BA594" s="141"/>
      <c r="BB594" s="141"/>
      <c r="BC594" s="141"/>
      <c r="BD594" s="141"/>
      <c r="BE594" s="141"/>
      <c r="BF594" s="141"/>
      <c r="BG594" s="18"/>
      <c r="BH594" s="1"/>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row>
    <row r="595" spans="1:135" ht="14.25" customHeight="1">
      <c r="A595" s="18"/>
      <c r="B595" s="18"/>
      <c r="C595" s="19"/>
      <c r="D595" s="18"/>
      <c r="E595" s="18"/>
      <c r="F595" s="19"/>
      <c r="G595" s="18"/>
      <c r="H595" s="114"/>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40"/>
      <c r="AL595" s="141"/>
      <c r="AM595" s="141"/>
      <c r="AN595" s="141"/>
      <c r="AO595" s="141"/>
      <c r="AP595" s="141"/>
      <c r="AQ595" s="141"/>
      <c r="AR595" s="141"/>
      <c r="AS595" s="141"/>
      <c r="AT595" s="141"/>
      <c r="AU595" s="141"/>
      <c r="AV595" s="141"/>
      <c r="AW595" s="141"/>
      <c r="AX595" s="141"/>
      <c r="AY595" s="141"/>
      <c r="AZ595" s="141"/>
      <c r="BA595" s="141"/>
      <c r="BB595" s="141"/>
      <c r="BC595" s="141"/>
      <c r="BD595" s="141"/>
      <c r="BE595" s="141"/>
      <c r="BF595" s="141"/>
      <c r="BG595" s="18"/>
      <c r="BH595" s="1"/>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row>
    <row r="596" spans="1:135" ht="14.25" customHeight="1">
      <c r="A596" s="18"/>
      <c r="B596" s="18"/>
      <c r="C596" s="19"/>
      <c r="D596" s="18"/>
      <c r="E596" s="18"/>
      <c r="F596" s="19"/>
      <c r="G596" s="18"/>
      <c r="H596" s="114"/>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40"/>
      <c r="AL596" s="141"/>
      <c r="AM596" s="141"/>
      <c r="AN596" s="141"/>
      <c r="AO596" s="141"/>
      <c r="AP596" s="141"/>
      <c r="AQ596" s="141"/>
      <c r="AR596" s="141"/>
      <c r="AS596" s="141"/>
      <c r="AT596" s="141"/>
      <c r="AU596" s="141"/>
      <c r="AV596" s="141"/>
      <c r="AW596" s="141"/>
      <c r="AX596" s="141"/>
      <c r="AY596" s="141"/>
      <c r="AZ596" s="141"/>
      <c r="BA596" s="141"/>
      <c r="BB596" s="141"/>
      <c r="BC596" s="141"/>
      <c r="BD596" s="141"/>
      <c r="BE596" s="141"/>
      <c r="BF596" s="141"/>
      <c r="BG596" s="18"/>
      <c r="BH596" s="1"/>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row>
    <row r="597" spans="1:135" ht="14.25" customHeight="1">
      <c r="A597" s="18"/>
      <c r="B597" s="18"/>
      <c r="C597" s="19"/>
      <c r="D597" s="18"/>
      <c r="E597" s="18"/>
      <c r="F597" s="19"/>
      <c r="G597" s="18"/>
      <c r="H597" s="114"/>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40"/>
      <c r="AL597" s="141"/>
      <c r="AM597" s="141"/>
      <c r="AN597" s="141"/>
      <c r="AO597" s="141"/>
      <c r="AP597" s="141"/>
      <c r="AQ597" s="141"/>
      <c r="AR597" s="141"/>
      <c r="AS597" s="141"/>
      <c r="AT597" s="141"/>
      <c r="AU597" s="141"/>
      <c r="AV597" s="141"/>
      <c r="AW597" s="141"/>
      <c r="AX597" s="141"/>
      <c r="AY597" s="141"/>
      <c r="AZ597" s="141"/>
      <c r="BA597" s="141"/>
      <c r="BB597" s="141"/>
      <c r="BC597" s="141"/>
      <c r="BD597" s="141"/>
      <c r="BE597" s="141"/>
      <c r="BF597" s="141"/>
      <c r="BG597" s="18"/>
      <c r="BH597" s="1"/>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row>
    <row r="598" spans="1:135" ht="14.25" customHeight="1">
      <c r="A598" s="18"/>
      <c r="B598" s="18"/>
      <c r="C598" s="19"/>
      <c r="D598" s="18"/>
      <c r="E598" s="18"/>
      <c r="F598" s="19"/>
      <c r="G598" s="18"/>
      <c r="H598" s="114"/>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40"/>
      <c r="AL598" s="141"/>
      <c r="AM598" s="141"/>
      <c r="AN598" s="141"/>
      <c r="AO598" s="141"/>
      <c r="AP598" s="141"/>
      <c r="AQ598" s="141"/>
      <c r="AR598" s="141"/>
      <c r="AS598" s="141"/>
      <c r="AT598" s="141"/>
      <c r="AU598" s="141"/>
      <c r="AV598" s="141"/>
      <c r="AW598" s="141"/>
      <c r="AX598" s="141"/>
      <c r="AY598" s="141"/>
      <c r="AZ598" s="141"/>
      <c r="BA598" s="141"/>
      <c r="BB598" s="141"/>
      <c r="BC598" s="141"/>
      <c r="BD598" s="141"/>
      <c r="BE598" s="141"/>
      <c r="BF598" s="141"/>
      <c r="BG598" s="18"/>
      <c r="BH598" s="1"/>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row>
    <row r="599" spans="1:135" ht="14.25" customHeight="1">
      <c r="A599" s="18"/>
      <c r="B599" s="18"/>
      <c r="C599" s="19"/>
      <c r="D599" s="18"/>
      <c r="E599" s="18"/>
      <c r="F599" s="19"/>
      <c r="G599" s="18"/>
      <c r="H599" s="114"/>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40"/>
      <c r="AL599" s="141"/>
      <c r="AM599" s="141"/>
      <c r="AN599" s="141"/>
      <c r="AO599" s="141"/>
      <c r="AP599" s="141"/>
      <c r="AQ599" s="141"/>
      <c r="AR599" s="141"/>
      <c r="AS599" s="141"/>
      <c r="AT599" s="141"/>
      <c r="AU599" s="141"/>
      <c r="AV599" s="141"/>
      <c r="AW599" s="141"/>
      <c r="AX599" s="141"/>
      <c r="AY599" s="141"/>
      <c r="AZ599" s="141"/>
      <c r="BA599" s="141"/>
      <c r="BB599" s="141"/>
      <c r="BC599" s="141"/>
      <c r="BD599" s="141"/>
      <c r="BE599" s="141"/>
      <c r="BF599" s="141"/>
      <c r="BG599" s="18"/>
      <c r="BH599" s="1"/>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row>
    <row r="600" spans="1:135" ht="14.25" customHeight="1">
      <c r="A600" s="18"/>
      <c r="B600" s="18"/>
      <c r="C600" s="19"/>
      <c r="D600" s="18"/>
      <c r="E600" s="18"/>
      <c r="F600" s="19"/>
      <c r="G600" s="18"/>
      <c r="H600" s="114"/>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40"/>
      <c r="AL600" s="141"/>
      <c r="AM600" s="141"/>
      <c r="AN600" s="141"/>
      <c r="AO600" s="141"/>
      <c r="AP600" s="141"/>
      <c r="AQ600" s="141"/>
      <c r="AR600" s="141"/>
      <c r="AS600" s="141"/>
      <c r="AT600" s="141"/>
      <c r="AU600" s="141"/>
      <c r="AV600" s="141"/>
      <c r="AW600" s="141"/>
      <c r="AX600" s="141"/>
      <c r="AY600" s="141"/>
      <c r="AZ600" s="141"/>
      <c r="BA600" s="141"/>
      <c r="BB600" s="141"/>
      <c r="BC600" s="141"/>
      <c r="BD600" s="141"/>
      <c r="BE600" s="141"/>
      <c r="BF600" s="141"/>
      <c r="BG600" s="18"/>
      <c r="BH600" s="1"/>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row>
    <row r="601" spans="1:135" ht="14.25" customHeight="1">
      <c r="A601" s="18"/>
      <c r="B601" s="18"/>
      <c r="C601" s="19"/>
      <c r="D601" s="18"/>
      <c r="E601" s="18"/>
      <c r="F601" s="19"/>
      <c r="G601" s="18"/>
      <c r="H601" s="114"/>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40"/>
      <c r="AL601" s="141"/>
      <c r="AM601" s="141"/>
      <c r="AN601" s="141"/>
      <c r="AO601" s="141"/>
      <c r="AP601" s="141"/>
      <c r="AQ601" s="141"/>
      <c r="AR601" s="141"/>
      <c r="AS601" s="141"/>
      <c r="AT601" s="141"/>
      <c r="AU601" s="141"/>
      <c r="AV601" s="141"/>
      <c r="AW601" s="141"/>
      <c r="AX601" s="141"/>
      <c r="AY601" s="141"/>
      <c r="AZ601" s="141"/>
      <c r="BA601" s="141"/>
      <c r="BB601" s="141"/>
      <c r="BC601" s="141"/>
      <c r="BD601" s="141"/>
      <c r="BE601" s="141"/>
      <c r="BF601" s="141"/>
      <c r="BG601" s="18"/>
      <c r="BH601" s="1"/>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row>
    <row r="602" spans="1:135" ht="14.25" customHeight="1">
      <c r="A602" s="18"/>
      <c r="B602" s="18"/>
      <c r="C602" s="19"/>
      <c r="D602" s="18"/>
      <c r="E602" s="18"/>
      <c r="F602" s="19"/>
      <c r="G602" s="18"/>
      <c r="H602" s="114"/>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40"/>
      <c r="AL602" s="141"/>
      <c r="AM602" s="141"/>
      <c r="AN602" s="141"/>
      <c r="AO602" s="141"/>
      <c r="AP602" s="141"/>
      <c r="AQ602" s="141"/>
      <c r="AR602" s="141"/>
      <c r="AS602" s="141"/>
      <c r="AT602" s="141"/>
      <c r="AU602" s="141"/>
      <c r="AV602" s="141"/>
      <c r="AW602" s="141"/>
      <c r="AX602" s="141"/>
      <c r="AY602" s="141"/>
      <c r="AZ602" s="141"/>
      <c r="BA602" s="141"/>
      <c r="BB602" s="141"/>
      <c r="BC602" s="141"/>
      <c r="BD602" s="141"/>
      <c r="BE602" s="141"/>
      <c r="BF602" s="141"/>
      <c r="BG602" s="18"/>
      <c r="BH602" s="1"/>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row>
    <row r="603" spans="1:135" ht="14.25" customHeight="1">
      <c r="A603" s="18"/>
      <c r="B603" s="18"/>
      <c r="C603" s="19"/>
      <c r="D603" s="18"/>
      <c r="E603" s="18"/>
      <c r="F603" s="19"/>
      <c r="G603" s="18"/>
      <c r="H603" s="114"/>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40"/>
      <c r="AL603" s="141"/>
      <c r="AM603" s="141"/>
      <c r="AN603" s="141"/>
      <c r="AO603" s="141"/>
      <c r="AP603" s="141"/>
      <c r="AQ603" s="141"/>
      <c r="AR603" s="141"/>
      <c r="AS603" s="141"/>
      <c r="AT603" s="141"/>
      <c r="AU603" s="141"/>
      <c r="AV603" s="141"/>
      <c r="AW603" s="141"/>
      <c r="AX603" s="141"/>
      <c r="AY603" s="141"/>
      <c r="AZ603" s="141"/>
      <c r="BA603" s="141"/>
      <c r="BB603" s="141"/>
      <c r="BC603" s="141"/>
      <c r="BD603" s="141"/>
      <c r="BE603" s="141"/>
      <c r="BF603" s="141"/>
      <c r="BG603" s="18"/>
      <c r="BH603" s="1"/>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row>
    <row r="604" spans="1:135" ht="14.25" customHeight="1">
      <c r="A604" s="18"/>
      <c r="B604" s="18"/>
      <c r="C604" s="19"/>
      <c r="D604" s="18"/>
      <c r="E604" s="18"/>
      <c r="F604" s="19"/>
      <c r="G604" s="18"/>
      <c r="H604" s="114"/>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40"/>
      <c r="AL604" s="141"/>
      <c r="AM604" s="141"/>
      <c r="AN604" s="141"/>
      <c r="AO604" s="141"/>
      <c r="AP604" s="141"/>
      <c r="AQ604" s="141"/>
      <c r="AR604" s="141"/>
      <c r="AS604" s="141"/>
      <c r="AT604" s="141"/>
      <c r="AU604" s="141"/>
      <c r="AV604" s="141"/>
      <c r="AW604" s="141"/>
      <c r="AX604" s="141"/>
      <c r="AY604" s="141"/>
      <c r="AZ604" s="141"/>
      <c r="BA604" s="141"/>
      <c r="BB604" s="141"/>
      <c r="BC604" s="141"/>
      <c r="BD604" s="141"/>
      <c r="BE604" s="141"/>
      <c r="BF604" s="141"/>
      <c r="BG604" s="18"/>
      <c r="BH604" s="1"/>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row>
    <row r="605" spans="1:135" ht="14.25" customHeight="1">
      <c r="A605" s="18"/>
      <c r="B605" s="18"/>
      <c r="C605" s="19"/>
      <c r="D605" s="18"/>
      <c r="E605" s="18"/>
      <c r="F605" s="19"/>
      <c r="G605" s="18"/>
      <c r="H605" s="114"/>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40"/>
      <c r="AL605" s="141"/>
      <c r="AM605" s="141"/>
      <c r="AN605" s="141"/>
      <c r="AO605" s="141"/>
      <c r="AP605" s="141"/>
      <c r="AQ605" s="141"/>
      <c r="AR605" s="141"/>
      <c r="AS605" s="141"/>
      <c r="AT605" s="141"/>
      <c r="AU605" s="141"/>
      <c r="AV605" s="141"/>
      <c r="AW605" s="141"/>
      <c r="AX605" s="141"/>
      <c r="AY605" s="141"/>
      <c r="AZ605" s="141"/>
      <c r="BA605" s="141"/>
      <c r="BB605" s="141"/>
      <c r="BC605" s="141"/>
      <c r="BD605" s="141"/>
      <c r="BE605" s="141"/>
      <c r="BF605" s="141"/>
      <c r="BG605" s="18"/>
      <c r="BH605" s="1"/>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row>
    <row r="606" spans="1:135" ht="14.25" customHeight="1">
      <c r="A606" s="18"/>
      <c r="B606" s="18"/>
      <c r="C606" s="19"/>
      <c r="D606" s="18"/>
      <c r="E606" s="18"/>
      <c r="F606" s="19"/>
      <c r="G606" s="18"/>
      <c r="H606" s="114"/>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40"/>
      <c r="AL606" s="141"/>
      <c r="AM606" s="141"/>
      <c r="AN606" s="141"/>
      <c r="AO606" s="141"/>
      <c r="AP606" s="141"/>
      <c r="AQ606" s="141"/>
      <c r="AR606" s="141"/>
      <c r="AS606" s="141"/>
      <c r="AT606" s="141"/>
      <c r="AU606" s="141"/>
      <c r="AV606" s="141"/>
      <c r="AW606" s="141"/>
      <c r="AX606" s="141"/>
      <c r="AY606" s="141"/>
      <c r="AZ606" s="141"/>
      <c r="BA606" s="141"/>
      <c r="BB606" s="141"/>
      <c r="BC606" s="141"/>
      <c r="BD606" s="141"/>
      <c r="BE606" s="141"/>
      <c r="BF606" s="141"/>
      <c r="BG606" s="18"/>
      <c r="BH606" s="1"/>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row>
    <row r="607" spans="1:135" ht="14.25" customHeight="1">
      <c r="A607" s="18"/>
      <c r="B607" s="18"/>
      <c r="C607" s="19"/>
      <c r="D607" s="18"/>
      <c r="E607" s="18"/>
      <c r="F607" s="19"/>
      <c r="G607" s="18"/>
      <c r="H607" s="114"/>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40"/>
      <c r="AL607" s="141"/>
      <c r="AM607" s="141"/>
      <c r="AN607" s="141"/>
      <c r="AO607" s="141"/>
      <c r="AP607" s="141"/>
      <c r="AQ607" s="141"/>
      <c r="AR607" s="141"/>
      <c r="AS607" s="141"/>
      <c r="AT607" s="141"/>
      <c r="AU607" s="141"/>
      <c r="AV607" s="141"/>
      <c r="AW607" s="141"/>
      <c r="AX607" s="141"/>
      <c r="AY607" s="141"/>
      <c r="AZ607" s="141"/>
      <c r="BA607" s="141"/>
      <c r="BB607" s="141"/>
      <c r="BC607" s="141"/>
      <c r="BD607" s="141"/>
      <c r="BE607" s="141"/>
      <c r="BF607" s="141"/>
      <c r="BG607" s="18"/>
      <c r="BH607" s="1"/>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row>
    <row r="608" spans="1:135" ht="14.25" customHeight="1">
      <c r="A608" s="18"/>
      <c r="B608" s="18"/>
      <c r="C608" s="19"/>
      <c r="D608" s="18"/>
      <c r="E608" s="18"/>
      <c r="F608" s="19"/>
      <c r="G608" s="18"/>
      <c r="H608" s="114"/>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40"/>
      <c r="AL608" s="141"/>
      <c r="AM608" s="141"/>
      <c r="AN608" s="141"/>
      <c r="AO608" s="141"/>
      <c r="AP608" s="141"/>
      <c r="AQ608" s="141"/>
      <c r="AR608" s="141"/>
      <c r="AS608" s="141"/>
      <c r="AT608" s="141"/>
      <c r="AU608" s="141"/>
      <c r="AV608" s="141"/>
      <c r="AW608" s="141"/>
      <c r="AX608" s="141"/>
      <c r="AY608" s="141"/>
      <c r="AZ608" s="141"/>
      <c r="BA608" s="141"/>
      <c r="BB608" s="141"/>
      <c r="BC608" s="141"/>
      <c r="BD608" s="141"/>
      <c r="BE608" s="141"/>
      <c r="BF608" s="141"/>
      <c r="BG608" s="18"/>
      <c r="BH608" s="1"/>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row>
    <row r="609" spans="1:135" ht="14.25" customHeight="1">
      <c r="A609" s="18"/>
      <c r="B609" s="18"/>
      <c r="C609" s="19"/>
      <c r="D609" s="18"/>
      <c r="E609" s="18"/>
      <c r="F609" s="19"/>
      <c r="G609" s="18"/>
      <c r="H609" s="114"/>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40"/>
      <c r="AL609" s="141"/>
      <c r="AM609" s="141"/>
      <c r="AN609" s="141"/>
      <c r="AO609" s="141"/>
      <c r="AP609" s="141"/>
      <c r="AQ609" s="141"/>
      <c r="AR609" s="141"/>
      <c r="AS609" s="141"/>
      <c r="AT609" s="141"/>
      <c r="AU609" s="141"/>
      <c r="AV609" s="141"/>
      <c r="AW609" s="141"/>
      <c r="AX609" s="141"/>
      <c r="AY609" s="141"/>
      <c r="AZ609" s="141"/>
      <c r="BA609" s="141"/>
      <c r="BB609" s="141"/>
      <c r="BC609" s="141"/>
      <c r="BD609" s="141"/>
      <c r="BE609" s="141"/>
      <c r="BF609" s="141"/>
      <c r="BG609" s="18"/>
      <c r="BH609" s="1"/>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row>
    <row r="610" spans="1:135" ht="14.25" customHeight="1">
      <c r="A610" s="18"/>
      <c r="B610" s="18"/>
      <c r="C610" s="19"/>
      <c r="D610" s="18"/>
      <c r="E610" s="18"/>
      <c r="F610" s="19"/>
      <c r="G610" s="18"/>
      <c r="H610" s="114"/>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40"/>
      <c r="AL610" s="141"/>
      <c r="AM610" s="141"/>
      <c r="AN610" s="141"/>
      <c r="AO610" s="141"/>
      <c r="AP610" s="141"/>
      <c r="AQ610" s="141"/>
      <c r="AR610" s="141"/>
      <c r="AS610" s="141"/>
      <c r="AT610" s="141"/>
      <c r="AU610" s="141"/>
      <c r="AV610" s="141"/>
      <c r="AW610" s="141"/>
      <c r="AX610" s="141"/>
      <c r="AY610" s="141"/>
      <c r="AZ610" s="141"/>
      <c r="BA610" s="141"/>
      <c r="BB610" s="141"/>
      <c r="BC610" s="141"/>
      <c r="BD610" s="141"/>
      <c r="BE610" s="141"/>
      <c r="BF610" s="141"/>
      <c r="BG610" s="18"/>
      <c r="BH610" s="1"/>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row>
    <row r="611" spans="1:135" ht="14.25" customHeight="1">
      <c r="A611" s="18"/>
      <c r="B611" s="18"/>
      <c r="C611" s="19"/>
      <c r="D611" s="18"/>
      <c r="E611" s="18"/>
      <c r="F611" s="19"/>
      <c r="G611" s="18"/>
      <c r="H611" s="114"/>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40"/>
      <c r="AL611" s="141"/>
      <c r="AM611" s="141"/>
      <c r="AN611" s="141"/>
      <c r="AO611" s="141"/>
      <c r="AP611" s="141"/>
      <c r="AQ611" s="141"/>
      <c r="AR611" s="141"/>
      <c r="AS611" s="141"/>
      <c r="AT611" s="141"/>
      <c r="AU611" s="141"/>
      <c r="AV611" s="141"/>
      <c r="AW611" s="141"/>
      <c r="AX611" s="141"/>
      <c r="AY611" s="141"/>
      <c r="AZ611" s="141"/>
      <c r="BA611" s="141"/>
      <c r="BB611" s="141"/>
      <c r="BC611" s="141"/>
      <c r="BD611" s="141"/>
      <c r="BE611" s="141"/>
      <c r="BF611" s="141"/>
      <c r="BG611" s="18"/>
      <c r="BH611" s="1"/>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row>
    <row r="612" spans="1:135" ht="14.25" customHeight="1">
      <c r="A612" s="18"/>
      <c r="B612" s="18"/>
      <c r="C612" s="19"/>
      <c r="D612" s="18"/>
      <c r="E612" s="18"/>
      <c r="F612" s="19"/>
      <c r="G612" s="18"/>
      <c r="H612" s="114"/>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40"/>
      <c r="AL612" s="141"/>
      <c r="AM612" s="141"/>
      <c r="AN612" s="141"/>
      <c r="AO612" s="141"/>
      <c r="AP612" s="141"/>
      <c r="AQ612" s="141"/>
      <c r="AR612" s="141"/>
      <c r="AS612" s="141"/>
      <c r="AT612" s="141"/>
      <c r="AU612" s="141"/>
      <c r="AV612" s="141"/>
      <c r="AW612" s="141"/>
      <c r="AX612" s="141"/>
      <c r="AY612" s="141"/>
      <c r="AZ612" s="141"/>
      <c r="BA612" s="141"/>
      <c r="BB612" s="141"/>
      <c r="BC612" s="141"/>
      <c r="BD612" s="141"/>
      <c r="BE612" s="141"/>
      <c r="BF612" s="141"/>
      <c r="BG612" s="18"/>
      <c r="BH612" s="1"/>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row>
    <row r="613" spans="1:135" ht="14.25" customHeight="1">
      <c r="A613" s="18"/>
      <c r="B613" s="18"/>
      <c r="C613" s="19"/>
      <c r="D613" s="18"/>
      <c r="E613" s="18"/>
      <c r="F613" s="19"/>
      <c r="G613" s="18"/>
      <c r="H613" s="114"/>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40"/>
      <c r="AL613" s="141"/>
      <c r="AM613" s="141"/>
      <c r="AN613" s="141"/>
      <c r="AO613" s="141"/>
      <c r="AP613" s="141"/>
      <c r="AQ613" s="141"/>
      <c r="AR613" s="141"/>
      <c r="AS613" s="141"/>
      <c r="AT613" s="141"/>
      <c r="AU613" s="141"/>
      <c r="AV613" s="141"/>
      <c r="AW613" s="141"/>
      <c r="AX613" s="141"/>
      <c r="AY613" s="141"/>
      <c r="AZ613" s="141"/>
      <c r="BA613" s="141"/>
      <c r="BB613" s="141"/>
      <c r="BC613" s="141"/>
      <c r="BD613" s="141"/>
      <c r="BE613" s="141"/>
      <c r="BF613" s="141"/>
      <c r="BG613" s="18"/>
      <c r="BH613" s="1"/>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row>
    <row r="614" spans="1:135" ht="14.25" customHeight="1">
      <c r="A614" s="18"/>
      <c r="B614" s="18"/>
      <c r="C614" s="19"/>
      <c r="D614" s="18"/>
      <c r="E614" s="18"/>
      <c r="F614" s="19"/>
      <c r="G614" s="18"/>
      <c r="H614" s="114"/>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40"/>
      <c r="AL614" s="141"/>
      <c r="AM614" s="141"/>
      <c r="AN614" s="141"/>
      <c r="AO614" s="141"/>
      <c r="AP614" s="141"/>
      <c r="AQ614" s="141"/>
      <c r="AR614" s="141"/>
      <c r="AS614" s="141"/>
      <c r="AT614" s="141"/>
      <c r="AU614" s="141"/>
      <c r="AV614" s="141"/>
      <c r="AW614" s="141"/>
      <c r="AX614" s="141"/>
      <c r="AY614" s="141"/>
      <c r="AZ614" s="141"/>
      <c r="BA614" s="141"/>
      <c r="BB614" s="141"/>
      <c r="BC614" s="141"/>
      <c r="BD614" s="141"/>
      <c r="BE614" s="141"/>
      <c r="BF614" s="141"/>
      <c r="BG614" s="18"/>
      <c r="BH614" s="1"/>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row>
    <row r="615" spans="1:135" ht="14.25" customHeight="1">
      <c r="A615" s="18"/>
      <c r="B615" s="18"/>
      <c r="C615" s="19"/>
      <c r="D615" s="18"/>
      <c r="E615" s="18"/>
      <c r="F615" s="19"/>
      <c r="G615" s="18"/>
      <c r="H615" s="114"/>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40"/>
      <c r="AL615" s="141"/>
      <c r="AM615" s="141"/>
      <c r="AN615" s="141"/>
      <c r="AO615" s="141"/>
      <c r="AP615" s="141"/>
      <c r="AQ615" s="141"/>
      <c r="AR615" s="141"/>
      <c r="AS615" s="141"/>
      <c r="AT615" s="141"/>
      <c r="AU615" s="141"/>
      <c r="AV615" s="141"/>
      <c r="AW615" s="141"/>
      <c r="AX615" s="141"/>
      <c r="AY615" s="141"/>
      <c r="AZ615" s="141"/>
      <c r="BA615" s="141"/>
      <c r="BB615" s="141"/>
      <c r="BC615" s="141"/>
      <c r="BD615" s="141"/>
      <c r="BE615" s="141"/>
      <c r="BF615" s="141"/>
      <c r="BG615" s="18"/>
      <c r="BH615" s="1"/>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row>
    <row r="616" spans="1:135" ht="14.25" customHeight="1">
      <c r="A616" s="18"/>
      <c r="B616" s="18"/>
      <c r="C616" s="19"/>
      <c r="D616" s="18"/>
      <c r="E616" s="18"/>
      <c r="F616" s="19"/>
      <c r="G616" s="18"/>
      <c r="H616" s="114"/>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40"/>
      <c r="AL616" s="141"/>
      <c r="AM616" s="141"/>
      <c r="AN616" s="141"/>
      <c r="AO616" s="141"/>
      <c r="AP616" s="141"/>
      <c r="AQ616" s="141"/>
      <c r="AR616" s="141"/>
      <c r="AS616" s="141"/>
      <c r="AT616" s="141"/>
      <c r="AU616" s="141"/>
      <c r="AV616" s="141"/>
      <c r="AW616" s="141"/>
      <c r="AX616" s="141"/>
      <c r="AY616" s="141"/>
      <c r="AZ616" s="141"/>
      <c r="BA616" s="141"/>
      <c r="BB616" s="141"/>
      <c r="BC616" s="141"/>
      <c r="BD616" s="141"/>
      <c r="BE616" s="141"/>
      <c r="BF616" s="141"/>
      <c r="BG616" s="18"/>
      <c r="BH616" s="1"/>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row>
    <row r="617" spans="1:135" ht="14.25" customHeight="1">
      <c r="A617" s="18"/>
      <c r="B617" s="18"/>
      <c r="C617" s="19"/>
      <c r="D617" s="18"/>
      <c r="E617" s="18"/>
      <c r="F617" s="19"/>
      <c r="G617" s="18"/>
      <c r="H617" s="114"/>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40"/>
      <c r="AL617" s="141"/>
      <c r="AM617" s="141"/>
      <c r="AN617" s="141"/>
      <c r="AO617" s="141"/>
      <c r="AP617" s="141"/>
      <c r="AQ617" s="141"/>
      <c r="AR617" s="141"/>
      <c r="AS617" s="141"/>
      <c r="AT617" s="141"/>
      <c r="AU617" s="141"/>
      <c r="AV617" s="141"/>
      <c r="AW617" s="141"/>
      <c r="AX617" s="141"/>
      <c r="AY617" s="141"/>
      <c r="AZ617" s="141"/>
      <c r="BA617" s="141"/>
      <c r="BB617" s="141"/>
      <c r="BC617" s="141"/>
      <c r="BD617" s="141"/>
      <c r="BE617" s="141"/>
      <c r="BF617" s="141"/>
      <c r="BG617" s="18"/>
      <c r="BH617" s="1"/>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row>
    <row r="618" spans="1:135" ht="14.25" customHeight="1">
      <c r="A618" s="18"/>
      <c r="B618" s="18"/>
      <c r="C618" s="19"/>
      <c r="D618" s="18"/>
      <c r="E618" s="18"/>
      <c r="F618" s="19"/>
      <c r="G618" s="18"/>
      <c r="H618" s="114"/>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40"/>
      <c r="AL618" s="141"/>
      <c r="AM618" s="141"/>
      <c r="AN618" s="141"/>
      <c r="AO618" s="141"/>
      <c r="AP618" s="141"/>
      <c r="AQ618" s="141"/>
      <c r="AR618" s="141"/>
      <c r="AS618" s="141"/>
      <c r="AT618" s="141"/>
      <c r="AU618" s="141"/>
      <c r="AV618" s="141"/>
      <c r="AW618" s="141"/>
      <c r="AX618" s="141"/>
      <c r="AY618" s="141"/>
      <c r="AZ618" s="141"/>
      <c r="BA618" s="141"/>
      <c r="BB618" s="141"/>
      <c r="BC618" s="141"/>
      <c r="BD618" s="141"/>
      <c r="BE618" s="141"/>
      <c r="BF618" s="141"/>
      <c r="BG618" s="18"/>
      <c r="BH618" s="1"/>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row>
    <row r="619" spans="1:135" ht="14.25" customHeight="1">
      <c r="A619" s="18"/>
      <c r="B619" s="18"/>
      <c r="C619" s="19"/>
      <c r="D619" s="18"/>
      <c r="E619" s="18"/>
      <c r="F619" s="19"/>
      <c r="G619" s="18"/>
      <c r="H619" s="114"/>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40"/>
      <c r="AL619" s="141"/>
      <c r="AM619" s="141"/>
      <c r="AN619" s="141"/>
      <c r="AO619" s="141"/>
      <c r="AP619" s="141"/>
      <c r="AQ619" s="141"/>
      <c r="AR619" s="141"/>
      <c r="AS619" s="141"/>
      <c r="AT619" s="141"/>
      <c r="AU619" s="141"/>
      <c r="AV619" s="141"/>
      <c r="AW619" s="141"/>
      <c r="AX619" s="141"/>
      <c r="AY619" s="141"/>
      <c r="AZ619" s="141"/>
      <c r="BA619" s="141"/>
      <c r="BB619" s="141"/>
      <c r="BC619" s="141"/>
      <c r="BD619" s="141"/>
      <c r="BE619" s="141"/>
      <c r="BF619" s="141"/>
      <c r="BG619" s="18"/>
      <c r="BH619" s="1"/>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row>
    <row r="620" spans="1:135" ht="14.25" customHeight="1">
      <c r="A620" s="18"/>
      <c r="B620" s="18"/>
      <c r="C620" s="19"/>
      <c r="D620" s="18"/>
      <c r="E620" s="18"/>
      <c r="F620" s="19"/>
      <c r="G620" s="18"/>
      <c r="H620" s="114"/>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40"/>
      <c r="AL620" s="141"/>
      <c r="AM620" s="141"/>
      <c r="AN620" s="141"/>
      <c r="AO620" s="141"/>
      <c r="AP620" s="141"/>
      <c r="AQ620" s="141"/>
      <c r="AR620" s="141"/>
      <c r="AS620" s="141"/>
      <c r="AT620" s="141"/>
      <c r="AU620" s="141"/>
      <c r="AV620" s="141"/>
      <c r="AW620" s="141"/>
      <c r="AX620" s="141"/>
      <c r="AY620" s="141"/>
      <c r="AZ620" s="141"/>
      <c r="BA620" s="141"/>
      <c r="BB620" s="141"/>
      <c r="BC620" s="141"/>
      <c r="BD620" s="141"/>
      <c r="BE620" s="141"/>
      <c r="BF620" s="141"/>
      <c r="BG620" s="18"/>
      <c r="BH620" s="1"/>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row>
    <row r="621" spans="1:135" ht="14.25" customHeight="1">
      <c r="A621" s="18"/>
      <c r="B621" s="18"/>
      <c r="C621" s="19"/>
      <c r="D621" s="18"/>
      <c r="E621" s="18"/>
      <c r="F621" s="19"/>
      <c r="G621" s="18"/>
      <c r="H621" s="114"/>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40"/>
      <c r="AL621" s="141"/>
      <c r="AM621" s="141"/>
      <c r="AN621" s="141"/>
      <c r="AO621" s="141"/>
      <c r="AP621" s="141"/>
      <c r="AQ621" s="141"/>
      <c r="AR621" s="141"/>
      <c r="AS621" s="141"/>
      <c r="AT621" s="141"/>
      <c r="AU621" s="141"/>
      <c r="AV621" s="141"/>
      <c r="AW621" s="141"/>
      <c r="AX621" s="141"/>
      <c r="AY621" s="141"/>
      <c r="AZ621" s="141"/>
      <c r="BA621" s="141"/>
      <c r="BB621" s="141"/>
      <c r="BC621" s="141"/>
      <c r="BD621" s="141"/>
      <c r="BE621" s="141"/>
      <c r="BF621" s="141"/>
      <c r="BG621" s="18"/>
      <c r="BH621" s="1"/>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row>
    <row r="622" spans="1:135" ht="14.25" customHeight="1">
      <c r="A622" s="18"/>
      <c r="B622" s="18"/>
      <c r="C622" s="19"/>
      <c r="D622" s="18"/>
      <c r="E622" s="18"/>
      <c r="F622" s="19"/>
      <c r="G622" s="18"/>
      <c r="H622" s="114"/>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40"/>
      <c r="AL622" s="141"/>
      <c r="AM622" s="141"/>
      <c r="AN622" s="141"/>
      <c r="AO622" s="141"/>
      <c r="AP622" s="141"/>
      <c r="AQ622" s="141"/>
      <c r="AR622" s="141"/>
      <c r="AS622" s="141"/>
      <c r="AT622" s="141"/>
      <c r="AU622" s="141"/>
      <c r="AV622" s="141"/>
      <c r="AW622" s="141"/>
      <c r="AX622" s="141"/>
      <c r="AY622" s="141"/>
      <c r="AZ622" s="141"/>
      <c r="BA622" s="141"/>
      <c r="BB622" s="141"/>
      <c r="BC622" s="141"/>
      <c r="BD622" s="141"/>
      <c r="BE622" s="141"/>
      <c r="BF622" s="141"/>
      <c r="BG622" s="18"/>
      <c r="BH622" s="1"/>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row>
    <row r="623" spans="1:135" ht="14.25" customHeight="1">
      <c r="A623" s="18"/>
      <c r="B623" s="18"/>
      <c r="C623" s="19"/>
      <c r="D623" s="18"/>
      <c r="E623" s="18"/>
      <c r="F623" s="19"/>
      <c r="G623" s="18"/>
      <c r="H623" s="114"/>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40"/>
      <c r="AL623" s="141"/>
      <c r="AM623" s="141"/>
      <c r="AN623" s="141"/>
      <c r="AO623" s="141"/>
      <c r="AP623" s="141"/>
      <c r="AQ623" s="141"/>
      <c r="AR623" s="141"/>
      <c r="AS623" s="141"/>
      <c r="AT623" s="141"/>
      <c r="AU623" s="141"/>
      <c r="AV623" s="141"/>
      <c r="AW623" s="141"/>
      <c r="AX623" s="141"/>
      <c r="AY623" s="141"/>
      <c r="AZ623" s="141"/>
      <c r="BA623" s="141"/>
      <c r="BB623" s="141"/>
      <c r="BC623" s="141"/>
      <c r="BD623" s="141"/>
      <c r="BE623" s="141"/>
      <c r="BF623" s="141"/>
      <c r="BG623" s="18"/>
      <c r="BH623" s="1"/>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row>
    <row r="624" spans="1:135" ht="14.25" customHeight="1">
      <c r="A624" s="18"/>
      <c r="B624" s="18"/>
      <c r="C624" s="19"/>
      <c r="D624" s="18"/>
      <c r="E624" s="18"/>
      <c r="F624" s="19"/>
      <c r="G624" s="18"/>
      <c r="H624" s="114"/>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40"/>
      <c r="AL624" s="141"/>
      <c r="AM624" s="141"/>
      <c r="AN624" s="141"/>
      <c r="AO624" s="141"/>
      <c r="AP624" s="141"/>
      <c r="AQ624" s="141"/>
      <c r="AR624" s="141"/>
      <c r="AS624" s="141"/>
      <c r="AT624" s="141"/>
      <c r="AU624" s="141"/>
      <c r="AV624" s="141"/>
      <c r="AW624" s="141"/>
      <c r="AX624" s="141"/>
      <c r="AY624" s="141"/>
      <c r="AZ624" s="141"/>
      <c r="BA624" s="141"/>
      <c r="BB624" s="141"/>
      <c r="BC624" s="141"/>
      <c r="BD624" s="141"/>
      <c r="BE624" s="141"/>
      <c r="BF624" s="141"/>
      <c r="BG624" s="18"/>
      <c r="BH624" s="1"/>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row>
    <row r="625" spans="1:135" ht="14.25" customHeight="1">
      <c r="A625" s="18"/>
      <c r="B625" s="18"/>
      <c r="C625" s="19"/>
      <c r="D625" s="18"/>
      <c r="E625" s="18"/>
      <c r="F625" s="19"/>
      <c r="G625" s="18"/>
      <c r="H625" s="114"/>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40"/>
      <c r="AL625" s="141"/>
      <c r="AM625" s="141"/>
      <c r="AN625" s="141"/>
      <c r="AO625" s="141"/>
      <c r="AP625" s="141"/>
      <c r="AQ625" s="141"/>
      <c r="AR625" s="141"/>
      <c r="AS625" s="141"/>
      <c r="AT625" s="141"/>
      <c r="AU625" s="141"/>
      <c r="AV625" s="141"/>
      <c r="AW625" s="141"/>
      <c r="AX625" s="141"/>
      <c r="AY625" s="141"/>
      <c r="AZ625" s="141"/>
      <c r="BA625" s="141"/>
      <c r="BB625" s="141"/>
      <c r="BC625" s="141"/>
      <c r="BD625" s="141"/>
      <c r="BE625" s="141"/>
      <c r="BF625" s="141"/>
      <c r="BG625" s="18"/>
      <c r="BH625" s="1"/>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row>
    <row r="626" spans="1:135" ht="14.25" customHeight="1">
      <c r="A626" s="18"/>
      <c r="B626" s="18"/>
      <c r="C626" s="19"/>
      <c r="D626" s="18"/>
      <c r="E626" s="18"/>
      <c r="F626" s="19"/>
      <c r="G626" s="18"/>
      <c r="H626" s="114"/>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40"/>
      <c r="AL626" s="141"/>
      <c r="AM626" s="141"/>
      <c r="AN626" s="141"/>
      <c r="AO626" s="141"/>
      <c r="AP626" s="141"/>
      <c r="AQ626" s="141"/>
      <c r="AR626" s="141"/>
      <c r="AS626" s="141"/>
      <c r="AT626" s="141"/>
      <c r="AU626" s="141"/>
      <c r="AV626" s="141"/>
      <c r="AW626" s="141"/>
      <c r="AX626" s="141"/>
      <c r="AY626" s="141"/>
      <c r="AZ626" s="141"/>
      <c r="BA626" s="141"/>
      <c r="BB626" s="141"/>
      <c r="BC626" s="141"/>
      <c r="BD626" s="141"/>
      <c r="BE626" s="141"/>
      <c r="BF626" s="141"/>
      <c r="BG626" s="18"/>
      <c r="BH626" s="1"/>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row>
    <row r="627" spans="1:135" ht="14.25" customHeight="1">
      <c r="A627" s="18"/>
      <c r="B627" s="18"/>
      <c r="C627" s="19"/>
      <c r="D627" s="18"/>
      <c r="E627" s="18"/>
      <c r="F627" s="19"/>
      <c r="G627" s="18"/>
      <c r="H627" s="114"/>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40"/>
      <c r="AL627" s="141"/>
      <c r="AM627" s="141"/>
      <c r="AN627" s="141"/>
      <c r="AO627" s="141"/>
      <c r="AP627" s="141"/>
      <c r="AQ627" s="141"/>
      <c r="AR627" s="141"/>
      <c r="AS627" s="141"/>
      <c r="AT627" s="141"/>
      <c r="AU627" s="141"/>
      <c r="AV627" s="141"/>
      <c r="AW627" s="141"/>
      <c r="AX627" s="141"/>
      <c r="AY627" s="141"/>
      <c r="AZ627" s="141"/>
      <c r="BA627" s="141"/>
      <c r="BB627" s="141"/>
      <c r="BC627" s="141"/>
      <c r="BD627" s="141"/>
      <c r="BE627" s="141"/>
      <c r="BF627" s="141"/>
      <c r="BG627" s="18"/>
      <c r="BH627" s="1"/>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row>
    <row r="628" spans="1:135" ht="14.25" customHeight="1">
      <c r="A628" s="18"/>
      <c r="B628" s="18"/>
      <c r="C628" s="19"/>
      <c r="D628" s="18"/>
      <c r="E628" s="18"/>
      <c r="F628" s="19"/>
      <c r="G628" s="18"/>
      <c r="H628" s="114"/>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40"/>
      <c r="AL628" s="141"/>
      <c r="AM628" s="141"/>
      <c r="AN628" s="141"/>
      <c r="AO628" s="141"/>
      <c r="AP628" s="141"/>
      <c r="AQ628" s="141"/>
      <c r="AR628" s="141"/>
      <c r="AS628" s="141"/>
      <c r="AT628" s="141"/>
      <c r="AU628" s="141"/>
      <c r="AV628" s="141"/>
      <c r="AW628" s="141"/>
      <c r="AX628" s="141"/>
      <c r="AY628" s="141"/>
      <c r="AZ628" s="141"/>
      <c r="BA628" s="141"/>
      <c r="BB628" s="141"/>
      <c r="BC628" s="141"/>
      <c r="BD628" s="141"/>
      <c r="BE628" s="141"/>
      <c r="BF628" s="141"/>
      <c r="BG628" s="18"/>
      <c r="BH628" s="1"/>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row>
    <row r="629" spans="1:135" ht="14.25" customHeight="1">
      <c r="A629" s="18"/>
      <c r="B629" s="18"/>
      <c r="C629" s="19"/>
      <c r="D629" s="18"/>
      <c r="E629" s="18"/>
      <c r="F629" s="19"/>
      <c r="G629" s="18"/>
      <c r="H629" s="114"/>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40"/>
      <c r="AL629" s="141"/>
      <c r="AM629" s="141"/>
      <c r="AN629" s="141"/>
      <c r="AO629" s="141"/>
      <c r="AP629" s="141"/>
      <c r="AQ629" s="141"/>
      <c r="AR629" s="141"/>
      <c r="AS629" s="141"/>
      <c r="AT629" s="141"/>
      <c r="AU629" s="141"/>
      <c r="AV629" s="141"/>
      <c r="AW629" s="141"/>
      <c r="AX629" s="141"/>
      <c r="AY629" s="141"/>
      <c r="AZ629" s="141"/>
      <c r="BA629" s="141"/>
      <c r="BB629" s="141"/>
      <c r="BC629" s="141"/>
      <c r="BD629" s="141"/>
      <c r="BE629" s="141"/>
      <c r="BF629" s="141"/>
      <c r="BG629" s="18"/>
      <c r="BH629" s="1"/>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row>
    <row r="630" spans="1:135" ht="14.25" customHeight="1">
      <c r="A630" s="18"/>
      <c r="B630" s="18"/>
      <c r="C630" s="19"/>
      <c r="D630" s="18"/>
      <c r="E630" s="18"/>
      <c r="F630" s="19"/>
      <c r="G630" s="18"/>
      <c r="H630" s="114"/>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40"/>
      <c r="AL630" s="141"/>
      <c r="AM630" s="141"/>
      <c r="AN630" s="141"/>
      <c r="AO630" s="141"/>
      <c r="AP630" s="141"/>
      <c r="AQ630" s="141"/>
      <c r="AR630" s="141"/>
      <c r="AS630" s="141"/>
      <c r="AT630" s="141"/>
      <c r="AU630" s="141"/>
      <c r="AV630" s="141"/>
      <c r="AW630" s="141"/>
      <c r="AX630" s="141"/>
      <c r="AY630" s="141"/>
      <c r="AZ630" s="141"/>
      <c r="BA630" s="141"/>
      <c r="BB630" s="141"/>
      <c r="BC630" s="141"/>
      <c r="BD630" s="141"/>
      <c r="BE630" s="141"/>
      <c r="BF630" s="141"/>
      <c r="BG630" s="18"/>
      <c r="BH630" s="1"/>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row>
    <row r="631" spans="1:135" ht="14.25" customHeight="1">
      <c r="A631" s="18"/>
      <c r="B631" s="18"/>
      <c r="C631" s="19"/>
      <c r="D631" s="18"/>
      <c r="E631" s="18"/>
      <c r="F631" s="19"/>
      <c r="G631" s="18"/>
      <c r="H631" s="114"/>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40"/>
      <c r="AL631" s="141"/>
      <c r="AM631" s="141"/>
      <c r="AN631" s="141"/>
      <c r="AO631" s="141"/>
      <c r="AP631" s="141"/>
      <c r="AQ631" s="141"/>
      <c r="AR631" s="141"/>
      <c r="AS631" s="141"/>
      <c r="AT631" s="141"/>
      <c r="AU631" s="141"/>
      <c r="AV631" s="141"/>
      <c r="AW631" s="141"/>
      <c r="AX631" s="141"/>
      <c r="AY631" s="141"/>
      <c r="AZ631" s="141"/>
      <c r="BA631" s="141"/>
      <c r="BB631" s="141"/>
      <c r="BC631" s="141"/>
      <c r="BD631" s="141"/>
      <c r="BE631" s="141"/>
      <c r="BF631" s="141"/>
      <c r="BG631" s="18"/>
      <c r="BH631" s="1"/>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row>
    <row r="632" spans="1:135" ht="14.25" customHeight="1">
      <c r="A632" s="18"/>
      <c r="B632" s="18"/>
      <c r="C632" s="19"/>
      <c r="D632" s="18"/>
      <c r="E632" s="18"/>
      <c r="F632" s="19"/>
      <c r="G632" s="18"/>
      <c r="H632" s="114"/>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40"/>
      <c r="AL632" s="141"/>
      <c r="AM632" s="141"/>
      <c r="AN632" s="141"/>
      <c r="AO632" s="141"/>
      <c r="AP632" s="141"/>
      <c r="AQ632" s="141"/>
      <c r="AR632" s="141"/>
      <c r="AS632" s="141"/>
      <c r="AT632" s="141"/>
      <c r="AU632" s="141"/>
      <c r="AV632" s="141"/>
      <c r="AW632" s="141"/>
      <c r="AX632" s="141"/>
      <c r="AY632" s="141"/>
      <c r="AZ632" s="141"/>
      <c r="BA632" s="141"/>
      <c r="BB632" s="141"/>
      <c r="BC632" s="141"/>
      <c r="BD632" s="141"/>
      <c r="BE632" s="141"/>
      <c r="BF632" s="141"/>
      <c r="BG632" s="18"/>
      <c r="BH632" s="1"/>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row>
    <row r="633" spans="1:135" ht="14.25" customHeight="1">
      <c r="A633" s="18"/>
      <c r="B633" s="18"/>
      <c r="C633" s="19"/>
      <c r="D633" s="18"/>
      <c r="E633" s="18"/>
      <c r="F633" s="19"/>
      <c r="G633" s="18"/>
      <c r="H633" s="114"/>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40"/>
      <c r="AL633" s="141"/>
      <c r="AM633" s="141"/>
      <c r="AN633" s="141"/>
      <c r="AO633" s="141"/>
      <c r="AP633" s="141"/>
      <c r="AQ633" s="141"/>
      <c r="AR633" s="141"/>
      <c r="AS633" s="141"/>
      <c r="AT633" s="141"/>
      <c r="AU633" s="141"/>
      <c r="AV633" s="141"/>
      <c r="AW633" s="141"/>
      <c r="AX633" s="141"/>
      <c r="AY633" s="141"/>
      <c r="AZ633" s="141"/>
      <c r="BA633" s="141"/>
      <c r="BB633" s="141"/>
      <c r="BC633" s="141"/>
      <c r="BD633" s="141"/>
      <c r="BE633" s="141"/>
      <c r="BF633" s="141"/>
      <c r="BG633" s="18"/>
      <c r="BH633" s="1"/>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row>
    <row r="634" spans="1:135" ht="14.25" customHeight="1">
      <c r="A634" s="18"/>
      <c r="B634" s="18"/>
      <c r="C634" s="19"/>
      <c r="D634" s="18"/>
      <c r="E634" s="18"/>
      <c r="F634" s="19"/>
      <c r="G634" s="18"/>
      <c r="H634" s="114"/>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40"/>
      <c r="AL634" s="141"/>
      <c r="AM634" s="141"/>
      <c r="AN634" s="141"/>
      <c r="AO634" s="141"/>
      <c r="AP634" s="141"/>
      <c r="AQ634" s="141"/>
      <c r="AR634" s="141"/>
      <c r="AS634" s="141"/>
      <c r="AT634" s="141"/>
      <c r="AU634" s="141"/>
      <c r="AV634" s="141"/>
      <c r="AW634" s="141"/>
      <c r="AX634" s="141"/>
      <c r="AY634" s="141"/>
      <c r="AZ634" s="141"/>
      <c r="BA634" s="141"/>
      <c r="BB634" s="141"/>
      <c r="BC634" s="141"/>
      <c r="BD634" s="141"/>
      <c r="BE634" s="141"/>
      <c r="BF634" s="141"/>
      <c r="BG634" s="18"/>
      <c r="BH634" s="1"/>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row>
    <row r="635" spans="1:135" ht="14.25" customHeight="1">
      <c r="A635" s="18"/>
      <c r="B635" s="18"/>
      <c r="C635" s="19"/>
      <c r="D635" s="18"/>
      <c r="E635" s="18"/>
      <c r="F635" s="19"/>
      <c r="G635" s="18"/>
      <c r="H635" s="114"/>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40"/>
      <c r="AL635" s="141"/>
      <c r="AM635" s="141"/>
      <c r="AN635" s="141"/>
      <c r="AO635" s="141"/>
      <c r="AP635" s="141"/>
      <c r="AQ635" s="141"/>
      <c r="AR635" s="141"/>
      <c r="AS635" s="141"/>
      <c r="AT635" s="141"/>
      <c r="AU635" s="141"/>
      <c r="AV635" s="141"/>
      <c r="AW635" s="141"/>
      <c r="AX635" s="141"/>
      <c r="AY635" s="141"/>
      <c r="AZ635" s="141"/>
      <c r="BA635" s="141"/>
      <c r="BB635" s="141"/>
      <c r="BC635" s="141"/>
      <c r="BD635" s="141"/>
      <c r="BE635" s="141"/>
      <c r="BF635" s="141"/>
      <c r="BG635" s="18"/>
      <c r="BH635" s="1"/>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row>
    <row r="636" spans="1:135" ht="14.25" customHeight="1">
      <c r="A636" s="18"/>
      <c r="B636" s="18"/>
      <c r="C636" s="19"/>
      <c r="D636" s="18"/>
      <c r="E636" s="18"/>
      <c r="F636" s="19"/>
      <c r="G636" s="18"/>
      <c r="H636" s="114"/>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40"/>
      <c r="AL636" s="141"/>
      <c r="AM636" s="141"/>
      <c r="AN636" s="141"/>
      <c r="AO636" s="141"/>
      <c r="AP636" s="141"/>
      <c r="AQ636" s="141"/>
      <c r="AR636" s="141"/>
      <c r="AS636" s="141"/>
      <c r="AT636" s="141"/>
      <c r="AU636" s="141"/>
      <c r="AV636" s="141"/>
      <c r="AW636" s="141"/>
      <c r="AX636" s="141"/>
      <c r="AY636" s="141"/>
      <c r="AZ636" s="141"/>
      <c r="BA636" s="141"/>
      <c r="BB636" s="141"/>
      <c r="BC636" s="141"/>
      <c r="BD636" s="141"/>
      <c r="BE636" s="141"/>
      <c r="BF636" s="141"/>
      <c r="BG636" s="18"/>
      <c r="BH636" s="1"/>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row>
    <row r="637" spans="1:135" ht="14.25" customHeight="1">
      <c r="A637" s="18"/>
      <c r="B637" s="18"/>
      <c r="C637" s="19"/>
      <c r="D637" s="18"/>
      <c r="E637" s="18"/>
      <c r="F637" s="19"/>
      <c r="G637" s="18"/>
      <c r="H637" s="114"/>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40"/>
      <c r="AL637" s="141"/>
      <c r="AM637" s="141"/>
      <c r="AN637" s="141"/>
      <c r="AO637" s="141"/>
      <c r="AP637" s="141"/>
      <c r="AQ637" s="141"/>
      <c r="AR637" s="141"/>
      <c r="AS637" s="141"/>
      <c r="AT637" s="141"/>
      <c r="AU637" s="141"/>
      <c r="AV637" s="141"/>
      <c r="AW637" s="141"/>
      <c r="AX637" s="141"/>
      <c r="AY637" s="141"/>
      <c r="AZ637" s="141"/>
      <c r="BA637" s="141"/>
      <c r="BB637" s="141"/>
      <c r="BC637" s="141"/>
      <c r="BD637" s="141"/>
      <c r="BE637" s="141"/>
      <c r="BF637" s="141"/>
      <c r="BG637" s="18"/>
      <c r="BH637" s="1"/>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row>
    <row r="638" spans="1:135" ht="14.25" customHeight="1">
      <c r="A638" s="18"/>
      <c r="B638" s="18"/>
      <c r="C638" s="19"/>
      <c r="D638" s="18"/>
      <c r="E638" s="18"/>
      <c r="F638" s="19"/>
      <c r="G638" s="18"/>
      <c r="H638" s="114"/>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40"/>
      <c r="AL638" s="141"/>
      <c r="AM638" s="141"/>
      <c r="AN638" s="141"/>
      <c r="AO638" s="141"/>
      <c r="AP638" s="141"/>
      <c r="AQ638" s="141"/>
      <c r="AR638" s="141"/>
      <c r="AS638" s="141"/>
      <c r="AT638" s="141"/>
      <c r="AU638" s="141"/>
      <c r="AV638" s="141"/>
      <c r="AW638" s="141"/>
      <c r="AX638" s="141"/>
      <c r="AY638" s="141"/>
      <c r="AZ638" s="141"/>
      <c r="BA638" s="141"/>
      <c r="BB638" s="141"/>
      <c r="BC638" s="141"/>
      <c r="BD638" s="141"/>
      <c r="BE638" s="141"/>
      <c r="BF638" s="141"/>
      <c r="BG638" s="18"/>
      <c r="BH638" s="1"/>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row>
    <row r="639" spans="1:135" ht="14.25" customHeight="1">
      <c r="A639" s="18"/>
      <c r="B639" s="18"/>
      <c r="C639" s="19"/>
      <c r="D639" s="18"/>
      <c r="E639" s="18"/>
      <c r="F639" s="19"/>
      <c r="G639" s="18"/>
      <c r="H639" s="114"/>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40"/>
      <c r="AL639" s="141"/>
      <c r="AM639" s="141"/>
      <c r="AN639" s="141"/>
      <c r="AO639" s="141"/>
      <c r="AP639" s="141"/>
      <c r="AQ639" s="141"/>
      <c r="AR639" s="141"/>
      <c r="AS639" s="141"/>
      <c r="AT639" s="141"/>
      <c r="AU639" s="141"/>
      <c r="AV639" s="141"/>
      <c r="AW639" s="141"/>
      <c r="AX639" s="141"/>
      <c r="AY639" s="141"/>
      <c r="AZ639" s="141"/>
      <c r="BA639" s="141"/>
      <c r="BB639" s="141"/>
      <c r="BC639" s="141"/>
      <c r="BD639" s="141"/>
      <c r="BE639" s="141"/>
      <c r="BF639" s="141"/>
      <c r="BG639" s="18"/>
      <c r="BH639" s="1"/>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row>
    <row r="640" spans="1:135" ht="14.25" customHeight="1">
      <c r="A640" s="18"/>
      <c r="B640" s="18"/>
      <c r="C640" s="19"/>
      <c r="D640" s="18"/>
      <c r="E640" s="18"/>
      <c r="F640" s="19"/>
      <c r="G640" s="18"/>
      <c r="H640" s="114"/>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40"/>
      <c r="AL640" s="141"/>
      <c r="AM640" s="141"/>
      <c r="AN640" s="141"/>
      <c r="AO640" s="141"/>
      <c r="AP640" s="141"/>
      <c r="AQ640" s="141"/>
      <c r="AR640" s="141"/>
      <c r="AS640" s="141"/>
      <c r="AT640" s="141"/>
      <c r="AU640" s="141"/>
      <c r="AV640" s="141"/>
      <c r="AW640" s="141"/>
      <c r="AX640" s="141"/>
      <c r="AY640" s="141"/>
      <c r="AZ640" s="141"/>
      <c r="BA640" s="141"/>
      <c r="BB640" s="141"/>
      <c r="BC640" s="141"/>
      <c r="BD640" s="141"/>
      <c r="BE640" s="141"/>
      <c r="BF640" s="141"/>
      <c r="BG640" s="18"/>
      <c r="BH640" s="1"/>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row>
    <row r="641" spans="1:135" ht="14.25" customHeight="1">
      <c r="A641" s="18"/>
      <c r="B641" s="18"/>
      <c r="C641" s="19"/>
      <c r="D641" s="18"/>
      <c r="E641" s="18"/>
      <c r="F641" s="19"/>
      <c r="G641" s="18"/>
      <c r="H641" s="114"/>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40"/>
      <c r="AL641" s="141"/>
      <c r="AM641" s="141"/>
      <c r="AN641" s="141"/>
      <c r="AO641" s="141"/>
      <c r="AP641" s="141"/>
      <c r="AQ641" s="141"/>
      <c r="AR641" s="141"/>
      <c r="AS641" s="141"/>
      <c r="AT641" s="141"/>
      <c r="AU641" s="141"/>
      <c r="AV641" s="141"/>
      <c r="AW641" s="141"/>
      <c r="AX641" s="141"/>
      <c r="AY641" s="141"/>
      <c r="AZ641" s="141"/>
      <c r="BA641" s="141"/>
      <c r="BB641" s="141"/>
      <c r="BC641" s="141"/>
      <c r="BD641" s="141"/>
      <c r="BE641" s="141"/>
      <c r="BF641" s="141"/>
      <c r="BG641" s="18"/>
      <c r="BH641" s="1"/>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row>
    <row r="642" spans="1:135" ht="14.25" customHeight="1">
      <c r="A642" s="18"/>
      <c r="B642" s="18"/>
      <c r="C642" s="19"/>
      <c r="D642" s="18"/>
      <c r="E642" s="18"/>
      <c r="F642" s="19"/>
      <c r="G642" s="18"/>
      <c r="H642" s="114"/>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40"/>
      <c r="AL642" s="141"/>
      <c r="AM642" s="141"/>
      <c r="AN642" s="141"/>
      <c r="AO642" s="141"/>
      <c r="AP642" s="141"/>
      <c r="AQ642" s="141"/>
      <c r="AR642" s="141"/>
      <c r="AS642" s="141"/>
      <c r="AT642" s="141"/>
      <c r="AU642" s="141"/>
      <c r="AV642" s="141"/>
      <c r="AW642" s="141"/>
      <c r="AX642" s="141"/>
      <c r="AY642" s="141"/>
      <c r="AZ642" s="141"/>
      <c r="BA642" s="141"/>
      <c r="BB642" s="141"/>
      <c r="BC642" s="141"/>
      <c r="BD642" s="141"/>
      <c r="BE642" s="141"/>
      <c r="BF642" s="141"/>
      <c r="BG642" s="18"/>
      <c r="BH642" s="1"/>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row>
    <row r="643" spans="1:135" ht="14.25" customHeight="1">
      <c r="A643" s="18"/>
      <c r="B643" s="18"/>
      <c r="C643" s="19"/>
      <c r="D643" s="18"/>
      <c r="E643" s="18"/>
      <c r="F643" s="19"/>
      <c r="G643" s="18"/>
      <c r="H643" s="114"/>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40"/>
      <c r="AL643" s="141"/>
      <c r="AM643" s="141"/>
      <c r="AN643" s="141"/>
      <c r="AO643" s="141"/>
      <c r="AP643" s="141"/>
      <c r="AQ643" s="141"/>
      <c r="AR643" s="141"/>
      <c r="AS643" s="141"/>
      <c r="AT643" s="141"/>
      <c r="AU643" s="141"/>
      <c r="AV643" s="141"/>
      <c r="AW643" s="141"/>
      <c r="AX643" s="141"/>
      <c r="AY643" s="141"/>
      <c r="AZ643" s="141"/>
      <c r="BA643" s="141"/>
      <c r="BB643" s="141"/>
      <c r="BC643" s="141"/>
      <c r="BD643" s="141"/>
      <c r="BE643" s="141"/>
      <c r="BF643" s="141"/>
      <c r="BG643" s="18"/>
      <c r="BH643" s="1"/>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row>
    <row r="644" spans="1:135" ht="14.25" customHeight="1">
      <c r="A644" s="18"/>
      <c r="B644" s="18"/>
      <c r="C644" s="19"/>
      <c r="D644" s="18"/>
      <c r="E644" s="18"/>
      <c r="F644" s="19"/>
      <c r="G644" s="18"/>
      <c r="H644" s="114"/>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40"/>
      <c r="AL644" s="141"/>
      <c r="AM644" s="141"/>
      <c r="AN644" s="141"/>
      <c r="AO644" s="141"/>
      <c r="AP644" s="141"/>
      <c r="AQ644" s="141"/>
      <c r="AR644" s="141"/>
      <c r="AS644" s="141"/>
      <c r="AT644" s="141"/>
      <c r="AU644" s="141"/>
      <c r="AV644" s="141"/>
      <c r="AW644" s="141"/>
      <c r="AX644" s="141"/>
      <c r="AY644" s="141"/>
      <c r="AZ644" s="141"/>
      <c r="BA644" s="141"/>
      <c r="BB644" s="141"/>
      <c r="BC644" s="141"/>
      <c r="BD644" s="141"/>
      <c r="BE644" s="141"/>
      <c r="BF644" s="141"/>
      <c r="BG644" s="18"/>
      <c r="BH644" s="1"/>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row>
    <row r="645" spans="1:135" ht="14.25" customHeight="1">
      <c r="A645" s="18"/>
      <c r="B645" s="18"/>
      <c r="C645" s="19"/>
      <c r="D645" s="18"/>
      <c r="E645" s="18"/>
      <c r="F645" s="19"/>
      <c r="G645" s="18"/>
      <c r="H645" s="114"/>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40"/>
      <c r="AL645" s="141"/>
      <c r="AM645" s="141"/>
      <c r="AN645" s="141"/>
      <c r="AO645" s="141"/>
      <c r="AP645" s="141"/>
      <c r="AQ645" s="141"/>
      <c r="AR645" s="141"/>
      <c r="AS645" s="141"/>
      <c r="AT645" s="141"/>
      <c r="AU645" s="141"/>
      <c r="AV645" s="141"/>
      <c r="AW645" s="141"/>
      <c r="AX645" s="141"/>
      <c r="AY645" s="141"/>
      <c r="AZ645" s="141"/>
      <c r="BA645" s="141"/>
      <c r="BB645" s="141"/>
      <c r="BC645" s="141"/>
      <c r="BD645" s="141"/>
      <c r="BE645" s="141"/>
      <c r="BF645" s="141"/>
      <c r="BG645" s="18"/>
      <c r="BH645" s="1"/>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row>
    <row r="646" spans="1:135" ht="14.25" customHeight="1">
      <c r="A646" s="18"/>
      <c r="B646" s="18"/>
      <c r="C646" s="19"/>
      <c r="D646" s="18"/>
      <c r="E646" s="18"/>
      <c r="F646" s="19"/>
      <c r="G646" s="18"/>
      <c r="H646" s="114"/>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40"/>
      <c r="AL646" s="141"/>
      <c r="AM646" s="141"/>
      <c r="AN646" s="141"/>
      <c r="AO646" s="141"/>
      <c r="AP646" s="141"/>
      <c r="AQ646" s="141"/>
      <c r="AR646" s="141"/>
      <c r="AS646" s="141"/>
      <c r="AT646" s="141"/>
      <c r="AU646" s="141"/>
      <c r="AV646" s="141"/>
      <c r="AW646" s="141"/>
      <c r="AX646" s="141"/>
      <c r="AY646" s="141"/>
      <c r="AZ646" s="141"/>
      <c r="BA646" s="141"/>
      <c r="BB646" s="141"/>
      <c r="BC646" s="141"/>
      <c r="BD646" s="141"/>
      <c r="BE646" s="141"/>
      <c r="BF646" s="141"/>
      <c r="BG646" s="18"/>
      <c r="BH646" s="1"/>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row>
    <row r="647" spans="1:135" ht="14.25" customHeight="1">
      <c r="A647" s="18"/>
      <c r="B647" s="18"/>
      <c r="C647" s="19"/>
      <c r="D647" s="18"/>
      <c r="E647" s="18"/>
      <c r="F647" s="19"/>
      <c r="G647" s="18"/>
      <c r="H647" s="114"/>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40"/>
      <c r="AL647" s="141"/>
      <c r="AM647" s="141"/>
      <c r="AN647" s="141"/>
      <c r="AO647" s="141"/>
      <c r="AP647" s="141"/>
      <c r="AQ647" s="141"/>
      <c r="AR647" s="141"/>
      <c r="AS647" s="141"/>
      <c r="AT647" s="141"/>
      <c r="AU647" s="141"/>
      <c r="AV647" s="141"/>
      <c r="AW647" s="141"/>
      <c r="AX647" s="141"/>
      <c r="AY647" s="141"/>
      <c r="AZ647" s="141"/>
      <c r="BA647" s="141"/>
      <c r="BB647" s="141"/>
      <c r="BC647" s="141"/>
      <c r="BD647" s="141"/>
      <c r="BE647" s="141"/>
      <c r="BF647" s="141"/>
      <c r="BG647" s="18"/>
      <c r="BH647" s="1"/>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row>
    <row r="648" spans="1:135" ht="14.25" customHeight="1">
      <c r="A648" s="18"/>
      <c r="B648" s="18"/>
      <c r="C648" s="19"/>
      <c r="D648" s="18"/>
      <c r="E648" s="18"/>
      <c r="F648" s="19"/>
      <c r="G648" s="18"/>
      <c r="H648" s="114"/>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40"/>
      <c r="AL648" s="141"/>
      <c r="AM648" s="141"/>
      <c r="AN648" s="141"/>
      <c r="AO648" s="141"/>
      <c r="AP648" s="141"/>
      <c r="AQ648" s="141"/>
      <c r="AR648" s="141"/>
      <c r="AS648" s="141"/>
      <c r="AT648" s="141"/>
      <c r="AU648" s="141"/>
      <c r="AV648" s="141"/>
      <c r="AW648" s="141"/>
      <c r="AX648" s="141"/>
      <c r="AY648" s="141"/>
      <c r="AZ648" s="141"/>
      <c r="BA648" s="141"/>
      <c r="BB648" s="141"/>
      <c r="BC648" s="141"/>
      <c r="BD648" s="141"/>
      <c r="BE648" s="141"/>
      <c r="BF648" s="141"/>
      <c r="BG648" s="18"/>
      <c r="BH648" s="1"/>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row>
    <row r="649" spans="1:135" ht="14.25" customHeight="1">
      <c r="A649" s="18"/>
      <c r="B649" s="18"/>
      <c r="C649" s="19"/>
      <c r="D649" s="18"/>
      <c r="E649" s="18"/>
      <c r="F649" s="19"/>
      <c r="G649" s="18"/>
      <c r="H649" s="114"/>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40"/>
      <c r="AL649" s="141"/>
      <c r="AM649" s="141"/>
      <c r="AN649" s="141"/>
      <c r="AO649" s="141"/>
      <c r="AP649" s="141"/>
      <c r="AQ649" s="141"/>
      <c r="AR649" s="141"/>
      <c r="AS649" s="141"/>
      <c r="AT649" s="141"/>
      <c r="AU649" s="141"/>
      <c r="AV649" s="141"/>
      <c r="AW649" s="141"/>
      <c r="AX649" s="141"/>
      <c r="AY649" s="141"/>
      <c r="AZ649" s="141"/>
      <c r="BA649" s="141"/>
      <c r="BB649" s="141"/>
      <c r="BC649" s="141"/>
      <c r="BD649" s="141"/>
      <c r="BE649" s="141"/>
      <c r="BF649" s="141"/>
      <c r="BG649" s="18"/>
      <c r="BH649" s="1"/>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row>
    <row r="650" spans="1:135" ht="14.25" customHeight="1">
      <c r="A650" s="18"/>
      <c r="B650" s="18"/>
      <c r="C650" s="19"/>
      <c r="D650" s="18"/>
      <c r="E650" s="18"/>
      <c r="F650" s="19"/>
      <c r="G650" s="18"/>
      <c r="H650" s="114"/>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40"/>
      <c r="AL650" s="141"/>
      <c r="AM650" s="141"/>
      <c r="AN650" s="141"/>
      <c r="AO650" s="141"/>
      <c r="AP650" s="141"/>
      <c r="AQ650" s="141"/>
      <c r="AR650" s="141"/>
      <c r="AS650" s="141"/>
      <c r="AT650" s="141"/>
      <c r="AU650" s="141"/>
      <c r="AV650" s="141"/>
      <c r="AW650" s="141"/>
      <c r="AX650" s="141"/>
      <c r="AY650" s="141"/>
      <c r="AZ650" s="141"/>
      <c r="BA650" s="141"/>
      <c r="BB650" s="141"/>
      <c r="BC650" s="141"/>
      <c r="BD650" s="141"/>
      <c r="BE650" s="141"/>
      <c r="BF650" s="141"/>
      <c r="BG650" s="18"/>
      <c r="BH650" s="1"/>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row>
    <row r="651" spans="1:135" ht="14.25" customHeight="1">
      <c r="A651" s="18"/>
      <c r="B651" s="18"/>
      <c r="C651" s="19"/>
      <c r="D651" s="18"/>
      <c r="E651" s="18"/>
      <c r="F651" s="19"/>
      <c r="G651" s="18"/>
      <c r="H651" s="114"/>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40"/>
      <c r="AL651" s="141"/>
      <c r="AM651" s="141"/>
      <c r="AN651" s="141"/>
      <c r="AO651" s="141"/>
      <c r="AP651" s="141"/>
      <c r="AQ651" s="141"/>
      <c r="AR651" s="141"/>
      <c r="AS651" s="141"/>
      <c r="AT651" s="141"/>
      <c r="AU651" s="141"/>
      <c r="AV651" s="141"/>
      <c r="AW651" s="141"/>
      <c r="AX651" s="141"/>
      <c r="AY651" s="141"/>
      <c r="AZ651" s="141"/>
      <c r="BA651" s="141"/>
      <c r="BB651" s="141"/>
      <c r="BC651" s="141"/>
      <c r="BD651" s="141"/>
      <c r="BE651" s="141"/>
      <c r="BF651" s="141"/>
      <c r="BG651" s="18"/>
      <c r="BH651" s="1"/>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row>
    <row r="652" spans="1:135" ht="14.25" customHeight="1">
      <c r="A652" s="18"/>
      <c r="B652" s="18"/>
      <c r="C652" s="19"/>
      <c r="D652" s="18"/>
      <c r="E652" s="18"/>
      <c r="F652" s="19"/>
      <c r="G652" s="18"/>
      <c r="H652" s="114"/>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40"/>
      <c r="AL652" s="141"/>
      <c r="AM652" s="141"/>
      <c r="AN652" s="141"/>
      <c r="AO652" s="141"/>
      <c r="AP652" s="141"/>
      <c r="AQ652" s="141"/>
      <c r="AR652" s="141"/>
      <c r="AS652" s="141"/>
      <c r="AT652" s="141"/>
      <c r="AU652" s="141"/>
      <c r="AV652" s="141"/>
      <c r="AW652" s="141"/>
      <c r="AX652" s="141"/>
      <c r="AY652" s="141"/>
      <c r="AZ652" s="141"/>
      <c r="BA652" s="141"/>
      <c r="BB652" s="141"/>
      <c r="BC652" s="141"/>
      <c r="BD652" s="141"/>
      <c r="BE652" s="141"/>
      <c r="BF652" s="141"/>
      <c r="BG652" s="18"/>
      <c r="BH652" s="1"/>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row>
    <row r="653" spans="1:135" ht="14.25" customHeight="1">
      <c r="A653" s="18"/>
      <c r="B653" s="18"/>
      <c r="C653" s="19"/>
      <c r="D653" s="18"/>
      <c r="E653" s="18"/>
      <c r="F653" s="19"/>
      <c r="G653" s="18"/>
      <c r="H653" s="114"/>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40"/>
      <c r="AL653" s="141"/>
      <c r="AM653" s="141"/>
      <c r="AN653" s="141"/>
      <c r="AO653" s="141"/>
      <c r="AP653" s="141"/>
      <c r="AQ653" s="141"/>
      <c r="AR653" s="141"/>
      <c r="AS653" s="141"/>
      <c r="AT653" s="141"/>
      <c r="AU653" s="141"/>
      <c r="AV653" s="141"/>
      <c r="AW653" s="141"/>
      <c r="AX653" s="141"/>
      <c r="AY653" s="141"/>
      <c r="AZ653" s="141"/>
      <c r="BA653" s="141"/>
      <c r="BB653" s="141"/>
      <c r="BC653" s="141"/>
      <c r="BD653" s="141"/>
      <c r="BE653" s="141"/>
      <c r="BF653" s="141"/>
      <c r="BG653" s="18"/>
      <c r="BH653" s="1"/>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row>
    <row r="654" spans="1:135" ht="14.25" customHeight="1">
      <c r="A654" s="18"/>
      <c r="B654" s="18"/>
      <c r="C654" s="19"/>
      <c r="D654" s="18"/>
      <c r="E654" s="18"/>
      <c r="F654" s="19"/>
      <c r="G654" s="18"/>
      <c r="H654" s="114"/>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40"/>
      <c r="AL654" s="141"/>
      <c r="AM654" s="141"/>
      <c r="AN654" s="141"/>
      <c r="AO654" s="141"/>
      <c r="AP654" s="141"/>
      <c r="AQ654" s="141"/>
      <c r="AR654" s="141"/>
      <c r="AS654" s="141"/>
      <c r="AT654" s="141"/>
      <c r="AU654" s="141"/>
      <c r="AV654" s="141"/>
      <c r="AW654" s="141"/>
      <c r="AX654" s="141"/>
      <c r="AY654" s="141"/>
      <c r="AZ654" s="141"/>
      <c r="BA654" s="141"/>
      <c r="BB654" s="141"/>
      <c r="BC654" s="141"/>
      <c r="BD654" s="141"/>
      <c r="BE654" s="141"/>
      <c r="BF654" s="141"/>
      <c r="BG654" s="18"/>
      <c r="BH654" s="1"/>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row>
    <row r="655" spans="1:135" ht="14.25" customHeight="1">
      <c r="A655" s="18"/>
      <c r="B655" s="18"/>
      <c r="C655" s="19"/>
      <c r="D655" s="18"/>
      <c r="E655" s="18"/>
      <c r="F655" s="19"/>
      <c r="G655" s="18"/>
      <c r="H655" s="114"/>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40"/>
      <c r="AL655" s="141"/>
      <c r="AM655" s="141"/>
      <c r="AN655" s="141"/>
      <c r="AO655" s="141"/>
      <c r="AP655" s="141"/>
      <c r="AQ655" s="141"/>
      <c r="AR655" s="141"/>
      <c r="AS655" s="141"/>
      <c r="AT655" s="141"/>
      <c r="AU655" s="141"/>
      <c r="AV655" s="141"/>
      <c r="AW655" s="141"/>
      <c r="AX655" s="141"/>
      <c r="AY655" s="141"/>
      <c r="AZ655" s="141"/>
      <c r="BA655" s="141"/>
      <c r="BB655" s="141"/>
      <c r="BC655" s="141"/>
      <c r="BD655" s="141"/>
      <c r="BE655" s="141"/>
      <c r="BF655" s="141"/>
      <c r="BG655" s="18"/>
      <c r="BH655" s="1"/>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row>
    <row r="656" spans="1:135" ht="14.25" customHeight="1">
      <c r="A656" s="18"/>
      <c r="B656" s="18"/>
      <c r="C656" s="19"/>
      <c r="D656" s="18"/>
      <c r="E656" s="18"/>
      <c r="F656" s="19"/>
      <c r="G656" s="18"/>
      <c r="H656" s="114"/>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40"/>
      <c r="AL656" s="141"/>
      <c r="AM656" s="141"/>
      <c r="AN656" s="141"/>
      <c r="AO656" s="141"/>
      <c r="AP656" s="141"/>
      <c r="AQ656" s="141"/>
      <c r="AR656" s="141"/>
      <c r="AS656" s="141"/>
      <c r="AT656" s="141"/>
      <c r="AU656" s="141"/>
      <c r="AV656" s="141"/>
      <c r="AW656" s="141"/>
      <c r="AX656" s="141"/>
      <c r="AY656" s="141"/>
      <c r="AZ656" s="141"/>
      <c r="BA656" s="141"/>
      <c r="BB656" s="141"/>
      <c r="BC656" s="141"/>
      <c r="BD656" s="141"/>
      <c r="BE656" s="141"/>
      <c r="BF656" s="141"/>
      <c r="BG656" s="18"/>
      <c r="BH656" s="1"/>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row>
    <row r="657" spans="1:135" ht="14.25" customHeight="1">
      <c r="A657" s="18"/>
      <c r="B657" s="18"/>
      <c r="C657" s="19"/>
      <c r="D657" s="18"/>
      <c r="E657" s="18"/>
      <c r="F657" s="19"/>
      <c r="G657" s="18"/>
      <c r="H657" s="114"/>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40"/>
      <c r="AL657" s="141"/>
      <c r="AM657" s="141"/>
      <c r="AN657" s="141"/>
      <c r="AO657" s="141"/>
      <c r="AP657" s="141"/>
      <c r="AQ657" s="141"/>
      <c r="AR657" s="141"/>
      <c r="AS657" s="141"/>
      <c r="AT657" s="141"/>
      <c r="AU657" s="141"/>
      <c r="AV657" s="141"/>
      <c r="AW657" s="141"/>
      <c r="AX657" s="141"/>
      <c r="AY657" s="141"/>
      <c r="AZ657" s="141"/>
      <c r="BA657" s="141"/>
      <c r="BB657" s="141"/>
      <c r="BC657" s="141"/>
      <c r="BD657" s="141"/>
      <c r="BE657" s="141"/>
      <c r="BF657" s="141"/>
      <c r="BG657" s="18"/>
      <c r="BH657" s="1"/>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row>
    <row r="658" spans="1:135" ht="14.25" customHeight="1">
      <c r="A658" s="18"/>
      <c r="B658" s="18"/>
      <c r="C658" s="19"/>
      <c r="D658" s="18"/>
      <c r="E658" s="18"/>
      <c r="F658" s="19"/>
      <c r="G658" s="18"/>
      <c r="H658" s="114"/>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40"/>
      <c r="AL658" s="141"/>
      <c r="AM658" s="141"/>
      <c r="AN658" s="141"/>
      <c r="AO658" s="141"/>
      <c r="AP658" s="141"/>
      <c r="AQ658" s="141"/>
      <c r="AR658" s="141"/>
      <c r="AS658" s="141"/>
      <c r="AT658" s="141"/>
      <c r="AU658" s="141"/>
      <c r="AV658" s="141"/>
      <c r="AW658" s="141"/>
      <c r="AX658" s="141"/>
      <c r="AY658" s="141"/>
      <c r="AZ658" s="141"/>
      <c r="BA658" s="141"/>
      <c r="BB658" s="141"/>
      <c r="BC658" s="141"/>
      <c r="BD658" s="141"/>
      <c r="BE658" s="141"/>
      <c r="BF658" s="141"/>
      <c r="BG658" s="18"/>
      <c r="BH658" s="1"/>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row>
    <row r="659" spans="1:135" ht="14.25" customHeight="1">
      <c r="A659" s="18"/>
      <c r="B659" s="18"/>
      <c r="C659" s="19"/>
      <c r="D659" s="18"/>
      <c r="E659" s="18"/>
      <c r="F659" s="19"/>
      <c r="G659" s="18"/>
      <c r="H659" s="114"/>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40"/>
      <c r="AL659" s="141"/>
      <c r="AM659" s="141"/>
      <c r="AN659" s="141"/>
      <c r="AO659" s="141"/>
      <c r="AP659" s="141"/>
      <c r="AQ659" s="141"/>
      <c r="AR659" s="141"/>
      <c r="AS659" s="141"/>
      <c r="AT659" s="141"/>
      <c r="AU659" s="141"/>
      <c r="AV659" s="141"/>
      <c r="AW659" s="141"/>
      <c r="AX659" s="141"/>
      <c r="AY659" s="141"/>
      <c r="AZ659" s="141"/>
      <c r="BA659" s="141"/>
      <c r="BB659" s="141"/>
      <c r="BC659" s="141"/>
      <c r="BD659" s="141"/>
      <c r="BE659" s="141"/>
      <c r="BF659" s="141"/>
      <c r="BG659" s="18"/>
      <c r="BH659" s="1"/>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row>
    <row r="660" spans="1:135" ht="14.25" customHeight="1">
      <c r="A660" s="18"/>
      <c r="B660" s="18"/>
      <c r="C660" s="19"/>
      <c r="D660" s="18"/>
      <c r="E660" s="18"/>
      <c r="F660" s="19"/>
      <c r="G660" s="18"/>
      <c r="H660" s="114"/>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40"/>
      <c r="AL660" s="141"/>
      <c r="AM660" s="141"/>
      <c r="AN660" s="141"/>
      <c r="AO660" s="141"/>
      <c r="AP660" s="141"/>
      <c r="AQ660" s="141"/>
      <c r="AR660" s="141"/>
      <c r="AS660" s="141"/>
      <c r="AT660" s="141"/>
      <c r="AU660" s="141"/>
      <c r="AV660" s="141"/>
      <c r="AW660" s="141"/>
      <c r="AX660" s="141"/>
      <c r="AY660" s="141"/>
      <c r="AZ660" s="141"/>
      <c r="BA660" s="141"/>
      <c r="BB660" s="141"/>
      <c r="BC660" s="141"/>
      <c r="BD660" s="141"/>
      <c r="BE660" s="141"/>
      <c r="BF660" s="141"/>
      <c r="BG660" s="18"/>
      <c r="BH660" s="1"/>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row>
    <row r="661" spans="1:135" ht="14.25" customHeight="1">
      <c r="A661" s="18"/>
      <c r="B661" s="18"/>
      <c r="C661" s="19"/>
      <c r="D661" s="18"/>
      <c r="E661" s="18"/>
      <c r="F661" s="19"/>
      <c r="G661" s="18"/>
      <c r="H661" s="114"/>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40"/>
      <c r="AL661" s="141"/>
      <c r="AM661" s="141"/>
      <c r="AN661" s="141"/>
      <c r="AO661" s="141"/>
      <c r="AP661" s="141"/>
      <c r="AQ661" s="141"/>
      <c r="AR661" s="141"/>
      <c r="AS661" s="141"/>
      <c r="AT661" s="141"/>
      <c r="AU661" s="141"/>
      <c r="AV661" s="141"/>
      <c r="AW661" s="141"/>
      <c r="AX661" s="141"/>
      <c r="AY661" s="141"/>
      <c r="AZ661" s="141"/>
      <c r="BA661" s="141"/>
      <c r="BB661" s="141"/>
      <c r="BC661" s="141"/>
      <c r="BD661" s="141"/>
      <c r="BE661" s="141"/>
      <c r="BF661" s="141"/>
      <c r="BG661" s="18"/>
      <c r="BH661" s="1"/>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row>
    <row r="662" spans="1:135" ht="14.25" customHeight="1">
      <c r="A662" s="18"/>
      <c r="B662" s="18"/>
      <c r="C662" s="19"/>
      <c r="D662" s="18"/>
      <c r="E662" s="18"/>
      <c r="F662" s="19"/>
      <c r="G662" s="18"/>
      <c r="H662" s="114"/>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40"/>
      <c r="AL662" s="141"/>
      <c r="AM662" s="141"/>
      <c r="AN662" s="141"/>
      <c r="AO662" s="141"/>
      <c r="AP662" s="141"/>
      <c r="AQ662" s="141"/>
      <c r="AR662" s="141"/>
      <c r="AS662" s="141"/>
      <c r="AT662" s="141"/>
      <c r="AU662" s="141"/>
      <c r="AV662" s="141"/>
      <c r="AW662" s="141"/>
      <c r="AX662" s="141"/>
      <c r="AY662" s="141"/>
      <c r="AZ662" s="141"/>
      <c r="BA662" s="141"/>
      <c r="BB662" s="141"/>
      <c r="BC662" s="141"/>
      <c r="BD662" s="141"/>
      <c r="BE662" s="141"/>
      <c r="BF662" s="141"/>
      <c r="BG662" s="18"/>
      <c r="BH662" s="1"/>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row>
    <row r="663" spans="1:135" ht="14.25" customHeight="1">
      <c r="A663" s="18"/>
      <c r="B663" s="18"/>
      <c r="C663" s="19"/>
      <c r="D663" s="18"/>
      <c r="E663" s="18"/>
      <c r="F663" s="19"/>
      <c r="G663" s="18"/>
      <c r="H663" s="114"/>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40"/>
      <c r="AL663" s="141"/>
      <c r="AM663" s="141"/>
      <c r="AN663" s="141"/>
      <c r="AO663" s="141"/>
      <c r="AP663" s="141"/>
      <c r="AQ663" s="141"/>
      <c r="AR663" s="141"/>
      <c r="AS663" s="141"/>
      <c r="AT663" s="141"/>
      <c r="AU663" s="141"/>
      <c r="AV663" s="141"/>
      <c r="AW663" s="141"/>
      <c r="AX663" s="141"/>
      <c r="AY663" s="141"/>
      <c r="AZ663" s="141"/>
      <c r="BA663" s="141"/>
      <c r="BB663" s="141"/>
      <c r="BC663" s="141"/>
      <c r="BD663" s="141"/>
      <c r="BE663" s="141"/>
      <c r="BF663" s="141"/>
      <c r="BG663" s="18"/>
      <c r="BH663" s="1"/>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row>
    <row r="664" spans="1:135" ht="14.25" customHeight="1">
      <c r="A664" s="18"/>
      <c r="B664" s="18"/>
      <c r="C664" s="19"/>
      <c r="D664" s="18"/>
      <c r="E664" s="18"/>
      <c r="F664" s="19"/>
      <c r="G664" s="18"/>
      <c r="H664" s="114"/>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40"/>
      <c r="AL664" s="141"/>
      <c r="AM664" s="141"/>
      <c r="AN664" s="141"/>
      <c r="AO664" s="141"/>
      <c r="AP664" s="141"/>
      <c r="AQ664" s="141"/>
      <c r="AR664" s="141"/>
      <c r="AS664" s="141"/>
      <c r="AT664" s="141"/>
      <c r="AU664" s="141"/>
      <c r="AV664" s="141"/>
      <c r="AW664" s="141"/>
      <c r="AX664" s="141"/>
      <c r="AY664" s="141"/>
      <c r="AZ664" s="141"/>
      <c r="BA664" s="141"/>
      <c r="BB664" s="141"/>
      <c r="BC664" s="141"/>
      <c r="BD664" s="141"/>
      <c r="BE664" s="141"/>
      <c r="BF664" s="141"/>
      <c r="BG664" s="18"/>
      <c r="BH664" s="1"/>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row>
    <row r="665" spans="1:135" ht="14.25" customHeight="1">
      <c r="A665" s="18"/>
      <c r="B665" s="18"/>
      <c r="C665" s="19"/>
      <c r="D665" s="18"/>
      <c r="E665" s="18"/>
      <c r="F665" s="19"/>
      <c r="G665" s="18"/>
      <c r="H665" s="114"/>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40"/>
      <c r="AL665" s="141"/>
      <c r="AM665" s="141"/>
      <c r="AN665" s="141"/>
      <c r="AO665" s="141"/>
      <c r="AP665" s="141"/>
      <c r="AQ665" s="141"/>
      <c r="AR665" s="141"/>
      <c r="AS665" s="141"/>
      <c r="AT665" s="141"/>
      <c r="AU665" s="141"/>
      <c r="AV665" s="141"/>
      <c r="AW665" s="141"/>
      <c r="AX665" s="141"/>
      <c r="AY665" s="141"/>
      <c r="AZ665" s="141"/>
      <c r="BA665" s="141"/>
      <c r="BB665" s="141"/>
      <c r="BC665" s="141"/>
      <c r="BD665" s="141"/>
      <c r="BE665" s="141"/>
      <c r="BF665" s="141"/>
      <c r="BG665" s="18"/>
      <c r="BH665" s="1"/>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row>
    <row r="666" spans="1:135" ht="14.25" customHeight="1">
      <c r="A666" s="18"/>
      <c r="B666" s="18"/>
      <c r="C666" s="19"/>
      <c r="D666" s="18"/>
      <c r="E666" s="18"/>
      <c r="F666" s="19"/>
      <c r="G666" s="18"/>
      <c r="H666" s="114"/>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40"/>
      <c r="AL666" s="141"/>
      <c r="AM666" s="141"/>
      <c r="AN666" s="141"/>
      <c r="AO666" s="141"/>
      <c r="AP666" s="141"/>
      <c r="AQ666" s="141"/>
      <c r="AR666" s="141"/>
      <c r="AS666" s="141"/>
      <c r="AT666" s="141"/>
      <c r="AU666" s="141"/>
      <c r="AV666" s="141"/>
      <c r="AW666" s="141"/>
      <c r="AX666" s="141"/>
      <c r="AY666" s="141"/>
      <c r="AZ666" s="141"/>
      <c r="BA666" s="141"/>
      <c r="BB666" s="141"/>
      <c r="BC666" s="141"/>
      <c r="BD666" s="141"/>
      <c r="BE666" s="141"/>
      <c r="BF666" s="141"/>
      <c r="BG666" s="18"/>
      <c r="BH666" s="1"/>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row>
    <row r="667" spans="1:135" ht="14.25" customHeight="1">
      <c r="A667" s="18"/>
      <c r="B667" s="18"/>
      <c r="C667" s="19"/>
      <c r="D667" s="18"/>
      <c r="E667" s="18"/>
      <c r="F667" s="19"/>
      <c r="G667" s="18"/>
      <c r="H667" s="114"/>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40"/>
      <c r="AL667" s="141"/>
      <c r="AM667" s="141"/>
      <c r="AN667" s="141"/>
      <c r="AO667" s="141"/>
      <c r="AP667" s="141"/>
      <c r="AQ667" s="141"/>
      <c r="AR667" s="141"/>
      <c r="AS667" s="141"/>
      <c r="AT667" s="141"/>
      <c r="AU667" s="141"/>
      <c r="AV667" s="141"/>
      <c r="AW667" s="141"/>
      <c r="AX667" s="141"/>
      <c r="AY667" s="141"/>
      <c r="AZ667" s="141"/>
      <c r="BA667" s="141"/>
      <c r="BB667" s="141"/>
      <c r="BC667" s="141"/>
      <c r="BD667" s="141"/>
      <c r="BE667" s="141"/>
      <c r="BF667" s="141"/>
      <c r="BG667" s="18"/>
      <c r="BH667" s="1"/>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row>
    <row r="668" spans="1:135" ht="14.25" customHeight="1">
      <c r="A668" s="18"/>
      <c r="B668" s="18"/>
      <c r="C668" s="19"/>
      <c r="D668" s="18"/>
      <c r="E668" s="18"/>
      <c r="F668" s="19"/>
      <c r="G668" s="18"/>
      <c r="H668" s="114"/>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40"/>
      <c r="AL668" s="141"/>
      <c r="AM668" s="141"/>
      <c r="AN668" s="141"/>
      <c r="AO668" s="141"/>
      <c r="AP668" s="141"/>
      <c r="AQ668" s="141"/>
      <c r="AR668" s="141"/>
      <c r="AS668" s="141"/>
      <c r="AT668" s="141"/>
      <c r="AU668" s="141"/>
      <c r="AV668" s="141"/>
      <c r="AW668" s="141"/>
      <c r="AX668" s="141"/>
      <c r="AY668" s="141"/>
      <c r="AZ668" s="141"/>
      <c r="BA668" s="141"/>
      <c r="BB668" s="141"/>
      <c r="BC668" s="141"/>
      <c r="BD668" s="141"/>
      <c r="BE668" s="141"/>
      <c r="BF668" s="141"/>
      <c r="BG668" s="18"/>
      <c r="BH668" s="1"/>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row>
    <row r="669" spans="1:135" ht="14.25" customHeight="1">
      <c r="A669" s="18"/>
      <c r="B669" s="18"/>
      <c r="C669" s="19"/>
      <c r="D669" s="18"/>
      <c r="E669" s="18"/>
      <c r="F669" s="19"/>
      <c r="G669" s="18"/>
      <c r="H669" s="114"/>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40"/>
      <c r="AL669" s="141"/>
      <c r="AM669" s="141"/>
      <c r="AN669" s="141"/>
      <c r="AO669" s="141"/>
      <c r="AP669" s="141"/>
      <c r="AQ669" s="141"/>
      <c r="AR669" s="141"/>
      <c r="AS669" s="141"/>
      <c r="AT669" s="141"/>
      <c r="AU669" s="141"/>
      <c r="AV669" s="141"/>
      <c r="AW669" s="141"/>
      <c r="AX669" s="141"/>
      <c r="AY669" s="141"/>
      <c r="AZ669" s="141"/>
      <c r="BA669" s="141"/>
      <c r="BB669" s="141"/>
      <c r="BC669" s="141"/>
      <c r="BD669" s="141"/>
      <c r="BE669" s="141"/>
      <c r="BF669" s="141"/>
      <c r="BG669" s="18"/>
      <c r="BH669" s="1"/>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row>
    <row r="670" spans="1:135" ht="14.25" customHeight="1">
      <c r="A670" s="18"/>
      <c r="B670" s="18"/>
      <c r="C670" s="19"/>
      <c r="D670" s="18"/>
      <c r="E670" s="18"/>
      <c r="F670" s="19"/>
      <c r="G670" s="18"/>
      <c r="H670" s="114"/>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40"/>
      <c r="AL670" s="141"/>
      <c r="AM670" s="141"/>
      <c r="AN670" s="141"/>
      <c r="AO670" s="141"/>
      <c r="AP670" s="141"/>
      <c r="AQ670" s="141"/>
      <c r="AR670" s="141"/>
      <c r="AS670" s="141"/>
      <c r="AT670" s="141"/>
      <c r="AU670" s="141"/>
      <c r="AV670" s="141"/>
      <c r="AW670" s="141"/>
      <c r="AX670" s="141"/>
      <c r="AY670" s="141"/>
      <c r="AZ670" s="141"/>
      <c r="BA670" s="141"/>
      <c r="BB670" s="141"/>
      <c r="BC670" s="141"/>
      <c r="BD670" s="141"/>
      <c r="BE670" s="141"/>
      <c r="BF670" s="141"/>
      <c r="BG670" s="18"/>
      <c r="BH670" s="1"/>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row>
    <row r="671" spans="1:135" ht="14.25" customHeight="1">
      <c r="A671" s="18"/>
      <c r="B671" s="18"/>
      <c r="C671" s="19"/>
      <c r="D671" s="18"/>
      <c r="E671" s="18"/>
      <c r="F671" s="19"/>
      <c r="G671" s="18"/>
      <c r="H671" s="114"/>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40"/>
      <c r="AL671" s="141"/>
      <c r="AM671" s="141"/>
      <c r="AN671" s="141"/>
      <c r="AO671" s="141"/>
      <c r="AP671" s="141"/>
      <c r="AQ671" s="141"/>
      <c r="AR671" s="141"/>
      <c r="AS671" s="141"/>
      <c r="AT671" s="141"/>
      <c r="AU671" s="141"/>
      <c r="AV671" s="141"/>
      <c r="AW671" s="141"/>
      <c r="AX671" s="141"/>
      <c r="AY671" s="141"/>
      <c r="AZ671" s="141"/>
      <c r="BA671" s="141"/>
      <c r="BB671" s="141"/>
      <c r="BC671" s="141"/>
      <c r="BD671" s="141"/>
      <c r="BE671" s="141"/>
      <c r="BF671" s="141"/>
      <c r="BG671" s="18"/>
      <c r="BH671" s="1"/>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row>
    <row r="672" spans="1:135" ht="14.25" customHeight="1">
      <c r="A672" s="18"/>
      <c r="B672" s="18"/>
      <c r="C672" s="19"/>
      <c r="D672" s="18"/>
      <c r="E672" s="18"/>
      <c r="F672" s="19"/>
      <c r="G672" s="18"/>
      <c r="H672" s="114"/>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40"/>
      <c r="AL672" s="141"/>
      <c r="AM672" s="141"/>
      <c r="AN672" s="141"/>
      <c r="AO672" s="141"/>
      <c r="AP672" s="141"/>
      <c r="AQ672" s="141"/>
      <c r="AR672" s="141"/>
      <c r="AS672" s="141"/>
      <c r="AT672" s="141"/>
      <c r="AU672" s="141"/>
      <c r="AV672" s="141"/>
      <c r="AW672" s="141"/>
      <c r="AX672" s="141"/>
      <c r="AY672" s="141"/>
      <c r="AZ672" s="141"/>
      <c r="BA672" s="141"/>
      <c r="BB672" s="141"/>
      <c r="BC672" s="141"/>
      <c r="BD672" s="141"/>
      <c r="BE672" s="141"/>
      <c r="BF672" s="141"/>
      <c r="BG672" s="18"/>
      <c r="BH672" s="1"/>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row>
    <row r="673" spans="1:135" ht="14.25" customHeight="1">
      <c r="A673" s="18"/>
      <c r="B673" s="18"/>
      <c r="C673" s="19"/>
      <c r="D673" s="18"/>
      <c r="E673" s="18"/>
      <c r="F673" s="19"/>
      <c r="G673" s="18"/>
      <c r="H673" s="114"/>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40"/>
      <c r="AL673" s="141"/>
      <c r="AM673" s="141"/>
      <c r="AN673" s="141"/>
      <c r="AO673" s="141"/>
      <c r="AP673" s="141"/>
      <c r="AQ673" s="141"/>
      <c r="AR673" s="141"/>
      <c r="AS673" s="141"/>
      <c r="AT673" s="141"/>
      <c r="AU673" s="141"/>
      <c r="AV673" s="141"/>
      <c r="AW673" s="141"/>
      <c r="AX673" s="141"/>
      <c r="AY673" s="141"/>
      <c r="AZ673" s="141"/>
      <c r="BA673" s="141"/>
      <c r="BB673" s="141"/>
      <c r="BC673" s="141"/>
      <c r="BD673" s="141"/>
      <c r="BE673" s="141"/>
      <c r="BF673" s="141"/>
      <c r="BG673" s="18"/>
      <c r="BH673" s="1"/>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row>
    <row r="674" spans="1:135" ht="14.25" customHeight="1">
      <c r="A674" s="18"/>
      <c r="B674" s="18"/>
      <c r="C674" s="19"/>
      <c r="D674" s="18"/>
      <c r="E674" s="18"/>
      <c r="F674" s="19"/>
      <c r="G674" s="18"/>
      <c r="H674" s="114"/>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40"/>
      <c r="AL674" s="141"/>
      <c r="AM674" s="141"/>
      <c r="AN674" s="141"/>
      <c r="AO674" s="141"/>
      <c r="AP674" s="141"/>
      <c r="AQ674" s="141"/>
      <c r="AR674" s="141"/>
      <c r="AS674" s="141"/>
      <c r="AT674" s="141"/>
      <c r="AU674" s="141"/>
      <c r="AV674" s="141"/>
      <c r="AW674" s="141"/>
      <c r="AX674" s="141"/>
      <c r="AY674" s="141"/>
      <c r="AZ674" s="141"/>
      <c r="BA674" s="141"/>
      <c r="BB674" s="141"/>
      <c r="BC674" s="141"/>
      <c r="BD674" s="141"/>
      <c r="BE674" s="141"/>
      <c r="BF674" s="141"/>
      <c r="BG674" s="18"/>
      <c r="BH674" s="1"/>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row>
    <row r="675" spans="1:135" ht="14.25" customHeight="1">
      <c r="A675" s="18"/>
      <c r="B675" s="18"/>
      <c r="C675" s="19"/>
      <c r="D675" s="18"/>
      <c r="E675" s="18"/>
      <c r="F675" s="19"/>
      <c r="G675" s="18"/>
      <c r="H675" s="114"/>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40"/>
      <c r="AL675" s="141"/>
      <c r="AM675" s="141"/>
      <c r="AN675" s="141"/>
      <c r="AO675" s="141"/>
      <c r="AP675" s="141"/>
      <c r="AQ675" s="141"/>
      <c r="AR675" s="141"/>
      <c r="AS675" s="141"/>
      <c r="AT675" s="141"/>
      <c r="AU675" s="141"/>
      <c r="AV675" s="141"/>
      <c r="AW675" s="141"/>
      <c r="AX675" s="141"/>
      <c r="AY675" s="141"/>
      <c r="AZ675" s="141"/>
      <c r="BA675" s="141"/>
      <c r="BB675" s="141"/>
      <c r="BC675" s="141"/>
      <c r="BD675" s="141"/>
      <c r="BE675" s="141"/>
      <c r="BF675" s="141"/>
      <c r="BG675" s="18"/>
      <c r="BH675" s="1"/>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row>
    <row r="676" spans="1:135" ht="14.25" customHeight="1">
      <c r="A676" s="18"/>
      <c r="B676" s="18"/>
      <c r="C676" s="19"/>
      <c r="D676" s="18"/>
      <c r="E676" s="18"/>
      <c r="F676" s="19"/>
      <c r="G676" s="18"/>
      <c r="H676" s="114"/>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40"/>
      <c r="AL676" s="141"/>
      <c r="AM676" s="141"/>
      <c r="AN676" s="141"/>
      <c r="AO676" s="141"/>
      <c r="AP676" s="141"/>
      <c r="AQ676" s="141"/>
      <c r="AR676" s="141"/>
      <c r="AS676" s="141"/>
      <c r="AT676" s="141"/>
      <c r="AU676" s="141"/>
      <c r="AV676" s="141"/>
      <c r="AW676" s="141"/>
      <c r="AX676" s="141"/>
      <c r="AY676" s="141"/>
      <c r="AZ676" s="141"/>
      <c r="BA676" s="141"/>
      <c r="BB676" s="141"/>
      <c r="BC676" s="141"/>
      <c r="BD676" s="141"/>
      <c r="BE676" s="141"/>
      <c r="BF676" s="141"/>
      <c r="BG676" s="18"/>
      <c r="BH676" s="1"/>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row>
    <row r="677" spans="1:135" ht="14.25" customHeight="1">
      <c r="A677" s="18"/>
      <c r="B677" s="18"/>
      <c r="C677" s="19"/>
      <c r="D677" s="18"/>
      <c r="E677" s="18"/>
      <c r="F677" s="19"/>
      <c r="G677" s="18"/>
      <c r="H677" s="114"/>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40"/>
      <c r="AL677" s="141"/>
      <c r="AM677" s="141"/>
      <c r="AN677" s="141"/>
      <c r="AO677" s="141"/>
      <c r="AP677" s="141"/>
      <c r="AQ677" s="141"/>
      <c r="AR677" s="141"/>
      <c r="AS677" s="141"/>
      <c r="AT677" s="141"/>
      <c r="AU677" s="141"/>
      <c r="AV677" s="141"/>
      <c r="AW677" s="141"/>
      <c r="AX677" s="141"/>
      <c r="AY677" s="141"/>
      <c r="AZ677" s="141"/>
      <c r="BA677" s="141"/>
      <c r="BB677" s="141"/>
      <c r="BC677" s="141"/>
      <c r="BD677" s="141"/>
      <c r="BE677" s="141"/>
      <c r="BF677" s="141"/>
      <c r="BG677" s="18"/>
      <c r="BH677" s="1"/>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row>
    <row r="678" spans="1:135" ht="14.25" customHeight="1">
      <c r="A678" s="18"/>
      <c r="B678" s="18"/>
      <c r="C678" s="19"/>
      <c r="D678" s="18"/>
      <c r="E678" s="18"/>
      <c r="F678" s="19"/>
      <c r="G678" s="18"/>
      <c r="H678" s="114"/>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40"/>
      <c r="AL678" s="141"/>
      <c r="AM678" s="141"/>
      <c r="AN678" s="141"/>
      <c r="AO678" s="141"/>
      <c r="AP678" s="141"/>
      <c r="AQ678" s="141"/>
      <c r="AR678" s="141"/>
      <c r="AS678" s="141"/>
      <c r="AT678" s="141"/>
      <c r="AU678" s="141"/>
      <c r="AV678" s="141"/>
      <c r="AW678" s="141"/>
      <c r="AX678" s="141"/>
      <c r="AY678" s="141"/>
      <c r="AZ678" s="141"/>
      <c r="BA678" s="141"/>
      <c r="BB678" s="141"/>
      <c r="BC678" s="141"/>
      <c r="BD678" s="141"/>
      <c r="BE678" s="141"/>
      <c r="BF678" s="141"/>
      <c r="BG678" s="18"/>
      <c r="BH678" s="1"/>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row>
    <row r="679" spans="1:135" ht="14.25" customHeight="1">
      <c r="A679" s="18"/>
      <c r="B679" s="18"/>
      <c r="C679" s="19"/>
      <c r="D679" s="18"/>
      <c r="E679" s="18"/>
      <c r="F679" s="19"/>
      <c r="G679" s="18"/>
      <c r="H679" s="114"/>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40"/>
      <c r="AL679" s="141"/>
      <c r="AM679" s="141"/>
      <c r="AN679" s="141"/>
      <c r="AO679" s="141"/>
      <c r="AP679" s="141"/>
      <c r="AQ679" s="141"/>
      <c r="AR679" s="141"/>
      <c r="AS679" s="141"/>
      <c r="AT679" s="141"/>
      <c r="AU679" s="141"/>
      <c r="AV679" s="141"/>
      <c r="AW679" s="141"/>
      <c r="AX679" s="141"/>
      <c r="AY679" s="141"/>
      <c r="AZ679" s="141"/>
      <c r="BA679" s="141"/>
      <c r="BB679" s="141"/>
      <c r="BC679" s="141"/>
      <c r="BD679" s="141"/>
      <c r="BE679" s="141"/>
      <c r="BF679" s="141"/>
      <c r="BG679" s="18"/>
      <c r="BH679" s="1"/>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row>
    <row r="680" spans="1:135" ht="14.25" customHeight="1">
      <c r="A680" s="18"/>
      <c r="B680" s="18"/>
      <c r="C680" s="19"/>
      <c r="D680" s="18"/>
      <c r="E680" s="18"/>
      <c r="F680" s="19"/>
      <c r="G680" s="18"/>
      <c r="H680" s="114"/>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40"/>
      <c r="AL680" s="141"/>
      <c r="AM680" s="141"/>
      <c r="AN680" s="141"/>
      <c r="AO680" s="141"/>
      <c r="AP680" s="141"/>
      <c r="AQ680" s="141"/>
      <c r="AR680" s="141"/>
      <c r="AS680" s="141"/>
      <c r="AT680" s="141"/>
      <c r="AU680" s="141"/>
      <c r="AV680" s="141"/>
      <c r="AW680" s="141"/>
      <c r="AX680" s="141"/>
      <c r="AY680" s="141"/>
      <c r="AZ680" s="141"/>
      <c r="BA680" s="141"/>
      <c r="BB680" s="141"/>
      <c r="BC680" s="141"/>
      <c r="BD680" s="141"/>
      <c r="BE680" s="141"/>
      <c r="BF680" s="141"/>
      <c r="BG680" s="18"/>
      <c r="BH680" s="1"/>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row>
    <row r="681" spans="1:135" ht="14.25" customHeight="1">
      <c r="A681" s="18"/>
      <c r="B681" s="18"/>
      <c r="C681" s="19"/>
      <c r="D681" s="18"/>
      <c r="E681" s="18"/>
      <c r="F681" s="19"/>
      <c r="G681" s="18"/>
      <c r="H681" s="114"/>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40"/>
      <c r="AL681" s="141"/>
      <c r="AM681" s="141"/>
      <c r="AN681" s="141"/>
      <c r="AO681" s="141"/>
      <c r="AP681" s="141"/>
      <c r="AQ681" s="141"/>
      <c r="AR681" s="141"/>
      <c r="AS681" s="141"/>
      <c r="AT681" s="141"/>
      <c r="AU681" s="141"/>
      <c r="AV681" s="141"/>
      <c r="AW681" s="141"/>
      <c r="AX681" s="141"/>
      <c r="AY681" s="141"/>
      <c r="AZ681" s="141"/>
      <c r="BA681" s="141"/>
      <c r="BB681" s="141"/>
      <c r="BC681" s="141"/>
      <c r="BD681" s="141"/>
      <c r="BE681" s="141"/>
      <c r="BF681" s="141"/>
      <c r="BG681" s="18"/>
      <c r="BH681" s="1"/>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row>
    <row r="682" spans="1:135" ht="14.25" customHeight="1">
      <c r="A682" s="18"/>
      <c r="B682" s="18"/>
      <c r="C682" s="19"/>
      <c r="D682" s="18"/>
      <c r="E682" s="18"/>
      <c r="F682" s="19"/>
      <c r="G682" s="18"/>
      <c r="H682" s="114"/>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40"/>
      <c r="AL682" s="141"/>
      <c r="AM682" s="141"/>
      <c r="AN682" s="141"/>
      <c r="AO682" s="141"/>
      <c r="AP682" s="141"/>
      <c r="AQ682" s="141"/>
      <c r="AR682" s="141"/>
      <c r="AS682" s="141"/>
      <c r="AT682" s="141"/>
      <c r="AU682" s="141"/>
      <c r="AV682" s="141"/>
      <c r="AW682" s="141"/>
      <c r="AX682" s="141"/>
      <c r="AY682" s="141"/>
      <c r="AZ682" s="141"/>
      <c r="BA682" s="141"/>
      <c r="BB682" s="141"/>
      <c r="BC682" s="141"/>
      <c r="BD682" s="141"/>
      <c r="BE682" s="141"/>
      <c r="BF682" s="141"/>
      <c r="BG682" s="18"/>
      <c r="BH682" s="1"/>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row>
    <row r="683" spans="1:135" ht="14.25" customHeight="1">
      <c r="A683" s="18"/>
      <c r="B683" s="18"/>
      <c r="C683" s="19"/>
      <c r="D683" s="18"/>
      <c r="E683" s="18"/>
      <c r="F683" s="19"/>
      <c r="G683" s="18"/>
      <c r="H683" s="114"/>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40"/>
      <c r="AL683" s="141"/>
      <c r="AM683" s="141"/>
      <c r="AN683" s="141"/>
      <c r="AO683" s="141"/>
      <c r="AP683" s="141"/>
      <c r="AQ683" s="141"/>
      <c r="AR683" s="141"/>
      <c r="AS683" s="141"/>
      <c r="AT683" s="141"/>
      <c r="AU683" s="141"/>
      <c r="AV683" s="141"/>
      <c r="AW683" s="141"/>
      <c r="AX683" s="141"/>
      <c r="AY683" s="141"/>
      <c r="AZ683" s="141"/>
      <c r="BA683" s="141"/>
      <c r="BB683" s="141"/>
      <c r="BC683" s="141"/>
      <c r="BD683" s="141"/>
      <c r="BE683" s="141"/>
      <c r="BF683" s="141"/>
      <c r="BG683" s="18"/>
      <c r="BH683" s="1"/>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row>
    <row r="684" spans="1:135" ht="14.25" customHeight="1">
      <c r="A684" s="18"/>
      <c r="B684" s="18"/>
      <c r="C684" s="19"/>
      <c r="D684" s="18"/>
      <c r="E684" s="18"/>
      <c r="F684" s="19"/>
      <c r="G684" s="18"/>
      <c r="H684" s="114"/>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40"/>
      <c r="AL684" s="141"/>
      <c r="AM684" s="141"/>
      <c r="AN684" s="141"/>
      <c r="AO684" s="141"/>
      <c r="AP684" s="141"/>
      <c r="AQ684" s="141"/>
      <c r="AR684" s="141"/>
      <c r="AS684" s="141"/>
      <c r="AT684" s="141"/>
      <c r="AU684" s="141"/>
      <c r="AV684" s="141"/>
      <c r="AW684" s="141"/>
      <c r="AX684" s="141"/>
      <c r="AY684" s="141"/>
      <c r="AZ684" s="141"/>
      <c r="BA684" s="141"/>
      <c r="BB684" s="141"/>
      <c r="BC684" s="141"/>
      <c r="BD684" s="141"/>
      <c r="BE684" s="141"/>
      <c r="BF684" s="141"/>
      <c r="BG684" s="18"/>
      <c r="BH684" s="1"/>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row>
    <row r="685" spans="1:135" ht="14.25" customHeight="1">
      <c r="A685" s="18"/>
      <c r="B685" s="18"/>
      <c r="C685" s="19"/>
      <c r="D685" s="18"/>
      <c r="E685" s="18"/>
      <c r="F685" s="19"/>
      <c r="G685" s="18"/>
      <c r="H685" s="114"/>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40"/>
      <c r="AL685" s="141"/>
      <c r="AM685" s="141"/>
      <c r="AN685" s="141"/>
      <c r="AO685" s="141"/>
      <c r="AP685" s="141"/>
      <c r="AQ685" s="141"/>
      <c r="AR685" s="141"/>
      <c r="AS685" s="141"/>
      <c r="AT685" s="141"/>
      <c r="AU685" s="141"/>
      <c r="AV685" s="141"/>
      <c r="AW685" s="141"/>
      <c r="AX685" s="141"/>
      <c r="AY685" s="141"/>
      <c r="AZ685" s="141"/>
      <c r="BA685" s="141"/>
      <c r="BB685" s="141"/>
      <c r="BC685" s="141"/>
      <c r="BD685" s="141"/>
      <c r="BE685" s="141"/>
      <c r="BF685" s="141"/>
      <c r="BG685" s="18"/>
      <c r="BH685" s="1"/>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row>
    <row r="686" spans="1:135" ht="14.25" customHeight="1">
      <c r="A686" s="18"/>
      <c r="B686" s="18"/>
      <c r="C686" s="19"/>
      <c r="D686" s="18"/>
      <c r="E686" s="18"/>
      <c r="F686" s="19"/>
      <c r="G686" s="18"/>
      <c r="H686" s="114"/>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40"/>
      <c r="AL686" s="141"/>
      <c r="AM686" s="141"/>
      <c r="AN686" s="141"/>
      <c r="AO686" s="141"/>
      <c r="AP686" s="141"/>
      <c r="AQ686" s="141"/>
      <c r="AR686" s="141"/>
      <c r="AS686" s="141"/>
      <c r="AT686" s="141"/>
      <c r="AU686" s="141"/>
      <c r="AV686" s="141"/>
      <c r="AW686" s="141"/>
      <c r="AX686" s="141"/>
      <c r="AY686" s="141"/>
      <c r="AZ686" s="141"/>
      <c r="BA686" s="141"/>
      <c r="BB686" s="141"/>
      <c r="BC686" s="141"/>
      <c r="BD686" s="141"/>
      <c r="BE686" s="141"/>
      <c r="BF686" s="141"/>
      <c r="BG686" s="18"/>
      <c r="BH686" s="1"/>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row>
    <row r="687" spans="1:135" ht="14.25" customHeight="1">
      <c r="A687" s="18"/>
      <c r="B687" s="18"/>
      <c r="C687" s="19"/>
      <c r="D687" s="18"/>
      <c r="E687" s="18"/>
      <c r="F687" s="19"/>
      <c r="G687" s="18"/>
      <c r="H687" s="114"/>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40"/>
      <c r="AL687" s="141"/>
      <c r="AM687" s="141"/>
      <c r="AN687" s="141"/>
      <c r="AO687" s="141"/>
      <c r="AP687" s="141"/>
      <c r="AQ687" s="141"/>
      <c r="AR687" s="141"/>
      <c r="AS687" s="141"/>
      <c r="AT687" s="141"/>
      <c r="AU687" s="141"/>
      <c r="AV687" s="141"/>
      <c r="AW687" s="141"/>
      <c r="AX687" s="141"/>
      <c r="AY687" s="141"/>
      <c r="AZ687" s="141"/>
      <c r="BA687" s="141"/>
      <c r="BB687" s="141"/>
      <c r="BC687" s="141"/>
      <c r="BD687" s="141"/>
      <c r="BE687" s="141"/>
      <c r="BF687" s="141"/>
      <c r="BG687" s="18"/>
      <c r="BH687" s="1"/>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row>
    <row r="688" spans="1:135" ht="14.25" customHeight="1">
      <c r="A688" s="18"/>
      <c r="B688" s="18"/>
      <c r="C688" s="19"/>
      <c r="D688" s="18"/>
      <c r="E688" s="18"/>
      <c r="F688" s="19"/>
      <c r="G688" s="18"/>
      <c r="H688" s="114"/>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40"/>
      <c r="AL688" s="141"/>
      <c r="AM688" s="141"/>
      <c r="AN688" s="141"/>
      <c r="AO688" s="141"/>
      <c r="AP688" s="141"/>
      <c r="AQ688" s="141"/>
      <c r="AR688" s="141"/>
      <c r="AS688" s="141"/>
      <c r="AT688" s="141"/>
      <c r="AU688" s="141"/>
      <c r="AV688" s="141"/>
      <c r="AW688" s="141"/>
      <c r="AX688" s="141"/>
      <c r="AY688" s="141"/>
      <c r="AZ688" s="141"/>
      <c r="BA688" s="141"/>
      <c r="BB688" s="141"/>
      <c r="BC688" s="141"/>
      <c r="BD688" s="141"/>
      <c r="BE688" s="141"/>
      <c r="BF688" s="141"/>
      <c r="BG688" s="18"/>
      <c r="BH688" s="1"/>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row>
    <row r="689" spans="1:135" ht="14.25" customHeight="1">
      <c r="A689" s="18"/>
      <c r="B689" s="18"/>
      <c r="C689" s="19"/>
      <c r="D689" s="18"/>
      <c r="E689" s="18"/>
      <c r="F689" s="19"/>
      <c r="G689" s="18"/>
      <c r="H689" s="114"/>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40"/>
      <c r="AL689" s="141"/>
      <c r="AM689" s="141"/>
      <c r="AN689" s="141"/>
      <c r="AO689" s="141"/>
      <c r="AP689" s="141"/>
      <c r="AQ689" s="141"/>
      <c r="AR689" s="141"/>
      <c r="AS689" s="141"/>
      <c r="AT689" s="141"/>
      <c r="AU689" s="141"/>
      <c r="AV689" s="141"/>
      <c r="AW689" s="141"/>
      <c r="AX689" s="141"/>
      <c r="AY689" s="141"/>
      <c r="AZ689" s="141"/>
      <c r="BA689" s="141"/>
      <c r="BB689" s="141"/>
      <c r="BC689" s="141"/>
      <c r="BD689" s="141"/>
      <c r="BE689" s="141"/>
      <c r="BF689" s="141"/>
      <c r="BG689" s="18"/>
      <c r="BH689" s="1"/>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row>
    <row r="690" spans="1:135" ht="14.25" customHeight="1">
      <c r="A690" s="18"/>
      <c r="B690" s="18"/>
      <c r="C690" s="19"/>
      <c r="D690" s="18"/>
      <c r="E690" s="18"/>
      <c r="F690" s="19"/>
      <c r="G690" s="18"/>
      <c r="H690" s="114"/>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40"/>
      <c r="AL690" s="141"/>
      <c r="AM690" s="141"/>
      <c r="AN690" s="141"/>
      <c r="AO690" s="141"/>
      <c r="AP690" s="141"/>
      <c r="AQ690" s="141"/>
      <c r="AR690" s="141"/>
      <c r="AS690" s="141"/>
      <c r="AT690" s="141"/>
      <c r="AU690" s="141"/>
      <c r="AV690" s="141"/>
      <c r="AW690" s="141"/>
      <c r="AX690" s="141"/>
      <c r="AY690" s="141"/>
      <c r="AZ690" s="141"/>
      <c r="BA690" s="141"/>
      <c r="BB690" s="141"/>
      <c r="BC690" s="141"/>
      <c r="BD690" s="141"/>
      <c r="BE690" s="141"/>
      <c r="BF690" s="141"/>
      <c r="BG690" s="18"/>
      <c r="BH690" s="1"/>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row>
    <row r="691" spans="1:135" ht="14.25" customHeight="1">
      <c r="A691" s="18"/>
      <c r="B691" s="18"/>
      <c r="C691" s="19"/>
      <c r="D691" s="18"/>
      <c r="E691" s="18"/>
      <c r="F691" s="19"/>
      <c r="G691" s="18"/>
      <c r="H691" s="114"/>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40"/>
      <c r="AL691" s="141"/>
      <c r="AM691" s="141"/>
      <c r="AN691" s="141"/>
      <c r="AO691" s="141"/>
      <c r="AP691" s="141"/>
      <c r="AQ691" s="141"/>
      <c r="AR691" s="141"/>
      <c r="AS691" s="141"/>
      <c r="AT691" s="141"/>
      <c r="AU691" s="141"/>
      <c r="AV691" s="141"/>
      <c r="AW691" s="141"/>
      <c r="AX691" s="141"/>
      <c r="AY691" s="141"/>
      <c r="AZ691" s="141"/>
      <c r="BA691" s="141"/>
      <c r="BB691" s="141"/>
      <c r="BC691" s="141"/>
      <c r="BD691" s="141"/>
      <c r="BE691" s="141"/>
      <c r="BF691" s="141"/>
      <c r="BG691" s="18"/>
      <c r="BH691" s="1"/>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row>
    <row r="692" spans="1:135" ht="14.25" customHeight="1">
      <c r="A692" s="18"/>
      <c r="B692" s="18"/>
      <c r="C692" s="19"/>
      <c r="D692" s="18"/>
      <c r="E692" s="18"/>
      <c r="F692" s="19"/>
      <c r="G692" s="18"/>
      <c r="H692" s="114"/>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40"/>
      <c r="AL692" s="141"/>
      <c r="AM692" s="141"/>
      <c r="AN692" s="141"/>
      <c r="AO692" s="141"/>
      <c r="AP692" s="141"/>
      <c r="AQ692" s="141"/>
      <c r="AR692" s="141"/>
      <c r="AS692" s="141"/>
      <c r="AT692" s="141"/>
      <c r="AU692" s="141"/>
      <c r="AV692" s="141"/>
      <c r="AW692" s="141"/>
      <c r="AX692" s="141"/>
      <c r="AY692" s="141"/>
      <c r="AZ692" s="141"/>
      <c r="BA692" s="141"/>
      <c r="BB692" s="141"/>
      <c r="BC692" s="141"/>
      <c r="BD692" s="141"/>
      <c r="BE692" s="141"/>
      <c r="BF692" s="141"/>
      <c r="BG692" s="18"/>
      <c r="BH692" s="1"/>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row>
    <row r="693" spans="1:135" ht="14.25" customHeight="1">
      <c r="A693" s="18"/>
      <c r="B693" s="18"/>
      <c r="C693" s="19"/>
      <c r="D693" s="18"/>
      <c r="E693" s="18"/>
      <c r="F693" s="19"/>
      <c r="G693" s="18"/>
      <c r="H693" s="114"/>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40"/>
      <c r="AL693" s="141"/>
      <c r="AM693" s="141"/>
      <c r="AN693" s="141"/>
      <c r="AO693" s="141"/>
      <c r="AP693" s="141"/>
      <c r="AQ693" s="141"/>
      <c r="AR693" s="141"/>
      <c r="AS693" s="141"/>
      <c r="AT693" s="141"/>
      <c r="AU693" s="141"/>
      <c r="AV693" s="141"/>
      <c r="AW693" s="141"/>
      <c r="AX693" s="141"/>
      <c r="AY693" s="141"/>
      <c r="AZ693" s="141"/>
      <c r="BA693" s="141"/>
      <c r="BB693" s="141"/>
      <c r="BC693" s="141"/>
      <c r="BD693" s="141"/>
      <c r="BE693" s="141"/>
      <c r="BF693" s="141"/>
      <c r="BG693" s="18"/>
      <c r="BH693" s="1"/>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row>
    <row r="694" spans="1:135" ht="14.25" customHeight="1">
      <c r="A694" s="18"/>
      <c r="B694" s="18"/>
      <c r="C694" s="19"/>
      <c r="D694" s="18"/>
      <c r="E694" s="18"/>
      <c r="F694" s="19"/>
      <c r="G694" s="18"/>
      <c r="H694" s="114"/>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40"/>
      <c r="AL694" s="141"/>
      <c r="AM694" s="141"/>
      <c r="AN694" s="141"/>
      <c r="AO694" s="141"/>
      <c r="AP694" s="141"/>
      <c r="AQ694" s="141"/>
      <c r="AR694" s="141"/>
      <c r="AS694" s="141"/>
      <c r="AT694" s="141"/>
      <c r="AU694" s="141"/>
      <c r="AV694" s="141"/>
      <c r="AW694" s="141"/>
      <c r="AX694" s="141"/>
      <c r="AY694" s="141"/>
      <c r="AZ694" s="141"/>
      <c r="BA694" s="141"/>
      <c r="BB694" s="141"/>
      <c r="BC694" s="141"/>
      <c r="BD694" s="141"/>
      <c r="BE694" s="141"/>
      <c r="BF694" s="141"/>
      <c r="BG694" s="18"/>
      <c r="BH694" s="1"/>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row>
    <row r="695" spans="1:135" ht="14.25" customHeight="1">
      <c r="A695" s="18"/>
      <c r="B695" s="18"/>
      <c r="C695" s="19"/>
      <c r="D695" s="18"/>
      <c r="E695" s="18"/>
      <c r="F695" s="19"/>
      <c r="G695" s="18"/>
      <c r="H695" s="114"/>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40"/>
      <c r="AL695" s="141"/>
      <c r="AM695" s="141"/>
      <c r="AN695" s="141"/>
      <c r="AO695" s="141"/>
      <c r="AP695" s="141"/>
      <c r="AQ695" s="141"/>
      <c r="AR695" s="141"/>
      <c r="AS695" s="141"/>
      <c r="AT695" s="141"/>
      <c r="AU695" s="141"/>
      <c r="AV695" s="141"/>
      <c r="AW695" s="141"/>
      <c r="AX695" s="141"/>
      <c r="AY695" s="141"/>
      <c r="AZ695" s="141"/>
      <c r="BA695" s="141"/>
      <c r="BB695" s="141"/>
      <c r="BC695" s="141"/>
      <c r="BD695" s="141"/>
      <c r="BE695" s="141"/>
      <c r="BF695" s="141"/>
      <c r="BG695" s="18"/>
      <c r="BH695" s="1"/>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row>
    <row r="696" spans="1:135" ht="14.25" customHeight="1">
      <c r="A696" s="18"/>
      <c r="B696" s="18"/>
      <c r="C696" s="19"/>
      <c r="D696" s="18"/>
      <c r="E696" s="18"/>
      <c r="F696" s="19"/>
      <c r="G696" s="18"/>
      <c r="H696" s="114"/>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40"/>
      <c r="AL696" s="141"/>
      <c r="AM696" s="141"/>
      <c r="AN696" s="141"/>
      <c r="AO696" s="141"/>
      <c r="AP696" s="141"/>
      <c r="AQ696" s="141"/>
      <c r="AR696" s="141"/>
      <c r="AS696" s="141"/>
      <c r="AT696" s="141"/>
      <c r="AU696" s="141"/>
      <c r="AV696" s="141"/>
      <c r="AW696" s="141"/>
      <c r="AX696" s="141"/>
      <c r="AY696" s="141"/>
      <c r="AZ696" s="141"/>
      <c r="BA696" s="141"/>
      <c r="BB696" s="141"/>
      <c r="BC696" s="141"/>
      <c r="BD696" s="141"/>
      <c r="BE696" s="141"/>
      <c r="BF696" s="141"/>
      <c r="BG696" s="18"/>
      <c r="BH696" s="1"/>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row>
    <row r="697" spans="1:135" ht="14.25" customHeight="1">
      <c r="A697" s="18"/>
      <c r="B697" s="18"/>
      <c r="C697" s="19"/>
      <c r="D697" s="18"/>
      <c r="E697" s="18"/>
      <c r="F697" s="19"/>
      <c r="G697" s="18"/>
      <c r="H697" s="114"/>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40"/>
      <c r="AL697" s="141"/>
      <c r="AM697" s="141"/>
      <c r="AN697" s="141"/>
      <c r="AO697" s="141"/>
      <c r="AP697" s="141"/>
      <c r="AQ697" s="141"/>
      <c r="AR697" s="141"/>
      <c r="AS697" s="141"/>
      <c r="AT697" s="141"/>
      <c r="AU697" s="141"/>
      <c r="AV697" s="141"/>
      <c r="AW697" s="141"/>
      <c r="AX697" s="141"/>
      <c r="AY697" s="141"/>
      <c r="AZ697" s="141"/>
      <c r="BA697" s="141"/>
      <c r="BB697" s="141"/>
      <c r="BC697" s="141"/>
      <c r="BD697" s="141"/>
      <c r="BE697" s="141"/>
      <c r="BF697" s="141"/>
      <c r="BG697" s="18"/>
      <c r="BH697" s="1"/>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row>
    <row r="698" spans="1:135" ht="14.25" customHeight="1">
      <c r="A698" s="18"/>
      <c r="B698" s="18"/>
      <c r="C698" s="19"/>
      <c r="D698" s="18"/>
      <c r="E698" s="18"/>
      <c r="F698" s="19"/>
      <c r="G698" s="18"/>
      <c r="H698" s="114"/>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40"/>
      <c r="AL698" s="141"/>
      <c r="AM698" s="141"/>
      <c r="AN698" s="141"/>
      <c r="AO698" s="141"/>
      <c r="AP698" s="141"/>
      <c r="AQ698" s="141"/>
      <c r="AR698" s="141"/>
      <c r="AS698" s="141"/>
      <c r="AT698" s="141"/>
      <c r="AU698" s="141"/>
      <c r="AV698" s="141"/>
      <c r="AW698" s="141"/>
      <c r="AX698" s="141"/>
      <c r="AY698" s="141"/>
      <c r="AZ698" s="141"/>
      <c r="BA698" s="141"/>
      <c r="BB698" s="141"/>
      <c r="BC698" s="141"/>
      <c r="BD698" s="141"/>
      <c r="BE698" s="141"/>
      <c r="BF698" s="141"/>
      <c r="BG698" s="18"/>
      <c r="BH698" s="1"/>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row>
    <row r="699" spans="1:135" ht="14.25" customHeight="1">
      <c r="A699" s="18"/>
      <c r="B699" s="18"/>
      <c r="C699" s="19"/>
      <c r="D699" s="18"/>
      <c r="E699" s="18"/>
      <c r="F699" s="19"/>
      <c r="G699" s="18"/>
      <c r="H699" s="114"/>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40"/>
      <c r="AL699" s="141"/>
      <c r="AM699" s="141"/>
      <c r="AN699" s="141"/>
      <c r="AO699" s="141"/>
      <c r="AP699" s="141"/>
      <c r="AQ699" s="141"/>
      <c r="AR699" s="141"/>
      <c r="AS699" s="141"/>
      <c r="AT699" s="141"/>
      <c r="AU699" s="141"/>
      <c r="AV699" s="141"/>
      <c r="AW699" s="141"/>
      <c r="AX699" s="141"/>
      <c r="AY699" s="141"/>
      <c r="AZ699" s="141"/>
      <c r="BA699" s="141"/>
      <c r="BB699" s="141"/>
      <c r="BC699" s="141"/>
      <c r="BD699" s="141"/>
      <c r="BE699" s="141"/>
      <c r="BF699" s="141"/>
      <c r="BG699" s="18"/>
      <c r="BH699" s="1"/>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row>
    <row r="700" spans="1:135" ht="14.25" customHeight="1">
      <c r="A700" s="18"/>
      <c r="B700" s="18"/>
      <c r="C700" s="19"/>
      <c r="D700" s="18"/>
      <c r="E700" s="18"/>
      <c r="F700" s="19"/>
      <c r="G700" s="18"/>
      <c r="H700" s="114"/>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40"/>
      <c r="AL700" s="141"/>
      <c r="AM700" s="141"/>
      <c r="AN700" s="141"/>
      <c r="AO700" s="141"/>
      <c r="AP700" s="141"/>
      <c r="AQ700" s="141"/>
      <c r="AR700" s="141"/>
      <c r="AS700" s="141"/>
      <c r="AT700" s="141"/>
      <c r="AU700" s="141"/>
      <c r="AV700" s="141"/>
      <c r="AW700" s="141"/>
      <c r="AX700" s="141"/>
      <c r="AY700" s="141"/>
      <c r="AZ700" s="141"/>
      <c r="BA700" s="141"/>
      <c r="BB700" s="141"/>
      <c r="BC700" s="141"/>
      <c r="BD700" s="141"/>
      <c r="BE700" s="141"/>
      <c r="BF700" s="141"/>
      <c r="BG700" s="18"/>
      <c r="BH700" s="1"/>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row>
    <row r="701" spans="1:135" ht="14.25" customHeight="1">
      <c r="A701" s="18"/>
      <c r="B701" s="18"/>
      <c r="C701" s="19"/>
      <c r="D701" s="18"/>
      <c r="E701" s="18"/>
      <c r="F701" s="19"/>
      <c r="G701" s="18"/>
      <c r="H701" s="114"/>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40"/>
      <c r="AL701" s="141"/>
      <c r="AM701" s="141"/>
      <c r="AN701" s="141"/>
      <c r="AO701" s="141"/>
      <c r="AP701" s="141"/>
      <c r="AQ701" s="141"/>
      <c r="AR701" s="141"/>
      <c r="AS701" s="141"/>
      <c r="AT701" s="141"/>
      <c r="AU701" s="141"/>
      <c r="AV701" s="141"/>
      <c r="AW701" s="141"/>
      <c r="AX701" s="141"/>
      <c r="AY701" s="141"/>
      <c r="AZ701" s="141"/>
      <c r="BA701" s="141"/>
      <c r="BB701" s="141"/>
      <c r="BC701" s="141"/>
      <c r="BD701" s="141"/>
      <c r="BE701" s="141"/>
      <c r="BF701" s="141"/>
      <c r="BG701" s="18"/>
      <c r="BH701" s="1"/>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row>
    <row r="702" spans="1:135" ht="14.25" customHeight="1">
      <c r="A702" s="18"/>
      <c r="B702" s="18"/>
      <c r="C702" s="19"/>
      <c r="D702" s="18"/>
      <c r="E702" s="18"/>
      <c r="F702" s="19"/>
      <c r="G702" s="18"/>
      <c r="H702" s="114"/>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40"/>
      <c r="AL702" s="141"/>
      <c r="AM702" s="141"/>
      <c r="AN702" s="141"/>
      <c r="AO702" s="141"/>
      <c r="AP702" s="141"/>
      <c r="AQ702" s="141"/>
      <c r="AR702" s="141"/>
      <c r="AS702" s="141"/>
      <c r="AT702" s="141"/>
      <c r="AU702" s="141"/>
      <c r="AV702" s="141"/>
      <c r="AW702" s="141"/>
      <c r="AX702" s="141"/>
      <c r="AY702" s="141"/>
      <c r="AZ702" s="141"/>
      <c r="BA702" s="141"/>
      <c r="BB702" s="141"/>
      <c r="BC702" s="141"/>
      <c r="BD702" s="141"/>
      <c r="BE702" s="141"/>
      <c r="BF702" s="141"/>
      <c r="BG702" s="18"/>
      <c r="BH702" s="1"/>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row>
    <row r="703" spans="1:135" ht="14.25" customHeight="1">
      <c r="A703" s="18"/>
      <c r="B703" s="18"/>
      <c r="C703" s="19"/>
      <c r="D703" s="18"/>
      <c r="E703" s="18"/>
      <c r="F703" s="19"/>
      <c r="G703" s="18"/>
      <c r="H703" s="114"/>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40"/>
      <c r="AL703" s="141"/>
      <c r="AM703" s="141"/>
      <c r="AN703" s="141"/>
      <c r="AO703" s="141"/>
      <c r="AP703" s="141"/>
      <c r="AQ703" s="141"/>
      <c r="AR703" s="141"/>
      <c r="AS703" s="141"/>
      <c r="AT703" s="141"/>
      <c r="AU703" s="141"/>
      <c r="AV703" s="141"/>
      <c r="AW703" s="141"/>
      <c r="AX703" s="141"/>
      <c r="AY703" s="141"/>
      <c r="AZ703" s="141"/>
      <c r="BA703" s="141"/>
      <c r="BB703" s="141"/>
      <c r="BC703" s="141"/>
      <c r="BD703" s="141"/>
      <c r="BE703" s="141"/>
      <c r="BF703" s="141"/>
      <c r="BG703" s="18"/>
      <c r="BH703" s="1"/>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row>
    <row r="704" spans="1:135" ht="14.25" customHeight="1">
      <c r="A704" s="18"/>
      <c r="B704" s="18"/>
      <c r="C704" s="19"/>
      <c r="D704" s="18"/>
      <c r="E704" s="18"/>
      <c r="F704" s="19"/>
      <c r="G704" s="18"/>
      <c r="H704" s="114"/>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40"/>
      <c r="AL704" s="141"/>
      <c r="AM704" s="141"/>
      <c r="AN704" s="141"/>
      <c r="AO704" s="141"/>
      <c r="AP704" s="141"/>
      <c r="AQ704" s="141"/>
      <c r="AR704" s="141"/>
      <c r="AS704" s="141"/>
      <c r="AT704" s="141"/>
      <c r="AU704" s="141"/>
      <c r="AV704" s="141"/>
      <c r="AW704" s="141"/>
      <c r="AX704" s="141"/>
      <c r="AY704" s="141"/>
      <c r="AZ704" s="141"/>
      <c r="BA704" s="141"/>
      <c r="BB704" s="141"/>
      <c r="BC704" s="141"/>
      <c r="BD704" s="141"/>
      <c r="BE704" s="141"/>
      <c r="BF704" s="141"/>
      <c r="BG704" s="18"/>
      <c r="BH704" s="1"/>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row>
    <row r="705" spans="1:135" ht="14.25" customHeight="1">
      <c r="A705" s="18"/>
      <c r="B705" s="18"/>
      <c r="C705" s="19"/>
      <c r="D705" s="18"/>
      <c r="E705" s="18"/>
      <c r="F705" s="19"/>
      <c r="G705" s="18"/>
      <c r="H705" s="114"/>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40"/>
      <c r="AL705" s="141"/>
      <c r="AM705" s="141"/>
      <c r="AN705" s="141"/>
      <c r="AO705" s="141"/>
      <c r="AP705" s="141"/>
      <c r="AQ705" s="141"/>
      <c r="AR705" s="141"/>
      <c r="AS705" s="141"/>
      <c r="AT705" s="141"/>
      <c r="AU705" s="141"/>
      <c r="AV705" s="141"/>
      <c r="AW705" s="141"/>
      <c r="AX705" s="141"/>
      <c r="AY705" s="141"/>
      <c r="AZ705" s="141"/>
      <c r="BA705" s="141"/>
      <c r="BB705" s="141"/>
      <c r="BC705" s="141"/>
      <c r="BD705" s="141"/>
      <c r="BE705" s="141"/>
      <c r="BF705" s="141"/>
      <c r="BG705" s="18"/>
      <c r="BH705" s="1"/>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row>
    <row r="706" spans="1:135" ht="14.25" customHeight="1">
      <c r="A706" s="18"/>
      <c r="B706" s="18"/>
      <c r="C706" s="19"/>
      <c r="D706" s="18"/>
      <c r="E706" s="18"/>
      <c r="F706" s="19"/>
      <c r="G706" s="18"/>
      <c r="H706" s="114"/>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40"/>
      <c r="AL706" s="141"/>
      <c r="AM706" s="141"/>
      <c r="AN706" s="141"/>
      <c r="AO706" s="141"/>
      <c r="AP706" s="141"/>
      <c r="AQ706" s="141"/>
      <c r="AR706" s="141"/>
      <c r="AS706" s="141"/>
      <c r="AT706" s="141"/>
      <c r="AU706" s="141"/>
      <c r="AV706" s="141"/>
      <c r="AW706" s="141"/>
      <c r="AX706" s="141"/>
      <c r="AY706" s="141"/>
      <c r="AZ706" s="141"/>
      <c r="BA706" s="141"/>
      <c r="BB706" s="141"/>
      <c r="BC706" s="141"/>
      <c r="BD706" s="141"/>
      <c r="BE706" s="141"/>
      <c r="BF706" s="141"/>
      <c r="BG706" s="18"/>
      <c r="BH706" s="1"/>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row>
    <row r="707" spans="1:135" ht="14.25" customHeight="1">
      <c r="A707" s="18"/>
      <c r="B707" s="18"/>
      <c r="C707" s="19"/>
      <c r="D707" s="18"/>
      <c r="E707" s="18"/>
      <c r="F707" s="19"/>
      <c r="G707" s="18"/>
      <c r="H707" s="114"/>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40"/>
      <c r="AL707" s="141"/>
      <c r="AM707" s="141"/>
      <c r="AN707" s="141"/>
      <c r="AO707" s="141"/>
      <c r="AP707" s="141"/>
      <c r="AQ707" s="141"/>
      <c r="AR707" s="141"/>
      <c r="AS707" s="141"/>
      <c r="AT707" s="141"/>
      <c r="AU707" s="141"/>
      <c r="AV707" s="141"/>
      <c r="AW707" s="141"/>
      <c r="AX707" s="141"/>
      <c r="AY707" s="141"/>
      <c r="AZ707" s="141"/>
      <c r="BA707" s="141"/>
      <c r="BB707" s="141"/>
      <c r="BC707" s="141"/>
      <c r="BD707" s="141"/>
      <c r="BE707" s="141"/>
      <c r="BF707" s="141"/>
      <c r="BG707" s="18"/>
      <c r="BH707" s="1"/>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row>
    <row r="708" spans="1:135" ht="14.25" customHeight="1">
      <c r="A708" s="18"/>
      <c r="B708" s="18"/>
      <c r="C708" s="19"/>
      <c r="D708" s="18"/>
      <c r="E708" s="18"/>
      <c r="F708" s="19"/>
      <c r="G708" s="18"/>
      <c r="H708" s="114"/>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40"/>
      <c r="AL708" s="141"/>
      <c r="AM708" s="141"/>
      <c r="AN708" s="141"/>
      <c r="AO708" s="141"/>
      <c r="AP708" s="141"/>
      <c r="AQ708" s="141"/>
      <c r="AR708" s="141"/>
      <c r="AS708" s="141"/>
      <c r="AT708" s="141"/>
      <c r="AU708" s="141"/>
      <c r="AV708" s="141"/>
      <c r="AW708" s="141"/>
      <c r="AX708" s="141"/>
      <c r="AY708" s="141"/>
      <c r="AZ708" s="141"/>
      <c r="BA708" s="141"/>
      <c r="BB708" s="141"/>
      <c r="BC708" s="141"/>
      <c r="BD708" s="141"/>
      <c r="BE708" s="141"/>
      <c r="BF708" s="141"/>
      <c r="BG708" s="18"/>
      <c r="BH708" s="1"/>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row>
    <row r="709" spans="1:135" ht="14.25" customHeight="1">
      <c r="A709" s="18"/>
      <c r="B709" s="18"/>
      <c r="C709" s="19"/>
      <c r="D709" s="18"/>
      <c r="E709" s="18"/>
      <c r="F709" s="19"/>
      <c r="G709" s="18"/>
      <c r="H709" s="114"/>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40"/>
      <c r="AL709" s="141"/>
      <c r="AM709" s="141"/>
      <c r="AN709" s="141"/>
      <c r="AO709" s="141"/>
      <c r="AP709" s="141"/>
      <c r="AQ709" s="141"/>
      <c r="AR709" s="141"/>
      <c r="AS709" s="141"/>
      <c r="AT709" s="141"/>
      <c r="AU709" s="141"/>
      <c r="AV709" s="141"/>
      <c r="AW709" s="141"/>
      <c r="AX709" s="141"/>
      <c r="AY709" s="141"/>
      <c r="AZ709" s="141"/>
      <c r="BA709" s="141"/>
      <c r="BB709" s="141"/>
      <c r="BC709" s="141"/>
      <c r="BD709" s="141"/>
      <c r="BE709" s="141"/>
      <c r="BF709" s="141"/>
      <c r="BG709" s="18"/>
      <c r="BH709" s="1"/>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row>
    <row r="710" spans="1:135" ht="14.25" customHeight="1">
      <c r="A710" s="18"/>
      <c r="B710" s="18"/>
      <c r="C710" s="19"/>
      <c r="D710" s="18"/>
      <c r="E710" s="18"/>
      <c r="F710" s="19"/>
      <c r="G710" s="18"/>
      <c r="H710" s="114"/>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40"/>
      <c r="AL710" s="141"/>
      <c r="AM710" s="141"/>
      <c r="AN710" s="141"/>
      <c r="AO710" s="141"/>
      <c r="AP710" s="141"/>
      <c r="AQ710" s="141"/>
      <c r="AR710" s="141"/>
      <c r="AS710" s="141"/>
      <c r="AT710" s="141"/>
      <c r="AU710" s="141"/>
      <c r="AV710" s="141"/>
      <c r="AW710" s="141"/>
      <c r="AX710" s="141"/>
      <c r="AY710" s="141"/>
      <c r="AZ710" s="141"/>
      <c r="BA710" s="141"/>
      <c r="BB710" s="141"/>
      <c r="BC710" s="141"/>
      <c r="BD710" s="141"/>
      <c r="BE710" s="141"/>
      <c r="BF710" s="141"/>
      <c r="BG710" s="18"/>
      <c r="BH710" s="1"/>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row>
    <row r="711" spans="1:135" ht="14.25" customHeight="1">
      <c r="A711" s="18"/>
      <c r="B711" s="18"/>
      <c r="C711" s="19"/>
      <c r="D711" s="18"/>
      <c r="E711" s="18"/>
      <c r="F711" s="19"/>
      <c r="G711" s="18"/>
      <c r="H711" s="114"/>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40"/>
      <c r="AL711" s="141"/>
      <c r="AM711" s="141"/>
      <c r="AN711" s="141"/>
      <c r="AO711" s="141"/>
      <c r="AP711" s="141"/>
      <c r="AQ711" s="141"/>
      <c r="AR711" s="141"/>
      <c r="AS711" s="141"/>
      <c r="AT711" s="141"/>
      <c r="AU711" s="141"/>
      <c r="AV711" s="141"/>
      <c r="AW711" s="141"/>
      <c r="AX711" s="141"/>
      <c r="AY711" s="141"/>
      <c r="AZ711" s="141"/>
      <c r="BA711" s="141"/>
      <c r="BB711" s="141"/>
      <c r="BC711" s="141"/>
      <c r="BD711" s="141"/>
      <c r="BE711" s="141"/>
      <c r="BF711" s="141"/>
      <c r="BG711" s="18"/>
      <c r="BH711" s="1"/>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row>
    <row r="712" spans="1:135" ht="14.25" customHeight="1">
      <c r="A712" s="18"/>
      <c r="B712" s="18"/>
      <c r="C712" s="19"/>
      <c r="D712" s="18"/>
      <c r="E712" s="18"/>
      <c r="F712" s="19"/>
      <c r="G712" s="18"/>
      <c r="H712" s="114"/>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40"/>
      <c r="AL712" s="141"/>
      <c r="AM712" s="141"/>
      <c r="AN712" s="141"/>
      <c r="AO712" s="141"/>
      <c r="AP712" s="141"/>
      <c r="AQ712" s="141"/>
      <c r="AR712" s="141"/>
      <c r="AS712" s="141"/>
      <c r="AT712" s="141"/>
      <c r="AU712" s="141"/>
      <c r="AV712" s="141"/>
      <c r="AW712" s="141"/>
      <c r="AX712" s="141"/>
      <c r="AY712" s="141"/>
      <c r="AZ712" s="141"/>
      <c r="BA712" s="141"/>
      <c r="BB712" s="141"/>
      <c r="BC712" s="141"/>
      <c r="BD712" s="141"/>
      <c r="BE712" s="141"/>
      <c r="BF712" s="141"/>
      <c r="BG712" s="18"/>
      <c r="BH712" s="1"/>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row>
    <row r="713" spans="1:135" ht="14.25" customHeight="1">
      <c r="A713" s="18"/>
      <c r="B713" s="18"/>
      <c r="C713" s="19"/>
      <c r="D713" s="18"/>
      <c r="E713" s="18"/>
      <c r="F713" s="19"/>
      <c r="G713" s="18"/>
      <c r="H713" s="114"/>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40"/>
      <c r="AL713" s="141"/>
      <c r="AM713" s="141"/>
      <c r="AN713" s="141"/>
      <c r="AO713" s="141"/>
      <c r="AP713" s="141"/>
      <c r="AQ713" s="141"/>
      <c r="AR713" s="141"/>
      <c r="AS713" s="141"/>
      <c r="AT713" s="141"/>
      <c r="AU713" s="141"/>
      <c r="AV713" s="141"/>
      <c r="AW713" s="141"/>
      <c r="AX713" s="141"/>
      <c r="AY713" s="141"/>
      <c r="AZ713" s="141"/>
      <c r="BA713" s="141"/>
      <c r="BB713" s="141"/>
      <c r="BC713" s="141"/>
      <c r="BD713" s="141"/>
      <c r="BE713" s="141"/>
      <c r="BF713" s="141"/>
      <c r="BG713" s="18"/>
      <c r="BH713" s="1"/>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row>
    <row r="714" spans="1:135" ht="14.25" customHeight="1">
      <c r="A714" s="18"/>
      <c r="B714" s="18"/>
      <c r="C714" s="19"/>
      <c r="D714" s="18"/>
      <c r="E714" s="18"/>
      <c r="F714" s="19"/>
      <c r="G714" s="18"/>
      <c r="H714" s="114"/>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40"/>
      <c r="AL714" s="141"/>
      <c r="AM714" s="141"/>
      <c r="AN714" s="141"/>
      <c r="AO714" s="141"/>
      <c r="AP714" s="141"/>
      <c r="AQ714" s="141"/>
      <c r="AR714" s="141"/>
      <c r="AS714" s="141"/>
      <c r="AT714" s="141"/>
      <c r="AU714" s="141"/>
      <c r="AV714" s="141"/>
      <c r="AW714" s="141"/>
      <c r="AX714" s="141"/>
      <c r="AY714" s="141"/>
      <c r="AZ714" s="141"/>
      <c r="BA714" s="141"/>
      <c r="BB714" s="141"/>
      <c r="BC714" s="141"/>
      <c r="BD714" s="141"/>
      <c r="BE714" s="141"/>
      <c r="BF714" s="141"/>
      <c r="BG714" s="18"/>
      <c r="BH714" s="1"/>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row>
    <row r="715" spans="1:135" ht="14.25" customHeight="1">
      <c r="A715" s="18"/>
      <c r="B715" s="18"/>
      <c r="C715" s="19"/>
      <c r="D715" s="18"/>
      <c r="E715" s="18"/>
      <c r="F715" s="19"/>
      <c r="G715" s="18"/>
      <c r="H715" s="114"/>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40"/>
      <c r="AL715" s="141"/>
      <c r="AM715" s="141"/>
      <c r="AN715" s="141"/>
      <c r="AO715" s="141"/>
      <c r="AP715" s="141"/>
      <c r="AQ715" s="141"/>
      <c r="AR715" s="141"/>
      <c r="AS715" s="141"/>
      <c r="AT715" s="141"/>
      <c r="AU715" s="141"/>
      <c r="AV715" s="141"/>
      <c r="AW715" s="141"/>
      <c r="AX715" s="141"/>
      <c r="AY715" s="141"/>
      <c r="AZ715" s="141"/>
      <c r="BA715" s="141"/>
      <c r="BB715" s="141"/>
      <c r="BC715" s="141"/>
      <c r="BD715" s="141"/>
      <c r="BE715" s="141"/>
      <c r="BF715" s="141"/>
      <c r="BG715" s="18"/>
      <c r="BH715" s="1"/>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row>
    <row r="716" spans="1:135" ht="14.25" customHeight="1">
      <c r="A716" s="18"/>
      <c r="B716" s="18"/>
      <c r="C716" s="19"/>
      <c r="D716" s="18"/>
      <c r="E716" s="18"/>
      <c r="F716" s="19"/>
      <c r="G716" s="18"/>
      <c r="H716" s="114"/>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40"/>
      <c r="AL716" s="141"/>
      <c r="AM716" s="141"/>
      <c r="AN716" s="141"/>
      <c r="AO716" s="141"/>
      <c r="AP716" s="141"/>
      <c r="AQ716" s="141"/>
      <c r="AR716" s="141"/>
      <c r="AS716" s="141"/>
      <c r="AT716" s="141"/>
      <c r="AU716" s="141"/>
      <c r="AV716" s="141"/>
      <c r="AW716" s="141"/>
      <c r="AX716" s="141"/>
      <c r="AY716" s="141"/>
      <c r="AZ716" s="141"/>
      <c r="BA716" s="141"/>
      <c r="BB716" s="141"/>
      <c r="BC716" s="141"/>
      <c r="BD716" s="141"/>
      <c r="BE716" s="141"/>
      <c r="BF716" s="141"/>
      <c r="BG716" s="18"/>
      <c r="BH716" s="1"/>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row>
    <row r="717" spans="1:135" ht="14.25" customHeight="1">
      <c r="A717" s="18"/>
      <c r="B717" s="18"/>
      <c r="C717" s="19"/>
      <c r="D717" s="18"/>
      <c r="E717" s="18"/>
      <c r="F717" s="19"/>
      <c r="G717" s="18"/>
      <c r="H717" s="114"/>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40"/>
      <c r="AL717" s="141"/>
      <c r="AM717" s="141"/>
      <c r="AN717" s="141"/>
      <c r="AO717" s="141"/>
      <c r="AP717" s="141"/>
      <c r="AQ717" s="141"/>
      <c r="AR717" s="141"/>
      <c r="AS717" s="141"/>
      <c r="AT717" s="141"/>
      <c r="AU717" s="141"/>
      <c r="AV717" s="141"/>
      <c r="AW717" s="141"/>
      <c r="AX717" s="141"/>
      <c r="AY717" s="141"/>
      <c r="AZ717" s="141"/>
      <c r="BA717" s="141"/>
      <c r="BB717" s="141"/>
      <c r="BC717" s="141"/>
      <c r="BD717" s="141"/>
      <c r="BE717" s="141"/>
      <c r="BF717" s="141"/>
      <c r="BG717" s="18"/>
      <c r="BH717" s="1"/>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row>
    <row r="718" spans="1:135" ht="14.25" customHeight="1">
      <c r="A718" s="18"/>
      <c r="B718" s="18"/>
      <c r="C718" s="19"/>
      <c r="D718" s="18"/>
      <c r="E718" s="18"/>
      <c r="F718" s="19"/>
      <c r="G718" s="18"/>
      <c r="H718" s="114"/>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40"/>
      <c r="AL718" s="141"/>
      <c r="AM718" s="141"/>
      <c r="AN718" s="141"/>
      <c r="AO718" s="141"/>
      <c r="AP718" s="141"/>
      <c r="AQ718" s="141"/>
      <c r="AR718" s="141"/>
      <c r="AS718" s="141"/>
      <c r="AT718" s="141"/>
      <c r="AU718" s="141"/>
      <c r="AV718" s="141"/>
      <c r="AW718" s="141"/>
      <c r="AX718" s="141"/>
      <c r="AY718" s="141"/>
      <c r="AZ718" s="141"/>
      <c r="BA718" s="141"/>
      <c r="BB718" s="141"/>
      <c r="BC718" s="141"/>
      <c r="BD718" s="141"/>
      <c r="BE718" s="141"/>
      <c r="BF718" s="141"/>
      <c r="BG718" s="18"/>
      <c r="BH718" s="1"/>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row>
    <row r="719" spans="1:135" ht="14.25" customHeight="1">
      <c r="A719" s="18"/>
      <c r="B719" s="18"/>
      <c r="C719" s="19"/>
      <c r="D719" s="18"/>
      <c r="E719" s="18"/>
      <c r="F719" s="19"/>
      <c r="G719" s="18"/>
      <c r="H719" s="114"/>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40"/>
      <c r="AL719" s="141"/>
      <c r="AM719" s="141"/>
      <c r="AN719" s="141"/>
      <c r="AO719" s="141"/>
      <c r="AP719" s="141"/>
      <c r="AQ719" s="141"/>
      <c r="AR719" s="141"/>
      <c r="AS719" s="141"/>
      <c r="AT719" s="141"/>
      <c r="AU719" s="141"/>
      <c r="AV719" s="141"/>
      <c r="AW719" s="141"/>
      <c r="AX719" s="141"/>
      <c r="AY719" s="141"/>
      <c r="AZ719" s="141"/>
      <c r="BA719" s="141"/>
      <c r="BB719" s="141"/>
      <c r="BC719" s="141"/>
      <c r="BD719" s="141"/>
      <c r="BE719" s="141"/>
      <c r="BF719" s="141"/>
      <c r="BG719" s="18"/>
      <c r="BH719" s="1"/>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row>
    <row r="720" spans="1:135" ht="14.25" customHeight="1">
      <c r="A720" s="18"/>
      <c r="B720" s="18"/>
      <c r="C720" s="19"/>
      <c r="D720" s="18"/>
      <c r="E720" s="18"/>
      <c r="F720" s="19"/>
      <c r="G720" s="18"/>
      <c r="H720" s="114"/>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40"/>
      <c r="AL720" s="141"/>
      <c r="AM720" s="141"/>
      <c r="AN720" s="141"/>
      <c r="AO720" s="141"/>
      <c r="AP720" s="141"/>
      <c r="AQ720" s="141"/>
      <c r="AR720" s="141"/>
      <c r="AS720" s="141"/>
      <c r="AT720" s="141"/>
      <c r="AU720" s="141"/>
      <c r="AV720" s="141"/>
      <c r="AW720" s="141"/>
      <c r="AX720" s="141"/>
      <c r="AY720" s="141"/>
      <c r="AZ720" s="141"/>
      <c r="BA720" s="141"/>
      <c r="BB720" s="141"/>
      <c r="BC720" s="141"/>
      <c r="BD720" s="141"/>
      <c r="BE720" s="141"/>
      <c r="BF720" s="141"/>
      <c r="BG720" s="18"/>
      <c r="BH720" s="1"/>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row>
    <row r="721" spans="1:135" ht="14.25" customHeight="1">
      <c r="A721" s="18"/>
      <c r="B721" s="18"/>
      <c r="C721" s="19"/>
      <c r="D721" s="18"/>
      <c r="E721" s="18"/>
      <c r="F721" s="19"/>
      <c r="G721" s="18"/>
      <c r="H721" s="114"/>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40"/>
      <c r="AL721" s="141"/>
      <c r="AM721" s="141"/>
      <c r="AN721" s="141"/>
      <c r="AO721" s="141"/>
      <c r="AP721" s="141"/>
      <c r="AQ721" s="141"/>
      <c r="AR721" s="141"/>
      <c r="AS721" s="141"/>
      <c r="AT721" s="141"/>
      <c r="AU721" s="141"/>
      <c r="AV721" s="141"/>
      <c r="AW721" s="141"/>
      <c r="AX721" s="141"/>
      <c r="AY721" s="141"/>
      <c r="AZ721" s="141"/>
      <c r="BA721" s="141"/>
      <c r="BB721" s="141"/>
      <c r="BC721" s="141"/>
      <c r="BD721" s="141"/>
      <c r="BE721" s="141"/>
      <c r="BF721" s="141"/>
      <c r="BG721" s="18"/>
      <c r="BH721" s="1"/>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row>
    <row r="722" spans="1:135" ht="14.25" customHeight="1">
      <c r="A722" s="18"/>
      <c r="B722" s="18"/>
      <c r="C722" s="19"/>
      <c r="D722" s="18"/>
      <c r="E722" s="18"/>
      <c r="F722" s="19"/>
      <c r="G722" s="18"/>
      <c r="H722" s="114"/>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40"/>
      <c r="AL722" s="141"/>
      <c r="AM722" s="141"/>
      <c r="AN722" s="141"/>
      <c r="AO722" s="141"/>
      <c r="AP722" s="141"/>
      <c r="AQ722" s="141"/>
      <c r="AR722" s="141"/>
      <c r="AS722" s="141"/>
      <c r="AT722" s="141"/>
      <c r="AU722" s="141"/>
      <c r="AV722" s="141"/>
      <c r="AW722" s="141"/>
      <c r="AX722" s="141"/>
      <c r="AY722" s="141"/>
      <c r="AZ722" s="141"/>
      <c r="BA722" s="141"/>
      <c r="BB722" s="141"/>
      <c r="BC722" s="141"/>
      <c r="BD722" s="141"/>
      <c r="BE722" s="141"/>
      <c r="BF722" s="141"/>
      <c r="BG722" s="18"/>
      <c r="BH722" s="1"/>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row>
    <row r="723" spans="1:135" ht="14.25" customHeight="1">
      <c r="A723" s="18"/>
      <c r="B723" s="18"/>
      <c r="C723" s="19"/>
      <c r="D723" s="18"/>
      <c r="E723" s="18"/>
      <c r="F723" s="19"/>
      <c r="G723" s="18"/>
      <c r="H723" s="114"/>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40"/>
      <c r="AL723" s="141"/>
      <c r="AM723" s="141"/>
      <c r="AN723" s="141"/>
      <c r="AO723" s="141"/>
      <c r="AP723" s="141"/>
      <c r="AQ723" s="141"/>
      <c r="AR723" s="141"/>
      <c r="AS723" s="141"/>
      <c r="AT723" s="141"/>
      <c r="AU723" s="141"/>
      <c r="AV723" s="141"/>
      <c r="AW723" s="141"/>
      <c r="AX723" s="141"/>
      <c r="AY723" s="141"/>
      <c r="AZ723" s="141"/>
      <c r="BA723" s="141"/>
      <c r="BB723" s="141"/>
      <c r="BC723" s="141"/>
      <c r="BD723" s="141"/>
      <c r="BE723" s="141"/>
      <c r="BF723" s="141"/>
      <c r="BG723" s="18"/>
      <c r="BH723" s="1"/>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row>
    <row r="724" spans="1:135" ht="14.25" customHeight="1">
      <c r="A724" s="18"/>
      <c r="B724" s="18"/>
      <c r="C724" s="19"/>
      <c r="D724" s="18"/>
      <c r="E724" s="18"/>
      <c r="F724" s="19"/>
      <c r="G724" s="18"/>
      <c r="H724" s="114"/>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40"/>
      <c r="AL724" s="141"/>
      <c r="AM724" s="141"/>
      <c r="AN724" s="141"/>
      <c r="AO724" s="141"/>
      <c r="AP724" s="141"/>
      <c r="AQ724" s="141"/>
      <c r="AR724" s="141"/>
      <c r="AS724" s="141"/>
      <c r="AT724" s="141"/>
      <c r="AU724" s="141"/>
      <c r="AV724" s="141"/>
      <c r="AW724" s="141"/>
      <c r="AX724" s="141"/>
      <c r="AY724" s="141"/>
      <c r="AZ724" s="141"/>
      <c r="BA724" s="141"/>
      <c r="BB724" s="141"/>
      <c r="BC724" s="141"/>
      <c r="BD724" s="141"/>
      <c r="BE724" s="141"/>
      <c r="BF724" s="141"/>
      <c r="BG724" s="18"/>
      <c r="BH724" s="1"/>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row>
    <row r="725" spans="1:135" ht="14.25" customHeight="1">
      <c r="A725" s="18"/>
      <c r="B725" s="18"/>
      <c r="C725" s="19"/>
      <c r="D725" s="18"/>
      <c r="E725" s="18"/>
      <c r="F725" s="19"/>
      <c r="G725" s="18"/>
      <c r="H725" s="114"/>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40"/>
      <c r="AL725" s="141"/>
      <c r="AM725" s="141"/>
      <c r="AN725" s="141"/>
      <c r="AO725" s="141"/>
      <c r="AP725" s="141"/>
      <c r="AQ725" s="141"/>
      <c r="AR725" s="141"/>
      <c r="AS725" s="141"/>
      <c r="AT725" s="141"/>
      <c r="AU725" s="141"/>
      <c r="AV725" s="141"/>
      <c r="AW725" s="141"/>
      <c r="AX725" s="141"/>
      <c r="AY725" s="141"/>
      <c r="AZ725" s="141"/>
      <c r="BA725" s="141"/>
      <c r="BB725" s="141"/>
      <c r="BC725" s="141"/>
      <c r="BD725" s="141"/>
      <c r="BE725" s="141"/>
      <c r="BF725" s="141"/>
      <c r="BG725" s="18"/>
      <c r="BH725" s="1"/>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row>
    <row r="726" spans="1:135" ht="14.25" customHeight="1">
      <c r="A726" s="18"/>
      <c r="B726" s="18"/>
      <c r="C726" s="19"/>
      <c r="D726" s="18"/>
      <c r="E726" s="18"/>
      <c r="F726" s="19"/>
      <c r="G726" s="18"/>
      <c r="H726" s="114"/>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40"/>
      <c r="AL726" s="141"/>
      <c r="AM726" s="141"/>
      <c r="AN726" s="141"/>
      <c r="AO726" s="141"/>
      <c r="AP726" s="141"/>
      <c r="AQ726" s="141"/>
      <c r="AR726" s="141"/>
      <c r="AS726" s="141"/>
      <c r="AT726" s="141"/>
      <c r="AU726" s="141"/>
      <c r="AV726" s="141"/>
      <c r="AW726" s="141"/>
      <c r="AX726" s="141"/>
      <c r="AY726" s="141"/>
      <c r="AZ726" s="141"/>
      <c r="BA726" s="141"/>
      <c r="BB726" s="141"/>
      <c r="BC726" s="141"/>
      <c r="BD726" s="141"/>
      <c r="BE726" s="141"/>
      <c r="BF726" s="141"/>
      <c r="BG726" s="18"/>
      <c r="BH726" s="1"/>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row>
    <row r="727" spans="1:135" ht="14.25" customHeight="1">
      <c r="A727" s="18"/>
      <c r="B727" s="18"/>
      <c r="C727" s="19"/>
      <c r="D727" s="18"/>
      <c r="E727" s="18"/>
      <c r="F727" s="19"/>
      <c r="G727" s="18"/>
      <c r="H727" s="114"/>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40"/>
      <c r="AL727" s="141"/>
      <c r="AM727" s="141"/>
      <c r="AN727" s="141"/>
      <c r="AO727" s="141"/>
      <c r="AP727" s="141"/>
      <c r="AQ727" s="141"/>
      <c r="AR727" s="141"/>
      <c r="AS727" s="141"/>
      <c r="AT727" s="141"/>
      <c r="AU727" s="141"/>
      <c r="AV727" s="141"/>
      <c r="AW727" s="141"/>
      <c r="AX727" s="141"/>
      <c r="AY727" s="141"/>
      <c r="AZ727" s="141"/>
      <c r="BA727" s="141"/>
      <c r="BB727" s="141"/>
      <c r="BC727" s="141"/>
      <c r="BD727" s="141"/>
      <c r="BE727" s="141"/>
      <c r="BF727" s="141"/>
      <c r="BG727" s="18"/>
      <c r="BH727" s="1"/>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row>
    <row r="728" spans="1:135" ht="14.25" customHeight="1">
      <c r="A728" s="18"/>
      <c r="B728" s="18"/>
      <c r="C728" s="19"/>
      <c r="D728" s="18"/>
      <c r="E728" s="18"/>
      <c r="F728" s="19"/>
      <c r="G728" s="18"/>
      <c r="H728" s="114"/>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40"/>
      <c r="AL728" s="141"/>
      <c r="AM728" s="141"/>
      <c r="AN728" s="141"/>
      <c r="AO728" s="141"/>
      <c r="AP728" s="141"/>
      <c r="AQ728" s="141"/>
      <c r="AR728" s="141"/>
      <c r="AS728" s="141"/>
      <c r="AT728" s="141"/>
      <c r="AU728" s="141"/>
      <c r="AV728" s="141"/>
      <c r="AW728" s="141"/>
      <c r="AX728" s="141"/>
      <c r="AY728" s="141"/>
      <c r="AZ728" s="141"/>
      <c r="BA728" s="141"/>
      <c r="BB728" s="141"/>
      <c r="BC728" s="141"/>
      <c r="BD728" s="141"/>
      <c r="BE728" s="141"/>
      <c r="BF728" s="141"/>
      <c r="BG728" s="18"/>
      <c r="BH728" s="1"/>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row>
    <row r="729" spans="1:135" ht="14.25" customHeight="1">
      <c r="A729" s="18"/>
      <c r="B729" s="18"/>
      <c r="C729" s="19"/>
      <c r="D729" s="18"/>
      <c r="E729" s="18"/>
      <c r="F729" s="19"/>
      <c r="G729" s="18"/>
      <c r="H729" s="114"/>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40"/>
      <c r="AL729" s="141"/>
      <c r="AM729" s="141"/>
      <c r="AN729" s="141"/>
      <c r="AO729" s="141"/>
      <c r="AP729" s="141"/>
      <c r="AQ729" s="141"/>
      <c r="AR729" s="141"/>
      <c r="AS729" s="141"/>
      <c r="AT729" s="141"/>
      <c r="AU729" s="141"/>
      <c r="AV729" s="141"/>
      <c r="AW729" s="141"/>
      <c r="AX729" s="141"/>
      <c r="AY729" s="141"/>
      <c r="AZ729" s="141"/>
      <c r="BA729" s="141"/>
      <c r="BB729" s="141"/>
      <c r="BC729" s="141"/>
      <c r="BD729" s="141"/>
      <c r="BE729" s="141"/>
      <c r="BF729" s="141"/>
      <c r="BG729" s="18"/>
      <c r="BH729" s="1"/>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row>
    <row r="730" spans="1:135" ht="14.25" customHeight="1">
      <c r="A730" s="18"/>
      <c r="B730" s="18"/>
      <c r="C730" s="19"/>
      <c r="D730" s="18"/>
      <c r="E730" s="18"/>
      <c r="F730" s="19"/>
      <c r="G730" s="18"/>
      <c r="H730" s="114"/>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40"/>
      <c r="AL730" s="141"/>
      <c r="AM730" s="141"/>
      <c r="AN730" s="141"/>
      <c r="AO730" s="141"/>
      <c r="AP730" s="141"/>
      <c r="AQ730" s="141"/>
      <c r="AR730" s="141"/>
      <c r="AS730" s="141"/>
      <c r="AT730" s="141"/>
      <c r="AU730" s="141"/>
      <c r="AV730" s="141"/>
      <c r="AW730" s="141"/>
      <c r="AX730" s="141"/>
      <c r="AY730" s="141"/>
      <c r="AZ730" s="141"/>
      <c r="BA730" s="141"/>
      <c r="BB730" s="141"/>
      <c r="BC730" s="141"/>
      <c r="BD730" s="141"/>
      <c r="BE730" s="141"/>
      <c r="BF730" s="141"/>
      <c r="BG730" s="18"/>
      <c r="BH730" s="1"/>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row>
    <row r="731" spans="1:135" ht="14.25" customHeight="1">
      <c r="A731" s="18"/>
      <c r="B731" s="18"/>
      <c r="C731" s="19"/>
      <c r="D731" s="18"/>
      <c r="E731" s="18"/>
      <c r="F731" s="19"/>
      <c r="G731" s="18"/>
      <c r="H731" s="114"/>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40"/>
      <c r="AL731" s="141"/>
      <c r="AM731" s="141"/>
      <c r="AN731" s="141"/>
      <c r="AO731" s="141"/>
      <c r="AP731" s="141"/>
      <c r="AQ731" s="141"/>
      <c r="AR731" s="141"/>
      <c r="AS731" s="141"/>
      <c r="AT731" s="141"/>
      <c r="AU731" s="141"/>
      <c r="AV731" s="141"/>
      <c r="AW731" s="141"/>
      <c r="AX731" s="141"/>
      <c r="AY731" s="141"/>
      <c r="AZ731" s="141"/>
      <c r="BA731" s="141"/>
      <c r="BB731" s="141"/>
      <c r="BC731" s="141"/>
      <c r="BD731" s="141"/>
      <c r="BE731" s="141"/>
      <c r="BF731" s="141"/>
      <c r="BG731" s="18"/>
      <c r="BH731" s="1"/>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row>
    <row r="732" spans="1:135" ht="14.25" customHeight="1">
      <c r="A732" s="18"/>
      <c r="B732" s="18"/>
      <c r="C732" s="19"/>
      <c r="D732" s="18"/>
      <c r="E732" s="18"/>
      <c r="F732" s="19"/>
      <c r="G732" s="18"/>
      <c r="H732" s="114"/>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40"/>
      <c r="AL732" s="141"/>
      <c r="AM732" s="141"/>
      <c r="AN732" s="141"/>
      <c r="AO732" s="141"/>
      <c r="AP732" s="141"/>
      <c r="AQ732" s="141"/>
      <c r="AR732" s="141"/>
      <c r="AS732" s="141"/>
      <c r="AT732" s="141"/>
      <c r="AU732" s="141"/>
      <c r="AV732" s="141"/>
      <c r="AW732" s="141"/>
      <c r="AX732" s="141"/>
      <c r="AY732" s="141"/>
      <c r="AZ732" s="141"/>
      <c r="BA732" s="141"/>
      <c r="BB732" s="141"/>
      <c r="BC732" s="141"/>
      <c r="BD732" s="141"/>
      <c r="BE732" s="141"/>
      <c r="BF732" s="141"/>
      <c r="BG732" s="18"/>
      <c r="BH732" s="1"/>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row>
    <row r="733" spans="1:135" ht="14.25" customHeight="1">
      <c r="A733" s="18"/>
      <c r="B733" s="18"/>
      <c r="C733" s="19"/>
      <c r="D733" s="18"/>
      <c r="E733" s="18"/>
      <c r="F733" s="19"/>
      <c r="G733" s="18"/>
      <c r="H733" s="114"/>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40"/>
      <c r="AL733" s="141"/>
      <c r="AM733" s="141"/>
      <c r="AN733" s="141"/>
      <c r="AO733" s="141"/>
      <c r="AP733" s="141"/>
      <c r="AQ733" s="141"/>
      <c r="AR733" s="141"/>
      <c r="AS733" s="141"/>
      <c r="AT733" s="141"/>
      <c r="AU733" s="141"/>
      <c r="AV733" s="141"/>
      <c r="AW733" s="141"/>
      <c r="AX733" s="141"/>
      <c r="AY733" s="141"/>
      <c r="AZ733" s="141"/>
      <c r="BA733" s="141"/>
      <c r="BB733" s="141"/>
      <c r="BC733" s="141"/>
      <c r="BD733" s="141"/>
      <c r="BE733" s="141"/>
      <c r="BF733" s="141"/>
      <c r="BG733" s="18"/>
      <c r="BH733" s="1"/>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row>
    <row r="734" spans="1:135" ht="14.25" customHeight="1">
      <c r="A734" s="18"/>
      <c r="B734" s="18"/>
      <c r="C734" s="19"/>
      <c r="D734" s="18"/>
      <c r="E734" s="18"/>
      <c r="F734" s="19"/>
      <c r="G734" s="18"/>
      <c r="H734" s="114"/>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40"/>
      <c r="AL734" s="141"/>
      <c r="AM734" s="141"/>
      <c r="AN734" s="141"/>
      <c r="AO734" s="141"/>
      <c r="AP734" s="141"/>
      <c r="AQ734" s="141"/>
      <c r="AR734" s="141"/>
      <c r="AS734" s="141"/>
      <c r="AT734" s="141"/>
      <c r="AU734" s="141"/>
      <c r="AV734" s="141"/>
      <c r="AW734" s="141"/>
      <c r="AX734" s="141"/>
      <c r="AY734" s="141"/>
      <c r="AZ734" s="141"/>
      <c r="BA734" s="141"/>
      <c r="BB734" s="141"/>
      <c r="BC734" s="141"/>
      <c r="BD734" s="141"/>
      <c r="BE734" s="141"/>
      <c r="BF734" s="141"/>
      <c r="BG734" s="18"/>
      <c r="BH734" s="1"/>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row>
    <row r="735" spans="1:135" ht="14.25" customHeight="1">
      <c r="A735" s="18"/>
      <c r="B735" s="18"/>
      <c r="C735" s="19"/>
      <c r="D735" s="18"/>
      <c r="E735" s="18"/>
      <c r="F735" s="19"/>
      <c r="G735" s="18"/>
      <c r="H735" s="114"/>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40"/>
      <c r="AL735" s="141"/>
      <c r="AM735" s="141"/>
      <c r="AN735" s="141"/>
      <c r="AO735" s="141"/>
      <c r="AP735" s="141"/>
      <c r="AQ735" s="141"/>
      <c r="AR735" s="141"/>
      <c r="AS735" s="141"/>
      <c r="AT735" s="141"/>
      <c r="AU735" s="141"/>
      <c r="AV735" s="141"/>
      <c r="AW735" s="141"/>
      <c r="AX735" s="141"/>
      <c r="AY735" s="141"/>
      <c r="AZ735" s="141"/>
      <c r="BA735" s="141"/>
      <c r="BB735" s="141"/>
      <c r="BC735" s="141"/>
      <c r="BD735" s="141"/>
      <c r="BE735" s="141"/>
      <c r="BF735" s="141"/>
      <c r="BG735" s="18"/>
      <c r="BH735" s="1"/>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row>
    <row r="736" spans="1:135" ht="14.25" customHeight="1">
      <c r="A736" s="18"/>
      <c r="B736" s="18"/>
      <c r="C736" s="19"/>
      <c r="D736" s="18"/>
      <c r="E736" s="18"/>
      <c r="F736" s="19"/>
      <c r="G736" s="18"/>
      <c r="H736" s="114"/>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40"/>
      <c r="AL736" s="141"/>
      <c r="AM736" s="141"/>
      <c r="AN736" s="141"/>
      <c r="AO736" s="141"/>
      <c r="AP736" s="141"/>
      <c r="AQ736" s="141"/>
      <c r="AR736" s="141"/>
      <c r="AS736" s="141"/>
      <c r="AT736" s="141"/>
      <c r="AU736" s="141"/>
      <c r="AV736" s="141"/>
      <c r="AW736" s="141"/>
      <c r="AX736" s="141"/>
      <c r="AY736" s="141"/>
      <c r="AZ736" s="141"/>
      <c r="BA736" s="141"/>
      <c r="BB736" s="141"/>
      <c r="BC736" s="141"/>
      <c r="BD736" s="141"/>
      <c r="BE736" s="141"/>
      <c r="BF736" s="141"/>
      <c r="BG736" s="18"/>
      <c r="BH736" s="1"/>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row>
    <row r="737" spans="1:135" ht="14.25" customHeight="1">
      <c r="A737" s="18"/>
      <c r="B737" s="18"/>
      <c r="C737" s="19"/>
      <c r="D737" s="18"/>
      <c r="E737" s="18"/>
      <c r="F737" s="19"/>
      <c r="G737" s="18"/>
      <c r="H737" s="114"/>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40"/>
      <c r="AL737" s="141"/>
      <c r="AM737" s="141"/>
      <c r="AN737" s="141"/>
      <c r="AO737" s="141"/>
      <c r="AP737" s="141"/>
      <c r="AQ737" s="141"/>
      <c r="AR737" s="141"/>
      <c r="AS737" s="141"/>
      <c r="AT737" s="141"/>
      <c r="AU737" s="141"/>
      <c r="AV737" s="141"/>
      <c r="AW737" s="141"/>
      <c r="AX737" s="141"/>
      <c r="AY737" s="141"/>
      <c r="AZ737" s="141"/>
      <c r="BA737" s="141"/>
      <c r="BB737" s="141"/>
      <c r="BC737" s="141"/>
      <c r="BD737" s="141"/>
      <c r="BE737" s="141"/>
      <c r="BF737" s="141"/>
      <c r="BG737" s="18"/>
      <c r="BH737" s="1"/>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row>
    <row r="738" spans="1:135" ht="14.25" customHeight="1">
      <c r="A738" s="18"/>
      <c r="B738" s="18"/>
      <c r="C738" s="19"/>
      <c r="D738" s="18"/>
      <c r="E738" s="18"/>
      <c r="F738" s="19"/>
      <c r="G738" s="18"/>
      <c r="H738" s="114"/>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40"/>
      <c r="AL738" s="141"/>
      <c r="AM738" s="141"/>
      <c r="AN738" s="141"/>
      <c r="AO738" s="141"/>
      <c r="AP738" s="141"/>
      <c r="AQ738" s="141"/>
      <c r="AR738" s="141"/>
      <c r="AS738" s="141"/>
      <c r="AT738" s="141"/>
      <c r="AU738" s="141"/>
      <c r="AV738" s="141"/>
      <c r="AW738" s="141"/>
      <c r="AX738" s="141"/>
      <c r="AY738" s="141"/>
      <c r="AZ738" s="141"/>
      <c r="BA738" s="141"/>
      <c r="BB738" s="141"/>
      <c r="BC738" s="141"/>
      <c r="BD738" s="141"/>
      <c r="BE738" s="141"/>
      <c r="BF738" s="141"/>
      <c r="BG738" s="18"/>
      <c r="BH738" s="1"/>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row>
    <row r="739" spans="1:135" ht="14.25" customHeight="1">
      <c r="A739" s="18"/>
      <c r="B739" s="18"/>
      <c r="C739" s="19"/>
      <c r="D739" s="18"/>
      <c r="E739" s="18"/>
      <c r="F739" s="19"/>
      <c r="G739" s="18"/>
      <c r="H739" s="114"/>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40"/>
      <c r="AL739" s="141"/>
      <c r="AM739" s="141"/>
      <c r="AN739" s="141"/>
      <c r="AO739" s="141"/>
      <c r="AP739" s="141"/>
      <c r="AQ739" s="141"/>
      <c r="AR739" s="141"/>
      <c r="AS739" s="141"/>
      <c r="AT739" s="141"/>
      <c r="AU739" s="141"/>
      <c r="AV739" s="141"/>
      <c r="AW739" s="141"/>
      <c r="AX739" s="141"/>
      <c r="AY739" s="141"/>
      <c r="AZ739" s="141"/>
      <c r="BA739" s="141"/>
      <c r="BB739" s="141"/>
      <c r="BC739" s="141"/>
      <c r="BD739" s="141"/>
      <c r="BE739" s="141"/>
      <c r="BF739" s="141"/>
      <c r="BG739" s="18"/>
      <c r="BH739" s="1"/>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row>
    <row r="740" spans="1:135" ht="14.25" customHeight="1">
      <c r="A740" s="18"/>
      <c r="B740" s="18"/>
      <c r="C740" s="19"/>
      <c r="D740" s="18"/>
      <c r="E740" s="18"/>
      <c r="F740" s="19"/>
      <c r="G740" s="18"/>
      <c r="H740" s="114"/>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40"/>
      <c r="AL740" s="141"/>
      <c r="AM740" s="141"/>
      <c r="AN740" s="141"/>
      <c r="AO740" s="141"/>
      <c r="AP740" s="141"/>
      <c r="AQ740" s="141"/>
      <c r="AR740" s="141"/>
      <c r="AS740" s="141"/>
      <c r="AT740" s="141"/>
      <c r="AU740" s="141"/>
      <c r="AV740" s="141"/>
      <c r="AW740" s="141"/>
      <c r="AX740" s="141"/>
      <c r="AY740" s="141"/>
      <c r="AZ740" s="141"/>
      <c r="BA740" s="141"/>
      <c r="BB740" s="141"/>
      <c r="BC740" s="141"/>
      <c r="BD740" s="141"/>
      <c r="BE740" s="141"/>
      <c r="BF740" s="141"/>
      <c r="BG740" s="18"/>
      <c r="BH740" s="1"/>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row>
    <row r="741" spans="1:135" ht="14.25" customHeight="1">
      <c r="A741" s="18"/>
      <c r="B741" s="18"/>
      <c r="C741" s="19"/>
      <c r="D741" s="18"/>
      <c r="E741" s="18"/>
      <c r="F741" s="19"/>
      <c r="G741" s="18"/>
      <c r="H741" s="114"/>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40"/>
      <c r="AL741" s="141"/>
      <c r="AM741" s="141"/>
      <c r="AN741" s="141"/>
      <c r="AO741" s="141"/>
      <c r="AP741" s="141"/>
      <c r="AQ741" s="141"/>
      <c r="AR741" s="141"/>
      <c r="AS741" s="141"/>
      <c r="AT741" s="141"/>
      <c r="AU741" s="141"/>
      <c r="AV741" s="141"/>
      <c r="AW741" s="141"/>
      <c r="AX741" s="141"/>
      <c r="AY741" s="141"/>
      <c r="AZ741" s="141"/>
      <c r="BA741" s="141"/>
      <c r="BB741" s="141"/>
      <c r="BC741" s="141"/>
      <c r="BD741" s="141"/>
      <c r="BE741" s="141"/>
      <c r="BF741" s="141"/>
      <c r="BG741" s="18"/>
      <c r="BH741" s="1"/>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row>
    <row r="742" spans="1:135" ht="14.25" customHeight="1">
      <c r="A742" s="18"/>
      <c r="B742" s="18"/>
      <c r="C742" s="19"/>
      <c r="D742" s="18"/>
      <c r="E742" s="18"/>
      <c r="F742" s="19"/>
      <c r="G742" s="18"/>
      <c r="H742" s="114"/>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40"/>
      <c r="AL742" s="141"/>
      <c r="AM742" s="141"/>
      <c r="AN742" s="141"/>
      <c r="AO742" s="141"/>
      <c r="AP742" s="141"/>
      <c r="AQ742" s="141"/>
      <c r="AR742" s="141"/>
      <c r="AS742" s="141"/>
      <c r="AT742" s="141"/>
      <c r="AU742" s="141"/>
      <c r="AV742" s="141"/>
      <c r="AW742" s="141"/>
      <c r="AX742" s="141"/>
      <c r="AY742" s="141"/>
      <c r="AZ742" s="141"/>
      <c r="BA742" s="141"/>
      <c r="BB742" s="141"/>
      <c r="BC742" s="141"/>
      <c r="BD742" s="141"/>
      <c r="BE742" s="141"/>
      <c r="BF742" s="141"/>
      <c r="BG742" s="18"/>
      <c r="BH742" s="1"/>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row>
    <row r="743" spans="1:135" ht="14.25" customHeight="1">
      <c r="A743" s="18"/>
      <c r="B743" s="18"/>
      <c r="C743" s="19"/>
      <c r="D743" s="18"/>
      <c r="E743" s="18"/>
      <c r="F743" s="19"/>
      <c r="G743" s="18"/>
      <c r="H743" s="114"/>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40"/>
      <c r="AL743" s="141"/>
      <c r="AM743" s="141"/>
      <c r="AN743" s="141"/>
      <c r="AO743" s="141"/>
      <c r="AP743" s="141"/>
      <c r="AQ743" s="141"/>
      <c r="AR743" s="141"/>
      <c r="AS743" s="141"/>
      <c r="AT743" s="141"/>
      <c r="AU743" s="141"/>
      <c r="AV743" s="141"/>
      <c r="AW743" s="141"/>
      <c r="AX743" s="141"/>
      <c r="AY743" s="141"/>
      <c r="AZ743" s="141"/>
      <c r="BA743" s="141"/>
      <c r="BB743" s="141"/>
      <c r="BC743" s="141"/>
      <c r="BD743" s="141"/>
      <c r="BE743" s="141"/>
      <c r="BF743" s="141"/>
      <c r="BG743" s="18"/>
      <c r="BH743" s="1"/>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row>
    <row r="744" spans="1:135" ht="14.25" customHeight="1">
      <c r="A744" s="18"/>
      <c r="B744" s="18"/>
      <c r="C744" s="19"/>
      <c r="D744" s="18"/>
      <c r="E744" s="18"/>
      <c r="F744" s="19"/>
      <c r="G744" s="18"/>
      <c r="H744" s="114"/>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40"/>
      <c r="AL744" s="141"/>
      <c r="AM744" s="141"/>
      <c r="AN744" s="141"/>
      <c r="AO744" s="141"/>
      <c r="AP744" s="141"/>
      <c r="AQ744" s="141"/>
      <c r="AR744" s="141"/>
      <c r="AS744" s="141"/>
      <c r="AT744" s="141"/>
      <c r="AU744" s="141"/>
      <c r="AV744" s="141"/>
      <c r="AW744" s="141"/>
      <c r="AX744" s="141"/>
      <c r="AY744" s="141"/>
      <c r="AZ744" s="141"/>
      <c r="BA744" s="141"/>
      <c r="BB744" s="141"/>
      <c r="BC744" s="141"/>
      <c r="BD744" s="141"/>
      <c r="BE744" s="141"/>
      <c r="BF744" s="141"/>
      <c r="BG744" s="18"/>
      <c r="BH744" s="1"/>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row>
    <row r="745" spans="1:135" ht="14.25" customHeight="1">
      <c r="A745" s="18"/>
      <c r="B745" s="18"/>
      <c r="C745" s="19"/>
      <c r="D745" s="18"/>
      <c r="E745" s="18"/>
      <c r="F745" s="19"/>
      <c r="G745" s="18"/>
      <c r="H745" s="114"/>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40"/>
      <c r="AL745" s="141"/>
      <c r="AM745" s="141"/>
      <c r="AN745" s="141"/>
      <c r="AO745" s="141"/>
      <c r="AP745" s="141"/>
      <c r="AQ745" s="141"/>
      <c r="AR745" s="141"/>
      <c r="AS745" s="141"/>
      <c r="AT745" s="141"/>
      <c r="AU745" s="141"/>
      <c r="AV745" s="141"/>
      <c r="AW745" s="141"/>
      <c r="AX745" s="141"/>
      <c r="AY745" s="141"/>
      <c r="AZ745" s="141"/>
      <c r="BA745" s="141"/>
      <c r="BB745" s="141"/>
      <c r="BC745" s="141"/>
      <c r="BD745" s="141"/>
      <c r="BE745" s="141"/>
      <c r="BF745" s="141"/>
      <c r="BG745" s="18"/>
      <c r="BH745" s="1"/>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row>
    <row r="746" spans="1:135" ht="14.25" customHeight="1">
      <c r="A746" s="18"/>
      <c r="B746" s="18"/>
      <c r="C746" s="19"/>
      <c r="D746" s="18"/>
      <c r="E746" s="18"/>
      <c r="F746" s="19"/>
      <c r="G746" s="18"/>
      <c r="H746" s="114"/>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40"/>
      <c r="AL746" s="141"/>
      <c r="AM746" s="141"/>
      <c r="AN746" s="141"/>
      <c r="AO746" s="141"/>
      <c r="AP746" s="141"/>
      <c r="AQ746" s="141"/>
      <c r="AR746" s="141"/>
      <c r="AS746" s="141"/>
      <c r="AT746" s="141"/>
      <c r="AU746" s="141"/>
      <c r="AV746" s="141"/>
      <c r="AW746" s="141"/>
      <c r="AX746" s="141"/>
      <c r="AY746" s="141"/>
      <c r="AZ746" s="141"/>
      <c r="BA746" s="141"/>
      <c r="BB746" s="141"/>
      <c r="BC746" s="141"/>
      <c r="BD746" s="141"/>
      <c r="BE746" s="141"/>
      <c r="BF746" s="141"/>
      <c r="BG746" s="18"/>
      <c r="BH746" s="1"/>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row>
    <row r="747" spans="1:135" ht="14.25" customHeight="1">
      <c r="A747" s="18"/>
      <c r="B747" s="18"/>
      <c r="C747" s="19"/>
      <c r="D747" s="18"/>
      <c r="E747" s="18"/>
      <c r="F747" s="19"/>
      <c r="G747" s="18"/>
      <c r="H747" s="114"/>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40"/>
      <c r="AL747" s="141"/>
      <c r="AM747" s="141"/>
      <c r="AN747" s="141"/>
      <c r="AO747" s="141"/>
      <c r="AP747" s="141"/>
      <c r="AQ747" s="141"/>
      <c r="AR747" s="141"/>
      <c r="AS747" s="141"/>
      <c r="AT747" s="141"/>
      <c r="AU747" s="141"/>
      <c r="AV747" s="141"/>
      <c r="AW747" s="141"/>
      <c r="AX747" s="141"/>
      <c r="AY747" s="141"/>
      <c r="AZ747" s="141"/>
      <c r="BA747" s="141"/>
      <c r="BB747" s="141"/>
      <c r="BC747" s="141"/>
      <c r="BD747" s="141"/>
      <c r="BE747" s="141"/>
      <c r="BF747" s="141"/>
      <c r="BG747" s="18"/>
      <c r="BH747" s="1"/>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row>
    <row r="748" spans="1:135" ht="14.25" customHeight="1">
      <c r="A748" s="18"/>
      <c r="B748" s="18"/>
      <c r="C748" s="19"/>
      <c r="D748" s="18"/>
      <c r="E748" s="18"/>
      <c r="F748" s="19"/>
      <c r="G748" s="18"/>
      <c r="H748" s="114"/>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40"/>
      <c r="AL748" s="141"/>
      <c r="AM748" s="141"/>
      <c r="AN748" s="141"/>
      <c r="AO748" s="141"/>
      <c r="AP748" s="141"/>
      <c r="AQ748" s="141"/>
      <c r="AR748" s="141"/>
      <c r="AS748" s="141"/>
      <c r="AT748" s="141"/>
      <c r="AU748" s="141"/>
      <c r="AV748" s="141"/>
      <c r="AW748" s="141"/>
      <c r="AX748" s="141"/>
      <c r="AY748" s="141"/>
      <c r="AZ748" s="141"/>
      <c r="BA748" s="141"/>
      <c r="BB748" s="141"/>
      <c r="BC748" s="141"/>
      <c r="BD748" s="141"/>
      <c r="BE748" s="141"/>
      <c r="BF748" s="141"/>
      <c r="BG748" s="18"/>
      <c r="BH748" s="1"/>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row>
    <row r="749" spans="1:135" ht="14.25" customHeight="1">
      <c r="A749" s="18"/>
      <c r="B749" s="18"/>
      <c r="C749" s="19"/>
      <c r="D749" s="18"/>
      <c r="E749" s="18"/>
      <c r="F749" s="19"/>
      <c r="G749" s="18"/>
      <c r="H749" s="114"/>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40"/>
      <c r="AL749" s="141"/>
      <c r="AM749" s="141"/>
      <c r="AN749" s="141"/>
      <c r="AO749" s="141"/>
      <c r="AP749" s="141"/>
      <c r="AQ749" s="141"/>
      <c r="AR749" s="141"/>
      <c r="AS749" s="141"/>
      <c r="AT749" s="141"/>
      <c r="AU749" s="141"/>
      <c r="AV749" s="141"/>
      <c r="AW749" s="141"/>
      <c r="AX749" s="141"/>
      <c r="AY749" s="141"/>
      <c r="AZ749" s="141"/>
      <c r="BA749" s="141"/>
      <c r="BB749" s="141"/>
      <c r="BC749" s="141"/>
      <c r="BD749" s="141"/>
      <c r="BE749" s="141"/>
      <c r="BF749" s="141"/>
      <c r="BG749" s="18"/>
      <c r="BH749" s="1"/>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row>
    <row r="750" spans="1:135" ht="14.25" customHeight="1">
      <c r="A750" s="18"/>
      <c r="B750" s="18"/>
      <c r="C750" s="19"/>
      <c r="D750" s="18"/>
      <c r="E750" s="18"/>
      <c r="F750" s="19"/>
      <c r="G750" s="18"/>
      <c r="H750" s="114"/>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40"/>
      <c r="AL750" s="141"/>
      <c r="AM750" s="141"/>
      <c r="AN750" s="141"/>
      <c r="AO750" s="141"/>
      <c r="AP750" s="141"/>
      <c r="AQ750" s="141"/>
      <c r="AR750" s="141"/>
      <c r="AS750" s="141"/>
      <c r="AT750" s="141"/>
      <c r="AU750" s="141"/>
      <c r="AV750" s="141"/>
      <c r="AW750" s="141"/>
      <c r="AX750" s="141"/>
      <c r="AY750" s="141"/>
      <c r="AZ750" s="141"/>
      <c r="BA750" s="141"/>
      <c r="BB750" s="141"/>
      <c r="BC750" s="141"/>
      <c r="BD750" s="141"/>
      <c r="BE750" s="141"/>
      <c r="BF750" s="141"/>
      <c r="BG750" s="18"/>
      <c r="BH750" s="1"/>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row>
    <row r="751" spans="1:135" ht="14.25" customHeight="1">
      <c r="A751" s="18"/>
      <c r="B751" s="18"/>
      <c r="C751" s="19"/>
      <c r="D751" s="18"/>
      <c r="E751" s="18"/>
      <c r="F751" s="19"/>
      <c r="G751" s="18"/>
      <c r="H751" s="114"/>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40"/>
      <c r="AL751" s="141"/>
      <c r="AM751" s="141"/>
      <c r="AN751" s="141"/>
      <c r="AO751" s="141"/>
      <c r="AP751" s="141"/>
      <c r="AQ751" s="141"/>
      <c r="AR751" s="141"/>
      <c r="AS751" s="141"/>
      <c r="AT751" s="141"/>
      <c r="AU751" s="141"/>
      <c r="AV751" s="141"/>
      <c r="AW751" s="141"/>
      <c r="AX751" s="141"/>
      <c r="AY751" s="141"/>
      <c r="AZ751" s="141"/>
      <c r="BA751" s="141"/>
      <c r="BB751" s="141"/>
      <c r="BC751" s="141"/>
      <c r="BD751" s="141"/>
      <c r="BE751" s="141"/>
      <c r="BF751" s="141"/>
      <c r="BG751" s="18"/>
      <c r="BH751" s="1"/>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row>
    <row r="752" spans="1:135" ht="14.25" customHeight="1">
      <c r="A752" s="18"/>
      <c r="B752" s="18"/>
      <c r="C752" s="19"/>
      <c r="D752" s="18"/>
      <c r="E752" s="18"/>
      <c r="F752" s="19"/>
      <c r="G752" s="18"/>
      <c r="H752" s="114"/>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40"/>
      <c r="AL752" s="141"/>
      <c r="AM752" s="141"/>
      <c r="AN752" s="141"/>
      <c r="AO752" s="141"/>
      <c r="AP752" s="141"/>
      <c r="AQ752" s="141"/>
      <c r="AR752" s="141"/>
      <c r="AS752" s="141"/>
      <c r="AT752" s="141"/>
      <c r="AU752" s="141"/>
      <c r="AV752" s="141"/>
      <c r="AW752" s="141"/>
      <c r="AX752" s="141"/>
      <c r="AY752" s="141"/>
      <c r="AZ752" s="141"/>
      <c r="BA752" s="141"/>
      <c r="BB752" s="141"/>
      <c r="BC752" s="141"/>
      <c r="BD752" s="141"/>
      <c r="BE752" s="141"/>
      <c r="BF752" s="141"/>
      <c r="BG752" s="18"/>
      <c r="BH752" s="1"/>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row>
    <row r="753" spans="1:135" ht="14.25" customHeight="1">
      <c r="A753" s="18"/>
      <c r="B753" s="18"/>
      <c r="C753" s="19"/>
      <c r="D753" s="18"/>
      <c r="E753" s="18"/>
      <c r="F753" s="19"/>
      <c r="G753" s="18"/>
      <c r="H753" s="114"/>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40"/>
      <c r="AL753" s="141"/>
      <c r="AM753" s="141"/>
      <c r="AN753" s="141"/>
      <c r="AO753" s="141"/>
      <c r="AP753" s="141"/>
      <c r="AQ753" s="141"/>
      <c r="AR753" s="141"/>
      <c r="AS753" s="141"/>
      <c r="AT753" s="141"/>
      <c r="AU753" s="141"/>
      <c r="AV753" s="141"/>
      <c r="AW753" s="141"/>
      <c r="AX753" s="141"/>
      <c r="AY753" s="141"/>
      <c r="AZ753" s="141"/>
      <c r="BA753" s="141"/>
      <c r="BB753" s="141"/>
      <c r="BC753" s="141"/>
      <c r="BD753" s="141"/>
      <c r="BE753" s="141"/>
      <c r="BF753" s="141"/>
      <c r="BG753" s="18"/>
      <c r="BH753" s="1"/>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row>
    <row r="754" spans="1:135" ht="14.25" customHeight="1">
      <c r="A754" s="18"/>
      <c r="B754" s="18"/>
      <c r="C754" s="19"/>
      <c r="D754" s="18"/>
      <c r="E754" s="18"/>
      <c r="F754" s="19"/>
      <c r="G754" s="18"/>
      <c r="H754" s="114"/>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40"/>
      <c r="AL754" s="141"/>
      <c r="AM754" s="141"/>
      <c r="AN754" s="141"/>
      <c r="AO754" s="141"/>
      <c r="AP754" s="141"/>
      <c r="AQ754" s="141"/>
      <c r="AR754" s="141"/>
      <c r="AS754" s="141"/>
      <c r="AT754" s="141"/>
      <c r="AU754" s="141"/>
      <c r="AV754" s="141"/>
      <c r="AW754" s="141"/>
      <c r="AX754" s="141"/>
      <c r="AY754" s="141"/>
      <c r="AZ754" s="141"/>
      <c r="BA754" s="141"/>
      <c r="BB754" s="141"/>
      <c r="BC754" s="141"/>
      <c r="BD754" s="141"/>
      <c r="BE754" s="141"/>
      <c r="BF754" s="141"/>
      <c r="BG754" s="18"/>
      <c r="BH754" s="1"/>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row>
    <row r="755" spans="1:135" ht="14.25" customHeight="1">
      <c r="A755" s="18"/>
      <c r="B755" s="18"/>
      <c r="C755" s="19"/>
      <c r="D755" s="18"/>
      <c r="E755" s="18"/>
      <c r="F755" s="19"/>
      <c r="G755" s="18"/>
      <c r="H755" s="114"/>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40"/>
      <c r="AL755" s="141"/>
      <c r="AM755" s="141"/>
      <c r="AN755" s="141"/>
      <c r="AO755" s="141"/>
      <c r="AP755" s="141"/>
      <c r="AQ755" s="141"/>
      <c r="AR755" s="141"/>
      <c r="AS755" s="141"/>
      <c r="AT755" s="141"/>
      <c r="AU755" s="141"/>
      <c r="AV755" s="141"/>
      <c r="AW755" s="141"/>
      <c r="AX755" s="141"/>
      <c r="AY755" s="141"/>
      <c r="AZ755" s="141"/>
      <c r="BA755" s="141"/>
      <c r="BB755" s="141"/>
      <c r="BC755" s="141"/>
      <c r="BD755" s="141"/>
      <c r="BE755" s="141"/>
      <c r="BF755" s="141"/>
      <c r="BG755" s="18"/>
      <c r="BH755" s="1"/>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row>
    <row r="756" spans="1:135" ht="14.25" customHeight="1">
      <c r="A756" s="18"/>
      <c r="B756" s="18"/>
      <c r="C756" s="19"/>
      <c r="D756" s="18"/>
      <c r="E756" s="18"/>
      <c r="F756" s="19"/>
      <c r="G756" s="18"/>
      <c r="H756" s="114"/>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40"/>
      <c r="AL756" s="141"/>
      <c r="AM756" s="141"/>
      <c r="AN756" s="141"/>
      <c r="AO756" s="141"/>
      <c r="AP756" s="141"/>
      <c r="AQ756" s="141"/>
      <c r="AR756" s="141"/>
      <c r="AS756" s="141"/>
      <c r="AT756" s="141"/>
      <c r="AU756" s="141"/>
      <c r="AV756" s="141"/>
      <c r="AW756" s="141"/>
      <c r="AX756" s="141"/>
      <c r="AY756" s="141"/>
      <c r="AZ756" s="141"/>
      <c r="BA756" s="141"/>
      <c r="BB756" s="141"/>
      <c r="BC756" s="141"/>
      <c r="BD756" s="141"/>
      <c r="BE756" s="141"/>
      <c r="BF756" s="141"/>
      <c r="BG756" s="18"/>
      <c r="BH756" s="1"/>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row>
    <row r="757" spans="1:135" ht="14.25" customHeight="1">
      <c r="A757" s="18"/>
      <c r="B757" s="18"/>
      <c r="C757" s="19"/>
      <c r="D757" s="18"/>
      <c r="E757" s="18"/>
      <c r="F757" s="19"/>
      <c r="G757" s="18"/>
      <c r="H757" s="114"/>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40"/>
      <c r="AL757" s="141"/>
      <c r="AM757" s="141"/>
      <c r="AN757" s="141"/>
      <c r="AO757" s="141"/>
      <c r="AP757" s="141"/>
      <c r="AQ757" s="141"/>
      <c r="AR757" s="141"/>
      <c r="AS757" s="141"/>
      <c r="AT757" s="141"/>
      <c r="AU757" s="141"/>
      <c r="AV757" s="141"/>
      <c r="AW757" s="141"/>
      <c r="AX757" s="141"/>
      <c r="AY757" s="141"/>
      <c r="AZ757" s="141"/>
      <c r="BA757" s="141"/>
      <c r="BB757" s="141"/>
      <c r="BC757" s="141"/>
      <c r="BD757" s="141"/>
      <c r="BE757" s="141"/>
      <c r="BF757" s="141"/>
      <c r="BG757" s="18"/>
      <c r="BH757" s="1"/>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row>
    <row r="758" spans="1:135" ht="14.25" customHeight="1">
      <c r="A758" s="18"/>
      <c r="B758" s="18"/>
      <c r="C758" s="19"/>
      <c r="D758" s="18"/>
      <c r="E758" s="18"/>
      <c r="F758" s="19"/>
      <c r="G758" s="18"/>
      <c r="H758" s="114"/>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40"/>
      <c r="AL758" s="141"/>
      <c r="AM758" s="141"/>
      <c r="AN758" s="141"/>
      <c r="AO758" s="141"/>
      <c r="AP758" s="141"/>
      <c r="AQ758" s="141"/>
      <c r="AR758" s="141"/>
      <c r="AS758" s="141"/>
      <c r="AT758" s="141"/>
      <c r="AU758" s="141"/>
      <c r="AV758" s="141"/>
      <c r="AW758" s="141"/>
      <c r="AX758" s="141"/>
      <c r="AY758" s="141"/>
      <c r="AZ758" s="141"/>
      <c r="BA758" s="141"/>
      <c r="BB758" s="141"/>
      <c r="BC758" s="141"/>
      <c r="BD758" s="141"/>
      <c r="BE758" s="141"/>
      <c r="BF758" s="141"/>
      <c r="BG758" s="18"/>
      <c r="BH758" s="1"/>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row>
    <row r="759" spans="1:135" ht="14.25" customHeight="1">
      <c r="A759" s="18"/>
      <c r="B759" s="18"/>
      <c r="C759" s="19"/>
      <c r="D759" s="18"/>
      <c r="E759" s="18"/>
      <c r="F759" s="19"/>
      <c r="G759" s="18"/>
      <c r="H759" s="114"/>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40"/>
      <c r="AL759" s="141"/>
      <c r="AM759" s="141"/>
      <c r="AN759" s="141"/>
      <c r="AO759" s="141"/>
      <c r="AP759" s="141"/>
      <c r="AQ759" s="141"/>
      <c r="AR759" s="141"/>
      <c r="AS759" s="141"/>
      <c r="AT759" s="141"/>
      <c r="AU759" s="141"/>
      <c r="AV759" s="141"/>
      <c r="AW759" s="141"/>
      <c r="AX759" s="141"/>
      <c r="AY759" s="141"/>
      <c r="AZ759" s="141"/>
      <c r="BA759" s="141"/>
      <c r="BB759" s="141"/>
      <c r="BC759" s="141"/>
      <c r="BD759" s="141"/>
      <c r="BE759" s="141"/>
      <c r="BF759" s="141"/>
      <c r="BG759" s="18"/>
      <c r="BH759" s="1"/>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row>
    <row r="760" spans="1:135" ht="14.25" customHeight="1">
      <c r="A760" s="18"/>
      <c r="B760" s="18"/>
      <c r="C760" s="19"/>
      <c r="D760" s="18"/>
      <c r="E760" s="18"/>
      <c r="F760" s="19"/>
      <c r="G760" s="18"/>
      <c r="H760" s="114"/>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40"/>
      <c r="AL760" s="141"/>
      <c r="AM760" s="141"/>
      <c r="AN760" s="141"/>
      <c r="AO760" s="141"/>
      <c r="AP760" s="141"/>
      <c r="AQ760" s="141"/>
      <c r="AR760" s="141"/>
      <c r="AS760" s="141"/>
      <c r="AT760" s="141"/>
      <c r="AU760" s="141"/>
      <c r="AV760" s="141"/>
      <c r="AW760" s="141"/>
      <c r="AX760" s="141"/>
      <c r="AY760" s="141"/>
      <c r="AZ760" s="141"/>
      <c r="BA760" s="141"/>
      <c r="BB760" s="141"/>
      <c r="BC760" s="141"/>
      <c r="BD760" s="141"/>
      <c r="BE760" s="141"/>
      <c r="BF760" s="141"/>
      <c r="BG760" s="18"/>
      <c r="BH760" s="1"/>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row>
    <row r="761" spans="1:135" ht="14.25" customHeight="1">
      <c r="A761" s="18"/>
      <c r="B761" s="18"/>
      <c r="C761" s="19"/>
      <c r="D761" s="18"/>
      <c r="E761" s="18"/>
      <c r="F761" s="19"/>
      <c r="G761" s="18"/>
      <c r="H761" s="114"/>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40"/>
      <c r="AL761" s="141"/>
      <c r="AM761" s="141"/>
      <c r="AN761" s="141"/>
      <c r="AO761" s="141"/>
      <c r="AP761" s="141"/>
      <c r="AQ761" s="141"/>
      <c r="AR761" s="141"/>
      <c r="AS761" s="141"/>
      <c r="AT761" s="141"/>
      <c r="AU761" s="141"/>
      <c r="AV761" s="141"/>
      <c r="AW761" s="141"/>
      <c r="AX761" s="141"/>
      <c r="AY761" s="141"/>
      <c r="AZ761" s="141"/>
      <c r="BA761" s="141"/>
      <c r="BB761" s="141"/>
      <c r="BC761" s="141"/>
      <c r="BD761" s="141"/>
      <c r="BE761" s="141"/>
      <c r="BF761" s="141"/>
      <c r="BG761" s="18"/>
      <c r="BH761" s="1"/>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row>
    <row r="762" spans="1:135" ht="14.25" customHeight="1">
      <c r="A762" s="18"/>
      <c r="B762" s="18"/>
      <c r="C762" s="19"/>
      <c r="D762" s="18"/>
      <c r="E762" s="18"/>
      <c r="F762" s="19"/>
      <c r="G762" s="18"/>
      <c r="H762" s="114"/>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40"/>
      <c r="AL762" s="141"/>
      <c r="AM762" s="141"/>
      <c r="AN762" s="141"/>
      <c r="AO762" s="141"/>
      <c r="AP762" s="141"/>
      <c r="AQ762" s="141"/>
      <c r="AR762" s="141"/>
      <c r="AS762" s="141"/>
      <c r="AT762" s="141"/>
      <c r="AU762" s="141"/>
      <c r="AV762" s="141"/>
      <c r="AW762" s="141"/>
      <c r="AX762" s="141"/>
      <c r="AY762" s="141"/>
      <c r="AZ762" s="141"/>
      <c r="BA762" s="141"/>
      <c r="BB762" s="141"/>
      <c r="BC762" s="141"/>
      <c r="BD762" s="141"/>
      <c r="BE762" s="141"/>
      <c r="BF762" s="141"/>
      <c r="BG762" s="18"/>
      <c r="BH762" s="1"/>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row>
    <row r="763" spans="1:135" ht="14.25" customHeight="1">
      <c r="A763" s="18"/>
      <c r="B763" s="18"/>
      <c r="C763" s="19"/>
      <c r="D763" s="18"/>
      <c r="E763" s="18"/>
      <c r="F763" s="19"/>
      <c r="G763" s="18"/>
      <c r="H763" s="114"/>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40"/>
      <c r="AL763" s="141"/>
      <c r="AM763" s="141"/>
      <c r="AN763" s="141"/>
      <c r="AO763" s="141"/>
      <c r="AP763" s="141"/>
      <c r="AQ763" s="141"/>
      <c r="AR763" s="141"/>
      <c r="AS763" s="141"/>
      <c r="AT763" s="141"/>
      <c r="AU763" s="141"/>
      <c r="AV763" s="141"/>
      <c r="AW763" s="141"/>
      <c r="AX763" s="141"/>
      <c r="AY763" s="141"/>
      <c r="AZ763" s="141"/>
      <c r="BA763" s="141"/>
      <c r="BB763" s="141"/>
      <c r="BC763" s="141"/>
      <c r="BD763" s="141"/>
      <c r="BE763" s="141"/>
      <c r="BF763" s="141"/>
      <c r="BG763" s="18"/>
      <c r="BH763" s="1"/>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row>
    <row r="764" spans="1:135" ht="14.25" customHeight="1">
      <c r="A764" s="18"/>
      <c r="B764" s="18"/>
      <c r="C764" s="19"/>
      <c r="D764" s="18"/>
      <c r="E764" s="18"/>
      <c r="F764" s="19"/>
      <c r="G764" s="18"/>
      <c r="H764" s="114"/>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40"/>
      <c r="AL764" s="141"/>
      <c r="AM764" s="141"/>
      <c r="AN764" s="141"/>
      <c r="AO764" s="141"/>
      <c r="AP764" s="141"/>
      <c r="AQ764" s="141"/>
      <c r="AR764" s="141"/>
      <c r="AS764" s="141"/>
      <c r="AT764" s="141"/>
      <c r="AU764" s="141"/>
      <c r="AV764" s="141"/>
      <c r="AW764" s="141"/>
      <c r="AX764" s="141"/>
      <c r="AY764" s="141"/>
      <c r="AZ764" s="141"/>
      <c r="BA764" s="141"/>
      <c r="BB764" s="141"/>
      <c r="BC764" s="141"/>
      <c r="BD764" s="141"/>
      <c r="BE764" s="141"/>
      <c r="BF764" s="141"/>
      <c r="BG764" s="18"/>
      <c r="BH764" s="1"/>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row>
    <row r="765" spans="1:135" ht="14.25" customHeight="1">
      <c r="A765" s="18"/>
      <c r="B765" s="18"/>
      <c r="C765" s="19"/>
      <c r="D765" s="18"/>
      <c r="E765" s="18"/>
      <c r="F765" s="19"/>
      <c r="G765" s="18"/>
      <c r="H765" s="114"/>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40"/>
      <c r="AL765" s="141"/>
      <c r="AM765" s="141"/>
      <c r="AN765" s="141"/>
      <c r="AO765" s="141"/>
      <c r="AP765" s="141"/>
      <c r="AQ765" s="141"/>
      <c r="AR765" s="141"/>
      <c r="AS765" s="141"/>
      <c r="AT765" s="141"/>
      <c r="AU765" s="141"/>
      <c r="AV765" s="141"/>
      <c r="AW765" s="141"/>
      <c r="AX765" s="141"/>
      <c r="AY765" s="141"/>
      <c r="AZ765" s="141"/>
      <c r="BA765" s="141"/>
      <c r="BB765" s="141"/>
      <c r="BC765" s="141"/>
      <c r="BD765" s="141"/>
      <c r="BE765" s="141"/>
      <c r="BF765" s="141"/>
      <c r="BG765" s="18"/>
      <c r="BH765" s="1"/>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row>
    <row r="766" spans="1:135" ht="14.25" customHeight="1">
      <c r="A766" s="18"/>
      <c r="B766" s="18"/>
      <c r="C766" s="19"/>
      <c r="D766" s="18"/>
      <c r="E766" s="18"/>
      <c r="F766" s="19"/>
      <c r="G766" s="18"/>
      <c r="H766" s="114"/>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40"/>
      <c r="AL766" s="141"/>
      <c r="AM766" s="141"/>
      <c r="AN766" s="141"/>
      <c r="AO766" s="141"/>
      <c r="AP766" s="141"/>
      <c r="AQ766" s="141"/>
      <c r="AR766" s="141"/>
      <c r="AS766" s="141"/>
      <c r="AT766" s="141"/>
      <c r="AU766" s="141"/>
      <c r="AV766" s="141"/>
      <c r="AW766" s="141"/>
      <c r="AX766" s="141"/>
      <c r="AY766" s="141"/>
      <c r="AZ766" s="141"/>
      <c r="BA766" s="141"/>
      <c r="BB766" s="141"/>
      <c r="BC766" s="141"/>
      <c r="BD766" s="141"/>
      <c r="BE766" s="141"/>
      <c r="BF766" s="141"/>
      <c r="BG766" s="18"/>
      <c r="BH766" s="1"/>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row>
    <row r="767" spans="1:135" ht="14.25" customHeight="1">
      <c r="A767" s="18"/>
      <c r="B767" s="18"/>
      <c r="C767" s="19"/>
      <c r="D767" s="18"/>
      <c r="E767" s="18"/>
      <c r="F767" s="19"/>
      <c r="G767" s="18"/>
      <c r="H767" s="114"/>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40"/>
      <c r="AL767" s="141"/>
      <c r="AM767" s="141"/>
      <c r="AN767" s="141"/>
      <c r="AO767" s="141"/>
      <c r="AP767" s="141"/>
      <c r="AQ767" s="141"/>
      <c r="AR767" s="141"/>
      <c r="AS767" s="141"/>
      <c r="AT767" s="141"/>
      <c r="AU767" s="141"/>
      <c r="AV767" s="141"/>
      <c r="AW767" s="141"/>
      <c r="AX767" s="141"/>
      <c r="AY767" s="141"/>
      <c r="AZ767" s="141"/>
      <c r="BA767" s="141"/>
      <c r="BB767" s="141"/>
      <c r="BC767" s="141"/>
      <c r="BD767" s="141"/>
      <c r="BE767" s="141"/>
      <c r="BF767" s="141"/>
      <c r="BG767" s="18"/>
      <c r="BH767" s="1"/>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row>
    <row r="768" spans="1:135" ht="14.25" customHeight="1">
      <c r="A768" s="18"/>
      <c r="B768" s="18"/>
      <c r="C768" s="19"/>
      <c r="D768" s="18"/>
      <c r="E768" s="18"/>
      <c r="F768" s="19"/>
      <c r="G768" s="18"/>
      <c r="H768" s="114"/>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40"/>
      <c r="AL768" s="141"/>
      <c r="AM768" s="141"/>
      <c r="AN768" s="141"/>
      <c r="AO768" s="141"/>
      <c r="AP768" s="141"/>
      <c r="AQ768" s="141"/>
      <c r="AR768" s="141"/>
      <c r="AS768" s="141"/>
      <c r="AT768" s="141"/>
      <c r="AU768" s="141"/>
      <c r="AV768" s="141"/>
      <c r="AW768" s="141"/>
      <c r="AX768" s="141"/>
      <c r="AY768" s="141"/>
      <c r="AZ768" s="141"/>
      <c r="BA768" s="141"/>
      <c r="BB768" s="141"/>
      <c r="BC768" s="141"/>
      <c r="BD768" s="141"/>
      <c r="BE768" s="141"/>
      <c r="BF768" s="141"/>
      <c r="BG768" s="18"/>
      <c r="BH768" s="1"/>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row>
    <row r="769" spans="1:135" ht="14.25" customHeight="1">
      <c r="A769" s="18"/>
      <c r="B769" s="18"/>
      <c r="C769" s="19"/>
      <c r="D769" s="18"/>
      <c r="E769" s="18"/>
      <c r="F769" s="19"/>
      <c r="G769" s="18"/>
      <c r="H769" s="114"/>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40"/>
      <c r="AL769" s="141"/>
      <c r="AM769" s="141"/>
      <c r="AN769" s="141"/>
      <c r="AO769" s="141"/>
      <c r="AP769" s="141"/>
      <c r="AQ769" s="141"/>
      <c r="AR769" s="141"/>
      <c r="AS769" s="141"/>
      <c r="AT769" s="141"/>
      <c r="AU769" s="141"/>
      <c r="AV769" s="141"/>
      <c r="AW769" s="141"/>
      <c r="AX769" s="141"/>
      <c r="AY769" s="141"/>
      <c r="AZ769" s="141"/>
      <c r="BA769" s="141"/>
      <c r="BB769" s="141"/>
      <c r="BC769" s="141"/>
      <c r="BD769" s="141"/>
      <c r="BE769" s="141"/>
      <c r="BF769" s="141"/>
      <c r="BG769" s="18"/>
      <c r="BH769" s="1"/>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row>
    <row r="770" spans="1:135" ht="14.25" customHeight="1">
      <c r="A770" s="18"/>
      <c r="B770" s="18"/>
      <c r="C770" s="19"/>
      <c r="D770" s="18"/>
      <c r="E770" s="18"/>
      <c r="F770" s="19"/>
      <c r="G770" s="18"/>
      <c r="H770" s="114"/>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40"/>
      <c r="AL770" s="141"/>
      <c r="AM770" s="141"/>
      <c r="AN770" s="141"/>
      <c r="AO770" s="141"/>
      <c r="AP770" s="141"/>
      <c r="AQ770" s="141"/>
      <c r="AR770" s="141"/>
      <c r="AS770" s="141"/>
      <c r="AT770" s="141"/>
      <c r="AU770" s="141"/>
      <c r="AV770" s="141"/>
      <c r="AW770" s="141"/>
      <c r="AX770" s="141"/>
      <c r="AY770" s="141"/>
      <c r="AZ770" s="141"/>
      <c r="BA770" s="141"/>
      <c r="BB770" s="141"/>
      <c r="BC770" s="141"/>
      <c r="BD770" s="141"/>
      <c r="BE770" s="141"/>
      <c r="BF770" s="141"/>
      <c r="BG770" s="18"/>
      <c r="BH770" s="1"/>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row>
    <row r="771" spans="1:135" ht="14.25" customHeight="1">
      <c r="A771" s="18"/>
      <c r="B771" s="18"/>
      <c r="C771" s="19"/>
      <c r="D771" s="18"/>
      <c r="E771" s="18"/>
      <c r="F771" s="19"/>
      <c r="G771" s="18"/>
      <c r="H771" s="114"/>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40"/>
      <c r="AL771" s="141"/>
      <c r="AM771" s="141"/>
      <c r="AN771" s="141"/>
      <c r="AO771" s="141"/>
      <c r="AP771" s="141"/>
      <c r="AQ771" s="141"/>
      <c r="AR771" s="141"/>
      <c r="AS771" s="141"/>
      <c r="AT771" s="141"/>
      <c r="AU771" s="141"/>
      <c r="AV771" s="141"/>
      <c r="AW771" s="141"/>
      <c r="AX771" s="141"/>
      <c r="AY771" s="141"/>
      <c r="AZ771" s="141"/>
      <c r="BA771" s="141"/>
      <c r="BB771" s="141"/>
      <c r="BC771" s="141"/>
      <c r="BD771" s="141"/>
      <c r="BE771" s="141"/>
      <c r="BF771" s="141"/>
      <c r="BG771" s="18"/>
      <c r="BH771" s="1"/>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row>
    <row r="772" spans="1:135" ht="14.25" customHeight="1">
      <c r="A772" s="18"/>
      <c r="B772" s="18"/>
      <c r="C772" s="19"/>
      <c r="D772" s="18"/>
      <c r="E772" s="18"/>
      <c r="F772" s="19"/>
      <c r="G772" s="18"/>
      <c r="H772" s="114"/>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40"/>
      <c r="AL772" s="141"/>
      <c r="AM772" s="141"/>
      <c r="AN772" s="141"/>
      <c r="AO772" s="141"/>
      <c r="AP772" s="141"/>
      <c r="AQ772" s="141"/>
      <c r="AR772" s="141"/>
      <c r="AS772" s="141"/>
      <c r="AT772" s="141"/>
      <c r="AU772" s="141"/>
      <c r="AV772" s="141"/>
      <c r="AW772" s="141"/>
      <c r="AX772" s="141"/>
      <c r="AY772" s="141"/>
      <c r="AZ772" s="141"/>
      <c r="BA772" s="141"/>
      <c r="BB772" s="141"/>
      <c r="BC772" s="141"/>
      <c r="BD772" s="141"/>
      <c r="BE772" s="141"/>
      <c r="BF772" s="141"/>
      <c r="BG772" s="18"/>
      <c r="BH772" s="1"/>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row>
    <row r="773" spans="1:135" ht="14.25" customHeight="1">
      <c r="A773" s="18"/>
      <c r="B773" s="18"/>
      <c r="C773" s="19"/>
      <c r="D773" s="18"/>
      <c r="E773" s="18"/>
      <c r="F773" s="19"/>
      <c r="G773" s="18"/>
      <c r="H773" s="114"/>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40"/>
      <c r="AL773" s="141"/>
      <c r="AM773" s="141"/>
      <c r="AN773" s="141"/>
      <c r="AO773" s="141"/>
      <c r="AP773" s="141"/>
      <c r="AQ773" s="141"/>
      <c r="AR773" s="141"/>
      <c r="AS773" s="141"/>
      <c r="AT773" s="141"/>
      <c r="AU773" s="141"/>
      <c r="AV773" s="141"/>
      <c r="AW773" s="141"/>
      <c r="AX773" s="141"/>
      <c r="AY773" s="141"/>
      <c r="AZ773" s="141"/>
      <c r="BA773" s="141"/>
      <c r="BB773" s="141"/>
      <c r="BC773" s="141"/>
      <c r="BD773" s="141"/>
      <c r="BE773" s="141"/>
      <c r="BF773" s="141"/>
      <c r="BG773" s="18"/>
      <c r="BH773" s="1"/>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row>
    <row r="774" spans="1:135" ht="14.25" customHeight="1">
      <c r="A774" s="18"/>
      <c r="B774" s="18"/>
      <c r="C774" s="19"/>
      <c r="D774" s="18"/>
      <c r="E774" s="18"/>
      <c r="F774" s="19"/>
      <c r="G774" s="18"/>
      <c r="H774" s="114"/>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40"/>
      <c r="AL774" s="141"/>
      <c r="AM774" s="141"/>
      <c r="AN774" s="141"/>
      <c r="AO774" s="141"/>
      <c r="AP774" s="141"/>
      <c r="AQ774" s="141"/>
      <c r="AR774" s="141"/>
      <c r="AS774" s="141"/>
      <c r="AT774" s="141"/>
      <c r="AU774" s="141"/>
      <c r="AV774" s="141"/>
      <c r="AW774" s="141"/>
      <c r="AX774" s="141"/>
      <c r="AY774" s="141"/>
      <c r="AZ774" s="141"/>
      <c r="BA774" s="141"/>
      <c r="BB774" s="141"/>
      <c r="BC774" s="141"/>
      <c r="BD774" s="141"/>
      <c r="BE774" s="141"/>
      <c r="BF774" s="141"/>
      <c r="BG774" s="18"/>
      <c r="BH774" s="1"/>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row>
    <row r="775" spans="1:135" ht="14.25" customHeight="1">
      <c r="A775" s="18"/>
      <c r="B775" s="18"/>
      <c r="C775" s="19"/>
      <c r="D775" s="18"/>
      <c r="E775" s="18"/>
      <c r="F775" s="19"/>
      <c r="G775" s="18"/>
      <c r="H775" s="114"/>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40"/>
      <c r="AL775" s="141"/>
      <c r="AM775" s="141"/>
      <c r="AN775" s="141"/>
      <c r="AO775" s="141"/>
      <c r="AP775" s="141"/>
      <c r="AQ775" s="141"/>
      <c r="AR775" s="141"/>
      <c r="AS775" s="141"/>
      <c r="AT775" s="141"/>
      <c r="AU775" s="141"/>
      <c r="AV775" s="141"/>
      <c r="AW775" s="141"/>
      <c r="AX775" s="141"/>
      <c r="AY775" s="141"/>
      <c r="AZ775" s="141"/>
      <c r="BA775" s="141"/>
      <c r="BB775" s="141"/>
      <c r="BC775" s="141"/>
      <c r="BD775" s="141"/>
      <c r="BE775" s="141"/>
      <c r="BF775" s="141"/>
      <c r="BG775" s="18"/>
      <c r="BH775" s="1"/>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row>
    <row r="776" spans="1:135" ht="14.25" customHeight="1">
      <c r="A776" s="18"/>
      <c r="B776" s="18"/>
      <c r="C776" s="19"/>
      <c r="D776" s="18"/>
      <c r="E776" s="18"/>
      <c r="F776" s="19"/>
      <c r="G776" s="18"/>
      <c r="H776" s="114"/>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40"/>
      <c r="AL776" s="141"/>
      <c r="AM776" s="141"/>
      <c r="AN776" s="141"/>
      <c r="AO776" s="141"/>
      <c r="AP776" s="141"/>
      <c r="AQ776" s="141"/>
      <c r="AR776" s="141"/>
      <c r="AS776" s="141"/>
      <c r="AT776" s="141"/>
      <c r="AU776" s="141"/>
      <c r="AV776" s="141"/>
      <c r="AW776" s="141"/>
      <c r="AX776" s="141"/>
      <c r="AY776" s="141"/>
      <c r="AZ776" s="141"/>
      <c r="BA776" s="141"/>
      <c r="BB776" s="141"/>
      <c r="BC776" s="141"/>
      <c r="BD776" s="141"/>
      <c r="BE776" s="141"/>
      <c r="BF776" s="141"/>
      <c r="BG776" s="18"/>
      <c r="BH776" s="1"/>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row>
    <row r="777" spans="1:135" ht="14.25" customHeight="1">
      <c r="A777" s="18"/>
      <c r="B777" s="18"/>
      <c r="C777" s="19"/>
      <c r="D777" s="18"/>
      <c r="E777" s="18"/>
      <c r="F777" s="19"/>
      <c r="G777" s="18"/>
      <c r="H777" s="114"/>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40"/>
      <c r="AL777" s="141"/>
      <c r="AM777" s="141"/>
      <c r="AN777" s="141"/>
      <c r="AO777" s="141"/>
      <c r="AP777" s="141"/>
      <c r="AQ777" s="141"/>
      <c r="AR777" s="141"/>
      <c r="AS777" s="141"/>
      <c r="AT777" s="141"/>
      <c r="AU777" s="141"/>
      <c r="AV777" s="141"/>
      <c r="AW777" s="141"/>
      <c r="AX777" s="141"/>
      <c r="AY777" s="141"/>
      <c r="AZ777" s="141"/>
      <c r="BA777" s="141"/>
      <c r="BB777" s="141"/>
      <c r="BC777" s="141"/>
      <c r="BD777" s="141"/>
      <c r="BE777" s="141"/>
      <c r="BF777" s="141"/>
      <c r="BG777" s="18"/>
      <c r="BH777" s="1"/>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row>
    <row r="778" spans="1:135" ht="14.25" customHeight="1">
      <c r="A778" s="18"/>
      <c r="B778" s="18"/>
      <c r="C778" s="19"/>
      <c r="D778" s="18"/>
      <c r="E778" s="18"/>
      <c r="F778" s="19"/>
      <c r="G778" s="18"/>
      <c r="H778" s="114"/>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40"/>
      <c r="AL778" s="141"/>
      <c r="AM778" s="141"/>
      <c r="AN778" s="141"/>
      <c r="AO778" s="141"/>
      <c r="AP778" s="141"/>
      <c r="AQ778" s="141"/>
      <c r="AR778" s="141"/>
      <c r="AS778" s="141"/>
      <c r="AT778" s="141"/>
      <c r="AU778" s="141"/>
      <c r="AV778" s="141"/>
      <c r="AW778" s="141"/>
      <c r="AX778" s="141"/>
      <c r="AY778" s="141"/>
      <c r="AZ778" s="141"/>
      <c r="BA778" s="141"/>
      <c r="BB778" s="141"/>
      <c r="BC778" s="141"/>
      <c r="BD778" s="141"/>
      <c r="BE778" s="141"/>
      <c r="BF778" s="141"/>
      <c r="BG778" s="18"/>
      <c r="BH778" s="1"/>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row>
    <row r="779" spans="1:135" ht="14.25" customHeight="1">
      <c r="A779" s="18"/>
      <c r="B779" s="18"/>
      <c r="C779" s="19"/>
      <c r="D779" s="18"/>
      <c r="E779" s="18"/>
      <c r="F779" s="19"/>
      <c r="G779" s="18"/>
      <c r="H779" s="114"/>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40"/>
      <c r="AL779" s="141"/>
      <c r="AM779" s="141"/>
      <c r="AN779" s="141"/>
      <c r="AO779" s="141"/>
      <c r="AP779" s="141"/>
      <c r="AQ779" s="141"/>
      <c r="AR779" s="141"/>
      <c r="AS779" s="141"/>
      <c r="AT779" s="141"/>
      <c r="AU779" s="141"/>
      <c r="AV779" s="141"/>
      <c r="AW779" s="141"/>
      <c r="AX779" s="141"/>
      <c r="AY779" s="141"/>
      <c r="AZ779" s="141"/>
      <c r="BA779" s="141"/>
      <c r="BB779" s="141"/>
      <c r="BC779" s="141"/>
      <c r="BD779" s="141"/>
      <c r="BE779" s="141"/>
      <c r="BF779" s="141"/>
      <c r="BG779" s="18"/>
      <c r="BH779" s="1"/>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row>
    <row r="780" spans="1:135" ht="14.25" customHeight="1">
      <c r="A780" s="18"/>
      <c r="B780" s="18"/>
      <c r="C780" s="19"/>
      <c r="D780" s="18"/>
      <c r="E780" s="18"/>
      <c r="F780" s="19"/>
      <c r="G780" s="18"/>
      <c r="H780" s="114"/>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40"/>
      <c r="AL780" s="141"/>
      <c r="AM780" s="141"/>
      <c r="AN780" s="141"/>
      <c r="AO780" s="141"/>
      <c r="AP780" s="141"/>
      <c r="AQ780" s="141"/>
      <c r="AR780" s="141"/>
      <c r="AS780" s="141"/>
      <c r="AT780" s="141"/>
      <c r="AU780" s="141"/>
      <c r="AV780" s="141"/>
      <c r="AW780" s="141"/>
      <c r="AX780" s="141"/>
      <c r="AY780" s="141"/>
      <c r="AZ780" s="141"/>
      <c r="BA780" s="141"/>
      <c r="BB780" s="141"/>
      <c r="BC780" s="141"/>
      <c r="BD780" s="141"/>
      <c r="BE780" s="141"/>
      <c r="BF780" s="141"/>
      <c r="BG780" s="18"/>
      <c r="BH780" s="1"/>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row>
    <row r="781" spans="1:135" ht="14.25" customHeight="1">
      <c r="A781" s="18"/>
      <c r="B781" s="18"/>
      <c r="C781" s="19"/>
      <c r="D781" s="18"/>
      <c r="E781" s="18"/>
      <c r="F781" s="19"/>
      <c r="G781" s="18"/>
      <c r="H781" s="114"/>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40"/>
      <c r="AL781" s="141"/>
      <c r="AM781" s="141"/>
      <c r="AN781" s="141"/>
      <c r="AO781" s="141"/>
      <c r="AP781" s="141"/>
      <c r="AQ781" s="141"/>
      <c r="AR781" s="141"/>
      <c r="AS781" s="141"/>
      <c r="AT781" s="141"/>
      <c r="AU781" s="141"/>
      <c r="AV781" s="141"/>
      <c r="AW781" s="141"/>
      <c r="AX781" s="141"/>
      <c r="AY781" s="141"/>
      <c r="AZ781" s="141"/>
      <c r="BA781" s="141"/>
      <c r="BB781" s="141"/>
      <c r="BC781" s="141"/>
      <c r="BD781" s="141"/>
      <c r="BE781" s="141"/>
      <c r="BF781" s="141"/>
      <c r="BG781" s="18"/>
      <c r="BH781" s="1"/>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row>
    <row r="782" spans="1:135" ht="14.25" customHeight="1">
      <c r="A782" s="18"/>
      <c r="B782" s="18"/>
      <c r="C782" s="19"/>
      <c r="D782" s="18"/>
      <c r="E782" s="18"/>
      <c r="F782" s="19"/>
      <c r="G782" s="18"/>
      <c r="H782" s="114"/>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40"/>
      <c r="AL782" s="141"/>
      <c r="AM782" s="141"/>
      <c r="AN782" s="141"/>
      <c r="AO782" s="141"/>
      <c r="AP782" s="141"/>
      <c r="AQ782" s="141"/>
      <c r="AR782" s="141"/>
      <c r="AS782" s="141"/>
      <c r="AT782" s="141"/>
      <c r="AU782" s="141"/>
      <c r="AV782" s="141"/>
      <c r="AW782" s="141"/>
      <c r="AX782" s="141"/>
      <c r="AY782" s="141"/>
      <c r="AZ782" s="141"/>
      <c r="BA782" s="141"/>
      <c r="BB782" s="141"/>
      <c r="BC782" s="141"/>
      <c r="BD782" s="141"/>
      <c r="BE782" s="141"/>
      <c r="BF782" s="141"/>
      <c r="BG782" s="18"/>
      <c r="BH782" s="1"/>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row>
    <row r="783" spans="1:135" ht="14.25" customHeight="1">
      <c r="A783" s="18"/>
      <c r="B783" s="18"/>
      <c r="C783" s="19"/>
      <c r="D783" s="18"/>
      <c r="E783" s="18"/>
      <c r="F783" s="19"/>
      <c r="G783" s="18"/>
      <c r="H783" s="114"/>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40"/>
      <c r="AL783" s="141"/>
      <c r="AM783" s="141"/>
      <c r="AN783" s="141"/>
      <c r="AO783" s="141"/>
      <c r="AP783" s="141"/>
      <c r="AQ783" s="141"/>
      <c r="AR783" s="141"/>
      <c r="AS783" s="141"/>
      <c r="AT783" s="141"/>
      <c r="AU783" s="141"/>
      <c r="AV783" s="141"/>
      <c r="AW783" s="141"/>
      <c r="AX783" s="141"/>
      <c r="AY783" s="141"/>
      <c r="AZ783" s="141"/>
      <c r="BA783" s="141"/>
      <c r="BB783" s="141"/>
      <c r="BC783" s="141"/>
      <c r="BD783" s="141"/>
      <c r="BE783" s="141"/>
      <c r="BF783" s="141"/>
      <c r="BG783" s="18"/>
      <c r="BH783" s="1"/>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row>
    <row r="784" spans="1:135" ht="14.25" customHeight="1">
      <c r="A784" s="18"/>
      <c r="B784" s="18"/>
      <c r="C784" s="19"/>
      <c r="D784" s="18"/>
      <c r="E784" s="18"/>
      <c r="F784" s="19"/>
      <c r="G784" s="18"/>
      <c r="H784" s="114"/>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40"/>
      <c r="AL784" s="141"/>
      <c r="AM784" s="141"/>
      <c r="AN784" s="141"/>
      <c r="AO784" s="141"/>
      <c r="AP784" s="141"/>
      <c r="AQ784" s="141"/>
      <c r="AR784" s="141"/>
      <c r="AS784" s="141"/>
      <c r="AT784" s="141"/>
      <c r="AU784" s="141"/>
      <c r="AV784" s="141"/>
      <c r="AW784" s="141"/>
      <c r="AX784" s="141"/>
      <c r="AY784" s="141"/>
      <c r="AZ784" s="141"/>
      <c r="BA784" s="141"/>
      <c r="BB784" s="141"/>
      <c r="BC784" s="141"/>
      <c r="BD784" s="141"/>
      <c r="BE784" s="141"/>
      <c r="BF784" s="141"/>
      <c r="BG784" s="18"/>
      <c r="BH784" s="1"/>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row>
    <row r="785" spans="1:135" ht="14.25" customHeight="1">
      <c r="A785" s="18"/>
      <c r="B785" s="18"/>
      <c r="C785" s="19"/>
      <c r="D785" s="18"/>
      <c r="E785" s="18"/>
      <c r="F785" s="19"/>
      <c r="G785" s="18"/>
      <c r="H785" s="114"/>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40"/>
      <c r="AL785" s="141"/>
      <c r="AM785" s="141"/>
      <c r="AN785" s="141"/>
      <c r="AO785" s="141"/>
      <c r="AP785" s="141"/>
      <c r="AQ785" s="141"/>
      <c r="AR785" s="141"/>
      <c r="AS785" s="141"/>
      <c r="AT785" s="141"/>
      <c r="AU785" s="141"/>
      <c r="AV785" s="141"/>
      <c r="AW785" s="141"/>
      <c r="AX785" s="141"/>
      <c r="AY785" s="141"/>
      <c r="AZ785" s="141"/>
      <c r="BA785" s="141"/>
      <c r="BB785" s="141"/>
      <c r="BC785" s="141"/>
      <c r="BD785" s="141"/>
      <c r="BE785" s="141"/>
      <c r="BF785" s="141"/>
      <c r="BG785" s="18"/>
      <c r="BH785" s="1"/>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row>
    <row r="786" spans="1:135" ht="14.25" customHeight="1">
      <c r="A786" s="18"/>
      <c r="B786" s="18"/>
      <c r="C786" s="19"/>
      <c r="D786" s="18"/>
      <c r="E786" s="18"/>
      <c r="F786" s="19"/>
      <c r="G786" s="18"/>
      <c r="H786" s="114"/>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40"/>
      <c r="AL786" s="141"/>
      <c r="AM786" s="141"/>
      <c r="AN786" s="141"/>
      <c r="AO786" s="141"/>
      <c r="AP786" s="141"/>
      <c r="AQ786" s="141"/>
      <c r="AR786" s="141"/>
      <c r="AS786" s="141"/>
      <c r="AT786" s="141"/>
      <c r="AU786" s="141"/>
      <c r="AV786" s="141"/>
      <c r="AW786" s="141"/>
      <c r="AX786" s="141"/>
      <c r="AY786" s="141"/>
      <c r="AZ786" s="141"/>
      <c r="BA786" s="141"/>
      <c r="BB786" s="141"/>
      <c r="BC786" s="141"/>
      <c r="BD786" s="141"/>
      <c r="BE786" s="141"/>
      <c r="BF786" s="141"/>
      <c r="BG786" s="18"/>
      <c r="BH786" s="1"/>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row>
    <row r="787" spans="1:135" ht="14.25" customHeight="1">
      <c r="A787" s="18"/>
      <c r="B787" s="18"/>
      <c r="C787" s="19"/>
      <c r="D787" s="18"/>
      <c r="E787" s="18"/>
      <c r="F787" s="19"/>
      <c r="G787" s="18"/>
      <c r="H787" s="114"/>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40"/>
      <c r="AL787" s="141"/>
      <c r="AM787" s="141"/>
      <c r="AN787" s="141"/>
      <c r="AO787" s="141"/>
      <c r="AP787" s="141"/>
      <c r="AQ787" s="141"/>
      <c r="AR787" s="141"/>
      <c r="AS787" s="141"/>
      <c r="AT787" s="141"/>
      <c r="AU787" s="141"/>
      <c r="AV787" s="141"/>
      <c r="AW787" s="141"/>
      <c r="AX787" s="141"/>
      <c r="AY787" s="141"/>
      <c r="AZ787" s="141"/>
      <c r="BA787" s="141"/>
      <c r="BB787" s="141"/>
      <c r="BC787" s="141"/>
      <c r="BD787" s="141"/>
      <c r="BE787" s="141"/>
      <c r="BF787" s="141"/>
      <c r="BG787" s="18"/>
      <c r="BH787" s="1"/>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row>
    <row r="788" spans="1:135" ht="14.25" customHeight="1">
      <c r="A788" s="18"/>
      <c r="B788" s="18"/>
      <c r="C788" s="19"/>
      <c r="D788" s="18"/>
      <c r="E788" s="18"/>
      <c r="F788" s="19"/>
      <c r="G788" s="18"/>
      <c r="H788" s="114"/>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40"/>
      <c r="AL788" s="141"/>
      <c r="AM788" s="141"/>
      <c r="AN788" s="141"/>
      <c r="AO788" s="141"/>
      <c r="AP788" s="141"/>
      <c r="AQ788" s="141"/>
      <c r="AR788" s="141"/>
      <c r="AS788" s="141"/>
      <c r="AT788" s="141"/>
      <c r="AU788" s="141"/>
      <c r="AV788" s="141"/>
      <c r="AW788" s="141"/>
      <c r="AX788" s="141"/>
      <c r="AY788" s="141"/>
      <c r="AZ788" s="141"/>
      <c r="BA788" s="141"/>
      <c r="BB788" s="141"/>
      <c r="BC788" s="141"/>
      <c r="BD788" s="141"/>
      <c r="BE788" s="141"/>
      <c r="BF788" s="141"/>
      <c r="BG788" s="18"/>
      <c r="BH788" s="1"/>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row>
    <row r="789" spans="1:135" ht="14.25" customHeight="1">
      <c r="A789" s="18"/>
      <c r="B789" s="18"/>
      <c r="C789" s="19"/>
      <c r="D789" s="18"/>
      <c r="E789" s="18"/>
      <c r="F789" s="19"/>
      <c r="G789" s="18"/>
      <c r="H789" s="114"/>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40"/>
      <c r="AL789" s="141"/>
      <c r="AM789" s="141"/>
      <c r="AN789" s="141"/>
      <c r="AO789" s="141"/>
      <c r="AP789" s="141"/>
      <c r="AQ789" s="141"/>
      <c r="AR789" s="141"/>
      <c r="AS789" s="141"/>
      <c r="AT789" s="141"/>
      <c r="AU789" s="141"/>
      <c r="AV789" s="141"/>
      <c r="AW789" s="141"/>
      <c r="AX789" s="141"/>
      <c r="AY789" s="141"/>
      <c r="AZ789" s="141"/>
      <c r="BA789" s="141"/>
      <c r="BB789" s="141"/>
      <c r="BC789" s="141"/>
      <c r="BD789" s="141"/>
      <c r="BE789" s="141"/>
      <c r="BF789" s="141"/>
      <c r="BG789" s="18"/>
      <c r="BH789" s="1"/>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row>
    <row r="790" spans="1:135" ht="14.25" customHeight="1">
      <c r="A790" s="18"/>
      <c r="B790" s="18"/>
      <c r="C790" s="19"/>
      <c r="D790" s="18"/>
      <c r="E790" s="18"/>
      <c r="F790" s="19"/>
      <c r="G790" s="18"/>
      <c r="H790" s="114"/>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40"/>
      <c r="AL790" s="141"/>
      <c r="AM790" s="141"/>
      <c r="AN790" s="141"/>
      <c r="AO790" s="141"/>
      <c r="AP790" s="141"/>
      <c r="AQ790" s="141"/>
      <c r="AR790" s="141"/>
      <c r="AS790" s="141"/>
      <c r="AT790" s="141"/>
      <c r="AU790" s="141"/>
      <c r="AV790" s="141"/>
      <c r="AW790" s="141"/>
      <c r="AX790" s="141"/>
      <c r="AY790" s="141"/>
      <c r="AZ790" s="141"/>
      <c r="BA790" s="141"/>
      <c r="BB790" s="141"/>
      <c r="BC790" s="141"/>
      <c r="BD790" s="141"/>
      <c r="BE790" s="141"/>
      <c r="BF790" s="141"/>
      <c r="BG790" s="18"/>
      <c r="BH790" s="1"/>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row>
    <row r="791" spans="1:135" ht="14.25" customHeight="1">
      <c r="A791" s="18"/>
      <c r="B791" s="18"/>
      <c r="C791" s="19"/>
      <c r="D791" s="18"/>
      <c r="E791" s="18"/>
      <c r="F791" s="19"/>
      <c r="G791" s="18"/>
      <c r="H791" s="114"/>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40"/>
      <c r="AL791" s="141"/>
      <c r="AM791" s="141"/>
      <c r="AN791" s="141"/>
      <c r="AO791" s="141"/>
      <c r="AP791" s="141"/>
      <c r="AQ791" s="141"/>
      <c r="AR791" s="141"/>
      <c r="AS791" s="141"/>
      <c r="AT791" s="141"/>
      <c r="AU791" s="141"/>
      <c r="AV791" s="141"/>
      <c r="AW791" s="141"/>
      <c r="AX791" s="141"/>
      <c r="AY791" s="141"/>
      <c r="AZ791" s="141"/>
      <c r="BA791" s="141"/>
      <c r="BB791" s="141"/>
      <c r="BC791" s="141"/>
      <c r="BD791" s="141"/>
      <c r="BE791" s="141"/>
      <c r="BF791" s="141"/>
      <c r="BG791" s="18"/>
      <c r="BH791" s="1"/>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row>
    <row r="792" spans="1:135" ht="14.25" customHeight="1">
      <c r="A792" s="18"/>
      <c r="B792" s="18"/>
      <c r="C792" s="19"/>
      <c r="D792" s="18"/>
      <c r="E792" s="18"/>
      <c r="F792" s="19"/>
      <c r="G792" s="18"/>
      <c r="H792" s="114"/>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40"/>
      <c r="AL792" s="141"/>
      <c r="AM792" s="141"/>
      <c r="AN792" s="141"/>
      <c r="AO792" s="141"/>
      <c r="AP792" s="141"/>
      <c r="AQ792" s="141"/>
      <c r="AR792" s="141"/>
      <c r="AS792" s="141"/>
      <c r="AT792" s="141"/>
      <c r="AU792" s="141"/>
      <c r="AV792" s="141"/>
      <c r="AW792" s="141"/>
      <c r="AX792" s="141"/>
      <c r="AY792" s="141"/>
      <c r="AZ792" s="141"/>
      <c r="BA792" s="141"/>
      <c r="BB792" s="141"/>
      <c r="BC792" s="141"/>
      <c r="BD792" s="141"/>
      <c r="BE792" s="141"/>
      <c r="BF792" s="141"/>
      <c r="BG792" s="18"/>
      <c r="BH792" s="1"/>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row>
    <row r="793" spans="1:135" ht="14.25" customHeight="1">
      <c r="A793" s="18"/>
      <c r="B793" s="18"/>
      <c r="C793" s="19"/>
      <c r="D793" s="18"/>
      <c r="E793" s="18"/>
      <c r="F793" s="19"/>
      <c r="G793" s="18"/>
      <c r="H793" s="114"/>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40"/>
      <c r="AL793" s="141"/>
      <c r="AM793" s="141"/>
      <c r="AN793" s="141"/>
      <c r="AO793" s="141"/>
      <c r="AP793" s="141"/>
      <c r="AQ793" s="141"/>
      <c r="AR793" s="141"/>
      <c r="AS793" s="141"/>
      <c r="AT793" s="141"/>
      <c r="AU793" s="141"/>
      <c r="AV793" s="141"/>
      <c r="AW793" s="141"/>
      <c r="AX793" s="141"/>
      <c r="AY793" s="141"/>
      <c r="AZ793" s="141"/>
      <c r="BA793" s="141"/>
      <c r="BB793" s="141"/>
      <c r="BC793" s="141"/>
      <c r="BD793" s="141"/>
      <c r="BE793" s="141"/>
      <c r="BF793" s="141"/>
      <c r="BG793" s="18"/>
      <c r="BH793" s="1"/>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row>
    <row r="794" spans="1:135" ht="14.25" customHeight="1">
      <c r="A794" s="18"/>
      <c r="B794" s="18"/>
      <c r="C794" s="19"/>
      <c r="D794" s="18"/>
      <c r="E794" s="18"/>
      <c r="F794" s="19"/>
      <c r="G794" s="18"/>
      <c r="H794" s="114"/>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40"/>
      <c r="AL794" s="141"/>
      <c r="AM794" s="141"/>
      <c r="AN794" s="141"/>
      <c r="AO794" s="141"/>
      <c r="AP794" s="141"/>
      <c r="AQ794" s="141"/>
      <c r="AR794" s="141"/>
      <c r="AS794" s="141"/>
      <c r="AT794" s="141"/>
      <c r="AU794" s="141"/>
      <c r="AV794" s="141"/>
      <c r="AW794" s="141"/>
      <c r="AX794" s="141"/>
      <c r="AY794" s="141"/>
      <c r="AZ794" s="141"/>
      <c r="BA794" s="141"/>
      <c r="BB794" s="141"/>
      <c r="BC794" s="141"/>
      <c r="BD794" s="141"/>
      <c r="BE794" s="141"/>
      <c r="BF794" s="141"/>
      <c r="BG794" s="18"/>
      <c r="BH794" s="1"/>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row>
    <row r="795" spans="1:135" ht="14.25" customHeight="1">
      <c r="A795" s="18"/>
      <c r="B795" s="18"/>
      <c r="C795" s="19"/>
      <c r="D795" s="18"/>
      <c r="E795" s="18"/>
      <c r="F795" s="19"/>
      <c r="G795" s="18"/>
      <c r="H795" s="114"/>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40"/>
      <c r="AL795" s="141"/>
      <c r="AM795" s="141"/>
      <c r="AN795" s="141"/>
      <c r="AO795" s="141"/>
      <c r="AP795" s="141"/>
      <c r="AQ795" s="141"/>
      <c r="AR795" s="141"/>
      <c r="AS795" s="141"/>
      <c r="AT795" s="141"/>
      <c r="AU795" s="141"/>
      <c r="AV795" s="141"/>
      <c r="AW795" s="141"/>
      <c r="AX795" s="141"/>
      <c r="AY795" s="141"/>
      <c r="AZ795" s="141"/>
      <c r="BA795" s="141"/>
      <c r="BB795" s="141"/>
      <c r="BC795" s="141"/>
      <c r="BD795" s="141"/>
      <c r="BE795" s="141"/>
      <c r="BF795" s="141"/>
      <c r="BG795" s="18"/>
      <c r="BH795" s="1"/>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row>
    <row r="796" spans="1:135" ht="14.25" customHeight="1">
      <c r="A796" s="18"/>
      <c r="B796" s="18"/>
      <c r="C796" s="19"/>
      <c r="D796" s="18"/>
      <c r="E796" s="18"/>
      <c r="F796" s="19"/>
      <c r="G796" s="18"/>
      <c r="H796" s="114"/>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40"/>
      <c r="AL796" s="141"/>
      <c r="AM796" s="141"/>
      <c r="AN796" s="141"/>
      <c r="AO796" s="141"/>
      <c r="AP796" s="141"/>
      <c r="AQ796" s="141"/>
      <c r="AR796" s="141"/>
      <c r="AS796" s="141"/>
      <c r="AT796" s="141"/>
      <c r="AU796" s="141"/>
      <c r="AV796" s="141"/>
      <c r="AW796" s="141"/>
      <c r="AX796" s="141"/>
      <c r="AY796" s="141"/>
      <c r="AZ796" s="141"/>
      <c r="BA796" s="141"/>
      <c r="BB796" s="141"/>
      <c r="BC796" s="141"/>
      <c r="BD796" s="141"/>
      <c r="BE796" s="141"/>
      <c r="BF796" s="141"/>
      <c r="BG796" s="18"/>
      <c r="BH796" s="1"/>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row>
    <row r="797" spans="1:135" ht="14.25" customHeight="1">
      <c r="A797" s="18"/>
      <c r="B797" s="18"/>
      <c r="C797" s="19"/>
      <c r="D797" s="18"/>
      <c r="E797" s="18"/>
      <c r="F797" s="19"/>
      <c r="G797" s="18"/>
      <c r="H797" s="114"/>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40"/>
      <c r="AL797" s="141"/>
      <c r="AM797" s="141"/>
      <c r="AN797" s="141"/>
      <c r="AO797" s="141"/>
      <c r="AP797" s="141"/>
      <c r="AQ797" s="141"/>
      <c r="AR797" s="141"/>
      <c r="AS797" s="141"/>
      <c r="AT797" s="141"/>
      <c r="AU797" s="141"/>
      <c r="AV797" s="141"/>
      <c r="AW797" s="141"/>
      <c r="AX797" s="141"/>
      <c r="AY797" s="141"/>
      <c r="AZ797" s="141"/>
      <c r="BA797" s="141"/>
      <c r="BB797" s="141"/>
      <c r="BC797" s="141"/>
      <c r="BD797" s="141"/>
      <c r="BE797" s="141"/>
      <c r="BF797" s="141"/>
      <c r="BG797" s="18"/>
      <c r="BH797" s="1"/>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row>
    <row r="798" spans="1:135" ht="14.25" customHeight="1">
      <c r="A798" s="18"/>
      <c r="B798" s="18"/>
      <c r="C798" s="19"/>
      <c r="D798" s="18"/>
      <c r="E798" s="18"/>
      <c r="F798" s="19"/>
      <c r="G798" s="18"/>
      <c r="H798" s="114"/>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40"/>
      <c r="AL798" s="141"/>
      <c r="AM798" s="141"/>
      <c r="AN798" s="141"/>
      <c r="AO798" s="141"/>
      <c r="AP798" s="141"/>
      <c r="AQ798" s="141"/>
      <c r="AR798" s="141"/>
      <c r="AS798" s="141"/>
      <c r="AT798" s="141"/>
      <c r="AU798" s="141"/>
      <c r="AV798" s="141"/>
      <c r="AW798" s="141"/>
      <c r="AX798" s="141"/>
      <c r="AY798" s="141"/>
      <c r="AZ798" s="141"/>
      <c r="BA798" s="141"/>
      <c r="BB798" s="141"/>
      <c r="BC798" s="141"/>
      <c r="BD798" s="141"/>
      <c r="BE798" s="141"/>
      <c r="BF798" s="141"/>
      <c r="BG798" s="18"/>
      <c r="BH798" s="1"/>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row>
    <row r="799" spans="1:135" ht="14.25" customHeight="1">
      <c r="A799" s="18"/>
      <c r="B799" s="18"/>
      <c r="C799" s="19"/>
      <c r="D799" s="18"/>
      <c r="E799" s="18"/>
      <c r="F799" s="19"/>
      <c r="G799" s="18"/>
      <c r="H799" s="114"/>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40"/>
      <c r="AL799" s="141"/>
      <c r="AM799" s="141"/>
      <c r="AN799" s="141"/>
      <c r="AO799" s="141"/>
      <c r="AP799" s="141"/>
      <c r="AQ799" s="141"/>
      <c r="AR799" s="141"/>
      <c r="AS799" s="141"/>
      <c r="AT799" s="141"/>
      <c r="AU799" s="141"/>
      <c r="AV799" s="141"/>
      <c r="AW799" s="141"/>
      <c r="AX799" s="141"/>
      <c r="AY799" s="141"/>
      <c r="AZ799" s="141"/>
      <c r="BA799" s="141"/>
      <c r="BB799" s="141"/>
      <c r="BC799" s="141"/>
      <c r="BD799" s="141"/>
      <c r="BE799" s="141"/>
      <c r="BF799" s="141"/>
      <c r="BG799" s="18"/>
      <c r="BH799" s="1"/>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row>
    <row r="800" spans="1:135" ht="14.25" customHeight="1">
      <c r="A800" s="18"/>
      <c r="B800" s="18"/>
      <c r="C800" s="19"/>
      <c r="D800" s="18"/>
      <c r="E800" s="18"/>
      <c r="F800" s="19"/>
      <c r="G800" s="18"/>
      <c r="H800" s="114"/>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40"/>
      <c r="AL800" s="141"/>
      <c r="AM800" s="141"/>
      <c r="AN800" s="141"/>
      <c r="AO800" s="141"/>
      <c r="AP800" s="141"/>
      <c r="AQ800" s="141"/>
      <c r="AR800" s="141"/>
      <c r="AS800" s="141"/>
      <c r="AT800" s="141"/>
      <c r="AU800" s="141"/>
      <c r="AV800" s="141"/>
      <c r="AW800" s="141"/>
      <c r="AX800" s="141"/>
      <c r="AY800" s="141"/>
      <c r="AZ800" s="141"/>
      <c r="BA800" s="141"/>
      <c r="BB800" s="141"/>
      <c r="BC800" s="141"/>
      <c r="BD800" s="141"/>
      <c r="BE800" s="141"/>
      <c r="BF800" s="141"/>
      <c r="BG800" s="18"/>
      <c r="BH800" s="1"/>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row>
    <row r="801" spans="1:135" ht="14.25" customHeight="1">
      <c r="A801" s="18"/>
      <c r="B801" s="18"/>
      <c r="C801" s="19"/>
      <c r="D801" s="18"/>
      <c r="E801" s="18"/>
      <c r="F801" s="19"/>
      <c r="G801" s="18"/>
      <c r="H801" s="114"/>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40"/>
      <c r="AL801" s="141"/>
      <c r="AM801" s="141"/>
      <c r="AN801" s="141"/>
      <c r="AO801" s="141"/>
      <c r="AP801" s="141"/>
      <c r="AQ801" s="141"/>
      <c r="AR801" s="141"/>
      <c r="AS801" s="141"/>
      <c r="AT801" s="141"/>
      <c r="AU801" s="141"/>
      <c r="AV801" s="141"/>
      <c r="AW801" s="141"/>
      <c r="AX801" s="141"/>
      <c r="AY801" s="141"/>
      <c r="AZ801" s="141"/>
      <c r="BA801" s="141"/>
      <c r="BB801" s="141"/>
      <c r="BC801" s="141"/>
      <c r="BD801" s="141"/>
      <c r="BE801" s="141"/>
      <c r="BF801" s="141"/>
      <c r="BG801" s="18"/>
      <c r="BH801" s="1"/>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row>
    <row r="802" spans="1:135" ht="14.25" customHeight="1">
      <c r="A802" s="18"/>
      <c r="B802" s="18"/>
      <c r="C802" s="19"/>
      <c r="D802" s="18"/>
      <c r="E802" s="18"/>
      <c r="F802" s="19"/>
      <c r="G802" s="18"/>
      <c r="H802" s="114"/>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40"/>
      <c r="AL802" s="141"/>
      <c r="AM802" s="141"/>
      <c r="AN802" s="141"/>
      <c r="AO802" s="141"/>
      <c r="AP802" s="141"/>
      <c r="AQ802" s="141"/>
      <c r="AR802" s="141"/>
      <c r="AS802" s="141"/>
      <c r="AT802" s="141"/>
      <c r="AU802" s="141"/>
      <c r="AV802" s="141"/>
      <c r="AW802" s="141"/>
      <c r="AX802" s="141"/>
      <c r="AY802" s="141"/>
      <c r="AZ802" s="141"/>
      <c r="BA802" s="141"/>
      <c r="BB802" s="141"/>
      <c r="BC802" s="141"/>
      <c r="BD802" s="141"/>
      <c r="BE802" s="141"/>
      <c r="BF802" s="141"/>
      <c r="BG802" s="18"/>
      <c r="BH802" s="1"/>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row>
    <row r="803" spans="1:135" ht="14.25" customHeight="1">
      <c r="A803" s="18"/>
      <c r="B803" s="18"/>
      <c r="C803" s="19"/>
      <c r="D803" s="18"/>
      <c r="E803" s="18"/>
      <c r="F803" s="19"/>
      <c r="G803" s="18"/>
      <c r="H803" s="114"/>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40"/>
      <c r="AL803" s="141"/>
      <c r="AM803" s="141"/>
      <c r="AN803" s="141"/>
      <c r="AO803" s="141"/>
      <c r="AP803" s="141"/>
      <c r="AQ803" s="141"/>
      <c r="AR803" s="141"/>
      <c r="AS803" s="141"/>
      <c r="AT803" s="141"/>
      <c r="AU803" s="141"/>
      <c r="AV803" s="141"/>
      <c r="AW803" s="141"/>
      <c r="AX803" s="141"/>
      <c r="AY803" s="141"/>
      <c r="AZ803" s="141"/>
      <c r="BA803" s="141"/>
      <c r="BB803" s="141"/>
      <c r="BC803" s="141"/>
      <c r="BD803" s="141"/>
      <c r="BE803" s="141"/>
      <c r="BF803" s="141"/>
      <c r="BG803" s="18"/>
      <c r="BH803" s="1"/>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row>
    <row r="804" spans="1:135" ht="14.25" customHeight="1">
      <c r="A804" s="18"/>
      <c r="B804" s="18"/>
      <c r="C804" s="19"/>
      <c r="D804" s="18"/>
      <c r="E804" s="18"/>
      <c r="F804" s="19"/>
      <c r="G804" s="18"/>
      <c r="H804" s="114"/>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40"/>
      <c r="AL804" s="141"/>
      <c r="AM804" s="141"/>
      <c r="AN804" s="141"/>
      <c r="AO804" s="141"/>
      <c r="AP804" s="141"/>
      <c r="AQ804" s="141"/>
      <c r="AR804" s="141"/>
      <c r="AS804" s="141"/>
      <c r="AT804" s="141"/>
      <c r="AU804" s="141"/>
      <c r="AV804" s="141"/>
      <c r="AW804" s="141"/>
      <c r="AX804" s="141"/>
      <c r="AY804" s="141"/>
      <c r="AZ804" s="141"/>
      <c r="BA804" s="141"/>
      <c r="BB804" s="141"/>
      <c r="BC804" s="141"/>
      <c r="BD804" s="141"/>
      <c r="BE804" s="141"/>
      <c r="BF804" s="141"/>
      <c r="BG804" s="18"/>
      <c r="BH804" s="1"/>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row>
    <row r="805" spans="1:135" ht="14.25" customHeight="1">
      <c r="A805" s="18"/>
      <c r="B805" s="18"/>
      <c r="C805" s="19"/>
      <c r="D805" s="18"/>
      <c r="E805" s="18"/>
      <c r="F805" s="19"/>
      <c r="G805" s="18"/>
      <c r="H805" s="114"/>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40"/>
      <c r="AL805" s="141"/>
      <c r="AM805" s="141"/>
      <c r="AN805" s="141"/>
      <c r="AO805" s="141"/>
      <c r="AP805" s="141"/>
      <c r="AQ805" s="141"/>
      <c r="AR805" s="141"/>
      <c r="AS805" s="141"/>
      <c r="AT805" s="141"/>
      <c r="AU805" s="141"/>
      <c r="AV805" s="141"/>
      <c r="AW805" s="141"/>
      <c r="AX805" s="141"/>
      <c r="AY805" s="141"/>
      <c r="AZ805" s="141"/>
      <c r="BA805" s="141"/>
      <c r="BB805" s="141"/>
      <c r="BC805" s="141"/>
      <c r="BD805" s="141"/>
      <c r="BE805" s="141"/>
      <c r="BF805" s="141"/>
      <c r="BG805" s="18"/>
      <c r="BH805" s="1"/>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row>
    <row r="806" spans="1:135" ht="14.25" customHeight="1">
      <c r="A806" s="18"/>
      <c r="B806" s="18"/>
      <c r="C806" s="19"/>
      <c r="D806" s="18"/>
      <c r="E806" s="18"/>
      <c r="F806" s="19"/>
      <c r="G806" s="18"/>
      <c r="H806" s="114"/>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40"/>
      <c r="AL806" s="141"/>
      <c r="AM806" s="141"/>
      <c r="AN806" s="141"/>
      <c r="AO806" s="141"/>
      <c r="AP806" s="141"/>
      <c r="AQ806" s="141"/>
      <c r="AR806" s="141"/>
      <c r="AS806" s="141"/>
      <c r="AT806" s="141"/>
      <c r="AU806" s="141"/>
      <c r="AV806" s="141"/>
      <c r="AW806" s="141"/>
      <c r="AX806" s="141"/>
      <c r="AY806" s="141"/>
      <c r="AZ806" s="141"/>
      <c r="BA806" s="141"/>
      <c r="BB806" s="141"/>
      <c r="BC806" s="141"/>
      <c r="BD806" s="141"/>
      <c r="BE806" s="141"/>
      <c r="BF806" s="141"/>
      <c r="BG806" s="18"/>
      <c r="BH806" s="1"/>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row>
    <row r="807" spans="1:135" ht="14.25" customHeight="1">
      <c r="A807" s="18"/>
      <c r="B807" s="18"/>
      <c r="C807" s="19"/>
      <c r="D807" s="18"/>
      <c r="E807" s="18"/>
      <c r="F807" s="19"/>
      <c r="G807" s="18"/>
      <c r="H807" s="114"/>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40"/>
      <c r="AL807" s="141"/>
      <c r="AM807" s="141"/>
      <c r="AN807" s="141"/>
      <c r="AO807" s="141"/>
      <c r="AP807" s="141"/>
      <c r="AQ807" s="141"/>
      <c r="AR807" s="141"/>
      <c r="AS807" s="141"/>
      <c r="AT807" s="141"/>
      <c r="AU807" s="141"/>
      <c r="AV807" s="141"/>
      <c r="AW807" s="141"/>
      <c r="AX807" s="141"/>
      <c r="AY807" s="141"/>
      <c r="AZ807" s="141"/>
      <c r="BA807" s="141"/>
      <c r="BB807" s="141"/>
      <c r="BC807" s="141"/>
      <c r="BD807" s="141"/>
      <c r="BE807" s="141"/>
      <c r="BF807" s="141"/>
      <c r="BG807" s="18"/>
      <c r="BH807" s="1"/>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row>
    <row r="808" spans="1:135" ht="14.25" customHeight="1">
      <c r="A808" s="18"/>
      <c r="B808" s="18"/>
      <c r="C808" s="19"/>
      <c r="D808" s="18"/>
      <c r="E808" s="18"/>
      <c r="F808" s="19"/>
      <c r="G808" s="18"/>
      <c r="H808" s="114"/>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40"/>
      <c r="AL808" s="141"/>
      <c r="AM808" s="141"/>
      <c r="AN808" s="141"/>
      <c r="AO808" s="141"/>
      <c r="AP808" s="141"/>
      <c r="AQ808" s="141"/>
      <c r="AR808" s="141"/>
      <c r="AS808" s="141"/>
      <c r="AT808" s="141"/>
      <c r="AU808" s="141"/>
      <c r="AV808" s="141"/>
      <c r="AW808" s="141"/>
      <c r="AX808" s="141"/>
      <c r="AY808" s="141"/>
      <c r="AZ808" s="141"/>
      <c r="BA808" s="141"/>
      <c r="BB808" s="141"/>
      <c r="BC808" s="141"/>
      <c r="BD808" s="141"/>
      <c r="BE808" s="141"/>
      <c r="BF808" s="141"/>
      <c r="BG808" s="18"/>
      <c r="BH808" s="1"/>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row>
    <row r="809" spans="1:135" ht="14.25" customHeight="1">
      <c r="A809" s="18"/>
      <c r="B809" s="18"/>
      <c r="C809" s="19"/>
      <c r="D809" s="18"/>
      <c r="E809" s="18"/>
      <c r="F809" s="19"/>
      <c r="G809" s="18"/>
      <c r="H809" s="114"/>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40"/>
      <c r="AL809" s="141"/>
      <c r="AM809" s="141"/>
      <c r="AN809" s="141"/>
      <c r="AO809" s="141"/>
      <c r="AP809" s="141"/>
      <c r="AQ809" s="141"/>
      <c r="AR809" s="141"/>
      <c r="AS809" s="141"/>
      <c r="AT809" s="141"/>
      <c r="AU809" s="141"/>
      <c r="AV809" s="141"/>
      <c r="AW809" s="141"/>
      <c r="AX809" s="141"/>
      <c r="AY809" s="141"/>
      <c r="AZ809" s="141"/>
      <c r="BA809" s="141"/>
      <c r="BB809" s="141"/>
      <c r="BC809" s="141"/>
      <c r="BD809" s="141"/>
      <c r="BE809" s="141"/>
      <c r="BF809" s="141"/>
      <c r="BG809" s="18"/>
      <c r="BH809" s="1"/>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row>
    <row r="810" spans="1:135" ht="14.25" customHeight="1">
      <c r="A810" s="18"/>
      <c r="B810" s="18"/>
      <c r="C810" s="19"/>
      <c r="D810" s="18"/>
      <c r="E810" s="18"/>
      <c r="F810" s="19"/>
      <c r="G810" s="18"/>
      <c r="H810" s="114"/>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40"/>
      <c r="AL810" s="141"/>
      <c r="AM810" s="141"/>
      <c r="AN810" s="141"/>
      <c r="AO810" s="141"/>
      <c r="AP810" s="141"/>
      <c r="AQ810" s="141"/>
      <c r="AR810" s="141"/>
      <c r="AS810" s="141"/>
      <c r="AT810" s="141"/>
      <c r="AU810" s="141"/>
      <c r="AV810" s="141"/>
      <c r="AW810" s="141"/>
      <c r="AX810" s="141"/>
      <c r="AY810" s="141"/>
      <c r="AZ810" s="141"/>
      <c r="BA810" s="141"/>
      <c r="BB810" s="141"/>
      <c r="BC810" s="141"/>
      <c r="BD810" s="141"/>
      <c r="BE810" s="141"/>
      <c r="BF810" s="141"/>
      <c r="BG810" s="18"/>
      <c r="BH810" s="1"/>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row>
    <row r="811" spans="1:135" ht="14.25" customHeight="1">
      <c r="A811" s="18"/>
      <c r="B811" s="18"/>
      <c r="C811" s="19"/>
      <c r="D811" s="18"/>
      <c r="E811" s="18"/>
      <c r="F811" s="19"/>
      <c r="G811" s="18"/>
      <c r="H811" s="114"/>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40"/>
      <c r="AL811" s="141"/>
      <c r="AM811" s="141"/>
      <c r="AN811" s="141"/>
      <c r="AO811" s="141"/>
      <c r="AP811" s="141"/>
      <c r="AQ811" s="141"/>
      <c r="AR811" s="141"/>
      <c r="AS811" s="141"/>
      <c r="AT811" s="141"/>
      <c r="AU811" s="141"/>
      <c r="AV811" s="141"/>
      <c r="AW811" s="141"/>
      <c r="AX811" s="141"/>
      <c r="AY811" s="141"/>
      <c r="AZ811" s="141"/>
      <c r="BA811" s="141"/>
      <c r="BB811" s="141"/>
      <c r="BC811" s="141"/>
      <c r="BD811" s="141"/>
      <c r="BE811" s="141"/>
      <c r="BF811" s="141"/>
      <c r="BG811" s="18"/>
      <c r="BH811" s="1"/>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row>
    <row r="812" spans="1:135" ht="14.25" customHeight="1">
      <c r="A812" s="18"/>
      <c r="B812" s="18"/>
      <c r="C812" s="19"/>
      <c r="D812" s="18"/>
      <c r="E812" s="18"/>
      <c r="F812" s="19"/>
      <c r="G812" s="18"/>
      <c r="H812" s="114"/>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40"/>
      <c r="AL812" s="141"/>
      <c r="AM812" s="141"/>
      <c r="AN812" s="141"/>
      <c r="AO812" s="141"/>
      <c r="AP812" s="141"/>
      <c r="AQ812" s="141"/>
      <c r="AR812" s="141"/>
      <c r="AS812" s="141"/>
      <c r="AT812" s="141"/>
      <c r="AU812" s="141"/>
      <c r="AV812" s="141"/>
      <c r="AW812" s="141"/>
      <c r="AX812" s="141"/>
      <c r="AY812" s="141"/>
      <c r="AZ812" s="141"/>
      <c r="BA812" s="141"/>
      <c r="BB812" s="141"/>
      <c r="BC812" s="141"/>
      <c r="BD812" s="141"/>
      <c r="BE812" s="141"/>
      <c r="BF812" s="141"/>
      <c r="BG812" s="18"/>
      <c r="BH812" s="1"/>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row>
    <row r="813" spans="1:135" ht="14.25" customHeight="1">
      <c r="A813" s="18"/>
      <c r="B813" s="18"/>
      <c r="C813" s="19"/>
      <c r="D813" s="18"/>
      <c r="E813" s="18"/>
      <c r="F813" s="19"/>
      <c r="G813" s="18"/>
      <c r="H813" s="114"/>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40"/>
      <c r="AL813" s="141"/>
      <c r="AM813" s="141"/>
      <c r="AN813" s="141"/>
      <c r="AO813" s="141"/>
      <c r="AP813" s="141"/>
      <c r="AQ813" s="141"/>
      <c r="AR813" s="141"/>
      <c r="AS813" s="141"/>
      <c r="AT813" s="141"/>
      <c r="AU813" s="141"/>
      <c r="AV813" s="141"/>
      <c r="AW813" s="141"/>
      <c r="AX813" s="141"/>
      <c r="AY813" s="141"/>
      <c r="AZ813" s="141"/>
      <c r="BA813" s="141"/>
      <c r="BB813" s="141"/>
      <c r="BC813" s="141"/>
      <c r="BD813" s="141"/>
      <c r="BE813" s="141"/>
      <c r="BF813" s="141"/>
      <c r="BG813" s="18"/>
      <c r="BH813" s="1"/>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row>
    <row r="814" spans="1:135" ht="14.25" customHeight="1">
      <c r="A814" s="18"/>
      <c r="B814" s="18"/>
      <c r="C814" s="19"/>
      <c r="D814" s="18"/>
      <c r="E814" s="18"/>
      <c r="F814" s="19"/>
      <c r="G814" s="18"/>
      <c r="H814" s="114"/>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40"/>
      <c r="AL814" s="141"/>
      <c r="AM814" s="141"/>
      <c r="AN814" s="141"/>
      <c r="AO814" s="141"/>
      <c r="AP814" s="141"/>
      <c r="AQ814" s="141"/>
      <c r="AR814" s="141"/>
      <c r="AS814" s="141"/>
      <c r="AT814" s="141"/>
      <c r="AU814" s="141"/>
      <c r="AV814" s="141"/>
      <c r="AW814" s="141"/>
      <c r="AX814" s="141"/>
      <c r="AY814" s="141"/>
      <c r="AZ814" s="141"/>
      <c r="BA814" s="141"/>
      <c r="BB814" s="141"/>
      <c r="BC814" s="141"/>
      <c r="BD814" s="141"/>
      <c r="BE814" s="141"/>
      <c r="BF814" s="141"/>
      <c r="BG814" s="18"/>
      <c r="BH814" s="1"/>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row>
    <row r="815" spans="1:135" ht="14.25" customHeight="1">
      <c r="A815" s="18"/>
      <c r="B815" s="18"/>
      <c r="C815" s="19"/>
      <c r="D815" s="18"/>
      <c r="E815" s="18"/>
      <c r="F815" s="19"/>
      <c r="G815" s="18"/>
      <c r="H815" s="114"/>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40"/>
      <c r="AL815" s="141"/>
      <c r="AM815" s="141"/>
      <c r="AN815" s="141"/>
      <c r="AO815" s="141"/>
      <c r="AP815" s="141"/>
      <c r="AQ815" s="141"/>
      <c r="AR815" s="141"/>
      <c r="AS815" s="141"/>
      <c r="AT815" s="141"/>
      <c r="AU815" s="141"/>
      <c r="AV815" s="141"/>
      <c r="AW815" s="141"/>
      <c r="AX815" s="141"/>
      <c r="AY815" s="141"/>
      <c r="AZ815" s="141"/>
      <c r="BA815" s="141"/>
      <c r="BB815" s="141"/>
      <c r="BC815" s="141"/>
      <c r="BD815" s="141"/>
      <c r="BE815" s="141"/>
      <c r="BF815" s="141"/>
      <c r="BG815" s="18"/>
      <c r="BH815" s="1"/>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row>
    <row r="816" spans="1:135" ht="14.25" customHeight="1">
      <c r="A816" s="18"/>
      <c r="B816" s="18"/>
      <c r="C816" s="19"/>
      <c r="D816" s="18"/>
      <c r="E816" s="18"/>
      <c r="F816" s="19"/>
      <c r="G816" s="18"/>
      <c r="H816" s="114"/>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40"/>
      <c r="AL816" s="141"/>
      <c r="AM816" s="141"/>
      <c r="AN816" s="141"/>
      <c r="AO816" s="141"/>
      <c r="AP816" s="141"/>
      <c r="AQ816" s="141"/>
      <c r="AR816" s="141"/>
      <c r="AS816" s="141"/>
      <c r="AT816" s="141"/>
      <c r="AU816" s="141"/>
      <c r="AV816" s="141"/>
      <c r="AW816" s="141"/>
      <c r="AX816" s="141"/>
      <c r="AY816" s="141"/>
      <c r="AZ816" s="141"/>
      <c r="BA816" s="141"/>
      <c r="BB816" s="141"/>
      <c r="BC816" s="141"/>
      <c r="BD816" s="141"/>
      <c r="BE816" s="141"/>
      <c r="BF816" s="141"/>
      <c r="BG816" s="18"/>
      <c r="BH816" s="1"/>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row>
    <row r="817" spans="1:135" ht="14.25" customHeight="1">
      <c r="A817" s="18"/>
      <c r="B817" s="18"/>
      <c r="C817" s="19"/>
      <c r="D817" s="18"/>
      <c r="E817" s="18"/>
      <c r="F817" s="19"/>
      <c r="G817" s="18"/>
      <c r="H817" s="114"/>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40"/>
      <c r="AL817" s="141"/>
      <c r="AM817" s="141"/>
      <c r="AN817" s="141"/>
      <c r="AO817" s="141"/>
      <c r="AP817" s="141"/>
      <c r="AQ817" s="141"/>
      <c r="AR817" s="141"/>
      <c r="AS817" s="141"/>
      <c r="AT817" s="141"/>
      <c r="AU817" s="141"/>
      <c r="AV817" s="141"/>
      <c r="AW817" s="141"/>
      <c r="AX817" s="141"/>
      <c r="AY817" s="141"/>
      <c r="AZ817" s="141"/>
      <c r="BA817" s="141"/>
      <c r="BB817" s="141"/>
      <c r="BC817" s="141"/>
      <c r="BD817" s="141"/>
      <c r="BE817" s="141"/>
      <c r="BF817" s="141"/>
      <c r="BG817" s="18"/>
      <c r="BH817" s="1"/>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row>
    <row r="818" spans="1:135" ht="14.25" customHeight="1">
      <c r="A818" s="18"/>
      <c r="B818" s="18"/>
      <c r="C818" s="19"/>
      <c r="D818" s="18"/>
      <c r="E818" s="18"/>
      <c r="F818" s="19"/>
      <c r="G818" s="18"/>
      <c r="H818" s="114"/>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40"/>
      <c r="AL818" s="141"/>
      <c r="AM818" s="141"/>
      <c r="AN818" s="141"/>
      <c r="AO818" s="141"/>
      <c r="AP818" s="141"/>
      <c r="AQ818" s="141"/>
      <c r="AR818" s="141"/>
      <c r="AS818" s="141"/>
      <c r="AT818" s="141"/>
      <c r="AU818" s="141"/>
      <c r="AV818" s="141"/>
      <c r="AW818" s="141"/>
      <c r="AX818" s="141"/>
      <c r="AY818" s="141"/>
      <c r="AZ818" s="141"/>
      <c r="BA818" s="141"/>
      <c r="BB818" s="141"/>
      <c r="BC818" s="141"/>
      <c r="BD818" s="141"/>
      <c r="BE818" s="141"/>
      <c r="BF818" s="141"/>
      <c r="BG818" s="18"/>
      <c r="BH818" s="1"/>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row>
    <row r="819" spans="1:135" ht="14.25" customHeight="1">
      <c r="A819" s="18"/>
      <c r="B819" s="18"/>
      <c r="C819" s="19"/>
      <c r="D819" s="18"/>
      <c r="E819" s="18"/>
      <c r="F819" s="19"/>
      <c r="G819" s="18"/>
      <c r="H819" s="114"/>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40"/>
      <c r="AL819" s="141"/>
      <c r="AM819" s="141"/>
      <c r="AN819" s="141"/>
      <c r="AO819" s="141"/>
      <c r="AP819" s="141"/>
      <c r="AQ819" s="141"/>
      <c r="AR819" s="141"/>
      <c r="AS819" s="141"/>
      <c r="AT819" s="141"/>
      <c r="AU819" s="141"/>
      <c r="AV819" s="141"/>
      <c r="AW819" s="141"/>
      <c r="AX819" s="141"/>
      <c r="AY819" s="141"/>
      <c r="AZ819" s="141"/>
      <c r="BA819" s="141"/>
      <c r="BB819" s="141"/>
      <c r="BC819" s="141"/>
      <c r="BD819" s="141"/>
      <c r="BE819" s="141"/>
      <c r="BF819" s="141"/>
      <c r="BG819" s="18"/>
      <c r="BH819" s="1"/>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row>
    <row r="820" spans="1:135" ht="14.25" customHeight="1">
      <c r="A820" s="18"/>
      <c r="B820" s="18"/>
      <c r="C820" s="19"/>
      <c r="D820" s="18"/>
      <c r="E820" s="18"/>
      <c r="F820" s="19"/>
      <c r="G820" s="18"/>
      <c r="H820" s="114"/>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40"/>
      <c r="AL820" s="141"/>
      <c r="AM820" s="141"/>
      <c r="AN820" s="141"/>
      <c r="AO820" s="141"/>
      <c r="AP820" s="141"/>
      <c r="AQ820" s="141"/>
      <c r="AR820" s="141"/>
      <c r="AS820" s="141"/>
      <c r="AT820" s="141"/>
      <c r="AU820" s="141"/>
      <c r="AV820" s="141"/>
      <c r="AW820" s="141"/>
      <c r="AX820" s="141"/>
      <c r="AY820" s="141"/>
      <c r="AZ820" s="141"/>
      <c r="BA820" s="141"/>
      <c r="BB820" s="141"/>
      <c r="BC820" s="141"/>
      <c r="BD820" s="141"/>
      <c r="BE820" s="141"/>
      <c r="BF820" s="141"/>
      <c r="BG820" s="18"/>
      <c r="BH820" s="1"/>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row>
    <row r="821" spans="1:135" ht="14.25" customHeight="1">
      <c r="A821" s="18"/>
      <c r="B821" s="18"/>
      <c r="C821" s="19"/>
      <c r="D821" s="18"/>
      <c r="E821" s="18"/>
      <c r="F821" s="19"/>
      <c r="G821" s="18"/>
      <c r="H821" s="114"/>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40"/>
      <c r="AL821" s="141"/>
      <c r="AM821" s="141"/>
      <c r="AN821" s="141"/>
      <c r="AO821" s="141"/>
      <c r="AP821" s="141"/>
      <c r="AQ821" s="141"/>
      <c r="AR821" s="141"/>
      <c r="AS821" s="141"/>
      <c r="AT821" s="141"/>
      <c r="AU821" s="141"/>
      <c r="AV821" s="141"/>
      <c r="AW821" s="141"/>
      <c r="AX821" s="141"/>
      <c r="AY821" s="141"/>
      <c r="AZ821" s="141"/>
      <c r="BA821" s="141"/>
      <c r="BB821" s="141"/>
      <c r="BC821" s="141"/>
      <c r="BD821" s="141"/>
      <c r="BE821" s="141"/>
      <c r="BF821" s="141"/>
      <c r="BG821" s="18"/>
      <c r="BH821" s="1"/>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row>
    <row r="822" spans="1:135" ht="14.25" customHeight="1">
      <c r="A822" s="18"/>
      <c r="B822" s="18"/>
      <c r="C822" s="19"/>
      <c r="D822" s="18"/>
      <c r="E822" s="18"/>
      <c r="F822" s="19"/>
      <c r="G822" s="18"/>
      <c r="H822" s="114"/>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40"/>
      <c r="AL822" s="141"/>
      <c r="AM822" s="141"/>
      <c r="AN822" s="141"/>
      <c r="AO822" s="141"/>
      <c r="AP822" s="141"/>
      <c r="AQ822" s="141"/>
      <c r="AR822" s="141"/>
      <c r="AS822" s="141"/>
      <c r="AT822" s="141"/>
      <c r="AU822" s="141"/>
      <c r="AV822" s="141"/>
      <c r="AW822" s="141"/>
      <c r="AX822" s="141"/>
      <c r="AY822" s="141"/>
      <c r="AZ822" s="141"/>
      <c r="BA822" s="141"/>
      <c r="BB822" s="141"/>
      <c r="BC822" s="141"/>
      <c r="BD822" s="141"/>
      <c r="BE822" s="141"/>
      <c r="BF822" s="141"/>
      <c r="BG822" s="18"/>
      <c r="BH822" s="1"/>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row>
    <row r="823" spans="1:135" ht="14.25" customHeight="1">
      <c r="A823" s="18"/>
      <c r="B823" s="18"/>
      <c r="C823" s="19"/>
      <c r="D823" s="18"/>
      <c r="E823" s="18"/>
      <c r="F823" s="19"/>
      <c r="G823" s="18"/>
      <c r="H823" s="114"/>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40"/>
      <c r="AL823" s="141"/>
      <c r="AM823" s="141"/>
      <c r="AN823" s="141"/>
      <c r="AO823" s="141"/>
      <c r="AP823" s="141"/>
      <c r="AQ823" s="141"/>
      <c r="AR823" s="141"/>
      <c r="AS823" s="141"/>
      <c r="AT823" s="141"/>
      <c r="AU823" s="141"/>
      <c r="AV823" s="141"/>
      <c r="AW823" s="141"/>
      <c r="AX823" s="141"/>
      <c r="AY823" s="141"/>
      <c r="AZ823" s="141"/>
      <c r="BA823" s="141"/>
      <c r="BB823" s="141"/>
      <c r="BC823" s="141"/>
      <c r="BD823" s="141"/>
      <c r="BE823" s="141"/>
      <c r="BF823" s="141"/>
      <c r="BG823" s="18"/>
      <c r="BH823" s="1"/>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row>
    <row r="824" spans="1:135" ht="14.25" customHeight="1">
      <c r="A824" s="18"/>
      <c r="B824" s="18"/>
      <c r="C824" s="19"/>
      <c r="D824" s="18"/>
      <c r="E824" s="18"/>
      <c r="F824" s="19"/>
      <c r="G824" s="18"/>
      <c r="H824" s="114"/>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40"/>
      <c r="AL824" s="141"/>
      <c r="AM824" s="141"/>
      <c r="AN824" s="141"/>
      <c r="AO824" s="141"/>
      <c r="AP824" s="141"/>
      <c r="AQ824" s="141"/>
      <c r="AR824" s="141"/>
      <c r="AS824" s="141"/>
      <c r="AT824" s="141"/>
      <c r="AU824" s="141"/>
      <c r="AV824" s="141"/>
      <c r="AW824" s="141"/>
      <c r="AX824" s="141"/>
      <c r="AY824" s="141"/>
      <c r="AZ824" s="141"/>
      <c r="BA824" s="141"/>
      <c r="BB824" s="141"/>
      <c r="BC824" s="141"/>
      <c r="BD824" s="141"/>
      <c r="BE824" s="141"/>
      <c r="BF824" s="141"/>
      <c r="BG824" s="18"/>
      <c r="BH824" s="1"/>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row>
    <row r="825" spans="1:135" ht="14.25" customHeight="1">
      <c r="A825" s="18"/>
      <c r="B825" s="18"/>
      <c r="C825" s="19"/>
      <c r="D825" s="18"/>
      <c r="E825" s="18"/>
      <c r="F825" s="19"/>
      <c r="G825" s="18"/>
      <c r="H825" s="114"/>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40"/>
      <c r="AL825" s="141"/>
      <c r="AM825" s="141"/>
      <c r="AN825" s="141"/>
      <c r="AO825" s="141"/>
      <c r="AP825" s="141"/>
      <c r="AQ825" s="141"/>
      <c r="AR825" s="141"/>
      <c r="AS825" s="141"/>
      <c r="AT825" s="141"/>
      <c r="AU825" s="141"/>
      <c r="AV825" s="141"/>
      <c r="AW825" s="141"/>
      <c r="AX825" s="141"/>
      <c r="AY825" s="141"/>
      <c r="AZ825" s="141"/>
      <c r="BA825" s="141"/>
      <c r="BB825" s="141"/>
      <c r="BC825" s="141"/>
      <c r="BD825" s="141"/>
      <c r="BE825" s="141"/>
      <c r="BF825" s="141"/>
      <c r="BG825" s="18"/>
      <c r="BH825" s="1"/>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row>
    <row r="826" spans="1:135" ht="14.25" customHeight="1">
      <c r="A826" s="18"/>
      <c r="B826" s="18"/>
      <c r="C826" s="19"/>
      <c r="D826" s="18"/>
      <c r="E826" s="18"/>
      <c r="F826" s="19"/>
      <c r="G826" s="18"/>
      <c r="H826" s="114"/>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40"/>
      <c r="AL826" s="141"/>
      <c r="AM826" s="141"/>
      <c r="AN826" s="141"/>
      <c r="AO826" s="141"/>
      <c r="AP826" s="141"/>
      <c r="AQ826" s="141"/>
      <c r="AR826" s="141"/>
      <c r="AS826" s="141"/>
      <c r="AT826" s="141"/>
      <c r="AU826" s="141"/>
      <c r="AV826" s="141"/>
      <c r="AW826" s="141"/>
      <c r="AX826" s="141"/>
      <c r="AY826" s="141"/>
      <c r="AZ826" s="141"/>
      <c r="BA826" s="141"/>
      <c r="BB826" s="141"/>
      <c r="BC826" s="141"/>
      <c r="BD826" s="141"/>
      <c r="BE826" s="141"/>
      <c r="BF826" s="141"/>
      <c r="BG826" s="18"/>
      <c r="BH826" s="1"/>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row>
    <row r="827" spans="1:135" ht="14.25" customHeight="1">
      <c r="A827" s="18"/>
      <c r="B827" s="18"/>
      <c r="C827" s="19"/>
      <c r="D827" s="18"/>
      <c r="E827" s="18"/>
      <c r="F827" s="19"/>
      <c r="G827" s="18"/>
      <c r="H827" s="114"/>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40"/>
      <c r="AL827" s="141"/>
      <c r="AM827" s="141"/>
      <c r="AN827" s="141"/>
      <c r="AO827" s="141"/>
      <c r="AP827" s="141"/>
      <c r="AQ827" s="141"/>
      <c r="AR827" s="141"/>
      <c r="AS827" s="141"/>
      <c r="AT827" s="141"/>
      <c r="AU827" s="141"/>
      <c r="AV827" s="141"/>
      <c r="AW827" s="141"/>
      <c r="AX827" s="141"/>
      <c r="AY827" s="141"/>
      <c r="AZ827" s="141"/>
      <c r="BA827" s="141"/>
      <c r="BB827" s="141"/>
      <c r="BC827" s="141"/>
      <c r="BD827" s="141"/>
      <c r="BE827" s="141"/>
      <c r="BF827" s="141"/>
      <c r="BG827" s="18"/>
      <c r="BH827" s="1"/>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row>
    <row r="828" spans="1:135" ht="14.25" customHeight="1">
      <c r="A828" s="18"/>
      <c r="B828" s="18"/>
      <c r="C828" s="19"/>
      <c r="D828" s="18"/>
      <c r="E828" s="18"/>
      <c r="F828" s="19"/>
      <c r="G828" s="18"/>
      <c r="H828" s="114"/>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40"/>
      <c r="AL828" s="141"/>
      <c r="AM828" s="141"/>
      <c r="AN828" s="141"/>
      <c r="AO828" s="141"/>
      <c r="AP828" s="141"/>
      <c r="AQ828" s="141"/>
      <c r="AR828" s="141"/>
      <c r="AS828" s="141"/>
      <c r="AT828" s="141"/>
      <c r="AU828" s="141"/>
      <c r="AV828" s="141"/>
      <c r="AW828" s="141"/>
      <c r="AX828" s="141"/>
      <c r="AY828" s="141"/>
      <c r="AZ828" s="141"/>
      <c r="BA828" s="141"/>
      <c r="BB828" s="141"/>
      <c r="BC828" s="141"/>
      <c r="BD828" s="141"/>
      <c r="BE828" s="141"/>
      <c r="BF828" s="141"/>
      <c r="BG828" s="18"/>
      <c r="BH828" s="1"/>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row>
    <row r="829" spans="1:135" ht="14.25" customHeight="1">
      <c r="A829" s="18"/>
      <c r="B829" s="18"/>
      <c r="C829" s="19"/>
      <c r="D829" s="18"/>
      <c r="E829" s="18"/>
      <c r="F829" s="19"/>
      <c r="G829" s="18"/>
      <c r="H829" s="114"/>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40"/>
      <c r="AL829" s="141"/>
      <c r="AM829" s="141"/>
      <c r="AN829" s="141"/>
      <c r="AO829" s="141"/>
      <c r="AP829" s="141"/>
      <c r="AQ829" s="141"/>
      <c r="AR829" s="141"/>
      <c r="AS829" s="141"/>
      <c r="AT829" s="141"/>
      <c r="AU829" s="141"/>
      <c r="AV829" s="141"/>
      <c r="AW829" s="141"/>
      <c r="AX829" s="141"/>
      <c r="AY829" s="141"/>
      <c r="AZ829" s="141"/>
      <c r="BA829" s="141"/>
      <c r="BB829" s="141"/>
      <c r="BC829" s="141"/>
      <c r="BD829" s="141"/>
      <c r="BE829" s="141"/>
      <c r="BF829" s="141"/>
      <c r="BG829" s="18"/>
      <c r="BH829" s="1"/>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row>
    <row r="830" spans="1:135" ht="14.25" customHeight="1">
      <c r="A830" s="18"/>
      <c r="B830" s="18"/>
      <c r="C830" s="19"/>
      <c r="D830" s="18"/>
      <c r="E830" s="18"/>
      <c r="F830" s="19"/>
      <c r="G830" s="18"/>
      <c r="H830" s="114"/>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40"/>
      <c r="AL830" s="141"/>
      <c r="AM830" s="141"/>
      <c r="AN830" s="141"/>
      <c r="AO830" s="141"/>
      <c r="AP830" s="141"/>
      <c r="AQ830" s="141"/>
      <c r="AR830" s="141"/>
      <c r="AS830" s="141"/>
      <c r="AT830" s="141"/>
      <c r="AU830" s="141"/>
      <c r="AV830" s="141"/>
      <c r="AW830" s="141"/>
      <c r="AX830" s="141"/>
      <c r="AY830" s="141"/>
      <c r="AZ830" s="141"/>
      <c r="BA830" s="141"/>
      <c r="BB830" s="141"/>
      <c r="BC830" s="141"/>
      <c r="BD830" s="141"/>
      <c r="BE830" s="141"/>
      <c r="BF830" s="141"/>
      <c r="BG830" s="18"/>
      <c r="BH830" s="1"/>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row>
    <row r="831" spans="1:135" ht="14.25" customHeight="1">
      <c r="A831" s="18"/>
      <c r="B831" s="18"/>
      <c r="C831" s="19"/>
      <c r="D831" s="18"/>
      <c r="E831" s="18"/>
      <c r="F831" s="19"/>
      <c r="G831" s="18"/>
      <c r="H831" s="114"/>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40"/>
      <c r="AL831" s="141"/>
      <c r="AM831" s="141"/>
      <c r="AN831" s="141"/>
      <c r="AO831" s="141"/>
      <c r="AP831" s="141"/>
      <c r="AQ831" s="141"/>
      <c r="AR831" s="141"/>
      <c r="AS831" s="141"/>
      <c r="AT831" s="141"/>
      <c r="AU831" s="141"/>
      <c r="AV831" s="141"/>
      <c r="AW831" s="141"/>
      <c r="AX831" s="141"/>
      <c r="AY831" s="141"/>
      <c r="AZ831" s="141"/>
      <c r="BA831" s="141"/>
      <c r="BB831" s="141"/>
      <c r="BC831" s="141"/>
      <c r="BD831" s="141"/>
      <c r="BE831" s="141"/>
      <c r="BF831" s="141"/>
      <c r="BG831" s="18"/>
      <c r="BH831" s="1"/>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row>
    <row r="832" spans="1:135" ht="14.25" customHeight="1">
      <c r="A832" s="18"/>
      <c r="B832" s="18"/>
      <c r="C832" s="19"/>
      <c r="D832" s="18"/>
      <c r="E832" s="18"/>
      <c r="F832" s="19"/>
      <c r="G832" s="18"/>
      <c r="H832" s="114"/>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40"/>
      <c r="AL832" s="141"/>
      <c r="AM832" s="141"/>
      <c r="AN832" s="141"/>
      <c r="AO832" s="141"/>
      <c r="AP832" s="141"/>
      <c r="AQ832" s="141"/>
      <c r="AR832" s="141"/>
      <c r="AS832" s="141"/>
      <c r="AT832" s="141"/>
      <c r="AU832" s="141"/>
      <c r="AV832" s="141"/>
      <c r="AW832" s="141"/>
      <c r="AX832" s="141"/>
      <c r="AY832" s="141"/>
      <c r="AZ832" s="141"/>
      <c r="BA832" s="141"/>
      <c r="BB832" s="141"/>
      <c r="BC832" s="141"/>
      <c r="BD832" s="141"/>
      <c r="BE832" s="141"/>
      <c r="BF832" s="141"/>
      <c r="BG832" s="18"/>
      <c r="BH832" s="1"/>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row>
    <row r="833" spans="1:135" ht="14.25" customHeight="1">
      <c r="A833" s="18"/>
      <c r="B833" s="18"/>
      <c r="C833" s="19"/>
      <c r="D833" s="18"/>
      <c r="E833" s="18"/>
      <c r="F833" s="19"/>
      <c r="G833" s="18"/>
      <c r="H833" s="114"/>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40"/>
      <c r="AL833" s="141"/>
      <c r="AM833" s="141"/>
      <c r="AN833" s="141"/>
      <c r="AO833" s="141"/>
      <c r="AP833" s="141"/>
      <c r="AQ833" s="141"/>
      <c r="AR833" s="141"/>
      <c r="AS833" s="141"/>
      <c r="AT833" s="141"/>
      <c r="AU833" s="141"/>
      <c r="AV833" s="141"/>
      <c r="AW833" s="141"/>
      <c r="AX833" s="141"/>
      <c r="AY833" s="141"/>
      <c r="AZ833" s="141"/>
      <c r="BA833" s="141"/>
      <c r="BB833" s="141"/>
      <c r="BC833" s="141"/>
      <c r="BD833" s="141"/>
      <c r="BE833" s="141"/>
      <c r="BF833" s="141"/>
      <c r="BG833" s="18"/>
      <c r="BH833" s="1"/>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row>
    <row r="834" spans="1:135" ht="14.25" customHeight="1">
      <c r="A834" s="18"/>
      <c r="B834" s="18"/>
      <c r="C834" s="19"/>
      <c r="D834" s="18"/>
      <c r="E834" s="18"/>
      <c r="F834" s="19"/>
      <c r="G834" s="18"/>
      <c r="H834" s="114"/>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40"/>
      <c r="AL834" s="141"/>
      <c r="AM834" s="141"/>
      <c r="AN834" s="141"/>
      <c r="AO834" s="141"/>
      <c r="AP834" s="141"/>
      <c r="AQ834" s="141"/>
      <c r="AR834" s="141"/>
      <c r="AS834" s="141"/>
      <c r="AT834" s="141"/>
      <c r="AU834" s="141"/>
      <c r="AV834" s="141"/>
      <c r="AW834" s="141"/>
      <c r="AX834" s="141"/>
      <c r="AY834" s="141"/>
      <c r="AZ834" s="141"/>
      <c r="BA834" s="141"/>
      <c r="BB834" s="141"/>
      <c r="BC834" s="141"/>
      <c r="BD834" s="141"/>
      <c r="BE834" s="141"/>
      <c r="BF834" s="141"/>
      <c r="BG834" s="18"/>
      <c r="BH834" s="1"/>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row>
    <row r="835" spans="1:135" ht="14.25" customHeight="1">
      <c r="A835" s="18"/>
      <c r="B835" s="18"/>
      <c r="C835" s="19"/>
      <c r="D835" s="18"/>
      <c r="E835" s="18"/>
      <c r="F835" s="19"/>
      <c r="G835" s="18"/>
      <c r="H835" s="114"/>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40"/>
      <c r="AL835" s="141"/>
      <c r="AM835" s="141"/>
      <c r="AN835" s="141"/>
      <c r="AO835" s="141"/>
      <c r="AP835" s="141"/>
      <c r="AQ835" s="141"/>
      <c r="AR835" s="141"/>
      <c r="AS835" s="141"/>
      <c r="AT835" s="141"/>
      <c r="AU835" s="141"/>
      <c r="AV835" s="141"/>
      <c r="AW835" s="141"/>
      <c r="AX835" s="141"/>
      <c r="AY835" s="141"/>
      <c r="AZ835" s="141"/>
      <c r="BA835" s="141"/>
      <c r="BB835" s="141"/>
      <c r="BC835" s="141"/>
      <c r="BD835" s="141"/>
      <c r="BE835" s="141"/>
      <c r="BF835" s="141"/>
      <c r="BG835" s="18"/>
      <c r="BH835" s="1"/>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row>
    <row r="836" spans="1:135" ht="14.25" customHeight="1">
      <c r="A836" s="18"/>
      <c r="B836" s="18"/>
      <c r="C836" s="19"/>
      <c r="D836" s="18"/>
      <c r="E836" s="18"/>
      <c r="F836" s="19"/>
      <c r="G836" s="18"/>
      <c r="H836" s="114"/>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40"/>
      <c r="AL836" s="141"/>
      <c r="AM836" s="141"/>
      <c r="AN836" s="141"/>
      <c r="AO836" s="141"/>
      <c r="AP836" s="141"/>
      <c r="AQ836" s="141"/>
      <c r="AR836" s="141"/>
      <c r="AS836" s="141"/>
      <c r="AT836" s="141"/>
      <c r="AU836" s="141"/>
      <c r="AV836" s="141"/>
      <c r="AW836" s="141"/>
      <c r="AX836" s="141"/>
      <c r="AY836" s="141"/>
      <c r="AZ836" s="141"/>
      <c r="BA836" s="141"/>
      <c r="BB836" s="141"/>
      <c r="BC836" s="141"/>
      <c r="BD836" s="141"/>
      <c r="BE836" s="141"/>
      <c r="BF836" s="141"/>
      <c r="BG836" s="18"/>
      <c r="BH836" s="1"/>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row>
    <row r="837" spans="1:135" ht="14.25" customHeight="1">
      <c r="A837" s="18"/>
      <c r="B837" s="18"/>
      <c r="C837" s="19"/>
      <c r="D837" s="18"/>
      <c r="E837" s="18"/>
      <c r="F837" s="19"/>
      <c r="G837" s="18"/>
      <c r="H837" s="114"/>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40"/>
      <c r="AL837" s="141"/>
      <c r="AM837" s="141"/>
      <c r="AN837" s="141"/>
      <c r="AO837" s="141"/>
      <c r="AP837" s="141"/>
      <c r="AQ837" s="141"/>
      <c r="AR837" s="141"/>
      <c r="AS837" s="141"/>
      <c r="AT837" s="141"/>
      <c r="AU837" s="141"/>
      <c r="AV837" s="141"/>
      <c r="AW837" s="141"/>
      <c r="AX837" s="141"/>
      <c r="AY837" s="141"/>
      <c r="AZ837" s="141"/>
      <c r="BA837" s="141"/>
      <c r="BB837" s="141"/>
      <c r="BC837" s="141"/>
      <c r="BD837" s="141"/>
      <c r="BE837" s="141"/>
      <c r="BF837" s="141"/>
      <c r="BG837" s="18"/>
      <c r="BH837" s="1"/>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row>
    <row r="838" spans="1:135" ht="14.25" customHeight="1">
      <c r="A838" s="18"/>
      <c r="B838" s="18"/>
      <c r="C838" s="19"/>
      <c r="D838" s="18"/>
      <c r="E838" s="18"/>
      <c r="F838" s="19"/>
      <c r="G838" s="18"/>
      <c r="H838" s="114"/>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40"/>
      <c r="AL838" s="141"/>
      <c r="AM838" s="141"/>
      <c r="AN838" s="141"/>
      <c r="AO838" s="141"/>
      <c r="AP838" s="141"/>
      <c r="AQ838" s="141"/>
      <c r="AR838" s="141"/>
      <c r="AS838" s="141"/>
      <c r="AT838" s="141"/>
      <c r="AU838" s="141"/>
      <c r="AV838" s="141"/>
      <c r="AW838" s="141"/>
      <c r="AX838" s="141"/>
      <c r="AY838" s="141"/>
      <c r="AZ838" s="141"/>
      <c r="BA838" s="141"/>
      <c r="BB838" s="141"/>
      <c r="BC838" s="141"/>
      <c r="BD838" s="141"/>
      <c r="BE838" s="141"/>
      <c r="BF838" s="141"/>
      <c r="BG838" s="18"/>
      <c r="BH838" s="1"/>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row>
    <row r="839" spans="1:135" ht="14.25" customHeight="1">
      <c r="A839" s="18"/>
      <c r="B839" s="18"/>
      <c r="C839" s="19"/>
      <c r="D839" s="18"/>
      <c r="E839" s="18"/>
      <c r="F839" s="19"/>
      <c r="G839" s="18"/>
      <c r="H839" s="114"/>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40"/>
      <c r="AL839" s="141"/>
      <c r="AM839" s="141"/>
      <c r="AN839" s="141"/>
      <c r="AO839" s="141"/>
      <c r="AP839" s="141"/>
      <c r="AQ839" s="141"/>
      <c r="AR839" s="141"/>
      <c r="AS839" s="141"/>
      <c r="AT839" s="141"/>
      <c r="AU839" s="141"/>
      <c r="AV839" s="141"/>
      <c r="AW839" s="141"/>
      <c r="AX839" s="141"/>
      <c r="AY839" s="141"/>
      <c r="AZ839" s="141"/>
      <c r="BA839" s="141"/>
      <c r="BB839" s="141"/>
      <c r="BC839" s="141"/>
      <c r="BD839" s="141"/>
      <c r="BE839" s="141"/>
      <c r="BF839" s="141"/>
      <c r="BG839" s="18"/>
      <c r="BH839" s="1"/>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row>
    <row r="840" spans="1:135" ht="14.25" customHeight="1">
      <c r="A840" s="18"/>
      <c r="B840" s="18"/>
      <c r="C840" s="19"/>
      <c r="D840" s="18"/>
      <c r="E840" s="18"/>
      <c r="F840" s="19"/>
      <c r="G840" s="18"/>
      <c r="H840" s="114"/>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40"/>
      <c r="AL840" s="141"/>
      <c r="AM840" s="141"/>
      <c r="AN840" s="141"/>
      <c r="AO840" s="141"/>
      <c r="AP840" s="141"/>
      <c r="AQ840" s="141"/>
      <c r="AR840" s="141"/>
      <c r="AS840" s="141"/>
      <c r="AT840" s="141"/>
      <c r="AU840" s="141"/>
      <c r="AV840" s="141"/>
      <c r="AW840" s="141"/>
      <c r="AX840" s="141"/>
      <c r="AY840" s="141"/>
      <c r="AZ840" s="141"/>
      <c r="BA840" s="141"/>
      <c r="BB840" s="141"/>
      <c r="BC840" s="141"/>
      <c r="BD840" s="141"/>
      <c r="BE840" s="141"/>
      <c r="BF840" s="141"/>
      <c r="BG840" s="18"/>
      <c r="BH840" s="1"/>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row>
    <row r="841" spans="1:135" ht="14.25" customHeight="1">
      <c r="A841" s="18"/>
      <c r="B841" s="18"/>
      <c r="C841" s="19"/>
      <c r="D841" s="18"/>
      <c r="E841" s="18"/>
      <c r="F841" s="19"/>
      <c r="G841" s="18"/>
      <c r="H841" s="114"/>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40"/>
      <c r="AL841" s="141"/>
      <c r="AM841" s="141"/>
      <c r="AN841" s="141"/>
      <c r="AO841" s="141"/>
      <c r="AP841" s="141"/>
      <c r="AQ841" s="141"/>
      <c r="AR841" s="141"/>
      <c r="AS841" s="141"/>
      <c r="AT841" s="141"/>
      <c r="AU841" s="141"/>
      <c r="AV841" s="141"/>
      <c r="AW841" s="141"/>
      <c r="AX841" s="141"/>
      <c r="AY841" s="141"/>
      <c r="AZ841" s="141"/>
      <c r="BA841" s="141"/>
      <c r="BB841" s="141"/>
      <c r="BC841" s="141"/>
      <c r="BD841" s="141"/>
      <c r="BE841" s="141"/>
      <c r="BF841" s="141"/>
      <c r="BG841" s="18"/>
      <c r="BH841" s="1"/>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row>
    <row r="842" spans="1:135" ht="14.25" customHeight="1">
      <c r="A842" s="18"/>
      <c r="B842" s="18"/>
      <c r="C842" s="19"/>
      <c r="D842" s="18"/>
      <c r="E842" s="18"/>
      <c r="F842" s="19"/>
      <c r="G842" s="18"/>
      <c r="H842" s="114"/>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40"/>
      <c r="AL842" s="141"/>
      <c r="AM842" s="141"/>
      <c r="AN842" s="141"/>
      <c r="AO842" s="141"/>
      <c r="AP842" s="141"/>
      <c r="AQ842" s="141"/>
      <c r="AR842" s="141"/>
      <c r="AS842" s="141"/>
      <c r="AT842" s="141"/>
      <c r="AU842" s="141"/>
      <c r="AV842" s="141"/>
      <c r="AW842" s="141"/>
      <c r="AX842" s="141"/>
      <c r="AY842" s="141"/>
      <c r="AZ842" s="141"/>
      <c r="BA842" s="141"/>
      <c r="BB842" s="141"/>
      <c r="BC842" s="141"/>
      <c r="BD842" s="141"/>
      <c r="BE842" s="141"/>
      <c r="BF842" s="141"/>
      <c r="BG842" s="18"/>
      <c r="BH842" s="1"/>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row>
    <row r="843" spans="1:135" ht="14.25" customHeight="1">
      <c r="A843" s="18"/>
      <c r="B843" s="18"/>
      <c r="C843" s="19"/>
      <c r="D843" s="18"/>
      <c r="E843" s="18"/>
      <c r="F843" s="19"/>
      <c r="G843" s="18"/>
      <c r="H843" s="114"/>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40"/>
      <c r="AL843" s="141"/>
      <c r="AM843" s="141"/>
      <c r="AN843" s="141"/>
      <c r="AO843" s="141"/>
      <c r="AP843" s="141"/>
      <c r="AQ843" s="141"/>
      <c r="AR843" s="141"/>
      <c r="AS843" s="141"/>
      <c r="AT843" s="141"/>
      <c r="AU843" s="141"/>
      <c r="AV843" s="141"/>
      <c r="AW843" s="141"/>
      <c r="AX843" s="141"/>
      <c r="AY843" s="141"/>
      <c r="AZ843" s="141"/>
      <c r="BA843" s="141"/>
      <c r="BB843" s="141"/>
      <c r="BC843" s="141"/>
      <c r="BD843" s="141"/>
      <c r="BE843" s="141"/>
      <c r="BF843" s="141"/>
      <c r="BG843" s="18"/>
      <c r="BH843" s="1"/>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row>
    <row r="844" spans="1:135" ht="14.25" customHeight="1">
      <c r="A844" s="18"/>
      <c r="B844" s="18"/>
      <c r="C844" s="19"/>
      <c r="D844" s="18"/>
      <c r="E844" s="18"/>
      <c r="F844" s="19"/>
      <c r="G844" s="18"/>
      <c r="H844" s="114"/>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40"/>
      <c r="AL844" s="141"/>
      <c r="AM844" s="141"/>
      <c r="AN844" s="141"/>
      <c r="AO844" s="141"/>
      <c r="AP844" s="141"/>
      <c r="AQ844" s="141"/>
      <c r="AR844" s="141"/>
      <c r="AS844" s="141"/>
      <c r="AT844" s="141"/>
      <c r="AU844" s="141"/>
      <c r="AV844" s="141"/>
      <c r="AW844" s="141"/>
      <c r="AX844" s="141"/>
      <c r="AY844" s="141"/>
      <c r="AZ844" s="141"/>
      <c r="BA844" s="141"/>
      <c r="BB844" s="141"/>
      <c r="BC844" s="141"/>
      <c r="BD844" s="141"/>
      <c r="BE844" s="141"/>
      <c r="BF844" s="141"/>
      <c r="BG844" s="18"/>
      <c r="BH844" s="1"/>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row>
    <row r="845" spans="1:135" ht="14.25" customHeight="1">
      <c r="A845" s="18"/>
      <c r="B845" s="18"/>
      <c r="C845" s="19"/>
      <c r="D845" s="18"/>
      <c r="E845" s="18"/>
      <c r="F845" s="19"/>
      <c r="G845" s="18"/>
      <c r="H845" s="114"/>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40"/>
      <c r="AL845" s="141"/>
      <c r="AM845" s="141"/>
      <c r="AN845" s="141"/>
      <c r="AO845" s="141"/>
      <c r="AP845" s="141"/>
      <c r="AQ845" s="141"/>
      <c r="AR845" s="141"/>
      <c r="AS845" s="141"/>
      <c r="AT845" s="141"/>
      <c r="AU845" s="141"/>
      <c r="AV845" s="141"/>
      <c r="AW845" s="141"/>
      <c r="AX845" s="141"/>
      <c r="AY845" s="141"/>
      <c r="AZ845" s="141"/>
      <c r="BA845" s="141"/>
      <c r="BB845" s="141"/>
      <c r="BC845" s="141"/>
      <c r="BD845" s="141"/>
      <c r="BE845" s="141"/>
      <c r="BF845" s="141"/>
      <c r="BG845" s="18"/>
      <c r="BH845" s="1"/>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row>
    <row r="846" spans="1:135" ht="14.25" customHeight="1">
      <c r="A846" s="18"/>
      <c r="B846" s="18"/>
      <c r="C846" s="19"/>
      <c r="D846" s="18"/>
      <c r="E846" s="18"/>
      <c r="F846" s="19"/>
      <c r="G846" s="18"/>
      <c r="H846" s="114"/>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40"/>
      <c r="AL846" s="141"/>
      <c r="AM846" s="141"/>
      <c r="AN846" s="141"/>
      <c r="AO846" s="141"/>
      <c r="AP846" s="141"/>
      <c r="AQ846" s="141"/>
      <c r="AR846" s="141"/>
      <c r="AS846" s="141"/>
      <c r="AT846" s="141"/>
      <c r="AU846" s="141"/>
      <c r="AV846" s="141"/>
      <c r="AW846" s="141"/>
      <c r="AX846" s="141"/>
      <c r="AY846" s="141"/>
      <c r="AZ846" s="141"/>
      <c r="BA846" s="141"/>
      <c r="BB846" s="141"/>
      <c r="BC846" s="141"/>
      <c r="BD846" s="141"/>
      <c r="BE846" s="141"/>
      <c r="BF846" s="141"/>
      <c r="BG846" s="18"/>
      <c r="BH846" s="1"/>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row>
    <row r="847" spans="1:135" ht="14.25" customHeight="1">
      <c r="A847" s="18"/>
      <c r="B847" s="18"/>
      <c r="C847" s="19"/>
      <c r="D847" s="18"/>
      <c r="E847" s="18"/>
      <c r="F847" s="19"/>
      <c r="G847" s="18"/>
      <c r="H847" s="114"/>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40"/>
      <c r="AL847" s="141"/>
      <c r="AM847" s="141"/>
      <c r="AN847" s="141"/>
      <c r="AO847" s="141"/>
      <c r="AP847" s="141"/>
      <c r="AQ847" s="141"/>
      <c r="AR847" s="141"/>
      <c r="AS847" s="141"/>
      <c r="AT847" s="141"/>
      <c r="AU847" s="141"/>
      <c r="AV847" s="141"/>
      <c r="AW847" s="141"/>
      <c r="AX847" s="141"/>
      <c r="AY847" s="141"/>
      <c r="AZ847" s="141"/>
      <c r="BA847" s="141"/>
      <c r="BB847" s="141"/>
      <c r="BC847" s="141"/>
      <c r="BD847" s="141"/>
      <c r="BE847" s="141"/>
      <c r="BF847" s="141"/>
      <c r="BG847" s="18"/>
      <c r="BH847" s="1"/>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row>
    <row r="848" spans="1:135" ht="14.25" customHeight="1">
      <c r="A848" s="18"/>
      <c r="B848" s="18"/>
      <c r="C848" s="19"/>
      <c r="D848" s="18"/>
      <c r="E848" s="18"/>
      <c r="F848" s="19"/>
      <c r="G848" s="18"/>
      <c r="H848" s="114"/>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40"/>
      <c r="AL848" s="141"/>
      <c r="AM848" s="141"/>
      <c r="AN848" s="141"/>
      <c r="AO848" s="141"/>
      <c r="AP848" s="141"/>
      <c r="AQ848" s="141"/>
      <c r="AR848" s="141"/>
      <c r="AS848" s="141"/>
      <c r="AT848" s="141"/>
      <c r="AU848" s="141"/>
      <c r="AV848" s="141"/>
      <c r="AW848" s="141"/>
      <c r="AX848" s="141"/>
      <c r="AY848" s="141"/>
      <c r="AZ848" s="141"/>
      <c r="BA848" s="141"/>
      <c r="BB848" s="141"/>
      <c r="BC848" s="141"/>
      <c r="BD848" s="141"/>
      <c r="BE848" s="141"/>
      <c r="BF848" s="141"/>
      <c r="BG848" s="18"/>
      <c r="BH848" s="1"/>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row>
    <row r="849" spans="1:135" ht="14.25" customHeight="1">
      <c r="A849" s="18"/>
      <c r="B849" s="18"/>
      <c r="C849" s="19"/>
      <c r="D849" s="18"/>
      <c r="E849" s="18"/>
      <c r="F849" s="19"/>
      <c r="G849" s="18"/>
      <c r="H849" s="114"/>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40"/>
      <c r="AL849" s="141"/>
      <c r="AM849" s="141"/>
      <c r="AN849" s="141"/>
      <c r="AO849" s="141"/>
      <c r="AP849" s="141"/>
      <c r="AQ849" s="141"/>
      <c r="AR849" s="141"/>
      <c r="AS849" s="141"/>
      <c r="AT849" s="141"/>
      <c r="AU849" s="141"/>
      <c r="AV849" s="141"/>
      <c r="AW849" s="141"/>
      <c r="AX849" s="141"/>
      <c r="AY849" s="141"/>
      <c r="AZ849" s="141"/>
      <c r="BA849" s="141"/>
      <c r="BB849" s="141"/>
      <c r="BC849" s="141"/>
      <c r="BD849" s="141"/>
      <c r="BE849" s="141"/>
      <c r="BF849" s="141"/>
      <c r="BG849" s="18"/>
      <c r="BH849" s="1"/>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row>
    <row r="850" spans="1:135" ht="14.25" customHeight="1">
      <c r="A850" s="18"/>
      <c r="B850" s="18"/>
      <c r="C850" s="19"/>
      <c r="D850" s="18"/>
      <c r="E850" s="18"/>
      <c r="F850" s="19"/>
      <c r="G850" s="18"/>
      <c r="H850" s="114"/>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40"/>
      <c r="AL850" s="141"/>
      <c r="AM850" s="141"/>
      <c r="AN850" s="141"/>
      <c r="AO850" s="141"/>
      <c r="AP850" s="141"/>
      <c r="AQ850" s="141"/>
      <c r="AR850" s="141"/>
      <c r="AS850" s="141"/>
      <c r="AT850" s="141"/>
      <c r="AU850" s="141"/>
      <c r="AV850" s="141"/>
      <c r="AW850" s="141"/>
      <c r="AX850" s="141"/>
      <c r="AY850" s="141"/>
      <c r="AZ850" s="141"/>
      <c r="BA850" s="141"/>
      <c r="BB850" s="141"/>
      <c r="BC850" s="141"/>
      <c r="BD850" s="141"/>
      <c r="BE850" s="141"/>
      <c r="BF850" s="141"/>
      <c r="BG850" s="18"/>
      <c r="BH850" s="1"/>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row>
    <row r="851" spans="1:135" ht="14.25" customHeight="1">
      <c r="A851" s="18"/>
      <c r="B851" s="18"/>
      <c r="C851" s="19"/>
      <c r="D851" s="18"/>
      <c r="E851" s="18"/>
      <c r="F851" s="19"/>
      <c r="G851" s="18"/>
      <c r="H851" s="114"/>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40"/>
      <c r="AL851" s="141"/>
      <c r="AM851" s="141"/>
      <c r="AN851" s="141"/>
      <c r="AO851" s="141"/>
      <c r="AP851" s="141"/>
      <c r="AQ851" s="141"/>
      <c r="AR851" s="141"/>
      <c r="AS851" s="141"/>
      <c r="AT851" s="141"/>
      <c r="AU851" s="141"/>
      <c r="AV851" s="141"/>
      <c r="AW851" s="141"/>
      <c r="AX851" s="141"/>
      <c r="AY851" s="141"/>
      <c r="AZ851" s="141"/>
      <c r="BA851" s="141"/>
      <c r="BB851" s="141"/>
      <c r="BC851" s="141"/>
      <c r="BD851" s="141"/>
      <c r="BE851" s="141"/>
      <c r="BF851" s="141"/>
      <c r="BG851" s="18"/>
      <c r="BH851" s="1"/>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row>
    <row r="852" spans="1:135" ht="14.25" customHeight="1">
      <c r="A852" s="18"/>
      <c r="B852" s="18"/>
      <c r="C852" s="19"/>
      <c r="D852" s="18"/>
      <c r="E852" s="18"/>
      <c r="F852" s="19"/>
      <c r="G852" s="18"/>
      <c r="H852" s="114"/>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40"/>
      <c r="AL852" s="141"/>
      <c r="AM852" s="141"/>
      <c r="AN852" s="141"/>
      <c r="AO852" s="141"/>
      <c r="AP852" s="141"/>
      <c r="AQ852" s="141"/>
      <c r="AR852" s="141"/>
      <c r="AS852" s="141"/>
      <c r="AT852" s="141"/>
      <c r="AU852" s="141"/>
      <c r="AV852" s="141"/>
      <c r="AW852" s="141"/>
      <c r="AX852" s="141"/>
      <c r="AY852" s="141"/>
      <c r="AZ852" s="141"/>
      <c r="BA852" s="141"/>
      <c r="BB852" s="141"/>
      <c r="BC852" s="141"/>
      <c r="BD852" s="141"/>
      <c r="BE852" s="141"/>
      <c r="BF852" s="141"/>
      <c r="BG852" s="18"/>
      <c r="BH852" s="1"/>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row>
    <row r="853" spans="1:135" ht="14.25" customHeight="1">
      <c r="A853" s="18"/>
      <c r="B853" s="18"/>
      <c r="C853" s="19"/>
      <c r="D853" s="18"/>
      <c r="E853" s="18"/>
      <c r="F853" s="19"/>
      <c r="G853" s="18"/>
      <c r="H853" s="114"/>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40"/>
      <c r="AL853" s="141"/>
      <c r="AM853" s="141"/>
      <c r="AN853" s="141"/>
      <c r="AO853" s="141"/>
      <c r="AP853" s="141"/>
      <c r="AQ853" s="141"/>
      <c r="AR853" s="141"/>
      <c r="AS853" s="141"/>
      <c r="AT853" s="141"/>
      <c r="AU853" s="141"/>
      <c r="AV853" s="141"/>
      <c r="AW853" s="141"/>
      <c r="AX853" s="141"/>
      <c r="AY853" s="141"/>
      <c r="AZ853" s="141"/>
      <c r="BA853" s="141"/>
      <c r="BB853" s="141"/>
      <c r="BC853" s="141"/>
      <c r="BD853" s="141"/>
      <c r="BE853" s="141"/>
      <c r="BF853" s="141"/>
      <c r="BG853" s="18"/>
      <c r="BH853" s="1"/>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row>
    <row r="854" spans="1:135" ht="14.25" customHeight="1">
      <c r="A854" s="18"/>
      <c r="B854" s="18"/>
      <c r="C854" s="19"/>
      <c r="D854" s="18"/>
      <c r="E854" s="18"/>
      <c r="F854" s="19"/>
      <c r="G854" s="18"/>
      <c r="H854" s="114"/>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40"/>
      <c r="AL854" s="141"/>
      <c r="AM854" s="141"/>
      <c r="AN854" s="141"/>
      <c r="AO854" s="141"/>
      <c r="AP854" s="141"/>
      <c r="AQ854" s="141"/>
      <c r="AR854" s="141"/>
      <c r="AS854" s="141"/>
      <c r="AT854" s="141"/>
      <c r="AU854" s="141"/>
      <c r="AV854" s="141"/>
      <c r="AW854" s="141"/>
      <c r="AX854" s="141"/>
      <c r="AY854" s="141"/>
      <c r="AZ854" s="141"/>
      <c r="BA854" s="141"/>
      <c r="BB854" s="141"/>
      <c r="BC854" s="141"/>
      <c r="BD854" s="141"/>
      <c r="BE854" s="141"/>
      <c r="BF854" s="141"/>
      <c r="BG854" s="18"/>
      <c r="BH854" s="1"/>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row>
    <row r="855" spans="1:135" ht="14.25" customHeight="1">
      <c r="A855" s="18"/>
      <c r="B855" s="18"/>
      <c r="C855" s="19"/>
      <c r="D855" s="18"/>
      <c r="E855" s="18"/>
      <c r="F855" s="19"/>
      <c r="G855" s="18"/>
      <c r="H855" s="114"/>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40"/>
      <c r="AL855" s="141"/>
      <c r="AM855" s="141"/>
      <c r="AN855" s="141"/>
      <c r="AO855" s="141"/>
      <c r="AP855" s="141"/>
      <c r="AQ855" s="141"/>
      <c r="AR855" s="141"/>
      <c r="AS855" s="141"/>
      <c r="AT855" s="141"/>
      <c r="AU855" s="141"/>
      <c r="AV855" s="141"/>
      <c r="AW855" s="141"/>
      <c r="AX855" s="141"/>
      <c r="AY855" s="141"/>
      <c r="AZ855" s="141"/>
      <c r="BA855" s="141"/>
      <c r="BB855" s="141"/>
      <c r="BC855" s="141"/>
      <c r="BD855" s="141"/>
      <c r="BE855" s="141"/>
      <c r="BF855" s="141"/>
      <c r="BG855" s="18"/>
      <c r="BH855" s="1"/>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row>
    <row r="856" spans="1:135" ht="14.25" customHeight="1">
      <c r="A856" s="18"/>
      <c r="B856" s="18"/>
      <c r="C856" s="19"/>
      <c r="D856" s="18"/>
      <c r="E856" s="18"/>
      <c r="F856" s="19"/>
      <c r="G856" s="18"/>
      <c r="H856" s="114"/>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40"/>
      <c r="AL856" s="141"/>
      <c r="AM856" s="141"/>
      <c r="AN856" s="141"/>
      <c r="AO856" s="141"/>
      <c r="AP856" s="141"/>
      <c r="AQ856" s="141"/>
      <c r="AR856" s="141"/>
      <c r="AS856" s="141"/>
      <c r="AT856" s="141"/>
      <c r="AU856" s="141"/>
      <c r="AV856" s="141"/>
      <c r="AW856" s="141"/>
      <c r="AX856" s="141"/>
      <c r="AY856" s="141"/>
      <c r="AZ856" s="141"/>
      <c r="BA856" s="141"/>
      <c r="BB856" s="141"/>
      <c r="BC856" s="141"/>
      <c r="BD856" s="141"/>
      <c r="BE856" s="141"/>
      <c r="BF856" s="141"/>
      <c r="BG856" s="18"/>
      <c r="BH856" s="1"/>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row>
    <row r="857" spans="1:135" ht="14.25" customHeight="1">
      <c r="A857" s="18"/>
      <c r="B857" s="18"/>
      <c r="C857" s="19"/>
      <c r="D857" s="18"/>
      <c r="E857" s="18"/>
      <c r="F857" s="19"/>
      <c r="G857" s="18"/>
      <c r="H857" s="114"/>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40"/>
      <c r="AL857" s="141"/>
      <c r="AM857" s="141"/>
      <c r="AN857" s="141"/>
      <c r="AO857" s="141"/>
      <c r="AP857" s="141"/>
      <c r="AQ857" s="141"/>
      <c r="AR857" s="141"/>
      <c r="AS857" s="141"/>
      <c r="AT857" s="141"/>
      <c r="AU857" s="141"/>
      <c r="AV857" s="141"/>
      <c r="AW857" s="141"/>
      <c r="AX857" s="141"/>
      <c r="AY857" s="141"/>
      <c r="AZ857" s="141"/>
      <c r="BA857" s="141"/>
      <c r="BB857" s="141"/>
      <c r="BC857" s="141"/>
      <c r="BD857" s="141"/>
      <c r="BE857" s="141"/>
      <c r="BF857" s="141"/>
      <c r="BG857" s="18"/>
      <c r="BH857" s="1"/>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row>
    <row r="858" spans="1:135" ht="14.25" customHeight="1">
      <c r="A858" s="18"/>
      <c r="B858" s="18"/>
      <c r="C858" s="19"/>
      <c r="D858" s="18"/>
      <c r="E858" s="18"/>
      <c r="F858" s="19"/>
      <c r="G858" s="18"/>
      <c r="H858" s="114"/>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40"/>
      <c r="AL858" s="141"/>
      <c r="AM858" s="141"/>
      <c r="AN858" s="141"/>
      <c r="AO858" s="141"/>
      <c r="AP858" s="141"/>
      <c r="AQ858" s="141"/>
      <c r="AR858" s="141"/>
      <c r="AS858" s="141"/>
      <c r="AT858" s="141"/>
      <c r="AU858" s="141"/>
      <c r="AV858" s="141"/>
      <c r="AW858" s="141"/>
      <c r="AX858" s="141"/>
      <c r="AY858" s="141"/>
      <c r="AZ858" s="141"/>
      <c r="BA858" s="141"/>
      <c r="BB858" s="141"/>
      <c r="BC858" s="141"/>
      <c r="BD858" s="141"/>
      <c r="BE858" s="141"/>
      <c r="BF858" s="141"/>
      <c r="BG858" s="18"/>
      <c r="BH858" s="1"/>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row>
    <row r="859" spans="1:135" ht="14.25" customHeight="1">
      <c r="A859" s="18"/>
      <c r="B859" s="18"/>
      <c r="C859" s="19"/>
      <c r="D859" s="18"/>
      <c r="E859" s="18"/>
      <c r="F859" s="19"/>
      <c r="G859" s="18"/>
      <c r="H859" s="114"/>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40"/>
      <c r="AL859" s="141"/>
      <c r="AM859" s="141"/>
      <c r="AN859" s="141"/>
      <c r="AO859" s="141"/>
      <c r="AP859" s="141"/>
      <c r="AQ859" s="141"/>
      <c r="AR859" s="141"/>
      <c r="AS859" s="141"/>
      <c r="AT859" s="141"/>
      <c r="AU859" s="141"/>
      <c r="AV859" s="141"/>
      <c r="AW859" s="141"/>
      <c r="AX859" s="141"/>
      <c r="AY859" s="141"/>
      <c r="AZ859" s="141"/>
      <c r="BA859" s="141"/>
      <c r="BB859" s="141"/>
      <c r="BC859" s="141"/>
      <c r="BD859" s="141"/>
      <c r="BE859" s="141"/>
      <c r="BF859" s="141"/>
      <c r="BG859" s="18"/>
      <c r="BH859" s="1"/>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row>
    <row r="860" spans="1:135" ht="14.25" customHeight="1">
      <c r="A860" s="18"/>
      <c r="B860" s="18"/>
      <c r="C860" s="19"/>
      <c r="D860" s="18"/>
      <c r="E860" s="18"/>
      <c r="F860" s="19"/>
      <c r="G860" s="18"/>
      <c r="H860" s="114"/>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40"/>
      <c r="AL860" s="141"/>
      <c r="AM860" s="141"/>
      <c r="AN860" s="141"/>
      <c r="AO860" s="141"/>
      <c r="AP860" s="141"/>
      <c r="AQ860" s="141"/>
      <c r="AR860" s="141"/>
      <c r="AS860" s="141"/>
      <c r="AT860" s="141"/>
      <c r="AU860" s="141"/>
      <c r="AV860" s="141"/>
      <c r="AW860" s="141"/>
      <c r="AX860" s="141"/>
      <c r="AY860" s="141"/>
      <c r="AZ860" s="141"/>
      <c r="BA860" s="141"/>
      <c r="BB860" s="141"/>
      <c r="BC860" s="141"/>
      <c r="BD860" s="141"/>
      <c r="BE860" s="141"/>
      <c r="BF860" s="141"/>
      <c r="BG860" s="18"/>
      <c r="BH860" s="1"/>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row>
    <row r="861" spans="1:135" ht="14.25" customHeight="1">
      <c r="A861" s="18"/>
      <c r="B861" s="18"/>
      <c r="C861" s="19"/>
      <c r="D861" s="18"/>
      <c r="E861" s="18"/>
      <c r="F861" s="19"/>
      <c r="G861" s="18"/>
      <c r="H861" s="114"/>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40"/>
      <c r="AL861" s="141"/>
      <c r="AM861" s="141"/>
      <c r="AN861" s="141"/>
      <c r="AO861" s="141"/>
      <c r="AP861" s="141"/>
      <c r="AQ861" s="141"/>
      <c r="AR861" s="141"/>
      <c r="AS861" s="141"/>
      <c r="AT861" s="141"/>
      <c r="AU861" s="141"/>
      <c r="AV861" s="141"/>
      <c r="AW861" s="141"/>
      <c r="AX861" s="141"/>
      <c r="AY861" s="141"/>
      <c r="AZ861" s="141"/>
      <c r="BA861" s="141"/>
      <c r="BB861" s="141"/>
      <c r="BC861" s="141"/>
      <c r="BD861" s="141"/>
      <c r="BE861" s="141"/>
      <c r="BF861" s="141"/>
      <c r="BG861" s="18"/>
      <c r="BH861" s="1"/>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row>
    <row r="862" spans="1:135" ht="14.25" customHeight="1">
      <c r="A862" s="18"/>
      <c r="B862" s="18"/>
      <c r="C862" s="19"/>
      <c r="D862" s="18"/>
      <c r="E862" s="18"/>
      <c r="F862" s="19"/>
      <c r="G862" s="18"/>
      <c r="H862" s="114"/>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40"/>
      <c r="AL862" s="141"/>
      <c r="AM862" s="141"/>
      <c r="AN862" s="141"/>
      <c r="AO862" s="141"/>
      <c r="AP862" s="141"/>
      <c r="AQ862" s="141"/>
      <c r="AR862" s="141"/>
      <c r="AS862" s="141"/>
      <c r="AT862" s="141"/>
      <c r="AU862" s="141"/>
      <c r="AV862" s="141"/>
      <c r="AW862" s="141"/>
      <c r="AX862" s="141"/>
      <c r="AY862" s="141"/>
      <c r="AZ862" s="141"/>
      <c r="BA862" s="141"/>
      <c r="BB862" s="141"/>
      <c r="BC862" s="141"/>
      <c r="BD862" s="141"/>
      <c r="BE862" s="141"/>
      <c r="BF862" s="141"/>
      <c r="BG862" s="18"/>
      <c r="BH862" s="1"/>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row>
    <row r="863" spans="1:135" ht="14.25" customHeight="1">
      <c r="A863" s="18"/>
      <c r="B863" s="18"/>
      <c r="C863" s="19"/>
      <c r="D863" s="18"/>
      <c r="E863" s="18"/>
      <c r="F863" s="19"/>
      <c r="G863" s="18"/>
      <c r="H863" s="114"/>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40"/>
      <c r="AL863" s="141"/>
      <c r="AM863" s="141"/>
      <c r="AN863" s="141"/>
      <c r="AO863" s="141"/>
      <c r="AP863" s="141"/>
      <c r="AQ863" s="141"/>
      <c r="AR863" s="141"/>
      <c r="AS863" s="141"/>
      <c r="AT863" s="141"/>
      <c r="AU863" s="141"/>
      <c r="AV863" s="141"/>
      <c r="AW863" s="141"/>
      <c r="AX863" s="141"/>
      <c r="AY863" s="141"/>
      <c r="AZ863" s="141"/>
      <c r="BA863" s="141"/>
      <c r="BB863" s="141"/>
      <c r="BC863" s="141"/>
      <c r="BD863" s="141"/>
      <c r="BE863" s="141"/>
      <c r="BF863" s="141"/>
      <c r="BG863" s="18"/>
      <c r="BH863" s="1"/>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row>
    <row r="864" spans="1:135" ht="14.25" customHeight="1">
      <c r="A864" s="18"/>
      <c r="B864" s="18"/>
      <c r="C864" s="19"/>
      <c r="D864" s="18"/>
      <c r="E864" s="18"/>
      <c r="F864" s="19"/>
      <c r="G864" s="18"/>
      <c r="H864" s="114"/>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40"/>
      <c r="AL864" s="141"/>
      <c r="AM864" s="141"/>
      <c r="AN864" s="141"/>
      <c r="AO864" s="141"/>
      <c r="AP864" s="141"/>
      <c r="AQ864" s="141"/>
      <c r="AR864" s="141"/>
      <c r="AS864" s="141"/>
      <c r="AT864" s="141"/>
      <c r="AU864" s="141"/>
      <c r="AV864" s="141"/>
      <c r="AW864" s="141"/>
      <c r="AX864" s="141"/>
      <c r="AY864" s="141"/>
      <c r="AZ864" s="141"/>
      <c r="BA864" s="141"/>
      <c r="BB864" s="141"/>
      <c r="BC864" s="141"/>
      <c r="BD864" s="141"/>
      <c r="BE864" s="141"/>
      <c r="BF864" s="141"/>
      <c r="BG864" s="18"/>
      <c r="BH864" s="1"/>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row>
    <row r="865" spans="1:135" ht="14.25" customHeight="1">
      <c r="A865" s="18"/>
      <c r="B865" s="18"/>
      <c r="C865" s="19"/>
      <c r="D865" s="18"/>
      <c r="E865" s="18"/>
      <c r="F865" s="19"/>
      <c r="G865" s="18"/>
      <c r="H865" s="114"/>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40"/>
      <c r="AL865" s="141"/>
      <c r="AM865" s="141"/>
      <c r="AN865" s="141"/>
      <c r="AO865" s="141"/>
      <c r="AP865" s="141"/>
      <c r="AQ865" s="141"/>
      <c r="AR865" s="141"/>
      <c r="AS865" s="141"/>
      <c r="AT865" s="141"/>
      <c r="AU865" s="141"/>
      <c r="AV865" s="141"/>
      <c r="AW865" s="141"/>
      <c r="AX865" s="141"/>
      <c r="AY865" s="141"/>
      <c r="AZ865" s="141"/>
      <c r="BA865" s="141"/>
      <c r="BB865" s="141"/>
      <c r="BC865" s="141"/>
      <c r="BD865" s="141"/>
      <c r="BE865" s="141"/>
      <c r="BF865" s="141"/>
      <c r="BG865" s="18"/>
      <c r="BH865" s="1"/>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row>
    <row r="866" spans="1:135" ht="14.25" customHeight="1">
      <c r="A866" s="18"/>
      <c r="B866" s="18"/>
      <c r="C866" s="19"/>
      <c r="D866" s="18"/>
      <c r="E866" s="18"/>
      <c r="F866" s="19"/>
      <c r="G866" s="18"/>
      <c r="H866" s="114"/>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40"/>
      <c r="AL866" s="141"/>
      <c r="AM866" s="141"/>
      <c r="AN866" s="141"/>
      <c r="AO866" s="141"/>
      <c r="AP866" s="141"/>
      <c r="AQ866" s="141"/>
      <c r="AR866" s="141"/>
      <c r="AS866" s="141"/>
      <c r="AT866" s="141"/>
      <c r="AU866" s="141"/>
      <c r="AV866" s="141"/>
      <c r="AW866" s="141"/>
      <c r="AX866" s="141"/>
      <c r="AY866" s="141"/>
      <c r="AZ866" s="141"/>
      <c r="BA866" s="141"/>
      <c r="BB866" s="141"/>
      <c r="BC866" s="141"/>
      <c r="BD866" s="141"/>
      <c r="BE866" s="141"/>
      <c r="BF866" s="141"/>
      <c r="BG866" s="18"/>
      <c r="BH866" s="1"/>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row>
    <row r="867" spans="1:135" ht="14.25" customHeight="1">
      <c r="A867" s="18"/>
      <c r="B867" s="18"/>
      <c r="C867" s="19"/>
      <c r="D867" s="18"/>
      <c r="E867" s="18"/>
      <c r="F867" s="19"/>
      <c r="G867" s="18"/>
      <c r="H867" s="114"/>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40"/>
      <c r="AL867" s="141"/>
      <c r="AM867" s="141"/>
      <c r="AN867" s="141"/>
      <c r="AO867" s="141"/>
      <c r="AP867" s="141"/>
      <c r="AQ867" s="141"/>
      <c r="AR867" s="141"/>
      <c r="AS867" s="141"/>
      <c r="AT867" s="141"/>
      <c r="AU867" s="141"/>
      <c r="AV867" s="141"/>
      <c r="AW867" s="141"/>
      <c r="AX867" s="141"/>
      <c r="AY867" s="141"/>
      <c r="AZ867" s="141"/>
      <c r="BA867" s="141"/>
      <c r="BB867" s="141"/>
      <c r="BC867" s="141"/>
      <c r="BD867" s="141"/>
      <c r="BE867" s="141"/>
      <c r="BF867" s="141"/>
      <c r="BG867" s="18"/>
      <c r="BH867" s="1"/>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row>
    <row r="868" spans="1:135" ht="14.25" customHeight="1">
      <c r="A868" s="18"/>
      <c r="B868" s="18"/>
      <c r="C868" s="19"/>
      <c r="D868" s="18"/>
      <c r="E868" s="18"/>
      <c r="F868" s="19"/>
      <c r="G868" s="18"/>
      <c r="H868" s="114"/>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40"/>
      <c r="AL868" s="141"/>
      <c r="AM868" s="141"/>
      <c r="AN868" s="141"/>
      <c r="AO868" s="141"/>
      <c r="AP868" s="141"/>
      <c r="AQ868" s="141"/>
      <c r="AR868" s="141"/>
      <c r="AS868" s="141"/>
      <c r="AT868" s="141"/>
      <c r="AU868" s="141"/>
      <c r="AV868" s="141"/>
      <c r="AW868" s="141"/>
      <c r="AX868" s="141"/>
      <c r="AY868" s="141"/>
      <c r="AZ868" s="141"/>
      <c r="BA868" s="141"/>
      <c r="BB868" s="141"/>
      <c r="BC868" s="141"/>
      <c r="BD868" s="141"/>
      <c r="BE868" s="141"/>
      <c r="BF868" s="141"/>
      <c r="BG868" s="18"/>
      <c r="BH868" s="1"/>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row>
    <row r="869" spans="1:135" ht="14.25" customHeight="1">
      <c r="A869" s="18"/>
      <c r="B869" s="18"/>
      <c r="C869" s="19"/>
      <c r="D869" s="18"/>
      <c r="E869" s="18"/>
      <c r="F869" s="19"/>
      <c r="G869" s="18"/>
      <c r="H869" s="114"/>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40"/>
      <c r="AL869" s="141"/>
      <c r="AM869" s="141"/>
      <c r="AN869" s="141"/>
      <c r="AO869" s="141"/>
      <c r="AP869" s="141"/>
      <c r="AQ869" s="141"/>
      <c r="AR869" s="141"/>
      <c r="AS869" s="141"/>
      <c r="AT869" s="141"/>
      <c r="AU869" s="141"/>
      <c r="AV869" s="141"/>
      <c r="AW869" s="141"/>
      <c r="AX869" s="141"/>
      <c r="AY869" s="141"/>
      <c r="AZ869" s="141"/>
      <c r="BA869" s="141"/>
      <c r="BB869" s="141"/>
      <c r="BC869" s="141"/>
      <c r="BD869" s="141"/>
      <c r="BE869" s="141"/>
      <c r="BF869" s="141"/>
      <c r="BG869" s="18"/>
      <c r="BH869" s="1"/>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row>
    <row r="870" spans="1:135" ht="14.25" customHeight="1">
      <c r="A870" s="18"/>
      <c r="B870" s="18"/>
      <c r="C870" s="19"/>
      <c r="D870" s="18"/>
      <c r="E870" s="18"/>
      <c r="F870" s="19"/>
      <c r="G870" s="18"/>
      <c r="H870" s="114"/>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40"/>
      <c r="AL870" s="141"/>
      <c r="AM870" s="141"/>
      <c r="AN870" s="141"/>
      <c r="AO870" s="141"/>
      <c r="AP870" s="141"/>
      <c r="AQ870" s="141"/>
      <c r="AR870" s="141"/>
      <c r="AS870" s="141"/>
      <c r="AT870" s="141"/>
      <c r="AU870" s="141"/>
      <c r="AV870" s="141"/>
      <c r="AW870" s="141"/>
      <c r="AX870" s="141"/>
      <c r="AY870" s="141"/>
      <c r="AZ870" s="141"/>
      <c r="BA870" s="141"/>
      <c r="BB870" s="141"/>
      <c r="BC870" s="141"/>
      <c r="BD870" s="141"/>
      <c r="BE870" s="141"/>
      <c r="BF870" s="141"/>
      <c r="BG870" s="18"/>
      <c r="BH870" s="1"/>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row>
    <row r="871" spans="1:135" ht="14.25" customHeight="1">
      <c r="A871" s="18"/>
      <c r="B871" s="18"/>
      <c r="C871" s="19"/>
      <c r="D871" s="18"/>
      <c r="E871" s="18"/>
      <c r="F871" s="19"/>
      <c r="G871" s="18"/>
      <c r="H871" s="114"/>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40"/>
      <c r="AL871" s="141"/>
      <c r="AM871" s="141"/>
      <c r="AN871" s="141"/>
      <c r="AO871" s="141"/>
      <c r="AP871" s="141"/>
      <c r="AQ871" s="141"/>
      <c r="AR871" s="141"/>
      <c r="AS871" s="141"/>
      <c r="AT871" s="141"/>
      <c r="AU871" s="141"/>
      <c r="AV871" s="141"/>
      <c r="AW871" s="141"/>
      <c r="AX871" s="141"/>
      <c r="AY871" s="141"/>
      <c r="AZ871" s="141"/>
      <c r="BA871" s="141"/>
      <c r="BB871" s="141"/>
      <c r="BC871" s="141"/>
      <c r="BD871" s="141"/>
      <c r="BE871" s="141"/>
      <c r="BF871" s="141"/>
      <c r="BG871" s="18"/>
      <c r="BH871" s="1"/>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row>
    <row r="872" spans="1:135" ht="14.25" customHeight="1">
      <c r="A872" s="18"/>
      <c r="B872" s="18"/>
      <c r="C872" s="19"/>
      <c r="D872" s="18"/>
      <c r="E872" s="18"/>
      <c r="F872" s="19"/>
      <c r="G872" s="18"/>
      <c r="H872" s="114"/>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40"/>
      <c r="AL872" s="141"/>
      <c r="AM872" s="141"/>
      <c r="AN872" s="141"/>
      <c r="AO872" s="141"/>
      <c r="AP872" s="141"/>
      <c r="AQ872" s="141"/>
      <c r="AR872" s="141"/>
      <c r="AS872" s="141"/>
      <c r="AT872" s="141"/>
      <c r="AU872" s="141"/>
      <c r="AV872" s="141"/>
      <c r="AW872" s="141"/>
      <c r="AX872" s="141"/>
      <c r="AY872" s="141"/>
      <c r="AZ872" s="141"/>
      <c r="BA872" s="141"/>
      <c r="BB872" s="141"/>
      <c r="BC872" s="141"/>
      <c r="BD872" s="141"/>
      <c r="BE872" s="141"/>
      <c r="BF872" s="141"/>
      <c r="BG872" s="18"/>
      <c r="BH872" s="1"/>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row>
    <row r="873" spans="1:135" ht="14.25" customHeight="1">
      <c r="A873" s="18"/>
      <c r="B873" s="18"/>
      <c r="C873" s="19"/>
      <c r="D873" s="18"/>
      <c r="E873" s="18"/>
      <c r="F873" s="19"/>
      <c r="G873" s="18"/>
      <c r="H873" s="114"/>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40"/>
      <c r="AL873" s="141"/>
      <c r="AM873" s="141"/>
      <c r="AN873" s="141"/>
      <c r="AO873" s="141"/>
      <c r="AP873" s="141"/>
      <c r="AQ873" s="141"/>
      <c r="AR873" s="141"/>
      <c r="AS873" s="141"/>
      <c r="AT873" s="141"/>
      <c r="AU873" s="141"/>
      <c r="AV873" s="141"/>
      <c r="AW873" s="141"/>
      <c r="AX873" s="141"/>
      <c r="AY873" s="141"/>
      <c r="AZ873" s="141"/>
      <c r="BA873" s="141"/>
      <c r="BB873" s="141"/>
      <c r="BC873" s="141"/>
      <c r="BD873" s="141"/>
      <c r="BE873" s="141"/>
      <c r="BF873" s="141"/>
      <c r="BG873" s="18"/>
      <c r="BH873" s="1"/>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row>
    <row r="874" spans="1:135" ht="14.25" customHeight="1">
      <c r="A874" s="18"/>
      <c r="B874" s="18"/>
      <c r="C874" s="19"/>
      <c r="D874" s="18"/>
      <c r="E874" s="18"/>
      <c r="F874" s="19"/>
      <c r="G874" s="18"/>
      <c r="H874" s="114"/>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40"/>
      <c r="AL874" s="141"/>
      <c r="AM874" s="141"/>
      <c r="AN874" s="141"/>
      <c r="AO874" s="141"/>
      <c r="AP874" s="141"/>
      <c r="AQ874" s="141"/>
      <c r="AR874" s="141"/>
      <c r="AS874" s="141"/>
      <c r="AT874" s="141"/>
      <c r="AU874" s="141"/>
      <c r="AV874" s="141"/>
      <c r="AW874" s="141"/>
      <c r="AX874" s="141"/>
      <c r="AY874" s="141"/>
      <c r="AZ874" s="141"/>
      <c r="BA874" s="141"/>
      <c r="BB874" s="141"/>
      <c r="BC874" s="141"/>
      <c r="BD874" s="141"/>
      <c r="BE874" s="141"/>
      <c r="BF874" s="141"/>
      <c r="BG874" s="18"/>
      <c r="BH874" s="1"/>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row>
    <row r="875" spans="1:135" ht="14.25" customHeight="1">
      <c r="A875" s="18"/>
      <c r="B875" s="18"/>
      <c r="C875" s="19"/>
      <c r="D875" s="18"/>
      <c r="E875" s="18"/>
      <c r="F875" s="19"/>
      <c r="G875" s="18"/>
      <c r="H875" s="114"/>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40"/>
      <c r="AL875" s="141"/>
      <c r="AM875" s="141"/>
      <c r="AN875" s="141"/>
      <c r="AO875" s="141"/>
      <c r="AP875" s="141"/>
      <c r="AQ875" s="141"/>
      <c r="AR875" s="141"/>
      <c r="AS875" s="141"/>
      <c r="AT875" s="141"/>
      <c r="AU875" s="141"/>
      <c r="AV875" s="141"/>
      <c r="AW875" s="141"/>
      <c r="AX875" s="141"/>
      <c r="AY875" s="141"/>
      <c r="AZ875" s="141"/>
      <c r="BA875" s="141"/>
      <c r="BB875" s="141"/>
      <c r="BC875" s="141"/>
      <c r="BD875" s="141"/>
      <c r="BE875" s="141"/>
      <c r="BF875" s="141"/>
      <c r="BG875" s="18"/>
      <c r="BH875" s="1"/>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row>
    <row r="876" spans="1:135" ht="14.25" customHeight="1">
      <c r="A876" s="18"/>
      <c r="B876" s="18"/>
      <c r="C876" s="19"/>
      <c r="D876" s="18"/>
      <c r="E876" s="18"/>
      <c r="F876" s="19"/>
      <c r="G876" s="18"/>
      <c r="H876" s="114"/>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40"/>
      <c r="AL876" s="141"/>
      <c r="AM876" s="141"/>
      <c r="AN876" s="141"/>
      <c r="AO876" s="141"/>
      <c r="AP876" s="141"/>
      <c r="AQ876" s="141"/>
      <c r="AR876" s="141"/>
      <c r="AS876" s="141"/>
      <c r="AT876" s="141"/>
      <c r="AU876" s="141"/>
      <c r="AV876" s="141"/>
      <c r="AW876" s="141"/>
      <c r="AX876" s="141"/>
      <c r="AY876" s="141"/>
      <c r="AZ876" s="141"/>
      <c r="BA876" s="141"/>
      <c r="BB876" s="141"/>
      <c r="BC876" s="141"/>
      <c r="BD876" s="141"/>
      <c r="BE876" s="141"/>
      <c r="BF876" s="141"/>
      <c r="BG876" s="18"/>
      <c r="BH876" s="1"/>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row>
    <row r="877" spans="1:135" ht="14.25" customHeight="1">
      <c r="A877" s="18"/>
      <c r="B877" s="18"/>
      <c r="C877" s="19"/>
      <c r="D877" s="18"/>
      <c r="E877" s="18"/>
      <c r="F877" s="19"/>
      <c r="G877" s="18"/>
      <c r="H877" s="114"/>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40"/>
      <c r="AL877" s="141"/>
      <c r="AM877" s="141"/>
      <c r="AN877" s="141"/>
      <c r="AO877" s="141"/>
      <c r="AP877" s="141"/>
      <c r="AQ877" s="141"/>
      <c r="AR877" s="141"/>
      <c r="AS877" s="141"/>
      <c r="AT877" s="141"/>
      <c r="AU877" s="141"/>
      <c r="AV877" s="141"/>
      <c r="AW877" s="141"/>
      <c r="AX877" s="141"/>
      <c r="AY877" s="141"/>
      <c r="AZ877" s="141"/>
      <c r="BA877" s="141"/>
      <c r="BB877" s="141"/>
      <c r="BC877" s="141"/>
      <c r="BD877" s="141"/>
      <c r="BE877" s="141"/>
      <c r="BF877" s="141"/>
      <c r="BG877" s="18"/>
      <c r="BH877" s="1"/>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row>
    <row r="878" spans="1:135" ht="14.25" customHeight="1">
      <c r="A878" s="18"/>
      <c r="B878" s="18"/>
      <c r="C878" s="19"/>
      <c r="D878" s="18"/>
      <c r="E878" s="18"/>
      <c r="F878" s="19"/>
      <c r="G878" s="18"/>
      <c r="H878" s="114"/>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40"/>
      <c r="AL878" s="141"/>
      <c r="AM878" s="141"/>
      <c r="AN878" s="141"/>
      <c r="AO878" s="141"/>
      <c r="AP878" s="141"/>
      <c r="AQ878" s="141"/>
      <c r="AR878" s="141"/>
      <c r="AS878" s="141"/>
      <c r="AT878" s="141"/>
      <c r="AU878" s="141"/>
      <c r="AV878" s="141"/>
      <c r="AW878" s="141"/>
      <c r="AX878" s="141"/>
      <c r="AY878" s="141"/>
      <c r="AZ878" s="141"/>
      <c r="BA878" s="141"/>
      <c r="BB878" s="141"/>
      <c r="BC878" s="141"/>
      <c r="BD878" s="141"/>
      <c r="BE878" s="141"/>
      <c r="BF878" s="141"/>
      <c r="BG878" s="18"/>
      <c r="BH878" s="1"/>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row>
    <row r="879" spans="1:135" ht="14.25" customHeight="1">
      <c r="A879" s="18"/>
      <c r="B879" s="18"/>
      <c r="C879" s="19"/>
      <c r="D879" s="18"/>
      <c r="E879" s="18"/>
      <c r="F879" s="19"/>
      <c r="G879" s="18"/>
      <c r="H879" s="114"/>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40"/>
      <c r="AL879" s="141"/>
      <c r="AM879" s="141"/>
      <c r="AN879" s="141"/>
      <c r="AO879" s="141"/>
      <c r="AP879" s="141"/>
      <c r="AQ879" s="141"/>
      <c r="AR879" s="141"/>
      <c r="AS879" s="141"/>
      <c r="AT879" s="141"/>
      <c r="AU879" s="141"/>
      <c r="AV879" s="141"/>
      <c r="AW879" s="141"/>
      <c r="AX879" s="141"/>
      <c r="AY879" s="141"/>
      <c r="AZ879" s="141"/>
      <c r="BA879" s="141"/>
      <c r="BB879" s="141"/>
      <c r="BC879" s="141"/>
      <c r="BD879" s="141"/>
      <c r="BE879" s="141"/>
      <c r="BF879" s="141"/>
      <c r="BG879" s="18"/>
      <c r="BH879" s="1"/>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row>
    <row r="880" spans="1:135" ht="14.25" customHeight="1">
      <c r="A880" s="18"/>
      <c r="B880" s="18"/>
      <c r="C880" s="19"/>
      <c r="D880" s="18"/>
      <c r="E880" s="18"/>
      <c r="F880" s="19"/>
      <c r="G880" s="18"/>
      <c r="H880" s="114"/>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40"/>
      <c r="AL880" s="141"/>
      <c r="AM880" s="141"/>
      <c r="AN880" s="141"/>
      <c r="AO880" s="141"/>
      <c r="AP880" s="141"/>
      <c r="AQ880" s="141"/>
      <c r="AR880" s="141"/>
      <c r="AS880" s="141"/>
      <c r="AT880" s="141"/>
      <c r="AU880" s="141"/>
      <c r="AV880" s="141"/>
      <c r="AW880" s="141"/>
      <c r="AX880" s="141"/>
      <c r="AY880" s="141"/>
      <c r="AZ880" s="141"/>
      <c r="BA880" s="141"/>
      <c r="BB880" s="141"/>
      <c r="BC880" s="141"/>
      <c r="BD880" s="141"/>
      <c r="BE880" s="141"/>
      <c r="BF880" s="141"/>
      <c r="BG880" s="18"/>
      <c r="BH880" s="1"/>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row>
    <row r="881" spans="1:135" ht="14.25" customHeight="1">
      <c r="A881" s="18"/>
      <c r="B881" s="18"/>
      <c r="C881" s="19"/>
      <c r="D881" s="18"/>
      <c r="E881" s="18"/>
      <c r="F881" s="19"/>
      <c r="G881" s="18"/>
      <c r="H881" s="114"/>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40"/>
      <c r="AL881" s="141"/>
      <c r="AM881" s="141"/>
      <c r="AN881" s="141"/>
      <c r="AO881" s="141"/>
      <c r="AP881" s="141"/>
      <c r="AQ881" s="141"/>
      <c r="AR881" s="141"/>
      <c r="AS881" s="141"/>
      <c r="AT881" s="141"/>
      <c r="AU881" s="141"/>
      <c r="AV881" s="141"/>
      <c r="AW881" s="141"/>
      <c r="AX881" s="141"/>
      <c r="AY881" s="141"/>
      <c r="AZ881" s="141"/>
      <c r="BA881" s="141"/>
      <c r="BB881" s="141"/>
      <c r="BC881" s="141"/>
      <c r="BD881" s="141"/>
      <c r="BE881" s="141"/>
      <c r="BF881" s="141"/>
      <c r="BG881" s="18"/>
      <c r="BH881" s="1"/>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row>
    <row r="882" spans="1:135" ht="14.25" customHeight="1">
      <c r="A882" s="18"/>
      <c r="B882" s="18"/>
      <c r="C882" s="19"/>
      <c r="D882" s="18"/>
      <c r="E882" s="18"/>
      <c r="F882" s="19"/>
      <c r="G882" s="18"/>
      <c r="H882" s="114"/>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40"/>
      <c r="AL882" s="141"/>
      <c r="AM882" s="141"/>
      <c r="AN882" s="141"/>
      <c r="AO882" s="141"/>
      <c r="AP882" s="141"/>
      <c r="AQ882" s="141"/>
      <c r="AR882" s="141"/>
      <c r="AS882" s="141"/>
      <c r="AT882" s="141"/>
      <c r="AU882" s="141"/>
      <c r="AV882" s="141"/>
      <c r="AW882" s="141"/>
      <c r="AX882" s="141"/>
      <c r="AY882" s="141"/>
      <c r="AZ882" s="141"/>
      <c r="BA882" s="141"/>
      <c r="BB882" s="141"/>
      <c r="BC882" s="141"/>
      <c r="BD882" s="141"/>
      <c r="BE882" s="141"/>
      <c r="BF882" s="141"/>
      <c r="BG882" s="18"/>
      <c r="BH882" s="1"/>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row>
    <row r="883" spans="1:135" ht="14.25" customHeight="1">
      <c r="A883" s="18"/>
      <c r="B883" s="18"/>
      <c r="C883" s="19"/>
      <c r="D883" s="18"/>
      <c r="E883" s="18"/>
      <c r="F883" s="19"/>
      <c r="G883" s="18"/>
      <c r="H883" s="114"/>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40"/>
      <c r="AL883" s="141"/>
      <c r="AM883" s="141"/>
      <c r="AN883" s="141"/>
      <c r="AO883" s="141"/>
      <c r="AP883" s="141"/>
      <c r="AQ883" s="141"/>
      <c r="AR883" s="141"/>
      <c r="AS883" s="141"/>
      <c r="AT883" s="141"/>
      <c r="AU883" s="141"/>
      <c r="AV883" s="141"/>
      <c r="AW883" s="141"/>
      <c r="AX883" s="141"/>
      <c r="AY883" s="141"/>
      <c r="AZ883" s="141"/>
      <c r="BA883" s="141"/>
      <c r="BB883" s="141"/>
      <c r="BC883" s="141"/>
      <c r="BD883" s="141"/>
      <c r="BE883" s="141"/>
      <c r="BF883" s="141"/>
      <c r="BG883" s="18"/>
      <c r="BH883" s="1"/>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row>
    <row r="884" spans="1:135" ht="14.25" customHeight="1">
      <c r="A884" s="18"/>
      <c r="B884" s="18"/>
      <c r="C884" s="19"/>
      <c r="D884" s="18"/>
      <c r="E884" s="18"/>
      <c r="F884" s="19"/>
      <c r="G884" s="18"/>
      <c r="H884" s="114"/>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40"/>
      <c r="AL884" s="141"/>
      <c r="AM884" s="141"/>
      <c r="AN884" s="141"/>
      <c r="AO884" s="141"/>
      <c r="AP884" s="141"/>
      <c r="AQ884" s="141"/>
      <c r="AR884" s="141"/>
      <c r="AS884" s="141"/>
      <c r="AT884" s="141"/>
      <c r="AU884" s="141"/>
      <c r="AV884" s="141"/>
      <c r="AW884" s="141"/>
      <c r="AX884" s="141"/>
      <c r="AY884" s="141"/>
      <c r="AZ884" s="141"/>
      <c r="BA884" s="141"/>
      <c r="BB884" s="141"/>
      <c r="BC884" s="141"/>
      <c r="BD884" s="141"/>
      <c r="BE884" s="141"/>
      <c r="BF884" s="141"/>
      <c r="BG884" s="18"/>
      <c r="BH884" s="1"/>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row>
    <row r="885" spans="1:135" ht="14.25" customHeight="1">
      <c r="A885" s="18"/>
      <c r="B885" s="18"/>
      <c r="C885" s="19"/>
      <c r="D885" s="18"/>
      <c r="E885" s="18"/>
      <c r="F885" s="19"/>
      <c r="G885" s="18"/>
      <c r="H885" s="114"/>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40"/>
      <c r="AL885" s="141"/>
      <c r="AM885" s="141"/>
      <c r="AN885" s="141"/>
      <c r="AO885" s="141"/>
      <c r="AP885" s="141"/>
      <c r="AQ885" s="141"/>
      <c r="AR885" s="141"/>
      <c r="AS885" s="141"/>
      <c r="AT885" s="141"/>
      <c r="AU885" s="141"/>
      <c r="AV885" s="141"/>
      <c r="AW885" s="141"/>
      <c r="AX885" s="141"/>
      <c r="AY885" s="141"/>
      <c r="AZ885" s="141"/>
      <c r="BA885" s="141"/>
      <c r="BB885" s="141"/>
      <c r="BC885" s="141"/>
      <c r="BD885" s="141"/>
      <c r="BE885" s="141"/>
      <c r="BF885" s="141"/>
      <c r="BG885" s="18"/>
      <c r="BH885" s="1"/>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row>
    <row r="886" spans="1:135" ht="14.25" customHeight="1">
      <c r="A886" s="18"/>
      <c r="B886" s="18"/>
      <c r="C886" s="19"/>
      <c r="D886" s="18"/>
      <c r="E886" s="18"/>
      <c r="F886" s="19"/>
      <c r="G886" s="18"/>
      <c r="H886" s="114"/>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40"/>
      <c r="AL886" s="141"/>
      <c r="AM886" s="141"/>
      <c r="AN886" s="141"/>
      <c r="AO886" s="141"/>
      <c r="AP886" s="141"/>
      <c r="AQ886" s="141"/>
      <c r="AR886" s="141"/>
      <c r="AS886" s="141"/>
      <c r="AT886" s="141"/>
      <c r="AU886" s="141"/>
      <c r="AV886" s="141"/>
      <c r="AW886" s="141"/>
      <c r="AX886" s="141"/>
      <c r="AY886" s="141"/>
      <c r="AZ886" s="141"/>
      <c r="BA886" s="141"/>
      <c r="BB886" s="141"/>
      <c r="BC886" s="141"/>
      <c r="BD886" s="141"/>
      <c r="BE886" s="141"/>
      <c r="BF886" s="141"/>
      <c r="BG886" s="18"/>
      <c r="BH886" s="1"/>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row>
    <row r="887" spans="1:135" ht="14.25" customHeight="1">
      <c r="A887" s="18"/>
      <c r="B887" s="18"/>
      <c r="C887" s="19"/>
      <c r="D887" s="18"/>
      <c r="E887" s="18"/>
      <c r="F887" s="19"/>
      <c r="G887" s="18"/>
      <c r="H887" s="114"/>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40"/>
      <c r="AL887" s="141"/>
      <c r="AM887" s="141"/>
      <c r="AN887" s="141"/>
      <c r="AO887" s="141"/>
      <c r="AP887" s="141"/>
      <c r="AQ887" s="141"/>
      <c r="AR887" s="141"/>
      <c r="AS887" s="141"/>
      <c r="AT887" s="141"/>
      <c r="AU887" s="141"/>
      <c r="AV887" s="141"/>
      <c r="AW887" s="141"/>
      <c r="AX887" s="141"/>
      <c r="AY887" s="141"/>
      <c r="AZ887" s="141"/>
      <c r="BA887" s="141"/>
      <c r="BB887" s="141"/>
      <c r="BC887" s="141"/>
      <c r="BD887" s="141"/>
      <c r="BE887" s="141"/>
      <c r="BF887" s="141"/>
      <c r="BG887" s="18"/>
      <c r="BH887" s="1"/>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row>
    <row r="888" spans="1:135" ht="14.25" customHeight="1">
      <c r="A888" s="18"/>
      <c r="B888" s="18"/>
      <c r="C888" s="19"/>
      <c r="D888" s="18"/>
      <c r="E888" s="18"/>
      <c r="F888" s="19"/>
      <c r="G888" s="18"/>
      <c r="H888" s="114"/>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40"/>
      <c r="AL888" s="141"/>
      <c r="AM888" s="141"/>
      <c r="AN888" s="141"/>
      <c r="AO888" s="141"/>
      <c r="AP888" s="141"/>
      <c r="AQ888" s="141"/>
      <c r="AR888" s="141"/>
      <c r="AS888" s="141"/>
      <c r="AT888" s="141"/>
      <c r="AU888" s="141"/>
      <c r="AV888" s="141"/>
      <c r="AW888" s="141"/>
      <c r="AX888" s="141"/>
      <c r="AY888" s="141"/>
      <c r="AZ888" s="141"/>
      <c r="BA888" s="141"/>
      <c r="BB888" s="141"/>
      <c r="BC888" s="141"/>
      <c r="BD888" s="141"/>
      <c r="BE888" s="141"/>
      <c r="BF888" s="141"/>
      <c r="BG888" s="18"/>
      <c r="BH888" s="1"/>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row>
    <row r="889" spans="1:135" ht="14.25" customHeight="1">
      <c r="A889" s="18"/>
      <c r="B889" s="18"/>
      <c r="C889" s="19"/>
      <c r="D889" s="18"/>
      <c r="E889" s="18"/>
      <c r="F889" s="19"/>
      <c r="G889" s="18"/>
      <c r="H889" s="114"/>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40"/>
      <c r="AL889" s="141"/>
      <c r="AM889" s="141"/>
      <c r="AN889" s="141"/>
      <c r="AO889" s="141"/>
      <c r="AP889" s="141"/>
      <c r="AQ889" s="141"/>
      <c r="AR889" s="141"/>
      <c r="AS889" s="141"/>
      <c r="AT889" s="141"/>
      <c r="AU889" s="141"/>
      <c r="AV889" s="141"/>
      <c r="AW889" s="141"/>
      <c r="AX889" s="141"/>
      <c r="AY889" s="141"/>
      <c r="AZ889" s="141"/>
      <c r="BA889" s="141"/>
      <c r="BB889" s="141"/>
      <c r="BC889" s="141"/>
      <c r="BD889" s="141"/>
      <c r="BE889" s="141"/>
      <c r="BF889" s="141"/>
      <c r="BG889" s="18"/>
      <c r="BH889" s="1"/>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row>
    <row r="890" spans="1:135" ht="14.25" customHeight="1">
      <c r="A890" s="18"/>
      <c r="B890" s="18"/>
      <c r="C890" s="19"/>
      <c r="D890" s="18"/>
      <c r="E890" s="18"/>
      <c r="F890" s="19"/>
      <c r="G890" s="18"/>
      <c r="H890" s="114"/>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40"/>
      <c r="AL890" s="141"/>
      <c r="AM890" s="141"/>
      <c r="AN890" s="141"/>
      <c r="AO890" s="141"/>
      <c r="AP890" s="141"/>
      <c r="AQ890" s="141"/>
      <c r="AR890" s="141"/>
      <c r="AS890" s="141"/>
      <c r="AT890" s="141"/>
      <c r="AU890" s="141"/>
      <c r="AV890" s="141"/>
      <c r="AW890" s="141"/>
      <c r="AX890" s="141"/>
      <c r="AY890" s="141"/>
      <c r="AZ890" s="141"/>
      <c r="BA890" s="141"/>
      <c r="BB890" s="141"/>
      <c r="BC890" s="141"/>
      <c r="BD890" s="141"/>
      <c r="BE890" s="141"/>
      <c r="BF890" s="141"/>
      <c r="BG890" s="18"/>
      <c r="BH890" s="1"/>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row>
    <row r="891" spans="1:135" ht="14.25" customHeight="1">
      <c r="A891" s="18"/>
      <c r="B891" s="18"/>
      <c r="C891" s="19"/>
      <c r="D891" s="18"/>
      <c r="E891" s="18"/>
      <c r="F891" s="19"/>
      <c r="G891" s="18"/>
      <c r="H891" s="114"/>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40"/>
      <c r="AL891" s="141"/>
      <c r="AM891" s="141"/>
      <c r="AN891" s="141"/>
      <c r="AO891" s="141"/>
      <c r="AP891" s="141"/>
      <c r="AQ891" s="141"/>
      <c r="AR891" s="141"/>
      <c r="AS891" s="141"/>
      <c r="AT891" s="141"/>
      <c r="AU891" s="141"/>
      <c r="AV891" s="141"/>
      <c r="AW891" s="141"/>
      <c r="AX891" s="141"/>
      <c r="AY891" s="141"/>
      <c r="AZ891" s="141"/>
      <c r="BA891" s="141"/>
      <c r="BB891" s="141"/>
      <c r="BC891" s="141"/>
      <c r="BD891" s="141"/>
      <c r="BE891" s="141"/>
      <c r="BF891" s="141"/>
      <c r="BG891" s="18"/>
      <c r="BH891" s="1"/>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row>
    <row r="892" spans="1:135" ht="14.25" customHeight="1">
      <c r="A892" s="18"/>
      <c r="B892" s="18"/>
      <c r="C892" s="19"/>
      <c r="D892" s="18"/>
      <c r="E892" s="18"/>
      <c r="F892" s="19"/>
      <c r="G892" s="18"/>
      <c r="H892" s="114"/>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40"/>
      <c r="AL892" s="141"/>
      <c r="AM892" s="141"/>
      <c r="AN892" s="141"/>
      <c r="AO892" s="141"/>
      <c r="AP892" s="141"/>
      <c r="AQ892" s="141"/>
      <c r="AR892" s="141"/>
      <c r="AS892" s="141"/>
      <c r="AT892" s="141"/>
      <c r="AU892" s="141"/>
      <c r="AV892" s="141"/>
      <c r="AW892" s="141"/>
      <c r="AX892" s="141"/>
      <c r="AY892" s="141"/>
      <c r="AZ892" s="141"/>
      <c r="BA892" s="141"/>
      <c r="BB892" s="141"/>
      <c r="BC892" s="141"/>
      <c r="BD892" s="141"/>
      <c r="BE892" s="141"/>
      <c r="BF892" s="141"/>
      <c r="BG892" s="18"/>
      <c r="BH892" s="1"/>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row>
    <row r="893" spans="1:135" ht="14.25" customHeight="1">
      <c r="A893" s="18"/>
      <c r="B893" s="18"/>
      <c r="C893" s="19"/>
      <c r="D893" s="18"/>
      <c r="E893" s="18"/>
      <c r="F893" s="19"/>
      <c r="G893" s="18"/>
      <c r="H893" s="114"/>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40"/>
      <c r="AL893" s="141"/>
      <c r="AM893" s="141"/>
      <c r="AN893" s="141"/>
      <c r="AO893" s="141"/>
      <c r="AP893" s="141"/>
      <c r="AQ893" s="141"/>
      <c r="AR893" s="141"/>
      <c r="AS893" s="141"/>
      <c r="AT893" s="141"/>
      <c r="AU893" s="141"/>
      <c r="AV893" s="141"/>
      <c r="AW893" s="141"/>
      <c r="AX893" s="141"/>
      <c r="AY893" s="141"/>
      <c r="AZ893" s="141"/>
      <c r="BA893" s="141"/>
      <c r="BB893" s="141"/>
      <c r="BC893" s="141"/>
      <c r="BD893" s="141"/>
      <c r="BE893" s="141"/>
      <c r="BF893" s="141"/>
      <c r="BG893" s="18"/>
      <c r="BH893" s="1"/>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row>
    <row r="894" spans="1:135" ht="14.25" customHeight="1">
      <c r="A894" s="18"/>
      <c r="B894" s="18"/>
      <c r="C894" s="19"/>
      <c r="D894" s="18"/>
      <c r="E894" s="18"/>
      <c r="F894" s="19"/>
      <c r="G894" s="18"/>
      <c r="H894" s="114"/>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40"/>
      <c r="AL894" s="141"/>
      <c r="AM894" s="141"/>
      <c r="AN894" s="141"/>
      <c r="AO894" s="141"/>
      <c r="AP894" s="141"/>
      <c r="AQ894" s="141"/>
      <c r="AR894" s="141"/>
      <c r="AS894" s="141"/>
      <c r="AT894" s="141"/>
      <c r="AU894" s="141"/>
      <c r="AV894" s="141"/>
      <c r="AW894" s="141"/>
      <c r="AX894" s="141"/>
      <c r="AY894" s="141"/>
      <c r="AZ894" s="141"/>
      <c r="BA894" s="141"/>
      <c r="BB894" s="141"/>
      <c r="BC894" s="141"/>
      <c r="BD894" s="141"/>
      <c r="BE894" s="141"/>
      <c r="BF894" s="141"/>
      <c r="BG894" s="18"/>
      <c r="BH894" s="1"/>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row>
    <row r="895" spans="1:135" ht="14.25" customHeight="1">
      <c r="A895" s="18"/>
      <c r="B895" s="18"/>
      <c r="C895" s="19"/>
      <c r="D895" s="18"/>
      <c r="E895" s="18"/>
      <c r="F895" s="19"/>
      <c r="G895" s="18"/>
      <c r="H895" s="114"/>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40"/>
      <c r="AL895" s="141"/>
      <c r="AM895" s="141"/>
      <c r="AN895" s="141"/>
      <c r="AO895" s="141"/>
      <c r="AP895" s="141"/>
      <c r="AQ895" s="141"/>
      <c r="AR895" s="141"/>
      <c r="AS895" s="141"/>
      <c r="AT895" s="141"/>
      <c r="AU895" s="141"/>
      <c r="AV895" s="141"/>
      <c r="AW895" s="141"/>
      <c r="AX895" s="141"/>
      <c r="AY895" s="141"/>
      <c r="AZ895" s="141"/>
      <c r="BA895" s="141"/>
      <c r="BB895" s="141"/>
      <c r="BC895" s="141"/>
      <c r="BD895" s="141"/>
      <c r="BE895" s="141"/>
      <c r="BF895" s="141"/>
      <c r="BG895" s="18"/>
      <c r="BH895" s="1"/>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row>
    <row r="896" spans="1:135" ht="14.25" customHeight="1">
      <c r="A896" s="18"/>
      <c r="B896" s="18"/>
      <c r="C896" s="19"/>
      <c r="D896" s="18"/>
      <c r="E896" s="18"/>
      <c r="F896" s="19"/>
      <c r="G896" s="18"/>
      <c r="H896" s="114"/>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40"/>
      <c r="AL896" s="141"/>
      <c r="AM896" s="141"/>
      <c r="AN896" s="141"/>
      <c r="AO896" s="141"/>
      <c r="AP896" s="141"/>
      <c r="AQ896" s="141"/>
      <c r="AR896" s="141"/>
      <c r="AS896" s="141"/>
      <c r="AT896" s="141"/>
      <c r="AU896" s="141"/>
      <c r="AV896" s="141"/>
      <c r="AW896" s="141"/>
      <c r="AX896" s="141"/>
      <c r="AY896" s="141"/>
      <c r="AZ896" s="141"/>
      <c r="BA896" s="141"/>
      <c r="BB896" s="141"/>
      <c r="BC896" s="141"/>
      <c r="BD896" s="141"/>
      <c r="BE896" s="141"/>
      <c r="BF896" s="141"/>
      <c r="BG896" s="18"/>
      <c r="BH896" s="1"/>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row>
    <row r="897" spans="1:135" ht="14.25" customHeight="1">
      <c r="A897" s="18"/>
      <c r="B897" s="18"/>
      <c r="C897" s="19"/>
      <c r="D897" s="18"/>
      <c r="E897" s="18"/>
      <c r="F897" s="19"/>
      <c r="G897" s="18"/>
      <c r="H897" s="114"/>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40"/>
      <c r="AL897" s="141"/>
      <c r="AM897" s="141"/>
      <c r="AN897" s="141"/>
      <c r="AO897" s="141"/>
      <c r="AP897" s="141"/>
      <c r="AQ897" s="141"/>
      <c r="AR897" s="141"/>
      <c r="AS897" s="141"/>
      <c r="AT897" s="141"/>
      <c r="AU897" s="141"/>
      <c r="AV897" s="141"/>
      <c r="AW897" s="141"/>
      <c r="AX897" s="141"/>
      <c r="AY897" s="141"/>
      <c r="AZ897" s="141"/>
      <c r="BA897" s="141"/>
      <c r="BB897" s="141"/>
      <c r="BC897" s="141"/>
      <c r="BD897" s="141"/>
      <c r="BE897" s="141"/>
      <c r="BF897" s="141"/>
      <c r="BG897" s="18"/>
      <c r="BH897" s="1"/>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row>
    <row r="898" spans="1:135" ht="14.25" customHeight="1">
      <c r="A898" s="18"/>
      <c r="B898" s="18"/>
      <c r="C898" s="19"/>
      <c r="D898" s="18"/>
      <c r="E898" s="18"/>
      <c r="F898" s="19"/>
      <c r="G898" s="18"/>
      <c r="H898" s="114"/>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40"/>
      <c r="AL898" s="141"/>
      <c r="AM898" s="141"/>
      <c r="AN898" s="141"/>
      <c r="AO898" s="141"/>
      <c r="AP898" s="141"/>
      <c r="AQ898" s="141"/>
      <c r="AR898" s="141"/>
      <c r="AS898" s="141"/>
      <c r="AT898" s="141"/>
      <c r="AU898" s="141"/>
      <c r="AV898" s="141"/>
      <c r="AW898" s="141"/>
      <c r="AX898" s="141"/>
      <c r="AY898" s="141"/>
      <c r="AZ898" s="141"/>
      <c r="BA898" s="141"/>
      <c r="BB898" s="141"/>
      <c r="BC898" s="141"/>
      <c r="BD898" s="141"/>
      <c r="BE898" s="141"/>
      <c r="BF898" s="141"/>
      <c r="BG898" s="18"/>
      <c r="BH898" s="1"/>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row>
    <row r="899" spans="1:135" ht="14.25" customHeight="1">
      <c r="A899" s="18"/>
      <c r="B899" s="18"/>
      <c r="C899" s="19"/>
      <c r="D899" s="18"/>
      <c r="E899" s="18"/>
      <c r="F899" s="19"/>
      <c r="G899" s="18"/>
      <c r="H899" s="114"/>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40"/>
      <c r="AL899" s="141"/>
      <c r="AM899" s="141"/>
      <c r="AN899" s="141"/>
      <c r="AO899" s="141"/>
      <c r="AP899" s="141"/>
      <c r="AQ899" s="141"/>
      <c r="AR899" s="141"/>
      <c r="AS899" s="141"/>
      <c r="AT899" s="141"/>
      <c r="AU899" s="141"/>
      <c r="AV899" s="141"/>
      <c r="AW899" s="141"/>
      <c r="AX899" s="141"/>
      <c r="AY899" s="141"/>
      <c r="AZ899" s="141"/>
      <c r="BA899" s="141"/>
      <c r="BB899" s="141"/>
      <c r="BC899" s="141"/>
      <c r="BD899" s="141"/>
      <c r="BE899" s="141"/>
      <c r="BF899" s="141"/>
      <c r="BG899" s="18"/>
      <c r="BH899" s="1"/>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row>
    <row r="900" spans="1:135" ht="14.25" customHeight="1">
      <c r="A900" s="18"/>
      <c r="B900" s="18"/>
      <c r="C900" s="19"/>
      <c r="D900" s="18"/>
      <c r="E900" s="18"/>
      <c r="F900" s="19"/>
      <c r="G900" s="18"/>
      <c r="H900" s="114"/>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40"/>
      <c r="AL900" s="141"/>
      <c r="AM900" s="141"/>
      <c r="AN900" s="141"/>
      <c r="AO900" s="141"/>
      <c r="AP900" s="141"/>
      <c r="AQ900" s="141"/>
      <c r="AR900" s="141"/>
      <c r="AS900" s="141"/>
      <c r="AT900" s="141"/>
      <c r="AU900" s="141"/>
      <c r="AV900" s="141"/>
      <c r="AW900" s="141"/>
      <c r="AX900" s="141"/>
      <c r="AY900" s="141"/>
      <c r="AZ900" s="141"/>
      <c r="BA900" s="141"/>
      <c r="BB900" s="141"/>
      <c r="BC900" s="141"/>
      <c r="BD900" s="141"/>
      <c r="BE900" s="141"/>
      <c r="BF900" s="141"/>
      <c r="BG900" s="18"/>
      <c r="BH900" s="1"/>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row>
    <row r="901" spans="1:135" ht="14.25" customHeight="1">
      <c r="A901" s="18"/>
      <c r="B901" s="18"/>
      <c r="C901" s="19"/>
      <c r="D901" s="18"/>
      <c r="E901" s="18"/>
      <c r="F901" s="19"/>
      <c r="G901" s="18"/>
      <c r="H901" s="114"/>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40"/>
      <c r="AL901" s="141"/>
      <c r="AM901" s="141"/>
      <c r="AN901" s="141"/>
      <c r="AO901" s="141"/>
      <c r="AP901" s="141"/>
      <c r="AQ901" s="141"/>
      <c r="AR901" s="141"/>
      <c r="AS901" s="141"/>
      <c r="AT901" s="141"/>
      <c r="AU901" s="141"/>
      <c r="AV901" s="141"/>
      <c r="AW901" s="141"/>
      <c r="AX901" s="141"/>
      <c r="AY901" s="141"/>
      <c r="AZ901" s="141"/>
      <c r="BA901" s="141"/>
      <c r="BB901" s="141"/>
      <c r="BC901" s="141"/>
      <c r="BD901" s="141"/>
      <c r="BE901" s="141"/>
      <c r="BF901" s="141"/>
      <c r="BG901" s="18"/>
      <c r="BH901" s="1"/>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row>
    <row r="902" spans="1:135" ht="14.25" customHeight="1">
      <c r="A902" s="18"/>
      <c r="B902" s="18"/>
      <c r="C902" s="19"/>
      <c r="D902" s="18"/>
      <c r="E902" s="18"/>
      <c r="F902" s="19"/>
      <c r="G902" s="18"/>
      <c r="H902" s="114"/>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40"/>
      <c r="AL902" s="141"/>
      <c r="AM902" s="141"/>
      <c r="AN902" s="141"/>
      <c r="AO902" s="141"/>
      <c r="AP902" s="141"/>
      <c r="AQ902" s="141"/>
      <c r="AR902" s="141"/>
      <c r="AS902" s="141"/>
      <c r="AT902" s="141"/>
      <c r="AU902" s="141"/>
      <c r="AV902" s="141"/>
      <c r="AW902" s="141"/>
      <c r="AX902" s="141"/>
      <c r="AY902" s="141"/>
      <c r="AZ902" s="141"/>
      <c r="BA902" s="141"/>
      <c r="BB902" s="141"/>
      <c r="BC902" s="141"/>
      <c r="BD902" s="141"/>
      <c r="BE902" s="141"/>
      <c r="BF902" s="141"/>
      <c r="BG902" s="18"/>
      <c r="BH902" s="1"/>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row>
    <row r="903" spans="1:135" ht="14.25" customHeight="1">
      <c r="A903" s="18"/>
      <c r="B903" s="18"/>
      <c r="C903" s="19"/>
      <c r="D903" s="18"/>
      <c r="E903" s="18"/>
      <c r="F903" s="19"/>
      <c r="G903" s="18"/>
      <c r="H903" s="114"/>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40"/>
      <c r="AL903" s="141"/>
      <c r="AM903" s="141"/>
      <c r="AN903" s="141"/>
      <c r="AO903" s="141"/>
      <c r="AP903" s="141"/>
      <c r="AQ903" s="141"/>
      <c r="AR903" s="141"/>
      <c r="AS903" s="141"/>
      <c r="AT903" s="141"/>
      <c r="AU903" s="141"/>
      <c r="AV903" s="141"/>
      <c r="AW903" s="141"/>
      <c r="AX903" s="141"/>
      <c r="AY903" s="141"/>
      <c r="AZ903" s="141"/>
      <c r="BA903" s="141"/>
      <c r="BB903" s="141"/>
      <c r="BC903" s="141"/>
      <c r="BD903" s="141"/>
      <c r="BE903" s="141"/>
      <c r="BF903" s="141"/>
      <c r="BG903" s="18"/>
      <c r="BH903" s="1"/>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row>
    <row r="904" spans="1:135" ht="14.25" customHeight="1">
      <c r="A904" s="18"/>
      <c r="B904" s="18"/>
      <c r="C904" s="19"/>
      <c r="D904" s="18"/>
      <c r="E904" s="18"/>
      <c r="F904" s="19"/>
      <c r="G904" s="18"/>
      <c r="H904" s="114"/>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40"/>
      <c r="AL904" s="141"/>
      <c r="AM904" s="141"/>
      <c r="AN904" s="141"/>
      <c r="AO904" s="141"/>
      <c r="AP904" s="141"/>
      <c r="AQ904" s="141"/>
      <c r="AR904" s="141"/>
      <c r="AS904" s="141"/>
      <c r="AT904" s="141"/>
      <c r="AU904" s="141"/>
      <c r="AV904" s="141"/>
      <c r="AW904" s="141"/>
      <c r="AX904" s="141"/>
      <c r="AY904" s="141"/>
      <c r="AZ904" s="141"/>
      <c r="BA904" s="141"/>
      <c r="BB904" s="141"/>
      <c r="BC904" s="141"/>
      <c r="BD904" s="141"/>
      <c r="BE904" s="141"/>
      <c r="BF904" s="141"/>
      <c r="BG904" s="18"/>
      <c r="BH904" s="1"/>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row>
    <row r="905" spans="1:135" ht="14.25" customHeight="1">
      <c r="A905" s="18"/>
      <c r="B905" s="18"/>
      <c r="C905" s="19"/>
      <c r="D905" s="18"/>
      <c r="E905" s="18"/>
      <c r="F905" s="19"/>
      <c r="G905" s="18"/>
      <c r="H905" s="114"/>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40"/>
      <c r="AL905" s="141"/>
      <c r="AM905" s="141"/>
      <c r="AN905" s="141"/>
      <c r="AO905" s="141"/>
      <c r="AP905" s="141"/>
      <c r="AQ905" s="141"/>
      <c r="AR905" s="141"/>
      <c r="AS905" s="141"/>
      <c r="AT905" s="141"/>
      <c r="AU905" s="141"/>
      <c r="AV905" s="141"/>
      <c r="AW905" s="141"/>
      <c r="AX905" s="141"/>
      <c r="AY905" s="141"/>
      <c r="AZ905" s="141"/>
      <c r="BA905" s="141"/>
      <c r="BB905" s="141"/>
      <c r="BC905" s="141"/>
      <c r="BD905" s="141"/>
      <c r="BE905" s="141"/>
      <c r="BF905" s="141"/>
      <c r="BG905" s="18"/>
      <c r="BH905" s="1"/>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row>
    <row r="906" spans="1:135" ht="14.25" customHeight="1">
      <c r="A906" s="18"/>
      <c r="B906" s="18"/>
      <c r="C906" s="19"/>
      <c r="D906" s="18"/>
      <c r="E906" s="18"/>
      <c r="F906" s="19"/>
      <c r="G906" s="18"/>
      <c r="H906" s="114"/>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40"/>
      <c r="AL906" s="141"/>
      <c r="AM906" s="141"/>
      <c r="AN906" s="141"/>
      <c r="AO906" s="141"/>
      <c r="AP906" s="141"/>
      <c r="AQ906" s="141"/>
      <c r="AR906" s="141"/>
      <c r="AS906" s="141"/>
      <c r="AT906" s="141"/>
      <c r="AU906" s="141"/>
      <c r="AV906" s="141"/>
      <c r="AW906" s="141"/>
      <c r="AX906" s="141"/>
      <c r="AY906" s="141"/>
      <c r="AZ906" s="141"/>
      <c r="BA906" s="141"/>
      <c r="BB906" s="141"/>
      <c r="BC906" s="141"/>
      <c r="BD906" s="141"/>
      <c r="BE906" s="141"/>
      <c r="BF906" s="141"/>
      <c r="BG906" s="18"/>
      <c r="BH906" s="1"/>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row>
    <row r="907" spans="1:135" ht="14.25" customHeight="1">
      <c r="A907" s="18"/>
      <c r="B907" s="18"/>
      <c r="C907" s="19"/>
      <c r="D907" s="18"/>
      <c r="E907" s="18"/>
      <c r="F907" s="19"/>
      <c r="G907" s="18"/>
      <c r="H907" s="114"/>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40"/>
      <c r="AL907" s="141"/>
      <c r="AM907" s="141"/>
      <c r="AN907" s="141"/>
      <c r="AO907" s="141"/>
      <c r="AP907" s="141"/>
      <c r="AQ907" s="141"/>
      <c r="AR907" s="141"/>
      <c r="AS907" s="141"/>
      <c r="AT907" s="141"/>
      <c r="AU907" s="141"/>
      <c r="AV907" s="141"/>
      <c r="AW907" s="141"/>
      <c r="AX907" s="141"/>
      <c r="AY907" s="141"/>
      <c r="AZ907" s="141"/>
      <c r="BA907" s="141"/>
      <c r="BB907" s="141"/>
      <c r="BC907" s="141"/>
      <c r="BD907" s="141"/>
      <c r="BE907" s="141"/>
      <c r="BF907" s="141"/>
      <c r="BG907" s="18"/>
      <c r="BH907" s="1"/>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row>
    <row r="908" spans="1:135" ht="14.25" customHeight="1">
      <c r="A908" s="18"/>
      <c r="B908" s="18"/>
      <c r="C908" s="19"/>
      <c r="D908" s="18"/>
      <c r="E908" s="18"/>
      <c r="F908" s="19"/>
      <c r="G908" s="18"/>
      <c r="H908" s="114"/>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40"/>
      <c r="AL908" s="141"/>
      <c r="AM908" s="141"/>
      <c r="AN908" s="141"/>
      <c r="AO908" s="141"/>
      <c r="AP908" s="141"/>
      <c r="AQ908" s="141"/>
      <c r="AR908" s="141"/>
      <c r="AS908" s="141"/>
      <c r="AT908" s="141"/>
      <c r="AU908" s="141"/>
      <c r="AV908" s="141"/>
      <c r="AW908" s="141"/>
      <c r="AX908" s="141"/>
      <c r="AY908" s="141"/>
      <c r="AZ908" s="141"/>
      <c r="BA908" s="141"/>
      <c r="BB908" s="141"/>
      <c r="BC908" s="141"/>
      <c r="BD908" s="141"/>
      <c r="BE908" s="141"/>
      <c r="BF908" s="141"/>
      <c r="BG908" s="18"/>
      <c r="BH908" s="1"/>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row>
    <row r="909" spans="1:135" ht="14.25" customHeight="1">
      <c r="A909" s="18"/>
      <c r="B909" s="18"/>
      <c r="C909" s="19"/>
      <c r="D909" s="18"/>
      <c r="E909" s="18"/>
      <c r="F909" s="19"/>
      <c r="G909" s="18"/>
      <c r="H909" s="114"/>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40"/>
      <c r="AL909" s="141"/>
      <c r="AM909" s="141"/>
      <c r="AN909" s="141"/>
      <c r="AO909" s="141"/>
      <c r="AP909" s="141"/>
      <c r="AQ909" s="141"/>
      <c r="AR909" s="141"/>
      <c r="AS909" s="141"/>
      <c r="AT909" s="141"/>
      <c r="AU909" s="141"/>
      <c r="AV909" s="141"/>
      <c r="AW909" s="141"/>
      <c r="AX909" s="141"/>
      <c r="AY909" s="141"/>
      <c r="AZ909" s="141"/>
      <c r="BA909" s="141"/>
      <c r="BB909" s="141"/>
      <c r="BC909" s="141"/>
      <c r="BD909" s="141"/>
      <c r="BE909" s="141"/>
      <c r="BF909" s="141"/>
      <c r="BG909" s="18"/>
      <c r="BH909" s="1"/>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row>
    <row r="910" spans="1:135" ht="14.25" customHeight="1">
      <c r="A910" s="18"/>
      <c r="B910" s="18"/>
      <c r="C910" s="19"/>
      <c r="D910" s="18"/>
      <c r="E910" s="18"/>
      <c r="F910" s="19"/>
      <c r="G910" s="18"/>
      <c r="H910" s="114"/>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40"/>
      <c r="AL910" s="141"/>
      <c r="AM910" s="141"/>
      <c r="AN910" s="141"/>
      <c r="AO910" s="141"/>
      <c r="AP910" s="141"/>
      <c r="AQ910" s="141"/>
      <c r="AR910" s="141"/>
      <c r="AS910" s="141"/>
      <c r="AT910" s="141"/>
      <c r="AU910" s="141"/>
      <c r="AV910" s="141"/>
      <c r="AW910" s="141"/>
      <c r="AX910" s="141"/>
      <c r="AY910" s="141"/>
      <c r="AZ910" s="141"/>
      <c r="BA910" s="141"/>
      <c r="BB910" s="141"/>
      <c r="BC910" s="141"/>
      <c r="BD910" s="141"/>
      <c r="BE910" s="141"/>
      <c r="BF910" s="141"/>
      <c r="BG910" s="18"/>
      <c r="BH910" s="1"/>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row>
    <row r="911" spans="1:135" ht="14.25" customHeight="1">
      <c r="A911" s="18"/>
      <c r="B911" s="18"/>
      <c r="C911" s="19"/>
      <c r="D911" s="18"/>
      <c r="E911" s="18"/>
      <c r="F911" s="19"/>
      <c r="G911" s="18"/>
      <c r="H911" s="114"/>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40"/>
      <c r="AL911" s="141"/>
      <c r="AM911" s="141"/>
      <c r="AN911" s="141"/>
      <c r="AO911" s="141"/>
      <c r="AP911" s="141"/>
      <c r="AQ911" s="141"/>
      <c r="AR911" s="141"/>
      <c r="AS911" s="141"/>
      <c r="AT911" s="141"/>
      <c r="AU911" s="141"/>
      <c r="AV911" s="141"/>
      <c r="AW911" s="141"/>
      <c r="AX911" s="141"/>
      <c r="AY911" s="141"/>
      <c r="AZ911" s="141"/>
      <c r="BA911" s="141"/>
      <c r="BB911" s="141"/>
      <c r="BC911" s="141"/>
      <c r="BD911" s="141"/>
      <c r="BE911" s="141"/>
      <c r="BF911" s="141"/>
      <c r="BG911" s="18"/>
      <c r="BH911" s="1"/>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row>
    <row r="912" spans="1:135" ht="14.25" customHeight="1">
      <c r="A912" s="18"/>
      <c r="B912" s="18"/>
      <c r="C912" s="19"/>
      <c r="D912" s="18"/>
      <c r="E912" s="18"/>
      <c r="F912" s="19"/>
      <c r="G912" s="18"/>
      <c r="H912" s="114"/>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40"/>
      <c r="AL912" s="141"/>
      <c r="AM912" s="141"/>
      <c r="AN912" s="141"/>
      <c r="AO912" s="141"/>
      <c r="AP912" s="141"/>
      <c r="AQ912" s="141"/>
      <c r="AR912" s="141"/>
      <c r="AS912" s="141"/>
      <c r="AT912" s="141"/>
      <c r="AU912" s="141"/>
      <c r="AV912" s="141"/>
      <c r="AW912" s="141"/>
      <c r="AX912" s="141"/>
      <c r="AY912" s="141"/>
      <c r="AZ912" s="141"/>
      <c r="BA912" s="141"/>
      <c r="BB912" s="141"/>
      <c r="BC912" s="141"/>
      <c r="BD912" s="141"/>
      <c r="BE912" s="141"/>
      <c r="BF912" s="141"/>
      <c r="BG912" s="18"/>
      <c r="BH912" s="1"/>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row>
    <row r="913" spans="1:135" ht="14.25" customHeight="1">
      <c r="A913" s="18"/>
      <c r="B913" s="18"/>
      <c r="C913" s="19"/>
      <c r="D913" s="18"/>
      <c r="E913" s="18"/>
      <c r="F913" s="19"/>
      <c r="G913" s="18"/>
      <c r="H913" s="114"/>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40"/>
      <c r="AL913" s="141"/>
      <c r="AM913" s="141"/>
      <c r="AN913" s="141"/>
      <c r="AO913" s="141"/>
      <c r="AP913" s="141"/>
      <c r="AQ913" s="141"/>
      <c r="AR913" s="141"/>
      <c r="AS913" s="141"/>
      <c r="AT913" s="141"/>
      <c r="AU913" s="141"/>
      <c r="AV913" s="141"/>
      <c r="AW913" s="141"/>
      <c r="AX913" s="141"/>
      <c r="AY913" s="141"/>
      <c r="AZ913" s="141"/>
      <c r="BA913" s="141"/>
      <c r="BB913" s="141"/>
      <c r="BC913" s="141"/>
      <c r="BD913" s="141"/>
      <c r="BE913" s="141"/>
      <c r="BF913" s="141"/>
      <c r="BG913" s="18"/>
      <c r="BH913" s="1"/>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row>
    <row r="914" spans="1:135" ht="14.25" customHeight="1">
      <c r="A914" s="18"/>
      <c r="B914" s="18"/>
      <c r="C914" s="19"/>
      <c r="D914" s="18"/>
      <c r="E914" s="18"/>
      <c r="F914" s="19"/>
      <c r="G914" s="18"/>
      <c r="H914" s="114"/>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40"/>
      <c r="AL914" s="141"/>
      <c r="AM914" s="141"/>
      <c r="AN914" s="141"/>
      <c r="AO914" s="141"/>
      <c r="AP914" s="141"/>
      <c r="AQ914" s="141"/>
      <c r="AR914" s="141"/>
      <c r="AS914" s="141"/>
      <c r="AT914" s="141"/>
      <c r="AU914" s="141"/>
      <c r="AV914" s="141"/>
      <c r="AW914" s="141"/>
      <c r="AX914" s="141"/>
      <c r="AY914" s="141"/>
      <c r="AZ914" s="141"/>
      <c r="BA914" s="141"/>
      <c r="BB914" s="141"/>
      <c r="BC914" s="141"/>
      <c r="BD914" s="141"/>
      <c r="BE914" s="141"/>
      <c r="BF914" s="141"/>
      <c r="BG914" s="18"/>
      <c r="BH914" s="1"/>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row>
    <row r="915" spans="1:135" ht="14.25" customHeight="1">
      <c r="A915" s="18"/>
      <c r="B915" s="18"/>
      <c r="C915" s="19"/>
      <c r="D915" s="18"/>
      <c r="E915" s="18"/>
      <c r="F915" s="19"/>
      <c r="G915" s="18"/>
      <c r="H915" s="114"/>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40"/>
      <c r="AL915" s="141"/>
      <c r="AM915" s="141"/>
      <c r="AN915" s="141"/>
      <c r="AO915" s="141"/>
      <c r="AP915" s="141"/>
      <c r="AQ915" s="141"/>
      <c r="AR915" s="141"/>
      <c r="AS915" s="141"/>
      <c r="AT915" s="141"/>
      <c r="AU915" s="141"/>
      <c r="AV915" s="141"/>
      <c r="AW915" s="141"/>
      <c r="AX915" s="141"/>
      <c r="AY915" s="141"/>
      <c r="AZ915" s="141"/>
      <c r="BA915" s="141"/>
      <c r="BB915" s="141"/>
      <c r="BC915" s="141"/>
      <c r="BD915" s="141"/>
      <c r="BE915" s="141"/>
      <c r="BF915" s="141"/>
      <c r="BG915" s="18"/>
      <c r="BH915" s="1"/>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row>
    <row r="916" spans="1:135" ht="14.25" customHeight="1">
      <c r="A916" s="18"/>
      <c r="B916" s="18"/>
      <c r="C916" s="19"/>
      <c r="D916" s="18"/>
      <c r="E916" s="18"/>
      <c r="F916" s="19"/>
      <c r="G916" s="18"/>
      <c r="H916" s="114"/>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40"/>
      <c r="AL916" s="141"/>
      <c r="AM916" s="141"/>
      <c r="AN916" s="141"/>
      <c r="AO916" s="141"/>
      <c r="AP916" s="141"/>
      <c r="AQ916" s="141"/>
      <c r="AR916" s="141"/>
      <c r="AS916" s="141"/>
      <c r="AT916" s="141"/>
      <c r="AU916" s="141"/>
      <c r="AV916" s="141"/>
      <c r="AW916" s="141"/>
      <c r="AX916" s="141"/>
      <c r="AY916" s="141"/>
      <c r="AZ916" s="141"/>
      <c r="BA916" s="141"/>
      <c r="BB916" s="141"/>
      <c r="BC916" s="141"/>
      <c r="BD916" s="141"/>
      <c r="BE916" s="141"/>
      <c r="BF916" s="141"/>
      <c r="BG916" s="18"/>
      <c r="BH916" s="1"/>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row>
    <row r="917" spans="1:135" ht="14.25" customHeight="1">
      <c r="A917" s="18"/>
      <c r="B917" s="18"/>
      <c r="C917" s="19"/>
      <c r="D917" s="18"/>
      <c r="E917" s="18"/>
      <c r="F917" s="19"/>
      <c r="G917" s="18"/>
      <c r="H917" s="114"/>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40"/>
      <c r="AL917" s="141"/>
      <c r="AM917" s="141"/>
      <c r="AN917" s="141"/>
      <c r="AO917" s="141"/>
      <c r="AP917" s="141"/>
      <c r="AQ917" s="141"/>
      <c r="AR917" s="141"/>
      <c r="AS917" s="141"/>
      <c r="AT917" s="141"/>
      <c r="AU917" s="141"/>
      <c r="AV917" s="141"/>
      <c r="AW917" s="141"/>
      <c r="AX917" s="141"/>
      <c r="AY917" s="141"/>
      <c r="AZ917" s="141"/>
      <c r="BA917" s="141"/>
      <c r="BB917" s="141"/>
      <c r="BC917" s="141"/>
      <c r="BD917" s="141"/>
      <c r="BE917" s="141"/>
      <c r="BF917" s="141"/>
      <c r="BG917" s="18"/>
      <c r="BH917" s="1"/>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row>
    <row r="918" spans="1:135" ht="14.25" customHeight="1">
      <c r="A918" s="18"/>
      <c r="B918" s="18"/>
      <c r="C918" s="19"/>
      <c r="D918" s="18"/>
      <c r="E918" s="18"/>
      <c r="F918" s="19"/>
      <c r="G918" s="18"/>
      <c r="H918" s="114"/>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40"/>
      <c r="AL918" s="141"/>
      <c r="AM918" s="141"/>
      <c r="AN918" s="141"/>
      <c r="AO918" s="141"/>
      <c r="AP918" s="141"/>
      <c r="AQ918" s="141"/>
      <c r="AR918" s="141"/>
      <c r="AS918" s="141"/>
      <c r="AT918" s="141"/>
      <c r="AU918" s="141"/>
      <c r="AV918" s="141"/>
      <c r="AW918" s="141"/>
      <c r="AX918" s="141"/>
      <c r="AY918" s="141"/>
      <c r="AZ918" s="141"/>
      <c r="BA918" s="141"/>
      <c r="BB918" s="141"/>
      <c r="BC918" s="141"/>
      <c r="BD918" s="141"/>
      <c r="BE918" s="141"/>
      <c r="BF918" s="141"/>
      <c r="BG918" s="18"/>
      <c r="BH918" s="1"/>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row>
    <row r="919" spans="1:135" ht="14.25" customHeight="1">
      <c r="A919" s="18"/>
      <c r="B919" s="18"/>
      <c r="C919" s="19"/>
      <c r="D919" s="18"/>
      <c r="E919" s="18"/>
      <c r="F919" s="19"/>
      <c r="G919" s="18"/>
      <c r="H919" s="114"/>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40"/>
      <c r="AL919" s="141"/>
      <c r="AM919" s="141"/>
      <c r="AN919" s="141"/>
      <c r="AO919" s="141"/>
      <c r="AP919" s="141"/>
      <c r="AQ919" s="141"/>
      <c r="AR919" s="141"/>
      <c r="AS919" s="141"/>
      <c r="AT919" s="141"/>
      <c r="AU919" s="141"/>
      <c r="AV919" s="141"/>
      <c r="AW919" s="141"/>
      <c r="AX919" s="141"/>
      <c r="AY919" s="141"/>
      <c r="AZ919" s="141"/>
      <c r="BA919" s="141"/>
      <c r="BB919" s="141"/>
      <c r="BC919" s="141"/>
      <c r="BD919" s="141"/>
      <c r="BE919" s="141"/>
      <c r="BF919" s="141"/>
      <c r="BG919" s="18"/>
      <c r="BH919" s="1"/>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row>
    <row r="920" spans="1:135" ht="14.25" customHeight="1">
      <c r="A920" s="18"/>
      <c r="B920" s="18"/>
      <c r="C920" s="19"/>
      <c r="D920" s="18"/>
      <c r="E920" s="18"/>
      <c r="F920" s="19"/>
      <c r="G920" s="18"/>
      <c r="H920" s="114"/>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40"/>
      <c r="AL920" s="141"/>
      <c r="AM920" s="141"/>
      <c r="AN920" s="141"/>
      <c r="AO920" s="141"/>
      <c r="AP920" s="141"/>
      <c r="AQ920" s="141"/>
      <c r="AR920" s="141"/>
      <c r="AS920" s="141"/>
      <c r="AT920" s="141"/>
      <c r="AU920" s="141"/>
      <c r="AV920" s="141"/>
      <c r="AW920" s="141"/>
      <c r="AX920" s="141"/>
      <c r="AY920" s="141"/>
      <c r="AZ920" s="141"/>
      <c r="BA920" s="141"/>
      <c r="BB920" s="141"/>
      <c r="BC920" s="141"/>
      <c r="BD920" s="141"/>
      <c r="BE920" s="141"/>
      <c r="BF920" s="141"/>
      <c r="BG920" s="18"/>
      <c r="BH920" s="1"/>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row>
    <row r="921" spans="1:135" ht="14.25" customHeight="1">
      <c r="A921" s="18"/>
      <c r="B921" s="18"/>
      <c r="C921" s="19"/>
      <c r="D921" s="18"/>
      <c r="E921" s="18"/>
      <c r="F921" s="19"/>
      <c r="G921" s="18"/>
      <c r="H921" s="114"/>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40"/>
      <c r="AL921" s="141"/>
      <c r="AM921" s="141"/>
      <c r="AN921" s="141"/>
      <c r="AO921" s="141"/>
      <c r="AP921" s="141"/>
      <c r="AQ921" s="141"/>
      <c r="AR921" s="141"/>
      <c r="AS921" s="141"/>
      <c r="AT921" s="141"/>
      <c r="AU921" s="141"/>
      <c r="AV921" s="141"/>
      <c r="AW921" s="141"/>
      <c r="AX921" s="141"/>
      <c r="AY921" s="141"/>
      <c r="AZ921" s="141"/>
      <c r="BA921" s="141"/>
      <c r="BB921" s="141"/>
      <c r="BC921" s="141"/>
      <c r="BD921" s="141"/>
      <c r="BE921" s="141"/>
      <c r="BF921" s="141"/>
      <c r="BG921" s="18"/>
      <c r="BH921" s="1"/>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row>
    <row r="922" spans="1:135" ht="14.25" customHeight="1">
      <c r="A922" s="18"/>
      <c r="B922" s="18"/>
      <c r="C922" s="19"/>
      <c r="D922" s="18"/>
      <c r="E922" s="18"/>
      <c r="F922" s="19"/>
      <c r="G922" s="18"/>
      <c r="H922" s="114"/>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40"/>
      <c r="AL922" s="141"/>
      <c r="AM922" s="141"/>
      <c r="AN922" s="141"/>
      <c r="AO922" s="141"/>
      <c r="AP922" s="141"/>
      <c r="AQ922" s="141"/>
      <c r="AR922" s="141"/>
      <c r="AS922" s="141"/>
      <c r="AT922" s="141"/>
      <c r="AU922" s="141"/>
      <c r="AV922" s="141"/>
      <c r="AW922" s="141"/>
      <c r="AX922" s="141"/>
      <c r="AY922" s="141"/>
      <c r="AZ922" s="141"/>
      <c r="BA922" s="141"/>
      <c r="BB922" s="141"/>
      <c r="BC922" s="141"/>
      <c r="BD922" s="141"/>
      <c r="BE922" s="141"/>
      <c r="BF922" s="141"/>
      <c r="BG922" s="18"/>
      <c r="BH922" s="1"/>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row>
    <row r="923" spans="1:135" ht="14.25" customHeight="1">
      <c r="A923" s="18"/>
      <c r="B923" s="18"/>
      <c r="C923" s="19"/>
      <c r="D923" s="18"/>
      <c r="E923" s="18"/>
      <c r="F923" s="19"/>
      <c r="G923" s="18"/>
      <c r="H923" s="114"/>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40"/>
      <c r="AL923" s="141"/>
      <c r="AM923" s="141"/>
      <c r="AN923" s="141"/>
      <c r="AO923" s="141"/>
      <c r="AP923" s="141"/>
      <c r="AQ923" s="141"/>
      <c r="AR923" s="141"/>
      <c r="AS923" s="141"/>
      <c r="AT923" s="141"/>
      <c r="AU923" s="141"/>
      <c r="AV923" s="141"/>
      <c r="AW923" s="141"/>
      <c r="AX923" s="141"/>
      <c r="AY923" s="141"/>
      <c r="AZ923" s="141"/>
      <c r="BA923" s="141"/>
      <c r="BB923" s="141"/>
      <c r="BC923" s="141"/>
      <c r="BD923" s="141"/>
      <c r="BE923" s="141"/>
      <c r="BF923" s="141"/>
      <c r="BG923" s="18"/>
      <c r="BH923" s="1"/>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row>
    <row r="924" spans="1:135" ht="14.25" customHeight="1">
      <c r="A924" s="18"/>
      <c r="B924" s="18"/>
      <c r="C924" s="19"/>
      <c r="D924" s="18"/>
      <c r="E924" s="18"/>
      <c r="F924" s="19"/>
      <c r="G924" s="18"/>
      <c r="H924" s="114"/>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40"/>
      <c r="AL924" s="141"/>
      <c r="AM924" s="141"/>
      <c r="AN924" s="141"/>
      <c r="AO924" s="141"/>
      <c r="AP924" s="141"/>
      <c r="AQ924" s="141"/>
      <c r="AR924" s="141"/>
      <c r="AS924" s="141"/>
      <c r="AT924" s="141"/>
      <c r="AU924" s="141"/>
      <c r="AV924" s="141"/>
      <c r="AW924" s="141"/>
      <c r="AX924" s="141"/>
      <c r="AY924" s="141"/>
      <c r="AZ924" s="141"/>
      <c r="BA924" s="141"/>
      <c r="BB924" s="141"/>
      <c r="BC924" s="141"/>
      <c r="BD924" s="141"/>
      <c r="BE924" s="141"/>
      <c r="BF924" s="141"/>
      <c r="BG924" s="18"/>
      <c r="BH924" s="1"/>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row>
    <row r="925" spans="1:135" ht="14.25" customHeight="1">
      <c r="A925" s="18"/>
      <c r="B925" s="18"/>
      <c r="C925" s="19"/>
      <c r="D925" s="18"/>
      <c r="E925" s="18"/>
      <c r="F925" s="19"/>
      <c r="G925" s="18"/>
      <c r="H925" s="114"/>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40"/>
      <c r="AL925" s="141"/>
      <c r="AM925" s="141"/>
      <c r="AN925" s="141"/>
      <c r="AO925" s="141"/>
      <c r="AP925" s="141"/>
      <c r="AQ925" s="141"/>
      <c r="AR925" s="141"/>
      <c r="AS925" s="141"/>
      <c r="AT925" s="141"/>
      <c r="AU925" s="141"/>
      <c r="AV925" s="141"/>
      <c r="AW925" s="141"/>
      <c r="AX925" s="141"/>
      <c r="AY925" s="141"/>
      <c r="AZ925" s="141"/>
      <c r="BA925" s="141"/>
      <c r="BB925" s="141"/>
      <c r="BC925" s="141"/>
      <c r="BD925" s="141"/>
      <c r="BE925" s="141"/>
      <c r="BF925" s="141"/>
      <c r="BG925" s="18"/>
      <c r="BH925" s="1"/>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row>
    <row r="926" spans="1:135" ht="14.25" customHeight="1">
      <c r="A926" s="18"/>
      <c r="B926" s="18"/>
      <c r="C926" s="19"/>
      <c r="D926" s="18"/>
      <c r="E926" s="18"/>
      <c r="F926" s="19"/>
      <c r="G926" s="18"/>
      <c r="H926" s="114"/>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40"/>
      <c r="AL926" s="141"/>
      <c r="AM926" s="141"/>
      <c r="AN926" s="141"/>
      <c r="AO926" s="141"/>
      <c r="AP926" s="141"/>
      <c r="AQ926" s="141"/>
      <c r="AR926" s="141"/>
      <c r="AS926" s="141"/>
      <c r="AT926" s="141"/>
      <c r="AU926" s="141"/>
      <c r="AV926" s="141"/>
      <c r="AW926" s="141"/>
      <c r="AX926" s="141"/>
      <c r="AY926" s="141"/>
      <c r="AZ926" s="141"/>
      <c r="BA926" s="141"/>
      <c r="BB926" s="141"/>
      <c r="BC926" s="141"/>
      <c r="BD926" s="141"/>
      <c r="BE926" s="141"/>
      <c r="BF926" s="141"/>
      <c r="BG926" s="18"/>
      <c r="BH926" s="1"/>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row>
    <row r="927" spans="1:135" ht="14.25" customHeight="1">
      <c r="A927" s="18"/>
      <c r="B927" s="18"/>
      <c r="C927" s="19"/>
      <c r="D927" s="18"/>
      <c r="E927" s="18"/>
      <c r="F927" s="19"/>
      <c r="G927" s="18"/>
      <c r="H927" s="114"/>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40"/>
      <c r="AL927" s="141"/>
      <c r="AM927" s="141"/>
      <c r="AN927" s="141"/>
      <c r="AO927" s="141"/>
      <c r="AP927" s="141"/>
      <c r="AQ927" s="141"/>
      <c r="AR927" s="141"/>
      <c r="AS927" s="141"/>
      <c r="AT927" s="141"/>
      <c r="AU927" s="141"/>
      <c r="AV927" s="141"/>
      <c r="AW927" s="141"/>
      <c r="AX927" s="141"/>
      <c r="AY927" s="141"/>
      <c r="AZ927" s="141"/>
      <c r="BA927" s="141"/>
      <c r="BB927" s="141"/>
      <c r="BC927" s="141"/>
      <c r="BD927" s="141"/>
      <c r="BE927" s="141"/>
      <c r="BF927" s="141"/>
      <c r="BG927" s="18"/>
      <c r="BH927" s="1"/>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row>
    <row r="928" spans="1:135" ht="14.25" customHeight="1">
      <c r="A928" s="18"/>
      <c r="B928" s="18"/>
      <c r="C928" s="19"/>
      <c r="D928" s="18"/>
      <c r="E928" s="18"/>
      <c r="F928" s="19"/>
      <c r="G928" s="18"/>
      <c r="H928" s="114"/>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40"/>
      <c r="AL928" s="141"/>
      <c r="AM928" s="141"/>
      <c r="AN928" s="141"/>
      <c r="AO928" s="141"/>
      <c r="AP928" s="141"/>
      <c r="AQ928" s="141"/>
      <c r="AR928" s="141"/>
      <c r="AS928" s="141"/>
      <c r="AT928" s="141"/>
      <c r="AU928" s="141"/>
      <c r="AV928" s="141"/>
      <c r="AW928" s="141"/>
      <c r="AX928" s="141"/>
      <c r="AY928" s="141"/>
      <c r="AZ928" s="141"/>
      <c r="BA928" s="141"/>
      <c r="BB928" s="141"/>
      <c r="BC928" s="141"/>
      <c r="BD928" s="141"/>
      <c r="BE928" s="141"/>
      <c r="BF928" s="141"/>
      <c r="BG928" s="18"/>
      <c r="BH928" s="1"/>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row>
    <row r="929" spans="1:135" ht="14.25" customHeight="1">
      <c r="A929" s="18"/>
      <c r="B929" s="18"/>
      <c r="C929" s="19"/>
      <c r="D929" s="18"/>
      <c r="E929" s="18"/>
      <c r="F929" s="19"/>
      <c r="G929" s="18"/>
      <c r="H929" s="114"/>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40"/>
      <c r="AL929" s="141"/>
      <c r="AM929" s="141"/>
      <c r="AN929" s="141"/>
      <c r="AO929" s="141"/>
      <c r="AP929" s="141"/>
      <c r="AQ929" s="141"/>
      <c r="AR929" s="141"/>
      <c r="AS929" s="141"/>
      <c r="AT929" s="141"/>
      <c r="AU929" s="141"/>
      <c r="AV929" s="141"/>
      <c r="AW929" s="141"/>
      <c r="AX929" s="141"/>
      <c r="AY929" s="141"/>
      <c r="AZ929" s="141"/>
      <c r="BA929" s="141"/>
      <c r="BB929" s="141"/>
      <c r="BC929" s="141"/>
      <c r="BD929" s="141"/>
      <c r="BE929" s="141"/>
      <c r="BF929" s="141"/>
      <c r="BG929" s="18"/>
      <c r="BH929" s="1"/>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row>
    <row r="930" spans="1:135" ht="14.25" customHeight="1">
      <c r="A930" s="18"/>
      <c r="B930" s="18"/>
      <c r="C930" s="19"/>
      <c r="D930" s="18"/>
      <c r="E930" s="18"/>
      <c r="F930" s="19"/>
      <c r="G930" s="18"/>
      <c r="H930" s="114"/>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40"/>
      <c r="AL930" s="141"/>
      <c r="AM930" s="141"/>
      <c r="AN930" s="141"/>
      <c r="AO930" s="141"/>
      <c r="AP930" s="141"/>
      <c r="AQ930" s="141"/>
      <c r="AR930" s="141"/>
      <c r="AS930" s="141"/>
      <c r="AT930" s="141"/>
      <c r="AU930" s="141"/>
      <c r="AV930" s="141"/>
      <c r="AW930" s="141"/>
      <c r="AX930" s="141"/>
      <c r="AY930" s="141"/>
      <c r="AZ930" s="141"/>
      <c r="BA930" s="141"/>
      <c r="BB930" s="141"/>
      <c r="BC930" s="141"/>
      <c r="BD930" s="141"/>
      <c r="BE930" s="141"/>
      <c r="BF930" s="141"/>
      <c r="BG930" s="18"/>
      <c r="BH930" s="1"/>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row>
    <row r="931" spans="1:135" ht="14.25" customHeight="1">
      <c r="A931" s="18"/>
      <c r="B931" s="18"/>
      <c r="C931" s="19"/>
      <c r="D931" s="18"/>
      <c r="E931" s="18"/>
      <c r="F931" s="19"/>
      <c r="G931" s="18"/>
      <c r="H931" s="114"/>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40"/>
      <c r="AL931" s="141"/>
      <c r="AM931" s="141"/>
      <c r="AN931" s="141"/>
      <c r="AO931" s="141"/>
      <c r="AP931" s="141"/>
      <c r="AQ931" s="141"/>
      <c r="AR931" s="141"/>
      <c r="AS931" s="141"/>
      <c r="AT931" s="141"/>
      <c r="AU931" s="141"/>
      <c r="AV931" s="141"/>
      <c r="AW931" s="141"/>
      <c r="AX931" s="141"/>
      <c r="AY931" s="141"/>
      <c r="AZ931" s="141"/>
      <c r="BA931" s="141"/>
      <c r="BB931" s="141"/>
      <c r="BC931" s="141"/>
      <c r="BD931" s="141"/>
      <c r="BE931" s="141"/>
      <c r="BF931" s="141"/>
      <c r="BG931" s="18"/>
      <c r="BH931" s="1"/>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row>
    <row r="932" spans="1:135" ht="14.25" customHeight="1">
      <c r="A932" s="18"/>
      <c r="B932" s="18"/>
      <c r="C932" s="19"/>
      <c r="D932" s="18"/>
      <c r="E932" s="18"/>
      <c r="F932" s="19"/>
      <c r="G932" s="18"/>
      <c r="H932" s="114"/>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40"/>
      <c r="AL932" s="141"/>
      <c r="AM932" s="141"/>
      <c r="AN932" s="141"/>
      <c r="AO932" s="141"/>
      <c r="AP932" s="141"/>
      <c r="AQ932" s="141"/>
      <c r="AR932" s="141"/>
      <c r="AS932" s="141"/>
      <c r="AT932" s="141"/>
      <c r="AU932" s="141"/>
      <c r="AV932" s="141"/>
      <c r="AW932" s="141"/>
      <c r="AX932" s="141"/>
      <c r="AY932" s="141"/>
      <c r="AZ932" s="141"/>
      <c r="BA932" s="141"/>
      <c r="BB932" s="141"/>
      <c r="BC932" s="141"/>
      <c r="BD932" s="141"/>
      <c r="BE932" s="141"/>
      <c r="BF932" s="141"/>
      <c r="BG932" s="18"/>
      <c r="BH932" s="1"/>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row>
    <row r="933" spans="1:135" ht="14.25" customHeight="1">
      <c r="A933" s="18"/>
      <c r="B933" s="18"/>
      <c r="C933" s="19"/>
      <c r="D933" s="18"/>
      <c r="E933" s="18"/>
      <c r="F933" s="19"/>
      <c r="G933" s="18"/>
      <c r="H933" s="114"/>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40"/>
      <c r="AL933" s="141"/>
      <c r="AM933" s="141"/>
      <c r="AN933" s="141"/>
      <c r="AO933" s="141"/>
      <c r="AP933" s="141"/>
      <c r="AQ933" s="141"/>
      <c r="AR933" s="141"/>
      <c r="AS933" s="141"/>
      <c r="AT933" s="141"/>
      <c r="AU933" s="141"/>
      <c r="AV933" s="141"/>
      <c r="AW933" s="141"/>
      <c r="AX933" s="141"/>
      <c r="AY933" s="141"/>
      <c r="AZ933" s="141"/>
      <c r="BA933" s="141"/>
      <c r="BB933" s="141"/>
      <c r="BC933" s="141"/>
      <c r="BD933" s="141"/>
      <c r="BE933" s="141"/>
      <c r="BF933" s="141"/>
      <c r="BG933" s="18"/>
      <c r="BH933" s="1"/>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row>
    <row r="934" spans="1:135" ht="14.25" customHeight="1">
      <c r="A934" s="18"/>
      <c r="B934" s="18"/>
      <c r="C934" s="19"/>
      <c r="D934" s="18"/>
      <c r="E934" s="18"/>
      <c r="F934" s="19"/>
      <c r="G934" s="18"/>
      <c r="H934" s="114"/>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40"/>
      <c r="AL934" s="141"/>
      <c r="AM934" s="141"/>
      <c r="AN934" s="141"/>
      <c r="AO934" s="141"/>
      <c r="AP934" s="141"/>
      <c r="AQ934" s="141"/>
      <c r="AR934" s="141"/>
      <c r="AS934" s="141"/>
      <c r="AT934" s="141"/>
      <c r="AU934" s="141"/>
      <c r="AV934" s="141"/>
      <c r="AW934" s="141"/>
      <c r="AX934" s="141"/>
      <c r="AY934" s="141"/>
      <c r="AZ934" s="141"/>
      <c r="BA934" s="141"/>
      <c r="BB934" s="141"/>
      <c r="BC934" s="141"/>
      <c r="BD934" s="141"/>
      <c r="BE934" s="141"/>
      <c r="BF934" s="141"/>
      <c r="BG934" s="18"/>
      <c r="BH934" s="1"/>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row>
    <row r="935" spans="1:135" ht="14.25" customHeight="1">
      <c r="A935" s="18"/>
      <c r="B935" s="18"/>
      <c r="C935" s="19"/>
      <c r="D935" s="18"/>
      <c r="E935" s="18"/>
      <c r="F935" s="19"/>
      <c r="G935" s="18"/>
      <c r="H935" s="114"/>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40"/>
      <c r="AL935" s="141"/>
      <c r="AM935" s="141"/>
      <c r="AN935" s="141"/>
      <c r="AO935" s="141"/>
      <c r="AP935" s="141"/>
      <c r="AQ935" s="141"/>
      <c r="AR935" s="141"/>
      <c r="AS935" s="141"/>
      <c r="AT935" s="141"/>
      <c r="AU935" s="141"/>
      <c r="AV935" s="141"/>
      <c r="AW935" s="141"/>
      <c r="AX935" s="141"/>
      <c r="AY935" s="141"/>
      <c r="AZ935" s="141"/>
      <c r="BA935" s="141"/>
      <c r="BB935" s="141"/>
      <c r="BC935" s="141"/>
      <c r="BD935" s="141"/>
      <c r="BE935" s="141"/>
      <c r="BF935" s="141"/>
      <c r="BG935" s="18"/>
      <c r="BH935" s="1"/>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row>
    <row r="936" spans="1:135" ht="14.25" customHeight="1">
      <c r="A936" s="18"/>
      <c r="B936" s="18"/>
      <c r="C936" s="19"/>
      <c r="D936" s="18"/>
      <c r="E936" s="18"/>
      <c r="F936" s="19"/>
      <c r="G936" s="18"/>
      <c r="H936" s="114"/>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40"/>
      <c r="AL936" s="141"/>
      <c r="AM936" s="141"/>
      <c r="AN936" s="141"/>
      <c r="AO936" s="141"/>
      <c r="AP936" s="141"/>
      <c r="AQ936" s="141"/>
      <c r="AR936" s="141"/>
      <c r="AS936" s="141"/>
      <c r="AT936" s="141"/>
      <c r="AU936" s="141"/>
      <c r="AV936" s="141"/>
      <c r="AW936" s="141"/>
      <c r="AX936" s="141"/>
      <c r="AY936" s="141"/>
      <c r="AZ936" s="141"/>
      <c r="BA936" s="141"/>
      <c r="BB936" s="141"/>
      <c r="BC936" s="141"/>
      <c r="BD936" s="141"/>
      <c r="BE936" s="141"/>
      <c r="BF936" s="141"/>
      <c r="BG936" s="18"/>
      <c r="BH936" s="1"/>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row>
    <row r="937" spans="1:135" ht="14.25" customHeight="1">
      <c r="A937" s="18"/>
      <c r="B937" s="18"/>
      <c r="C937" s="19"/>
      <c r="D937" s="18"/>
      <c r="E937" s="18"/>
      <c r="F937" s="19"/>
      <c r="G937" s="18"/>
      <c r="H937" s="114"/>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40"/>
      <c r="AL937" s="141"/>
      <c r="AM937" s="141"/>
      <c r="AN937" s="141"/>
      <c r="AO937" s="141"/>
      <c r="AP937" s="141"/>
      <c r="AQ937" s="141"/>
      <c r="AR937" s="141"/>
      <c r="AS937" s="141"/>
      <c r="AT937" s="141"/>
      <c r="AU937" s="141"/>
      <c r="AV937" s="141"/>
      <c r="AW937" s="141"/>
      <c r="AX937" s="141"/>
      <c r="AY937" s="141"/>
      <c r="AZ937" s="141"/>
      <c r="BA937" s="141"/>
      <c r="BB937" s="141"/>
      <c r="BC937" s="141"/>
      <c r="BD937" s="141"/>
      <c r="BE937" s="141"/>
      <c r="BF937" s="141"/>
      <c r="BG937" s="18"/>
      <c r="BH937" s="1"/>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row>
    <row r="938" spans="1:135" ht="14.25" customHeight="1">
      <c r="A938" s="18"/>
      <c r="B938" s="18"/>
      <c r="C938" s="19"/>
      <c r="D938" s="18"/>
      <c r="E938" s="18"/>
      <c r="F938" s="19"/>
      <c r="G938" s="18"/>
      <c r="H938" s="114"/>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40"/>
      <c r="AL938" s="141"/>
      <c r="AM938" s="141"/>
      <c r="AN938" s="141"/>
      <c r="AO938" s="141"/>
      <c r="AP938" s="141"/>
      <c r="AQ938" s="141"/>
      <c r="AR938" s="141"/>
      <c r="AS938" s="141"/>
      <c r="AT938" s="141"/>
      <c r="AU938" s="141"/>
      <c r="AV938" s="141"/>
      <c r="AW938" s="141"/>
      <c r="AX938" s="141"/>
      <c r="AY938" s="141"/>
      <c r="AZ938" s="141"/>
      <c r="BA938" s="141"/>
      <c r="BB938" s="141"/>
      <c r="BC938" s="141"/>
      <c r="BD938" s="141"/>
      <c r="BE938" s="141"/>
      <c r="BF938" s="141"/>
      <c r="BG938" s="18"/>
      <c r="BH938" s="1"/>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row>
    <row r="939" spans="1:135" ht="14.25" customHeight="1">
      <c r="A939" s="18"/>
      <c r="B939" s="18"/>
      <c r="C939" s="19"/>
      <c r="D939" s="18"/>
      <c r="E939" s="18"/>
      <c r="F939" s="19"/>
      <c r="G939" s="18"/>
      <c r="H939" s="114"/>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40"/>
      <c r="AL939" s="141"/>
      <c r="AM939" s="141"/>
      <c r="AN939" s="141"/>
      <c r="AO939" s="141"/>
      <c r="AP939" s="141"/>
      <c r="AQ939" s="141"/>
      <c r="AR939" s="141"/>
      <c r="AS939" s="141"/>
      <c r="AT939" s="141"/>
      <c r="AU939" s="141"/>
      <c r="AV939" s="141"/>
      <c r="AW939" s="141"/>
      <c r="AX939" s="141"/>
      <c r="AY939" s="141"/>
      <c r="AZ939" s="141"/>
      <c r="BA939" s="141"/>
      <c r="BB939" s="141"/>
      <c r="BC939" s="141"/>
      <c r="BD939" s="141"/>
      <c r="BE939" s="141"/>
      <c r="BF939" s="141"/>
      <c r="BG939" s="18"/>
      <c r="BH939" s="1"/>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row>
    <row r="940" spans="1:135" ht="14.25" customHeight="1">
      <c r="A940" s="18"/>
      <c r="B940" s="18"/>
      <c r="C940" s="19"/>
      <c r="D940" s="18"/>
      <c r="E940" s="18"/>
      <c r="F940" s="19"/>
      <c r="G940" s="18"/>
      <c r="H940" s="114"/>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40"/>
      <c r="AL940" s="141"/>
      <c r="AM940" s="141"/>
      <c r="AN940" s="141"/>
      <c r="AO940" s="141"/>
      <c r="AP940" s="141"/>
      <c r="AQ940" s="141"/>
      <c r="AR940" s="141"/>
      <c r="AS940" s="141"/>
      <c r="AT940" s="141"/>
      <c r="AU940" s="141"/>
      <c r="AV940" s="141"/>
      <c r="AW940" s="141"/>
      <c r="AX940" s="141"/>
      <c r="AY940" s="141"/>
      <c r="AZ940" s="141"/>
      <c r="BA940" s="141"/>
      <c r="BB940" s="141"/>
      <c r="BC940" s="141"/>
      <c r="BD940" s="141"/>
      <c r="BE940" s="141"/>
      <c r="BF940" s="141"/>
      <c r="BG940" s="18"/>
      <c r="BH940" s="1"/>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row>
    <row r="941" spans="1:135" ht="14.25" customHeight="1">
      <c r="A941" s="18"/>
      <c r="B941" s="18"/>
      <c r="C941" s="19"/>
      <c r="D941" s="18"/>
      <c r="E941" s="18"/>
      <c r="F941" s="19"/>
      <c r="G941" s="18"/>
      <c r="H941" s="114"/>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40"/>
      <c r="AL941" s="141"/>
      <c r="AM941" s="141"/>
      <c r="AN941" s="141"/>
      <c r="AO941" s="141"/>
      <c r="AP941" s="141"/>
      <c r="AQ941" s="141"/>
      <c r="AR941" s="141"/>
      <c r="AS941" s="141"/>
      <c r="AT941" s="141"/>
      <c r="AU941" s="141"/>
      <c r="AV941" s="141"/>
      <c r="AW941" s="141"/>
      <c r="AX941" s="141"/>
      <c r="AY941" s="141"/>
      <c r="AZ941" s="141"/>
      <c r="BA941" s="141"/>
      <c r="BB941" s="141"/>
      <c r="BC941" s="141"/>
      <c r="BD941" s="141"/>
      <c r="BE941" s="141"/>
      <c r="BF941" s="141"/>
      <c r="BG941" s="18"/>
      <c r="BH941" s="1"/>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row>
    <row r="942" spans="1:135" ht="14.25" customHeight="1">
      <c r="A942" s="18"/>
      <c r="B942" s="18"/>
      <c r="C942" s="19"/>
      <c r="D942" s="18"/>
      <c r="E942" s="18"/>
      <c r="F942" s="19"/>
      <c r="G942" s="18"/>
      <c r="H942" s="114"/>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40"/>
      <c r="AL942" s="141"/>
      <c r="AM942" s="141"/>
      <c r="AN942" s="141"/>
      <c r="AO942" s="141"/>
      <c r="AP942" s="141"/>
      <c r="AQ942" s="141"/>
      <c r="AR942" s="141"/>
      <c r="AS942" s="141"/>
      <c r="AT942" s="141"/>
      <c r="AU942" s="141"/>
      <c r="AV942" s="141"/>
      <c r="AW942" s="141"/>
      <c r="AX942" s="141"/>
      <c r="AY942" s="141"/>
      <c r="AZ942" s="141"/>
      <c r="BA942" s="141"/>
      <c r="BB942" s="141"/>
      <c r="BC942" s="141"/>
      <c r="BD942" s="141"/>
      <c r="BE942" s="141"/>
      <c r="BF942" s="141"/>
      <c r="BG942" s="18"/>
      <c r="BH942" s="1"/>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row>
    <row r="943" spans="1:135" ht="14.25" customHeight="1">
      <c r="A943" s="18"/>
      <c r="B943" s="18"/>
      <c r="C943" s="19"/>
      <c r="D943" s="18"/>
      <c r="E943" s="18"/>
      <c r="F943" s="19"/>
      <c r="G943" s="18"/>
      <c r="H943" s="114"/>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40"/>
      <c r="AL943" s="141"/>
      <c r="AM943" s="141"/>
      <c r="AN943" s="141"/>
      <c r="AO943" s="141"/>
      <c r="AP943" s="141"/>
      <c r="AQ943" s="141"/>
      <c r="AR943" s="141"/>
      <c r="AS943" s="141"/>
      <c r="AT943" s="141"/>
      <c r="AU943" s="141"/>
      <c r="AV943" s="141"/>
      <c r="AW943" s="141"/>
      <c r="AX943" s="141"/>
      <c r="AY943" s="141"/>
      <c r="AZ943" s="141"/>
      <c r="BA943" s="141"/>
      <c r="BB943" s="141"/>
      <c r="BC943" s="141"/>
      <c r="BD943" s="141"/>
      <c r="BE943" s="141"/>
      <c r="BF943" s="141"/>
      <c r="BG943" s="18"/>
      <c r="BH943" s="1"/>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row>
    <row r="944" spans="1:135" ht="14.25" customHeight="1">
      <c r="A944" s="18"/>
      <c r="B944" s="18"/>
      <c r="C944" s="19"/>
      <c r="D944" s="18"/>
      <c r="E944" s="18"/>
      <c r="F944" s="19"/>
      <c r="G944" s="18"/>
      <c r="H944" s="114"/>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40"/>
      <c r="AL944" s="141"/>
      <c r="AM944" s="141"/>
      <c r="AN944" s="141"/>
      <c r="AO944" s="141"/>
      <c r="AP944" s="141"/>
      <c r="AQ944" s="141"/>
      <c r="AR944" s="141"/>
      <c r="AS944" s="141"/>
      <c r="AT944" s="141"/>
      <c r="AU944" s="141"/>
      <c r="AV944" s="141"/>
      <c r="AW944" s="141"/>
      <c r="AX944" s="141"/>
      <c r="AY944" s="141"/>
      <c r="AZ944" s="141"/>
      <c r="BA944" s="141"/>
      <c r="BB944" s="141"/>
      <c r="BC944" s="141"/>
      <c r="BD944" s="141"/>
      <c r="BE944" s="141"/>
      <c r="BF944" s="141"/>
      <c r="BG944" s="18"/>
      <c r="BH944" s="1"/>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row>
    <row r="945" spans="1:135" ht="14.25" customHeight="1">
      <c r="A945" s="18"/>
      <c r="B945" s="18"/>
      <c r="C945" s="19"/>
      <c r="D945" s="18"/>
      <c r="E945" s="18"/>
      <c r="F945" s="19"/>
      <c r="G945" s="18"/>
      <c r="H945" s="114"/>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40"/>
      <c r="AL945" s="141"/>
      <c r="AM945" s="141"/>
      <c r="AN945" s="141"/>
      <c r="AO945" s="141"/>
      <c r="AP945" s="141"/>
      <c r="AQ945" s="141"/>
      <c r="AR945" s="141"/>
      <c r="AS945" s="141"/>
      <c r="AT945" s="141"/>
      <c r="AU945" s="141"/>
      <c r="AV945" s="141"/>
      <c r="AW945" s="141"/>
      <c r="AX945" s="141"/>
      <c r="AY945" s="141"/>
      <c r="AZ945" s="141"/>
      <c r="BA945" s="141"/>
      <c r="BB945" s="141"/>
      <c r="BC945" s="141"/>
      <c r="BD945" s="141"/>
      <c r="BE945" s="141"/>
      <c r="BF945" s="141"/>
      <c r="BG945" s="18"/>
      <c r="BH945" s="1"/>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row>
    <row r="946" spans="1:135" ht="14.25" customHeight="1">
      <c r="A946" s="18"/>
      <c r="B946" s="18"/>
      <c r="C946" s="19"/>
      <c r="D946" s="18"/>
      <c r="E946" s="18"/>
      <c r="F946" s="19"/>
      <c r="G946" s="18"/>
      <c r="H946" s="114"/>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40"/>
      <c r="AL946" s="141"/>
      <c r="AM946" s="141"/>
      <c r="AN946" s="141"/>
      <c r="AO946" s="141"/>
      <c r="AP946" s="141"/>
      <c r="AQ946" s="141"/>
      <c r="AR946" s="141"/>
      <c r="AS946" s="141"/>
      <c r="AT946" s="141"/>
      <c r="AU946" s="141"/>
      <c r="AV946" s="141"/>
      <c r="AW946" s="141"/>
      <c r="AX946" s="141"/>
      <c r="AY946" s="141"/>
      <c r="AZ946" s="141"/>
      <c r="BA946" s="141"/>
      <c r="BB946" s="141"/>
      <c r="BC946" s="141"/>
      <c r="BD946" s="141"/>
      <c r="BE946" s="141"/>
      <c r="BF946" s="141"/>
      <c r="BG946" s="18"/>
      <c r="BH946" s="1"/>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row>
    <row r="947" spans="1:135" ht="14.25" customHeight="1">
      <c r="A947" s="18"/>
      <c r="B947" s="18"/>
      <c r="C947" s="19"/>
      <c r="D947" s="18"/>
      <c r="E947" s="18"/>
      <c r="F947" s="19"/>
      <c r="G947" s="18"/>
      <c r="H947" s="114"/>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40"/>
      <c r="AL947" s="141"/>
      <c r="AM947" s="141"/>
      <c r="AN947" s="141"/>
      <c r="AO947" s="141"/>
      <c r="AP947" s="141"/>
      <c r="AQ947" s="141"/>
      <c r="AR947" s="141"/>
      <c r="AS947" s="141"/>
      <c r="AT947" s="141"/>
      <c r="AU947" s="141"/>
      <c r="AV947" s="141"/>
      <c r="AW947" s="141"/>
      <c r="AX947" s="141"/>
      <c r="AY947" s="141"/>
      <c r="AZ947" s="141"/>
      <c r="BA947" s="141"/>
      <c r="BB947" s="141"/>
      <c r="BC947" s="141"/>
      <c r="BD947" s="141"/>
      <c r="BE947" s="141"/>
      <c r="BF947" s="141"/>
      <c r="BG947" s="18"/>
      <c r="BH947" s="1"/>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row>
    <row r="948" spans="1:135" ht="14.25" customHeight="1">
      <c r="A948" s="18"/>
      <c r="B948" s="18"/>
      <c r="C948" s="19"/>
      <c r="D948" s="18"/>
      <c r="E948" s="18"/>
      <c r="F948" s="19"/>
      <c r="G948" s="18"/>
      <c r="H948" s="114"/>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40"/>
      <c r="AL948" s="141"/>
      <c r="AM948" s="141"/>
      <c r="AN948" s="141"/>
      <c r="AO948" s="141"/>
      <c r="AP948" s="141"/>
      <c r="AQ948" s="141"/>
      <c r="AR948" s="141"/>
      <c r="AS948" s="141"/>
      <c r="AT948" s="141"/>
      <c r="AU948" s="141"/>
      <c r="AV948" s="141"/>
      <c r="AW948" s="141"/>
      <c r="AX948" s="141"/>
      <c r="AY948" s="141"/>
      <c r="AZ948" s="141"/>
      <c r="BA948" s="141"/>
      <c r="BB948" s="141"/>
      <c r="BC948" s="141"/>
      <c r="BD948" s="141"/>
      <c r="BE948" s="141"/>
      <c r="BF948" s="141"/>
      <c r="BG948" s="18"/>
      <c r="BH948" s="1"/>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row>
    <row r="949" spans="1:135" ht="14.25" customHeight="1">
      <c r="A949" s="18"/>
      <c r="B949" s="18"/>
      <c r="C949" s="19"/>
      <c r="D949" s="18"/>
      <c r="E949" s="18"/>
      <c r="F949" s="19"/>
      <c r="G949" s="18"/>
      <c r="H949" s="114"/>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40"/>
      <c r="AL949" s="141"/>
      <c r="AM949" s="141"/>
      <c r="AN949" s="141"/>
      <c r="AO949" s="141"/>
      <c r="AP949" s="141"/>
      <c r="AQ949" s="141"/>
      <c r="AR949" s="141"/>
      <c r="AS949" s="141"/>
      <c r="AT949" s="141"/>
      <c r="AU949" s="141"/>
      <c r="AV949" s="141"/>
      <c r="AW949" s="141"/>
      <c r="AX949" s="141"/>
      <c r="AY949" s="141"/>
      <c r="AZ949" s="141"/>
      <c r="BA949" s="141"/>
      <c r="BB949" s="141"/>
      <c r="BC949" s="141"/>
      <c r="BD949" s="141"/>
      <c r="BE949" s="141"/>
      <c r="BF949" s="141"/>
      <c r="BG949" s="18"/>
      <c r="BH949" s="1"/>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row>
    <row r="950" spans="1:135" ht="14.25" customHeight="1">
      <c r="A950" s="18"/>
      <c r="B950" s="18"/>
      <c r="C950" s="19"/>
      <c r="D950" s="18"/>
      <c r="E950" s="18"/>
      <c r="F950" s="19"/>
      <c r="G950" s="18"/>
      <c r="H950" s="114"/>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40"/>
      <c r="AL950" s="141"/>
      <c r="AM950" s="141"/>
      <c r="AN950" s="141"/>
      <c r="AO950" s="141"/>
      <c r="AP950" s="141"/>
      <c r="AQ950" s="141"/>
      <c r="AR950" s="141"/>
      <c r="AS950" s="141"/>
      <c r="AT950" s="141"/>
      <c r="AU950" s="141"/>
      <c r="AV950" s="141"/>
      <c r="AW950" s="141"/>
      <c r="AX950" s="141"/>
      <c r="AY950" s="141"/>
      <c r="AZ950" s="141"/>
      <c r="BA950" s="141"/>
      <c r="BB950" s="141"/>
      <c r="BC950" s="141"/>
      <c r="BD950" s="141"/>
      <c r="BE950" s="141"/>
      <c r="BF950" s="141"/>
      <c r="BG950" s="18"/>
      <c r="BH950" s="1"/>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row>
    <row r="951" spans="1:135" ht="14.25" customHeight="1">
      <c r="A951" s="18"/>
      <c r="B951" s="18"/>
      <c r="C951" s="19"/>
      <c r="D951" s="18"/>
      <c r="E951" s="18"/>
      <c r="F951" s="19"/>
      <c r="G951" s="18"/>
      <c r="H951" s="114"/>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40"/>
      <c r="AL951" s="141"/>
      <c r="AM951" s="141"/>
      <c r="AN951" s="141"/>
      <c r="AO951" s="141"/>
      <c r="AP951" s="141"/>
      <c r="AQ951" s="141"/>
      <c r="AR951" s="141"/>
      <c r="AS951" s="141"/>
      <c r="AT951" s="141"/>
      <c r="AU951" s="141"/>
      <c r="AV951" s="141"/>
      <c r="AW951" s="141"/>
      <c r="AX951" s="141"/>
      <c r="AY951" s="141"/>
      <c r="AZ951" s="141"/>
      <c r="BA951" s="141"/>
      <c r="BB951" s="141"/>
      <c r="BC951" s="141"/>
      <c r="BD951" s="141"/>
      <c r="BE951" s="141"/>
      <c r="BF951" s="141"/>
      <c r="BG951" s="18"/>
      <c r="BH951" s="1"/>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row>
    <row r="952" spans="1:135" ht="14.25" customHeight="1">
      <c r="A952" s="18"/>
      <c r="B952" s="18"/>
      <c r="C952" s="19"/>
      <c r="D952" s="18"/>
      <c r="E952" s="18"/>
      <c r="F952" s="19"/>
      <c r="G952" s="18"/>
      <c r="H952" s="114"/>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40"/>
      <c r="AL952" s="141"/>
      <c r="AM952" s="141"/>
      <c r="AN952" s="141"/>
      <c r="AO952" s="141"/>
      <c r="AP952" s="141"/>
      <c r="AQ952" s="141"/>
      <c r="AR952" s="141"/>
      <c r="AS952" s="141"/>
      <c r="AT952" s="141"/>
      <c r="AU952" s="141"/>
      <c r="AV952" s="141"/>
      <c r="AW952" s="141"/>
      <c r="AX952" s="141"/>
      <c r="AY952" s="141"/>
      <c r="AZ952" s="141"/>
      <c r="BA952" s="141"/>
      <c r="BB952" s="141"/>
      <c r="BC952" s="141"/>
      <c r="BD952" s="141"/>
      <c r="BE952" s="141"/>
      <c r="BF952" s="141"/>
      <c r="BG952" s="18"/>
      <c r="BH952" s="1"/>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row>
    <row r="953" spans="1:135" ht="14.25" customHeight="1">
      <c r="A953" s="18"/>
      <c r="B953" s="18"/>
      <c r="C953" s="19"/>
      <c r="D953" s="18"/>
      <c r="E953" s="18"/>
      <c r="F953" s="19"/>
      <c r="G953" s="18"/>
      <c r="H953" s="114"/>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40"/>
      <c r="AL953" s="141"/>
      <c r="AM953" s="141"/>
      <c r="AN953" s="141"/>
      <c r="AO953" s="141"/>
      <c r="AP953" s="141"/>
      <c r="AQ953" s="141"/>
      <c r="AR953" s="141"/>
      <c r="AS953" s="141"/>
      <c r="AT953" s="141"/>
      <c r="AU953" s="141"/>
      <c r="AV953" s="141"/>
      <c r="AW953" s="141"/>
      <c r="AX953" s="141"/>
      <c r="AY953" s="141"/>
      <c r="AZ953" s="141"/>
      <c r="BA953" s="141"/>
      <c r="BB953" s="141"/>
      <c r="BC953" s="141"/>
      <c r="BD953" s="141"/>
      <c r="BE953" s="141"/>
      <c r="BF953" s="141"/>
      <c r="BG953" s="18"/>
      <c r="BH953" s="1"/>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row>
    <row r="954" spans="1:135" ht="14.25" customHeight="1">
      <c r="A954" s="18"/>
      <c r="B954" s="18"/>
      <c r="C954" s="19"/>
      <c r="D954" s="18"/>
      <c r="E954" s="18"/>
      <c r="F954" s="19"/>
      <c r="G954" s="18"/>
      <c r="H954" s="114"/>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40"/>
      <c r="AL954" s="141"/>
      <c r="AM954" s="141"/>
      <c r="AN954" s="141"/>
      <c r="AO954" s="141"/>
      <c r="AP954" s="141"/>
      <c r="AQ954" s="141"/>
      <c r="AR954" s="141"/>
      <c r="AS954" s="141"/>
      <c r="AT954" s="141"/>
      <c r="AU954" s="141"/>
      <c r="AV954" s="141"/>
      <c r="AW954" s="141"/>
      <c r="AX954" s="141"/>
      <c r="AY954" s="141"/>
      <c r="AZ954" s="141"/>
      <c r="BA954" s="141"/>
      <c r="BB954" s="141"/>
      <c r="BC954" s="141"/>
      <c r="BD954" s="141"/>
      <c r="BE954" s="141"/>
      <c r="BF954" s="141"/>
      <c r="BG954" s="18"/>
      <c r="BH954" s="1"/>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row>
    <row r="955" spans="1:135" ht="14.25" customHeight="1">
      <c r="A955" s="18"/>
      <c r="B955" s="18"/>
      <c r="C955" s="19"/>
      <c r="D955" s="18"/>
      <c r="E955" s="18"/>
      <c r="F955" s="19"/>
      <c r="G955" s="18"/>
      <c r="H955" s="114"/>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40"/>
      <c r="AL955" s="141"/>
      <c r="AM955" s="141"/>
      <c r="AN955" s="141"/>
      <c r="AO955" s="141"/>
      <c r="AP955" s="141"/>
      <c r="AQ955" s="141"/>
      <c r="AR955" s="141"/>
      <c r="AS955" s="141"/>
      <c r="AT955" s="141"/>
      <c r="AU955" s="141"/>
      <c r="AV955" s="141"/>
      <c r="AW955" s="141"/>
      <c r="AX955" s="141"/>
      <c r="AY955" s="141"/>
      <c r="AZ955" s="141"/>
      <c r="BA955" s="141"/>
      <c r="BB955" s="141"/>
      <c r="BC955" s="141"/>
      <c r="BD955" s="141"/>
      <c r="BE955" s="141"/>
      <c r="BF955" s="141"/>
      <c r="BG955" s="18"/>
      <c r="BH955" s="1"/>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row>
    <row r="956" spans="1:135" ht="14.25" customHeight="1">
      <c r="A956" s="18"/>
      <c r="B956" s="18"/>
      <c r="C956" s="19"/>
      <c r="D956" s="18"/>
      <c r="E956" s="18"/>
      <c r="F956" s="19"/>
      <c r="G956" s="18"/>
      <c r="H956" s="114"/>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40"/>
      <c r="AL956" s="141"/>
      <c r="AM956" s="141"/>
      <c r="AN956" s="141"/>
      <c r="AO956" s="141"/>
      <c r="AP956" s="141"/>
      <c r="AQ956" s="141"/>
      <c r="AR956" s="141"/>
      <c r="AS956" s="141"/>
      <c r="AT956" s="141"/>
      <c r="AU956" s="141"/>
      <c r="AV956" s="141"/>
      <c r="AW956" s="141"/>
      <c r="AX956" s="141"/>
      <c r="AY956" s="141"/>
      <c r="AZ956" s="141"/>
      <c r="BA956" s="141"/>
      <c r="BB956" s="141"/>
      <c r="BC956" s="141"/>
      <c r="BD956" s="141"/>
      <c r="BE956" s="141"/>
      <c r="BF956" s="141"/>
      <c r="BG956" s="18"/>
      <c r="BH956" s="1"/>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row>
    <row r="957" spans="1:135" ht="14.25" customHeight="1">
      <c r="A957" s="18"/>
      <c r="B957" s="18"/>
      <c r="C957" s="19"/>
      <c r="D957" s="18"/>
      <c r="E957" s="18"/>
      <c r="F957" s="19"/>
      <c r="G957" s="18"/>
      <c r="H957" s="114"/>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40"/>
      <c r="AL957" s="141"/>
      <c r="AM957" s="141"/>
      <c r="AN957" s="141"/>
      <c r="AO957" s="141"/>
      <c r="AP957" s="141"/>
      <c r="AQ957" s="141"/>
      <c r="AR957" s="141"/>
      <c r="AS957" s="141"/>
      <c r="AT957" s="141"/>
      <c r="AU957" s="141"/>
      <c r="AV957" s="141"/>
      <c r="AW957" s="141"/>
      <c r="AX957" s="141"/>
      <c r="AY957" s="141"/>
      <c r="AZ957" s="141"/>
      <c r="BA957" s="141"/>
      <c r="BB957" s="141"/>
      <c r="BC957" s="141"/>
      <c r="BD957" s="141"/>
      <c r="BE957" s="141"/>
      <c r="BF957" s="141"/>
      <c r="BG957" s="18"/>
      <c r="BH957" s="1"/>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row>
    <row r="958" spans="1:135" ht="14.25" customHeight="1">
      <c r="A958" s="18"/>
      <c r="B958" s="18"/>
      <c r="C958" s="19"/>
      <c r="D958" s="18"/>
      <c r="E958" s="18"/>
      <c r="F958" s="19"/>
      <c r="G958" s="18"/>
      <c r="H958" s="114"/>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40"/>
      <c r="AL958" s="141"/>
      <c r="AM958" s="141"/>
      <c r="AN958" s="141"/>
      <c r="AO958" s="141"/>
      <c r="AP958" s="141"/>
      <c r="AQ958" s="141"/>
      <c r="AR958" s="141"/>
      <c r="AS958" s="141"/>
      <c r="AT958" s="141"/>
      <c r="AU958" s="141"/>
      <c r="AV958" s="141"/>
      <c r="AW958" s="141"/>
      <c r="AX958" s="141"/>
      <c r="AY958" s="141"/>
      <c r="AZ958" s="141"/>
      <c r="BA958" s="141"/>
      <c r="BB958" s="141"/>
      <c r="BC958" s="141"/>
      <c r="BD958" s="141"/>
      <c r="BE958" s="141"/>
      <c r="BF958" s="141"/>
      <c r="BG958" s="18"/>
      <c r="BH958" s="1"/>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row>
    <row r="959" spans="1:135" ht="14.25" customHeight="1">
      <c r="A959" s="18"/>
      <c r="B959" s="18"/>
      <c r="C959" s="19"/>
      <c r="D959" s="18"/>
      <c r="E959" s="18"/>
      <c r="F959" s="19"/>
      <c r="G959" s="18"/>
      <c r="H959" s="114"/>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40"/>
      <c r="AL959" s="141"/>
      <c r="AM959" s="141"/>
      <c r="AN959" s="141"/>
      <c r="AO959" s="141"/>
      <c r="AP959" s="141"/>
      <c r="AQ959" s="141"/>
      <c r="AR959" s="141"/>
      <c r="AS959" s="141"/>
      <c r="AT959" s="141"/>
      <c r="AU959" s="141"/>
      <c r="AV959" s="141"/>
      <c r="AW959" s="141"/>
      <c r="AX959" s="141"/>
      <c r="AY959" s="141"/>
      <c r="AZ959" s="141"/>
      <c r="BA959" s="141"/>
      <c r="BB959" s="141"/>
      <c r="BC959" s="141"/>
      <c r="BD959" s="141"/>
      <c r="BE959" s="141"/>
      <c r="BF959" s="141"/>
      <c r="BG959" s="18"/>
      <c r="BH959" s="1"/>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row>
    <row r="960" spans="1:135" ht="14.25" customHeight="1">
      <c r="A960" s="18"/>
      <c r="B960" s="18"/>
      <c r="C960" s="19"/>
      <c r="D960" s="18"/>
      <c r="E960" s="18"/>
      <c r="F960" s="19"/>
      <c r="G960" s="18"/>
      <c r="H960" s="114"/>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40"/>
      <c r="AL960" s="141"/>
      <c r="AM960" s="141"/>
      <c r="AN960" s="141"/>
      <c r="AO960" s="141"/>
      <c r="AP960" s="141"/>
      <c r="AQ960" s="141"/>
      <c r="AR960" s="141"/>
      <c r="AS960" s="141"/>
      <c r="AT960" s="141"/>
      <c r="AU960" s="141"/>
      <c r="AV960" s="141"/>
      <c r="AW960" s="141"/>
      <c r="AX960" s="141"/>
      <c r="AY960" s="141"/>
      <c r="AZ960" s="141"/>
      <c r="BA960" s="141"/>
      <c r="BB960" s="141"/>
      <c r="BC960" s="141"/>
      <c r="BD960" s="141"/>
      <c r="BE960" s="141"/>
      <c r="BF960" s="141"/>
      <c r="BG960" s="18"/>
      <c r="BH960" s="1"/>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row>
    <row r="961" spans="1:135" ht="14.25" customHeight="1">
      <c r="A961" s="18"/>
      <c r="B961" s="18"/>
      <c r="C961" s="19"/>
      <c r="D961" s="18"/>
      <c r="E961" s="18"/>
      <c r="F961" s="19"/>
      <c r="G961" s="18"/>
      <c r="H961" s="114"/>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40"/>
      <c r="AL961" s="141"/>
      <c r="AM961" s="141"/>
      <c r="AN961" s="141"/>
      <c r="AO961" s="141"/>
      <c r="AP961" s="141"/>
      <c r="AQ961" s="141"/>
      <c r="AR961" s="141"/>
      <c r="AS961" s="141"/>
      <c r="AT961" s="141"/>
      <c r="AU961" s="141"/>
      <c r="AV961" s="141"/>
      <c r="AW961" s="141"/>
      <c r="AX961" s="141"/>
      <c r="AY961" s="141"/>
      <c r="AZ961" s="141"/>
      <c r="BA961" s="141"/>
      <c r="BB961" s="141"/>
      <c r="BC961" s="141"/>
      <c r="BD961" s="141"/>
      <c r="BE961" s="141"/>
      <c r="BF961" s="141"/>
      <c r="BG961" s="18"/>
      <c r="BH961" s="1"/>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row>
    <row r="962" spans="1:135" ht="14.25" customHeight="1">
      <c r="A962" s="18"/>
      <c r="B962" s="18"/>
      <c r="C962" s="19"/>
      <c r="D962" s="18"/>
      <c r="E962" s="18"/>
      <c r="F962" s="19"/>
      <c r="G962" s="18"/>
      <c r="H962" s="114"/>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40"/>
      <c r="AL962" s="141"/>
      <c r="AM962" s="141"/>
      <c r="AN962" s="141"/>
      <c r="AO962" s="141"/>
      <c r="AP962" s="141"/>
      <c r="AQ962" s="141"/>
      <c r="AR962" s="141"/>
      <c r="AS962" s="141"/>
      <c r="AT962" s="141"/>
      <c r="AU962" s="141"/>
      <c r="AV962" s="141"/>
      <c r="AW962" s="141"/>
      <c r="AX962" s="141"/>
      <c r="AY962" s="141"/>
      <c r="AZ962" s="141"/>
      <c r="BA962" s="141"/>
      <c r="BB962" s="141"/>
      <c r="BC962" s="141"/>
      <c r="BD962" s="141"/>
      <c r="BE962" s="141"/>
      <c r="BF962" s="141"/>
      <c r="BG962" s="18"/>
      <c r="BH962" s="1"/>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row>
    <row r="963" spans="1:135" ht="14.25" customHeight="1">
      <c r="A963" s="18"/>
      <c r="B963" s="18"/>
      <c r="C963" s="19"/>
      <c r="D963" s="18"/>
      <c r="E963" s="18"/>
      <c r="F963" s="19"/>
      <c r="G963" s="18"/>
      <c r="H963" s="114"/>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40"/>
      <c r="AL963" s="141"/>
      <c r="AM963" s="141"/>
      <c r="AN963" s="141"/>
      <c r="AO963" s="141"/>
      <c r="AP963" s="141"/>
      <c r="AQ963" s="141"/>
      <c r="AR963" s="141"/>
      <c r="AS963" s="141"/>
      <c r="AT963" s="141"/>
      <c r="AU963" s="141"/>
      <c r="AV963" s="141"/>
      <c r="AW963" s="141"/>
      <c r="AX963" s="141"/>
      <c r="AY963" s="141"/>
      <c r="AZ963" s="141"/>
      <c r="BA963" s="141"/>
      <c r="BB963" s="141"/>
      <c r="BC963" s="141"/>
      <c r="BD963" s="141"/>
      <c r="BE963" s="141"/>
      <c r="BF963" s="141"/>
      <c r="BG963" s="18"/>
      <c r="BH963" s="1"/>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row>
    <row r="964" spans="1:135" ht="14.25" customHeight="1">
      <c r="A964" s="18"/>
      <c r="B964" s="18"/>
      <c r="C964" s="19"/>
      <c r="D964" s="18"/>
      <c r="E964" s="18"/>
      <c r="F964" s="19"/>
      <c r="G964" s="18"/>
      <c r="H964" s="114"/>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40"/>
      <c r="AL964" s="141"/>
      <c r="AM964" s="141"/>
      <c r="AN964" s="141"/>
      <c r="AO964" s="141"/>
      <c r="AP964" s="141"/>
      <c r="AQ964" s="141"/>
      <c r="AR964" s="141"/>
      <c r="AS964" s="141"/>
      <c r="AT964" s="141"/>
      <c r="AU964" s="141"/>
      <c r="AV964" s="141"/>
      <c r="AW964" s="141"/>
      <c r="AX964" s="141"/>
      <c r="AY964" s="141"/>
      <c r="AZ964" s="141"/>
      <c r="BA964" s="141"/>
      <c r="BB964" s="141"/>
      <c r="BC964" s="141"/>
      <c r="BD964" s="141"/>
      <c r="BE964" s="141"/>
      <c r="BF964" s="141"/>
      <c r="BG964" s="18"/>
      <c r="BH964" s="1"/>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row>
    <row r="965" spans="1:135" ht="14.25" customHeight="1">
      <c r="A965" s="18"/>
      <c r="B965" s="18"/>
      <c r="C965" s="19"/>
      <c r="D965" s="18"/>
      <c r="E965" s="18"/>
      <c r="F965" s="19"/>
      <c r="G965" s="18"/>
      <c r="H965" s="114"/>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40"/>
      <c r="AL965" s="141"/>
      <c r="AM965" s="141"/>
      <c r="AN965" s="141"/>
      <c r="AO965" s="141"/>
      <c r="AP965" s="141"/>
      <c r="AQ965" s="141"/>
      <c r="AR965" s="141"/>
      <c r="AS965" s="141"/>
      <c r="AT965" s="141"/>
      <c r="AU965" s="141"/>
      <c r="AV965" s="141"/>
      <c r="AW965" s="141"/>
      <c r="AX965" s="141"/>
      <c r="AY965" s="141"/>
      <c r="AZ965" s="141"/>
      <c r="BA965" s="141"/>
      <c r="BB965" s="141"/>
      <c r="BC965" s="141"/>
      <c r="BD965" s="141"/>
      <c r="BE965" s="141"/>
      <c r="BF965" s="141"/>
      <c r="BG965" s="18"/>
      <c r="BH965" s="1"/>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row>
    <row r="966" spans="1:135" ht="14.25" customHeight="1">
      <c r="A966" s="18"/>
      <c r="B966" s="18"/>
      <c r="C966" s="19"/>
      <c r="D966" s="18"/>
      <c r="E966" s="18"/>
      <c r="F966" s="19"/>
      <c r="G966" s="18"/>
      <c r="H966" s="114"/>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40"/>
      <c r="AL966" s="141"/>
      <c r="AM966" s="141"/>
      <c r="AN966" s="141"/>
      <c r="AO966" s="141"/>
      <c r="AP966" s="141"/>
      <c r="AQ966" s="141"/>
      <c r="AR966" s="141"/>
      <c r="AS966" s="141"/>
      <c r="AT966" s="141"/>
      <c r="AU966" s="141"/>
      <c r="AV966" s="141"/>
      <c r="AW966" s="141"/>
      <c r="AX966" s="141"/>
      <c r="AY966" s="141"/>
      <c r="AZ966" s="141"/>
      <c r="BA966" s="141"/>
      <c r="BB966" s="141"/>
      <c r="BC966" s="141"/>
      <c r="BD966" s="141"/>
      <c r="BE966" s="141"/>
      <c r="BF966" s="141"/>
      <c r="BG966" s="18"/>
      <c r="BH966" s="1"/>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row>
    <row r="967" spans="1:135" ht="14.25" customHeight="1">
      <c r="A967" s="18"/>
      <c r="B967" s="18"/>
      <c r="C967" s="19"/>
      <c r="D967" s="18"/>
      <c r="E967" s="18"/>
      <c r="F967" s="19"/>
      <c r="G967" s="18"/>
      <c r="H967" s="114"/>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40"/>
      <c r="AL967" s="141"/>
      <c r="AM967" s="141"/>
      <c r="AN967" s="141"/>
      <c r="AO967" s="141"/>
      <c r="AP967" s="141"/>
      <c r="AQ967" s="141"/>
      <c r="AR967" s="141"/>
      <c r="AS967" s="141"/>
      <c r="AT967" s="141"/>
      <c r="AU967" s="141"/>
      <c r="AV967" s="141"/>
      <c r="AW967" s="141"/>
      <c r="AX967" s="141"/>
      <c r="AY967" s="141"/>
      <c r="AZ967" s="141"/>
      <c r="BA967" s="141"/>
      <c r="BB967" s="141"/>
      <c r="BC967" s="141"/>
      <c r="BD967" s="141"/>
      <c r="BE967" s="141"/>
      <c r="BF967" s="141"/>
      <c r="BG967" s="18"/>
      <c r="BH967" s="1"/>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row>
    <row r="968" spans="1:135" ht="14.25" customHeight="1">
      <c r="A968" s="18"/>
      <c r="B968" s="18"/>
      <c r="C968" s="19"/>
      <c r="D968" s="18"/>
      <c r="E968" s="18"/>
      <c r="F968" s="19"/>
      <c r="G968" s="18"/>
      <c r="H968" s="114"/>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40"/>
      <c r="AL968" s="141"/>
      <c r="AM968" s="141"/>
      <c r="AN968" s="141"/>
      <c r="AO968" s="141"/>
      <c r="AP968" s="141"/>
      <c r="AQ968" s="141"/>
      <c r="AR968" s="141"/>
      <c r="AS968" s="141"/>
      <c r="AT968" s="141"/>
      <c r="AU968" s="141"/>
      <c r="AV968" s="141"/>
      <c r="AW968" s="141"/>
      <c r="AX968" s="141"/>
      <c r="AY968" s="141"/>
      <c r="AZ968" s="141"/>
      <c r="BA968" s="141"/>
      <c r="BB968" s="141"/>
      <c r="BC968" s="141"/>
      <c r="BD968" s="141"/>
      <c r="BE968" s="141"/>
      <c r="BF968" s="141"/>
      <c r="BG968" s="18"/>
      <c r="BH968" s="1"/>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row>
    <row r="969" spans="1:135" ht="14.25" customHeight="1">
      <c r="A969" s="18"/>
      <c r="B969" s="18"/>
      <c r="C969" s="19"/>
      <c r="D969" s="18"/>
      <c r="E969" s="18"/>
      <c r="F969" s="19"/>
      <c r="G969" s="18"/>
      <c r="H969" s="114"/>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40"/>
      <c r="AL969" s="141"/>
      <c r="AM969" s="141"/>
      <c r="AN969" s="141"/>
      <c r="AO969" s="141"/>
      <c r="AP969" s="141"/>
      <c r="AQ969" s="141"/>
      <c r="AR969" s="141"/>
      <c r="AS969" s="141"/>
      <c r="AT969" s="141"/>
      <c r="AU969" s="141"/>
      <c r="AV969" s="141"/>
      <c r="AW969" s="141"/>
      <c r="AX969" s="141"/>
      <c r="AY969" s="141"/>
      <c r="AZ969" s="141"/>
      <c r="BA969" s="141"/>
      <c r="BB969" s="141"/>
      <c r="BC969" s="141"/>
      <c r="BD969" s="141"/>
      <c r="BE969" s="141"/>
      <c r="BF969" s="141"/>
      <c r="BG969" s="18"/>
      <c r="BH969" s="1"/>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row>
    <row r="970" spans="1:135" ht="14.25" customHeight="1">
      <c r="A970" s="18"/>
      <c r="B970" s="18"/>
      <c r="C970" s="19"/>
      <c r="D970" s="18"/>
      <c r="E970" s="18"/>
      <c r="F970" s="19"/>
      <c r="G970" s="18"/>
      <c r="H970" s="114"/>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40"/>
      <c r="AL970" s="141"/>
      <c r="AM970" s="141"/>
      <c r="AN970" s="141"/>
      <c r="AO970" s="141"/>
      <c r="AP970" s="141"/>
      <c r="AQ970" s="141"/>
      <c r="AR970" s="141"/>
      <c r="AS970" s="141"/>
      <c r="AT970" s="141"/>
      <c r="AU970" s="141"/>
      <c r="AV970" s="141"/>
      <c r="AW970" s="141"/>
      <c r="AX970" s="141"/>
      <c r="AY970" s="141"/>
      <c r="AZ970" s="141"/>
      <c r="BA970" s="141"/>
      <c r="BB970" s="141"/>
      <c r="BC970" s="141"/>
      <c r="BD970" s="141"/>
      <c r="BE970" s="141"/>
      <c r="BF970" s="141"/>
      <c r="BG970" s="18"/>
      <c r="BH970" s="1"/>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row>
    <row r="971" spans="1:135" ht="14.25" customHeight="1">
      <c r="A971" s="18"/>
      <c r="B971" s="18"/>
      <c r="C971" s="19"/>
      <c r="D971" s="18"/>
      <c r="E971" s="18"/>
      <c r="F971" s="19"/>
      <c r="G971" s="18"/>
      <c r="H971" s="114"/>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40"/>
      <c r="AL971" s="141"/>
      <c r="AM971" s="141"/>
      <c r="AN971" s="141"/>
      <c r="AO971" s="141"/>
      <c r="AP971" s="141"/>
      <c r="AQ971" s="141"/>
      <c r="AR971" s="141"/>
      <c r="AS971" s="141"/>
      <c r="AT971" s="141"/>
      <c r="AU971" s="141"/>
      <c r="AV971" s="141"/>
      <c r="AW971" s="141"/>
      <c r="AX971" s="141"/>
      <c r="AY971" s="141"/>
      <c r="AZ971" s="141"/>
      <c r="BA971" s="141"/>
      <c r="BB971" s="141"/>
      <c r="BC971" s="141"/>
      <c r="BD971" s="141"/>
      <c r="BE971" s="141"/>
      <c r="BF971" s="141"/>
      <c r="BG971" s="18"/>
      <c r="BH971" s="1"/>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row>
    <row r="972" spans="1:135" ht="14.25" customHeight="1">
      <c r="A972" s="18"/>
      <c r="B972" s="18"/>
      <c r="C972" s="19"/>
      <c r="D972" s="18"/>
      <c r="E972" s="18"/>
      <c r="F972" s="19"/>
      <c r="G972" s="18"/>
      <c r="H972" s="114"/>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40"/>
      <c r="AL972" s="141"/>
      <c r="AM972" s="141"/>
      <c r="AN972" s="141"/>
      <c r="AO972" s="141"/>
      <c r="AP972" s="141"/>
      <c r="AQ972" s="141"/>
      <c r="AR972" s="141"/>
      <c r="AS972" s="141"/>
      <c r="AT972" s="141"/>
      <c r="AU972" s="141"/>
      <c r="AV972" s="141"/>
      <c r="AW972" s="141"/>
      <c r="AX972" s="141"/>
      <c r="AY972" s="141"/>
      <c r="AZ972" s="141"/>
      <c r="BA972" s="141"/>
      <c r="BB972" s="141"/>
      <c r="BC972" s="141"/>
      <c r="BD972" s="141"/>
      <c r="BE972" s="141"/>
      <c r="BF972" s="141"/>
      <c r="BG972" s="18"/>
      <c r="BH972" s="1"/>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row>
    <row r="973" spans="1:135" ht="14.25" customHeight="1">
      <c r="A973" s="18"/>
      <c r="B973" s="18"/>
      <c r="C973" s="19"/>
      <c r="D973" s="18"/>
      <c r="E973" s="18"/>
      <c r="F973" s="19"/>
      <c r="G973" s="18"/>
      <c r="H973" s="114"/>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40"/>
      <c r="AL973" s="141"/>
      <c r="AM973" s="141"/>
      <c r="AN973" s="141"/>
      <c r="AO973" s="141"/>
      <c r="AP973" s="141"/>
      <c r="AQ973" s="141"/>
      <c r="AR973" s="141"/>
      <c r="AS973" s="141"/>
      <c r="AT973" s="141"/>
      <c r="AU973" s="141"/>
      <c r="AV973" s="141"/>
      <c r="AW973" s="141"/>
      <c r="AX973" s="141"/>
      <c r="AY973" s="141"/>
      <c r="AZ973" s="141"/>
      <c r="BA973" s="141"/>
      <c r="BB973" s="141"/>
      <c r="BC973" s="141"/>
      <c r="BD973" s="141"/>
      <c r="BE973" s="141"/>
      <c r="BF973" s="141"/>
      <c r="BG973" s="18"/>
      <c r="BH973" s="1"/>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row>
    <row r="974" spans="1:135" ht="14.25" customHeight="1">
      <c r="A974" s="18"/>
      <c r="B974" s="18"/>
      <c r="C974" s="19"/>
      <c r="D974" s="18"/>
      <c r="E974" s="18"/>
      <c r="F974" s="19"/>
      <c r="G974" s="18"/>
      <c r="H974" s="114"/>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40"/>
      <c r="AL974" s="141"/>
      <c r="AM974" s="141"/>
      <c r="AN974" s="141"/>
      <c r="AO974" s="141"/>
      <c r="AP974" s="141"/>
      <c r="AQ974" s="141"/>
      <c r="AR974" s="141"/>
      <c r="AS974" s="141"/>
      <c r="AT974" s="141"/>
      <c r="AU974" s="141"/>
      <c r="AV974" s="141"/>
      <c r="AW974" s="141"/>
      <c r="AX974" s="141"/>
      <c r="AY974" s="141"/>
      <c r="AZ974" s="141"/>
      <c r="BA974" s="141"/>
      <c r="BB974" s="141"/>
      <c r="BC974" s="141"/>
      <c r="BD974" s="141"/>
      <c r="BE974" s="141"/>
      <c r="BF974" s="141"/>
      <c r="BG974" s="18"/>
      <c r="BH974" s="1"/>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row>
    <row r="975" spans="1:135" ht="14.25" customHeight="1">
      <c r="A975" s="18"/>
      <c r="B975" s="18"/>
      <c r="C975" s="19"/>
      <c r="D975" s="18"/>
      <c r="E975" s="18"/>
      <c r="F975" s="19"/>
      <c r="G975" s="18"/>
      <c r="H975" s="114"/>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40"/>
      <c r="AL975" s="141"/>
      <c r="AM975" s="141"/>
      <c r="AN975" s="141"/>
      <c r="AO975" s="141"/>
      <c r="AP975" s="141"/>
      <c r="AQ975" s="141"/>
      <c r="AR975" s="141"/>
      <c r="AS975" s="141"/>
      <c r="AT975" s="141"/>
      <c r="AU975" s="141"/>
      <c r="AV975" s="141"/>
      <c r="AW975" s="141"/>
      <c r="AX975" s="141"/>
      <c r="AY975" s="141"/>
      <c r="AZ975" s="141"/>
      <c r="BA975" s="141"/>
      <c r="BB975" s="141"/>
      <c r="BC975" s="141"/>
      <c r="BD975" s="141"/>
      <c r="BE975" s="141"/>
      <c r="BF975" s="141"/>
      <c r="BG975" s="18"/>
      <c r="BH975" s="1"/>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row>
    <row r="976" spans="1:135" ht="14.25" customHeight="1">
      <c r="A976" s="18"/>
      <c r="B976" s="18"/>
      <c r="C976" s="19"/>
      <c r="D976" s="18"/>
      <c r="E976" s="18"/>
      <c r="F976" s="19"/>
      <c r="G976" s="18"/>
      <c r="H976" s="114"/>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40"/>
      <c r="AL976" s="141"/>
      <c r="AM976" s="141"/>
      <c r="AN976" s="141"/>
      <c r="AO976" s="141"/>
      <c r="AP976" s="141"/>
      <c r="AQ976" s="141"/>
      <c r="AR976" s="141"/>
      <c r="AS976" s="141"/>
      <c r="AT976" s="141"/>
      <c r="AU976" s="141"/>
      <c r="AV976" s="141"/>
      <c r="AW976" s="141"/>
      <c r="AX976" s="141"/>
      <c r="AY976" s="141"/>
      <c r="AZ976" s="141"/>
      <c r="BA976" s="141"/>
      <c r="BB976" s="141"/>
      <c r="BC976" s="141"/>
      <c r="BD976" s="141"/>
      <c r="BE976" s="141"/>
      <c r="BF976" s="141"/>
      <c r="BG976" s="18"/>
      <c r="BH976" s="1"/>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row>
    <row r="977" spans="1:135" ht="14.25" customHeight="1">
      <c r="A977" s="18"/>
      <c r="B977" s="18"/>
      <c r="C977" s="19"/>
      <c r="D977" s="18"/>
      <c r="E977" s="18"/>
      <c r="F977" s="19"/>
      <c r="G977" s="18"/>
      <c r="H977" s="114"/>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40"/>
      <c r="AL977" s="141"/>
      <c r="AM977" s="141"/>
      <c r="AN977" s="141"/>
      <c r="AO977" s="141"/>
      <c r="AP977" s="141"/>
      <c r="AQ977" s="141"/>
      <c r="AR977" s="141"/>
      <c r="AS977" s="141"/>
      <c r="AT977" s="141"/>
      <c r="AU977" s="141"/>
      <c r="AV977" s="141"/>
      <c r="AW977" s="141"/>
      <c r="AX977" s="141"/>
      <c r="AY977" s="141"/>
      <c r="AZ977" s="141"/>
      <c r="BA977" s="141"/>
      <c r="BB977" s="141"/>
      <c r="BC977" s="141"/>
      <c r="BD977" s="141"/>
      <c r="BE977" s="141"/>
      <c r="BF977" s="141"/>
      <c r="BG977" s="18"/>
      <c r="BH977" s="1"/>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row>
    <row r="978" spans="1:135" ht="14.25" customHeight="1">
      <c r="A978" s="18"/>
      <c r="B978" s="18"/>
      <c r="C978" s="19"/>
      <c r="D978" s="18"/>
      <c r="E978" s="18"/>
      <c r="F978" s="19"/>
      <c r="G978" s="18"/>
      <c r="H978" s="114"/>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40"/>
      <c r="AL978" s="141"/>
      <c r="AM978" s="141"/>
      <c r="AN978" s="141"/>
      <c r="AO978" s="141"/>
      <c r="AP978" s="141"/>
      <c r="AQ978" s="141"/>
      <c r="AR978" s="141"/>
      <c r="AS978" s="141"/>
      <c r="AT978" s="141"/>
      <c r="AU978" s="141"/>
      <c r="AV978" s="141"/>
      <c r="AW978" s="141"/>
      <c r="AX978" s="141"/>
      <c r="AY978" s="141"/>
      <c r="AZ978" s="141"/>
      <c r="BA978" s="141"/>
      <c r="BB978" s="141"/>
      <c r="BC978" s="141"/>
      <c r="BD978" s="141"/>
      <c r="BE978" s="141"/>
      <c r="BF978" s="141"/>
      <c r="BG978" s="18"/>
      <c r="BH978" s="1"/>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row>
    <row r="979" spans="1:135" ht="14.25" customHeight="1">
      <c r="A979" s="18"/>
      <c r="B979" s="18"/>
      <c r="C979" s="19"/>
      <c r="D979" s="18"/>
      <c r="E979" s="18"/>
      <c r="F979" s="19"/>
      <c r="G979" s="18"/>
      <c r="H979" s="114"/>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40"/>
      <c r="AL979" s="141"/>
      <c r="AM979" s="141"/>
      <c r="AN979" s="141"/>
      <c r="AO979" s="141"/>
      <c r="AP979" s="141"/>
      <c r="AQ979" s="141"/>
      <c r="AR979" s="141"/>
      <c r="AS979" s="141"/>
      <c r="AT979" s="141"/>
      <c r="AU979" s="141"/>
      <c r="AV979" s="141"/>
      <c r="AW979" s="141"/>
      <c r="AX979" s="141"/>
      <c r="AY979" s="141"/>
      <c r="AZ979" s="141"/>
      <c r="BA979" s="141"/>
      <c r="BB979" s="141"/>
      <c r="BC979" s="141"/>
      <c r="BD979" s="141"/>
      <c r="BE979" s="141"/>
      <c r="BF979" s="141"/>
      <c r="BG979" s="18"/>
      <c r="BH979" s="1"/>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row>
    <row r="980" spans="1:135" ht="14.25" customHeight="1">
      <c r="A980" s="18"/>
      <c r="B980" s="18"/>
      <c r="C980" s="19"/>
      <c r="D980" s="18"/>
      <c r="E980" s="18"/>
      <c r="F980" s="19"/>
      <c r="G980" s="18"/>
      <c r="H980" s="114"/>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40"/>
      <c r="AL980" s="141"/>
      <c r="AM980" s="141"/>
      <c r="AN980" s="141"/>
      <c r="AO980" s="141"/>
      <c r="AP980" s="141"/>
      <c r="AQ980" s="141"/>
      <c r="AR980" s="141"/>
      <c r="AS980" s="141"/>
      <c r="AT980" s="141"/>
      <c r="AU980" s="141"/>
      <c r="AV980" s="141"/>
      <c r="AW980" s="141"/>
      <c r="AX980" s="141"/>
      <c r="AY980" s="141"/>
      <c r="AZ980" s="141"/>
      <c r="BA980" s="141"/>
      <c r="BB980" s="141"/>
      <c r="BC980" s="141"/>
      <c r="BD980" s="141"/>
      <c r="BE980" s="141"/>
      <c r="BF980" s="141"/>
      <c r="BG980" s="18"/>
      <c r="BH980" s="1"/>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row>
    <row r="981" spans="1:135" ht="14.25" customHeight="1">
      <c r="A981" s="18"/>
      <c r="B981" s="18"/>
      <c r="C981" s="19"/>
      <c r="D981" s="18"/>
      <c r="E981" s="18"/>
      <c r="F981" s="19"/>
      <c r="G981" s="18"/>
      <c r="H981" s="114"/>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40"/>
      <c r="AL981" s="141"/>
      <c r="AM981" s="141"/>
      <c r="AN981" s="141"/>
      <c r="AO981" s="141"/>
      <c r="AP981" s="141"/>
      <c r="AQ981" s="141"/>
      <c r="AR981" s="141"/>
      <c r="AS981" s="141"/>
      <c r="AT981" s="141"/>
      <c r="AU981" s="141"/>
      <c r="AV981" s="141"/>
      <c r="AW981" s="141"/>
      <c r="AX981" s="141"/>
      <c r="AY981" s="141"/>
      <c r="AZ981" s="141"/>
      <c r="BA981" s="141"/>
      <c r="BB981" s="141"/>
      <c r="BC981" s="141"/>
      <c r="BD981" s="141"/>
      <c r="BE981" s="141"/>
      <c r="BF981" s="141"/>
      <c r="BG981" s="18"/>
      <c r="BH981" s="1"/>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row>
    <row r="982" spans="1:135" ht="14.25" customHeight="1">
      <c r="A982" s="18"/>
      <c r="B982" s="18"/>
      <c r="C982" s="19"/>
      <c r="D982" s="18"/>
      <c r="E982" s="18"/>
      <c r="F982" s="19"/>
      <c r="G982" s="18"/>
      <c r="H982" s="114"/>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40"/>
      <c r="AL982" s="141"/>
      <c r="AM982" s="141"/>
      <c r="AN982" s="141"/>
      <c r="AO982" s="141"/>
      <c r="AP982" s="141"/>
      <c r="AQ982" s="141"/>
      <c r="AR982" s="141"/>
      <c r="AS982" s="141"/>
      <c r="AT982" s="141"/>
      <c r="AU982" s="141"/>
      <c r="AV982" s="141"/>
      <c r="AW982" s="141"/>
      <c r="AX982" s="141"/>
      <c r="AY982" s="141"/>
      <c r="AZ982" s="141"/>
      <c r="BA982" s="141"/>
      <c r="BB982" s="141"/>
      <c r="BC982" s="141"/>
      <c r="BD982" s="141"/>
      <c r="BE982" s="141"/>
      <c r="BF982" s="141"/>
      <c r="BG982" s="18"/>
      <c r="BH982" s="1"/>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row>
    <row r="983" spans="1:135" ht="14.25" customHeight="1">
      <c r="A983" s="18"/>
      <c r="B983" s="18"/>
      <c r="C983" s="19"/>
      <c r="D983" s="18"/>
      <c r="E983" s="18"/>
      <c r="F983" s="19"/>
      <c r="G983" s="18"/>
      <c r="H983" s="114"/>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40"/>
      <c r="AL983" s="141"/>
      <c r="AM983" s="141"/>
      <c r="AN983" s="141"/>
      <c r="AO983" s="141"/>
      <c r="AP983" s="141"/>
      <c r="AQ983" s="141"/>
      <c r="AR983" s="141"/>
      <c r="AS983" s="141"/>
      <c r="AT983" s="141"/>
      <c r="AU983" s="141"/>
      <c r="AV983" s="141"/>
      <c r="AW983" s="141"/>
      <c r="AX983" s="141"/>
      <c r="AY983" s="141"/>
      <c r="AZ983" s="141"/>
      <c r="BA983" s="141"/>
      <c r="BB983" s="141"/>
      <c r="BC983" s="141"/>
      <c r="BD983" s="141"/>
      <c r="BE983" s="141"/>
      <c r="BF983" s="141"/>
      <c r="BG983" s="18"/>
      <c r="BH983" s="1"/>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row>
    <row r="984" spans="1:135" ht="14.25" customHeight="1">
      <c r="A984" s="18"/>
      <c r="B984" s="18"/>
      <c r="C984" s="19"/>
      <c r="D984" s="18"/>
      <c r="E984" s="18"/>
      <c r="F984" s="19"/>
      <c r="G984" s="18"/>
      <c r="H984" s="114"/>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40"/>
      <c r="AL984" s="141"/>
      <c r="AM984" s="141"/>
      <c r="AN984" s="141"/>
      <c r="AO984" s="141"/>
      <c r="AP984" s="141"/>
      <c r="AQ984" s="141"/>
      <c r="AR984" s="141"/>
      <c r="AS984" s="141"/>
      <c r="AT984" s="141"/>
      <c r="AU984" s="141"/>
      <c r="AV984" s="141"/>
      <c r="AW984" s="141"/>
      <c r="AX984" s="141"/>
      <c r="AY984" s="141"/>
      <c r="AZ984" s="141"/>
      <c r="BA984" s="141"/>
      <c r="BB984" s="141"/>
      <c r="BC984" s="141"/>
      <c r="BD984" s="141"/>
      <c r="BE984" s="141"/>
      <c r="BF984" s="141"/>
      <c r="BG984" s="18"/>
      <c r="BH984" s="1"/>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row>
    <row r="985" spans="1:135" ht="14.25" customHeight="1">
      <c r="A985" s="18"/>
      <c r="B985" s="18"/>
      <c r="C985" s="19"/>
      <c r="D985" s="18"/>
      <c r="E985" s="18"/>
      <c r="F985" s="19"/>
      <c r="G985" s="18"/>
      <c r="H985" s="114"/>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40"/>
      <c r="AL985" s="141"/>
      <c r="AM985" s="141"/>
      <c r="AN985" s="141"/>
      <c r="AO985" s="141"/>
      <c r="AP985" s="141"/>
      <c r="AQ985" s="141"/>
      <c r="AR985" s="141"/>
      <c r="AS985" s="141"/>
      <c r="AT985" s="141"/>
      <c r="AU985" s="141"/>
      <c r="AV985" s="141"/>
      <c r="AW985" s="141"/>
      <c r="AX985" s="141"/>
      <c r="AY985" s="141"/>
      <c r="AZ985" s="141"/>
      <c r="BA985" s="141"/>
      <c r="BB985" s="141"/>
      <c r="BC985" s="141"/>
      <c r="BD985" s="141"/>
      <c r="BE985" s="141"/>
      <c r="BF985" s="141"/>
      <c r="BG985" s="18"/>
      <c r="BH985" s="1"/>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row>
    <row r="986" spans="1:135" ht="14.25" customHeight="1">
      <c r="A986" s="18"/>
      <c r="B986" s="18"/>
      <c r="C986" s="19"/>
      <c r="D986" s="18"/>
      <c r="E986" s="18"/>
      <c r="F986" s="19"/>
      <c r="G986" s="18"/>
      <c r="H986" s="114"/>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40"/>
      <c r="AL986" s="141"/>
      <c r="AM986" s="141"/>
      <c r="AN986" s="141"/>
      <c r="AO986" s="141"/>
      <c r="AP986" s="141"/>
      <c r="AQ986" s="141"/>
      <c r="AR986" s="141"/>
      <c r="AS986" s="141"/>
      <c r="AT986" s="141"/>
      <c r="AU986" s="141"/>
      <c r="AV986" s="141"/>
      <c r="AW986" s="141"/>
      <c r="AX986" s="141"/>
      <c r="AY986" s="141"/>
      <c r="AZ986" s="141"/>
      <c r="BA986" s="141"/>
      <c r="BB986" s="141"/>
      <c r="BC986" s="141"/>
      <c r="BD986" s="141"/>
      <c r="BE986" s="141"/>
      <c r="BF986" s="141"/>
      <c r="BG986" s="18"/>
      <c r="BH986" s="1"/>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row>
    <row r="987" spans="1:135" ht="14.25" customHeight="1">
      <c r="A987" s="18"/>
      <c r="B987" s="18"/>
      <c r="C987" s="19"/>
      <c r="D987" s="18"/>
      <c r="E987" s="18"/>
      <c r="F987" s="19"/>
      <c r="G987" s="18"/>
      <c r="H987" s="114"/>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40"/>
      <c r="AL987" s="141"/>
      <c r="AM987" s="141"/>
      <c r="AN987" s="141"/>
      <c r="AO987" s="141"/>
      <c r="AP987" s="141"/>
      <c r="AQ987" s="141"/>
      <c r="AR987" s="141"/>
      <c r="AS987" s="141"/>
      <c r="AT987" s="141"/>
      <c r="AU987" s="141"/>
      <c r="AV987" s="141"/>
      <c r="AW987" s="141"/>
      <c r="AX987" s="141"/>
      <c r="AY987" s="141"/>
      <c r="AZ987" s="141"/>
      <c r="BA987" s="141"/>
      <c r="BB987" s="141"/>
      <c r="BC987" s="141"/>
      <c r="BD987" s="141"/>
      <c r="BE987" s="141"/>
      <c r="BF987" s="141"/>
      <c r="BG987" s="18"/>
      <c r="BH987" s="1"/>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row>
    <row r="988" spans="1:135" ht="14.25" customHeight="1">
      <c r="A988" s="18"/>
      <c r="B988" s="18"/>
      <c r="C988" s="19"/>
      <c r="D988" s="18"/>
      <c r="E988" s="18"/>
      <c r="F988" s="19"/>
      <c r="G988" s="18"/>
      <c r="H988" s="114"/>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40"/>
      <c r="AL988" s="141"/>
      <c r="AM988" s="141"/>
      <c r="AN988" s="141"/>
      <c r="AO988" s="141"/>
      <c r="AP988" s="141"/>
      <c r="AQ988" s="141"/>
      <c r="AR988" s="141"/>
      <c r="AS988" s="141"/>
      <c r="AT988" s="141"/>
      <c r="AU988" s="141"/>
      <c r="AV988" s="141"/>
      <c r="AW988" s="141"/>
      <c r="AX988" s="141"/>
      <c r="AY988" s="141"/>
      <c r="AZ988" s="141"/>
      <c r="BA988" s="141"/>
      <c r="BB988" s="141"/>
      <c r="BC988" s="141"/>
      <c r="BD988" s="141"/>
      <c r="BE988" s="141"/>
      <c r="BF988" s="141"/>
      <c r="BG988" s="18"/>
      <c r="BH988" s="1"/>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row>
    <row r="989" spans="1:135" ht="14.25" customHeight="1">
      <c r="A989" s="18"/>
      <c r="B989" s="18"/>
      <c r="C989" s="19"/>
      <c r="D989" s="18"/>
      <c r="E989" s="18"/>
      <c r="F989" s="19"/>
      <c r="G989" s="18"/>
      <c r="H989" s="114"/>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40"/>
      <c r="AL989" s="141"/>
      <c r="AM989" s="141"/>
      <c r="AN989" s="141"/>
      <c r="AO989" s="141"/>
      <c r="AP989" s="141"/>
      <c r="AQ989" s="141"/>
      <c r="AR989" s="141"/>
      <c r="AS989" s="141"/>
      <c r="AT989" s="141"/>
      <c r="AU989" s="141"/>
      <c r="AV989" s="141"/>
      <c r="AW989" s="141"/>
      <c r="AX989" s="141"/>
      <c r="AY989" s="141"/>
      <c r="AZ989" s="141"/>
      <c r="BA989" s="141"/>
      <c r="BB989" s="141"/>
      <c r="BC989" s="141"/>
      <c r="BD989" s="141"/>
      <c r="BE989" s="141"/>
      <c r="BF989" s="141"/>
      <c r="BG989" s="18"/>
      <c r="BH989" s="1"/>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row>
    <row r="990" spans="1:135" ht="14.25" customHeight="1">
      <c r="A990" s="18"/>
      <c r="B990" s="18"/>
      <c r="C990" s="19"/>
      <c r="D990" s="18"/>
      <c r="E990" s="18"/>
      <c r="F990" s="19"/>
      <c r="G990" s="18"/>
      <c r="H990" s="114"/>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40"/>
      <c r="AL990" s="141"/>
      <c r="AM990" s="141"/>
      <c r="AN990" s="141"/>
      <c r="AO990" s="141"/>
      <c r="AP990" s="141"/>
      <c r="AQ990" s="141"/>
      <c r="AR990" s="141"/>
      <c r="AS990" s="141"/>
      <c r="AT990" s="141"/>
      <c r="AU990" s="141"/>
      <c r="AV990" s="141"/>
      <c r="AW990" s="141"/>
      <c r="AX990" s="141"/>
      <c r="AY990" s="141"/>
      <c r="AZ990" s="141"/>
      <c r="BA990" s="141"/>
      <c r="BB990" s="141"/>
      <c r="BC990" s="141"/>
      <c r="BD990" s="141"/>
      <c r="BE990" s="141"/>
      <c r="BF990" s="141"/>
      <c r="BG990" s="18"/>
      <c r="BH990" s="1"/>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row>
    <row r="991" spans="1:135" ht="14.25" customHeight="1">
      <c r="A991" s="18"/>
      <c r="B991" s="18"/>
      <c r="C991" s="19"/>
      <c r="D991" s="18"/>
      <c r="E991" s="18"/>
      <c r="F991" s="19"/>
      <c r="G991" s="18"/>
      <c r="H991" s="114"/>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40"/>
      <c r="AL991" s="141"/>
      <c r="AM991" s="141"/>
      <c r="AN991" s="141"/>
      <c r="AO991" s="141"/>
      <c r="AP991" s="141"/>
      <c r="AQ991" s="141"/>
      <c r="AR991" s="141"/>
      <c r="AS991" s="141"/>
      <c r="AT991" s="141"/>
      <c r="AU991" s="141"/>
      <c r="AV991" s="141"/>
      <c r="AW991" s="141"/>
      <c r="AX991" s="141"/>
      <c r="AY991" s="141"/>
      <c r="AZ991" s="141"/>
      <c r="BA991" s="141"/>
      <c r="BB991" s="141"/>
      <c r="BC991" s="141"/>
      <c r="BD991" s="141"/>
      <c r="BE991" s="141"/>
      <c r="BF991" s="141"/>
      <c r="BG991" s="18"/>
      <c r="BH991" s="1"/>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row>
    <row r="992" spans="1:135" ht="14.25" customHeight="1">
      <c r="A992" s="18"/>
      <c r="B992" s="18"/>
      <c r="C992" s="19"/>
      <c r="D992" s="18"/>
      <c r="E992" s="18"/>
      <c r="F992" s="19"/>
      <c r="G992" s="18"/>
      <c r="H992" s="114"/>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40"/>
      <c r="AL992" s="141"/>
      <c r="AM992" s="141"/>
      <c r="AN992" s="141"/>
      <c r="AO992" s="141"/>
      <c r="AP992" s="141"/>
      <c r="AQ992" s="141"/>
      <c r="AR992" s="141"/>
      <c r="AS992" s="141"/>
      <c r="AT992" s="141"/>
      <c r="AU992" s="141"/>
      <c r="AV992" s="141"/>
      <c r="AW992" s="141"/>
      <c r="AX992" s="141"/>
      <c r="AY992" s="141"/>
      <c r="AZ992" s="141"/>
      <c r="BA992" s="141"/>
      <c r="BB992" s="141"/>
      <c r="BC992" s="141"/>
      <c r="BD992" s="141"/>
      <c r="BE992" s="141"/>
      <c r="BF992" s="141"/>
      <c r="BG992" s="18"/>
      <c r="BH992" s="1"/>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row>
    <row r="993" spans="1:135" ht="14.25" customHeight="1">
      <c r="A993" s="18"/>
      <c r="B993" s="18"/>
      <c r="C993" s="19"/>
      <c r="D993" s="18"/>
      <c r="E993" s="18"/>
      <c r="F993" s="19"/>
      <c r="G993" s="18"/>
      <c r="H993" s="114"/>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40"/>
      <c r="AL993" s="141"/>
      <c r="AM993" s="141"/>
      <c r="AN993" s="141"/>
      <c r="AO993" s="141"/>
      <c r="AP993" s="141"/>
      <c r="AQ993" s="141"/>
      <c r="AR993" s="141"/>
      <c r="AS993" s="141"/>
      <c r="AT993" s="141"/>
      <c r="AU993" s="141"/>
      <c r="AV993" s="141"/>
      <c r="AW993" s="141"/>
      <c r="AX993" s="141"/>
      <c r="AY993" s="141"/>
      <c r="AZ993" s="141"/>
      <c r="BA993" s="141"/>
      <c r="BB993" s="141"/>
      <c r="BC993" s="141"/>
      <c r="BD993" s="141"/>
      <c r="BE993" s="141"/>
      <c r="BF993" s="141"/>
      <c r="BG993" s="18"/>
      <c r="BH993" s="1"/>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row>
    <row r="994" spans="1:135" ht="14.25" customHeight="1">
      <c r="A994" s="18"/>
      <c r="B994" s="18"/>
      <c r="C994" s="19"/>
      <c r="D994" s="18"/>
      <c r="E994" s="18"/>
      <c r="F994" s="19"/>
      <c r="G994" s="18"/>
      <c r="H994" s="114"/>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40"/>
      <c r="AL994" s="141"/>
      <c r="AM994" s="141"/>
      <c r="AN994" s="141"/>
      <c r="AO994" s="141"/>
      <c r="AP994" s="141"/>
      <c r="AQ994" s="141"/>
      <c r="AR994" s="141"/>
      <c r="AS994" s="141"/>
      <c r="AT994" s="141"/>
      <c r="AU994" s="141"/>
      <c r="AV994" s="141"/>
      <c r="AW994" s="141"/>
      <c r="AX994" s="141"/>
      <c r="AY994" s="141"/>
      <c r="AZ994" s="141"/>
      <c r="BA994" s="141"/>
      <c r="BB994" s="141"/>
      <c r="BC994" s="141"/>
      <c r="BD994" s="141"/>
      <c r="BE994" s="141"/>
      <c r="BF994" s="141"/>
      <c r="BG994" s="18"/>
      <c r="BH994" s="1"/>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row>
    <row r="995" spans="1:135" ht="14.25" customHeight="1">
      <c r="A995" s="18"/>
      <c r="B995" s="18"/>
      <c r="C995" s="19"/>
      <c r="D995" s="18"/>
      <c r="E995" s="18"/>
      <c r="F995" s="19"/>
      <c r="G995" s="18"/>
      <c r="H995" s="114"/>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40"/>
      <c r="AL995" s="141"/>
      <c r="AM995" s="141"/>
      <c r="AN995" s="141"/>
      <c r="AO995" s="141"/>
      <c r="AP995" s="141"/>
      <c r="AQ995" s="141"/>
      <c r="AR995" s="141"/>
      <c r="AS995" s="141"/>
      <c r="AT995" s="141"/>
      <c r="AU995" s="141"/>
      <c r="AV995" s="141"/>
      <c r="AW995" s="141"/>
      <c r="AX995" s="141"/>
      <c r="AY995" s="141"/>
      <c r="AZ995" s="141"/>
      <c r="BA995" s="141"/>
      <c r="BB995" s="141"/>
      <c r="BC995" s="141"/>
      <c r="BD995" s="141"/>
      <c r="BE995" s="141"/>
      <c r="BF995" s="141"/>
      <c r="BG995" s="18"/>
      <c r="BH995" s="1"/>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row>
    <row r="996" spans="1:135" ht="14.25" customHeight="1">
      <c r="A996" s="18"/>
      <c r="B996" s="18"/>
      <c r="C996" s="19"/>
      <c r="D996" s="18"/>
      <c r="E996" s="18"/>
      <c r="F996" s="19"/>
      <c r="G996" s="18"/>
      <c r="H996" s="114"/>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40"/>
      <c r="AL996" s="141"/>
      <c r="AM996" s="141"/>
      <c r="AN996" s="141"/>
      <c r="AO996" s="141"/>
      <c r="AP996" s="141"/>
      <c r="AQ996" s="141"/>
      <c r="AR996" s="141"/>
      <c r="AS996" s="141"/>
      <c r="AT996" s="141"/>
      <c r="AU996" s="141"/>
      <c r="AV996" s="141"/>
      <c r="AW996" s="141"/>
      <c r="AX996" s="141"/>
      <c r="AY996" s="141"/>
      <c r="AZ996" s="141"/>
      <c r="BA996" s="141"/>
      <c r="BB996" s="141"/>
      <c r="BC996" s="141"/>
      <c r="BD996" s="141"/>
      <c r="BE996" s="141"/>
      <c r="BF996" s="141"/>
      <c r="BG996" s="18"/>
      <c r="BH996" s="1"/>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row>
    <row r="997" spans="1:135" ht="14.25" customHeight="1">
      <c r="A997" s="18"/>
      <c r="B997" s="18"/>
      <c r="C997" s="19"/>
      <c r="D997" s="18"/>
      <c r="E997" s="18"/>
      <c r="F997" s="19"/>
      <c r="G997" s="18"/>
      <c r="H997" s="114"/>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40"/>
      <c r="AL997" s="141"/>
      <c r="AM997" s="141"/>
      <c r="AN997" s="141"/>
      <c r="AO997" s="141"/>
      <c r="AP997" s="141"/>
      <c r="AQ997" s="141"/>
      <c r="AR997" s="141"/>
      <c r="AS997" s="141"/>
      <c r="AT997" s="141"/>
      <c r="AU997" s="141"/>
      <c r="AV997" s="141"/>
      <c r="AW997" s="141"/>
      <c r="AX997" s="141"/>
      <c r="AY997" s="141"/>
      <c r="AZ997" s="141"/>
      <c r="BA997" s="141"/>
      <c r="BB997" s="141"/>
      <c r="BC997" s="141"/>
      <c r="BD997" s="141"/>
      <c r="BE997" s="141"/>
      <c r="BF997" s="141"/>
      <c r="BG997" s="18"/>
      <c r="BH997" s="1"/>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row>
    <row r="998" spans="1:135" ht="14.25" customHeight="1">
      <c r="A998" s="18"/>
      <c r="B998" s="18"/>
      <c r="C998" s="19"/>
      <c r="D998" s="18"/>
      <c r="E998" s="18"/>
      <c r="F998" s="19"/>
      <c r="G998" s="18"/>
      <c r="H998" s="114"/>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40"/>
      <c r="AL998" s="141"/>
      <c r="AM998" s="141"/>
      <c r="AN998" s="141"/>
      <c r="AO998" s="141"/>
      <c r="AP998" s="141"/>
      <c r="AQ998" s="141"/>
      <c r="AR998" s="141"/>
      <c r="AS998" s="141"/>
      <c r="AT998" s="141"/>
      <c r="AU998" s="141"/>
      <c r="AV998" s="141"/>
      <c r="AW998" s="141"/>
      <c r="AX998" s="141"/>
      <c r="AY998" s="141"/>
      <c r="AZ998" s="141"/>
      <c r="BA998" s="141"/>
      <c r="BB998" s="141"/>
      <c r="BC998" s="141"/>
      <c r="BD998" s="141"/>
      <c r="BE998" s="141"/>
      <c r="BF998" s="141"/>
      <c r="BG998" s="18"/>
      <c r="BH998" s="1"/>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row>
    <row r="999" spans="1:135" ht="14.25" customHeight="1">
      <c r="A999" s="18"/>
      <c r="B999" s="18"/>
      <c r="C999" s="19"/>
      <c r="D999" s="18"/>
      <c r="E999" s="18"/>
      <c r="F999" s="19"/>
      <c r="G999" s="18"/>
      <c r="H999" s="114"/>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40"/>
      <c r="AL999" s="141"/>
      <c r="AM999" s="141"/>
      <c r="AN999" s="141"/>
      <c r="AO999" s="141"/>
      <c r="AP999" s="141"/>
      <c r="AQ999" s="141"/>
      <c r="AR999" s="141"/>
      <c r="AS999" s="141"/>
      <c r="AT999" s="141"/>
      <c r="AU999" s="141"/>
      <c r="AV999" s="141"/>
      <c r="AW999" s="141"/>
      <c r="AX999" s="141"/>
      <c r="AY999" s="141"/>
      <c r="AZ999" s="141"/>
      <c r="BA999" s="141"/>
      <c r="BB999" s="141"/>
      <c r="BC999" s="141"/>
      <c r="BD999" s="141"/>
      <c r="BE999" s="141"/>
      <c r="BF999" s="141"/>
      <c r="BG999" s="18"/>
      <c r="BH999" s="1"/>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row>
    <row r="1000" spans="1:135" ht="14.25" customHeight="1">
      <c r="A1000" s="18"/>
      <c r="B1000" s="18"/>
      <c r="C1000" s="19"/>
      <c r="D1000" s="18"/>
      <c r="E1000" s="18"/>
      <c r="F1000" s="19"/>
      <c r="G1000" s="18"/>
      <c r="H1000" s="114"/>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40"/>
      <c r="AL1000" s="141"/>
      <c r="AM1000" s="141"/>
      <c r="AN1000" s="141"/>
      <c r="AO1000" s="141"/>
      <c r="AP1000" s="141"/>
      <c r="AQ1000" s="141"/>
      <c r="AR1000" s="141"/>
      <c r="AS1000" s="141"/>
      <c r="AT1000" s="141"/>
      <c r="AU1000" s="141"/>
      <c r="AV1000" s="141"/>
      <c r="AW1000" s="141"/>
      <c r="AX1000" s="141"/>
      <c r="AY1000" s="141"/>
      <c r="AZ1000" s="141"/>
      <c r="BA1000" s="141"/>
      <c r="BB1000" s="141"/>
      <c r="BC1000" s="141"/>
      <c r="BD1000" s="141"/>
      <c r="BE1000" s="141"/>
      <c r="BF1000" s="141"/>
      <c r="BG1000" s="18"/>
      <c r="BH1000" s="1"/>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row>
    <row r="1001" spans="1:135" ht="14.25" customHeight="1">
      <c r="A1001" s="18"/>
      <c r="B1001" s="18"/>
      <c r="C1001" s="19"/>
      <c r="D1001" s="18"/>
      <c r="E1001" s="18"/>
      <c r="F1001" s="19"/>
      <c r="G1001" s="18"/>
      <c r="H1001" s="114"/>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40"/>
      <c r="AL1001" s="141"/>
      <c r="AM1001" s="141"/>
      <c r="AN1001" s="141"/>
      <c r="AO1001" s="141"/>
      <c r="AP1001" s="141"/>
      <c r="AQ1001" s="141"/>
      <c r="AR1001" s="141"/>
      <c r="AS1001" s="141"/>
      <c r="AT1001" s="141"/>
      <c r="AU1001" s="141"/>
      <c r="AV1001" s="141"/>
      <c r="AW1001" s="141"/>
      <c r="AX1001" s="141"/>
      <c r="AY1001" s="141"/>
      <c r="AZ1001" s="141"/>
      <c r="BA1001" s="141"/>
      <c r="BB1001" s="141"/>
      <c r="BC1001" s="141"/>
      <c r="BD1001" s="141"/>
      <c r="BE1001" s="141"/>
      <c r="BF1001" s="141"/>
      <c r="BG1001" s="18"/>
      <c r="BH1001" s="1"/>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row>
    <row r="1002" spans="1:135" ht="14.25" customHeight="1">
      <c r="A1002" s="18"/>
      <c r="B1002" s="18"/>
      <c r="C1002" s="19"/>
      <c r="D1002" s="18"/>
      <c r="E1002" s="18"/>
      <c r="F1002" s="19"/>
      <c r="G1002" s="18"/>
      <c r="H1002" s="114"/>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40"/>
      <c r="AL1002" s="141"/>
      <c r="AM1002" s="141"/>
      <c r="AN1002" s="141"/>
      <c r="AO1002" s="141"/>
      <c r="AP1002" s="141"/>
      <c r="AQ1002" s="141"/>
      <c r="AR1002" s="141"/>
      <c r="AS1002" s="141"/>
      <c r="AT1002" s="141"/>
      <c r="AU1002" s="141"/>
      <c r="AV1002" s="141"/>
      <c r="AW1002" s="141"/>
      <c r="AX1002" s="141"/>
      <c r="AY1002" s="141"/>
      <c r="AZ1002" s="141"/>
      <c r="BA1002" s="141"/>
      <c r="BB1002" s="141"/>
      <c r="BC1002" s="141"/>
      <c r="BD1002" s="141"/>
      <c r="BE1002" s="141"/>
      <c r="BF1002" s="141"/>
      <c r="BG1002" s="18"/>
      <c r="BH1002" s="1"/>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row>
    <row r="1003" spans="1:135" ht="14.25" customHeight="1">
      <c r="A1003" s="18"/>
      <c r="B1003" s="18"/>
      <c r="C1003" s="19"/>
      <c r="D1003" s="18"/>
      <c r="E1003" s="18"/>
      <c r="F1003" s="19"/>
      <c r="G1003" s="18"/>
      <c r="H1003" s="114"/>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40"/>
      <c r="AL1003" s="141"/>
      <c r="AM1003" s="141"/>
      <c r="AN1003" s="141"/>
      <c r="AO1003" s="141"/>
      <c r="AP1003" s="141"/>
      <c r="AQ1003" s="141"/>
      <c r="AR1003" s="141"/>
      <c r="AS1003" s="141"/>
      <c r="AT1003" s="141"/>
      <c r="AU1003" s="141"/>
      <c r="AV1003" s="141"/>
      <c r="AW1003" s="141"/>
      <c r="AX1003" s="141"/>
      <c r="AY1003" s="141"/>
      <c r="AZ1003" s="141"/>
      <c r="BA1003" s="141"/>
      <c r="BB1003" s="141"/>
      <c r="BC1003" s="141"/>
      <c r="BD1003" s="141"/>
      <c r="BE1003" s="141"/>
      <c r="BF1003" s="141"/>
      <c r="BG1003" s="18"/>
      <c r="BH1003" s="1"/>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row>
    <row r="1004" spans="1:135" ht="14.25" customHeight="1">
      <c r="A1004" s="18"/>
      <c r="B1004" s="18"/>
      <c r="C1004" s="19"/>
      <c r="D1004" s="18"/>
      <c r="E1004" s="18"/>
      <c r="F1004" s="19"/>
      <c r="G1004" s="18"/>
      <c r="H1004" s="114"/>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40"/>
      <c r="AL1004" s="141"/>
      <c r="AM1004" s="141"/>
      <c r="AN1004" s="141"/>
      <c r="AO1004" s="141"/>
      <c r="AP1004" s="141"/>
      <c r="AQ1004" s="141"/>
      <c r="AR1004" s="141"/>
      <c r="AS1004" s="141"/>
      <c r="AT1004" s="141"/>
      <c r="AU1004" s="141"/>
      <c r="AV1004" s="141"/>
      <c r="AW1004" s="141"/>
      <c r="AX1004" s="141"/>
      <c r="AY1004" s="141"/>
      <c r="AZ1004" s="141"/>
      <c r="BA1004" s="141"/>
      <c r="BB1004" s="141"/>
      <c r="BC1004" s="141"/>
      <c r="BD1004" s="141"/>
      <c r="BE1004" s="141"/>
      <c r="BF1004" s="141"/>
      <c r="BG1004" s="18"/>
      <c r="BH1004" s="1"/>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row>
    <row r="1005" spans="1:135" ht="14.25" customHeight="1">
      <c r="A1005" s="18"/>
      <c r="B1005" s="18"/>
      <c r="C1005" s="19"/>
      <c r="D1005" s="18"/>
      <c r="E1005" s="18"/>
      <c r="F1005" s="19"/>
      <c r="G1005" s="18"/>
      <c r="H1005" s="114"/>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40"/>
      <c r="AL1005" s="141"/>
      <c r="AM1005" s="141"/>
      <c r="AN1005" s="141"/>
      <c r="AO1005" s="141"/>
      <c r="AP1005" s="141"/>
      <c r="AQ1005" s="141"/>
      <c r="AR1005" s="141"/>
      <c r="AS1005" s="141"/>
      <c r="AT1005" s="141"/>
      <c r="AU1005" s="141"/>
      <c r="AV1005" s="141"/>
      <c r="AW1005" s="141"/>
      <c r="AX1005" s="141"/>
      <c r="AY1005" s="141"/>
      <c r="AZ1005" s="141"/>
      <c r="BA1005" s="141"/>
      <c r="BB1005" s="141"/>
      <c r="BC1005" s="141"/>
      <c r="BD1005" s="141"/>
      <c r="BE1005" s="141"/>
      <c r="BF1005" s="141"/>
      <c r="BG1005" s="18"/>
      <c r="BH1005" s="1"/>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row>
    <row r="1006" spans="1:135" ht="14.25" customHeight="1">
      <c r="A1006" s="18"/>
      <c r="B1006" s="18"/>
      <c r="C1006" s="19"/>
      <c r="D1006" s="18"/>
      <c r="E1006" s="18"/>
      <c r="F1006" s="19"/>
      <c r="G1006" s="18"/>
      <c r="H1006" s="114"/>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40"/>
      <c r="AL1006" s="141"/>
      <c r="AM1006" s="141"/>
      <c r="AN1006" s="141"/>
      <c r="AO1006" s="141"/>
      <c r="AP1006" s="141"/>
      <c r="AQ1006" s="141"/>
      <c r="AR1006" s="141"/>
      <c r="AS1006" s="141"/>
      <c r="AT1006" s="141"/>
      <c r="AU1006" s="141"/>
      <c r="AV1006" s="141"/>
      <c r="AW1006" s="141"/>
      <c r="AX1006" s="141"/>
      <c r="AY1006" s="141"/>
      <c r="AZ1006" s="141"/>
      <c r="BA1006" s="141"/>
      <c r="BB1006" s="141"/>
      <c r="BC1006" s="141"/>
      <c r="BD1006" s="141"/>
      <c r="BE1006" s="141"/>
      <c r="BF1006" s="141"/>
      <c r="BG1006" s="18"/>
      <c r="BH1006" s="1"/>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row>
    <row r="1007" spans="1:135" ht="14.25" customHeight="1">
      <c r="A1007" s="18"/>
      <c r="B1007" s="18"/>
      <c r="C1007" s="19"/>
      <c r="D1007" s="18"/>
      <c r="E1007" s="18"/>
      <c r="F1007" s="19"/>
      <c r="G1007" s="18"/>
      <c r="H1007" s="114"/>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40"/>
      <c r="AL1007" s="141"/>
      <c r="AM1007" s="141"/>
      <c r="AN1007" s="141"/>
      <c r="AO1007" s="141"/>
      <c r="AP1007" s="141"/>
      <c r="AQ1007" s="141"/>
      <c r="AR1007" s="141"/>
      <c r="AS1007" s="141"/>
      <c r="AT1007" s="141"/>
      <c r="AU1007" s="141"/>
      <c r="AV1007" s="141"/>
      <c r="AW1007" s="141"/>
      <c r="AX1007" s="141"/>
      <c r="AY1007" s="141"/>
      <c r="AZ1007" s="141"/>
      <c r="BA1007" s="141"/>
      <c r="BB1007" s="141"/>
      <c r="BC1007" s="141"/>
      <c r="BD1007" s="141"/>
      <c r="BE1007" s="141"/>
      <c r="BF1007" s="141"/>
      <c r="BG1007" s="18"/>
      <c r="BH1007" s="1"/>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row>
    <row r="1008" spans="1:135" ht="14.25" customHeight="1">
      <c r="A1008" s="18"/>
      <c r="B1008" s="18"/>
      <c r="C1008" s="19"/>
      <c r="D1008" s="18"/>
      <c r="E1008" s="18"/>
      <c r="F1008" s="19"/>
      <c r="G1008" s="18"/>
      <c r="H1008" s="114"/>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40"/>
      <c r="AL1008" s="141"/>
      <c r="AM1008" s="141"/>
      <c r="AN1008" s="141"/>
      <c r="AO1008" s="141"/>
      <c r="AP1008" s="141"/>
      <c r="AQ1008" s="141"/>
      <c r="AR1008" s="141"/>
      <c r="AS1008" s="141"/>
      <c r="AT1008" s="141"/>
      <c r="AU1008" s="141"/>
      <c r="AV1008" s="141"/>
      <c r="AW1008" s="141"/>
      <c r="AX1008" s="141"/>
      <c r="AY1008" s="141"/>
      <c r="AZ1008" s="141"/>
      <c r="BA1008" s="141"/>
      <c r="BB1008" s="141"/>
      <c r="BC1008" s="141"/>
      <c r="BD1008" s="141"/>
      <c r="BE1008" s="141"/>
      <c r="BF1008" s="141"/>
      <c r="BG1008" s="18"/>
      <c r="BH1008" s="1"/>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row>
    <row r="1009" spans="1:135" ht="14.25" customHeight="1">
      <c r="A1009" s="18"/>
      <c r="B1009" s="18"/>
      <c r="C1009" s="19"/>
      <c r="D1009" s="18"/>
      <c r="E1009" s="18"/>
      <c r="F1009" s="19"/>
      <c r="G1009" s="18"/>
      <c r="H1009" s="114"/>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40"/>
      <c r="AL1009" s="141"/>
      <c r="AM1009" s="141"/>
      <c r="AN1009" s="141"/>
      <c r="AO1009" s="141"/>
      <c r="AP1009" s="141"/>
      <c r="AQ1009" s="141"/>
      <c r="AR1009" s="141"/>
      <c r="AS1009" s="141"/>
      <c r="AT1009" s="141"/>
      <c r="AU1009" s="141"/>
      <c r="AV1009" s="141"/>
      <c r="AW1009" s="141"/>
      <c r="AX1009" s="141"/>
      <c r="AY1009" s="141"/>
      <c r="AZ1009" s="141"/>
      <c r="BA1009" s="141"/>
      <c r="BB1009" s="141"/>
      <c r="BC1009" s="141"/>
      <c r="BD1009" s="141"/>
      <c r="BE1009" s="141"/>
      <c r="BF1009" s="141"/>
      <c r="BG1009" s="18"/>
      <c r="BH1009" s="1"/>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row>
    <row r="1010" spans="1:135" ht="14.25" customHeight="1">
      <c r="A1010" s="18"/>
      <c r="B1010" s="18"/>
      <c r="C1010" s="19"/>
      <c r="D1010" s="18"/>
      <c r="E1010" s="18"/>
      <c r="F1010" s="19"/>
      <c r="G1010" s="18"/>
      <c r="H1010" s="114"/>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40"/>
      <c r="AL1010" s="141"/>
      <c r="AM1010" s="141"/>
      <c r="AN1010" s="141"/>
      <c r="AO1010" s="141"/>
      <c r="AP1010" s="141"/>
      <c r="AQ1010" s="141"/>
      <c r="AR1010" s="141"/>
      <c r="AS1010" s="141"/>
      <c r="AT1010" s="141"/>
      <c r="AU1010" s="141"/>
      <c r="AV1010" s="141"/>
      <c r="AW1010" s="141"/>
      <c r="AX1010" s="141"/>
      <c r="AY1010" s="141"/>
      <c r="AZ1010" s="141"/>
      <c r="BA1010" s="141"/>
      <c r="BB1010" s="141"/>
      <c r="BC1010" s="141"/>
      <c r="BD1010" s="141"/>
      <c r="BE1010" s="141"/>
      <c r="BF1010" s="141"/>
      <c r="BG1010" s="18"/>
      <c r="BH1010" s="1"/>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row>
    <row r="1011" spans="1:135" ht="14.25" customHeight="1">
      <c r="A1011" s="18"/>
      <c r="B1011" s="18"/>
      <c r="C1011" s="19"/>
      <c r="D1011" s="18"/>
      <c r="E1011" s="18"/>
      <c r="F1011" s="19"/>
      <c r="G1011" s="18"/>
      <c r="H1011" s="114"/>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40"/>
      <c r="AL1011" s="141"/>
      <c r="AM1011" s="141"/>
      <c r="AN1011" s="141"/>
      <c r="AO1011" s="141"/>
      <c r="AP1011" s="141"/>
      <c r="AQ1011" s="141"/>
      <c r="AR1011" s="141"/>
      <c r="AS1011" s="141"/>
      <c r="AT1011" s="141"/>
      <c r="AU1011" s="141"/>
      <c r="AV1011" s="141"/>
      <c r="AW1011" s="141"/>
      <c r="AX1011" s="141"/>
      <c r="AY1011" s="141"/>
      <c r="AZ1011" s="141"/>
      <c r="BA1011" s="141"/>
      <c r="BB1011" s="141"/>
      <c r="BC1011" s="141"/>
      <c r="BD1011" s="141"/>
      <c r="BE1011" s="141"/>
      <c r="BF1011" s="141"/>
      <c r="BG1011" s="18"/>
      <c r="BH1011" s="1"/>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row>
    <row r="1012" spans="1:135" ht="14.25" customHeight="1">
      <c r="A1012" s="18"/>
      <c r="B1012" s="18"/>
      <c r="C1012" s="19"/>
      <c r="D1012" s="18"/>
      <c r="E1012" s="18"/>
      <c r="F1012" s="19"/>
      <c r="G1012" s="18"/>
      <c r="H1012" s="114"/>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40"/>
      <c r="AL1012" s="141"/>
      <c r="AM1012" s="141"/>
      <c r="AN1012" s="141"/>
      <c r="AO1012" s="141"/>
      <c r="AP1012" s="141"/>
      <c r="AQ1012" s="141"/>
      <c r="AR1012" s="141"/>
      <c r="AS1012" s="141"/>
      <c r="AT1012" s="141"/>
      <c r="AU1012" s="141"/>
      <c r="AV1012" s="141"/>
      <c r="AW1012" s="141"/>
      <c r="AX1012" s="141"/>
      <c r="AY1012" s="141"/>
      <c r="AZ1012" s="141"/>
      <c r="BA1012" s="141"/>
      <c r="BB1012" s="141"/>
      <c r="BC1012" s="141"/>
      <c r="BD1012" s="141"/>
      <c r="BE1012" s="141"/>
      <c r="BF1012" s="141"/>
      <c r="BG1012" s="18"/>
      <c r="BH1012" s="1"/>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row>
    <row r="1013" spans="1:135" ht="14.25" customHeight="1">
      <c r="A1013" s="18"/>
      <c r="B1013" s="18"/>
      <c r="C1013" s="19"/>
      <c r="D1013" s="18"/>
      <c r="E1013" s="18"/>
      <c r="F1013" s="19"/>
      <c r="G1013" s="18"/>
      <c r="H1013" s="114"/>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40"/>
      <c r="AL1013" s="141"/>
      <c r="AM1013" s="141"/>
      <c r="AN1013" s="141"/>
      <c r="AO1013" s="141"/>
      <c r="AP1013" s="141"/>
      <c r="AQ1013" s="141"/>
      <c r="AR1013" s="141"/>
      <c r="AS1013" s="141"/>
      <c r="AT1013" s="141"/>
      <c r="AU1013" s="141"/>
      <c r="AV1013" s="141"/>
      <c r="AW1013" s="141"/>
      <c r="AX1013" s="141"/>
      <c r="AY1013" s="141"/>
      <c r="AZ1013" s="141"/>
      <c r="BA1013" s="141"/>
      <c r="BB1013" s="141"/>
      <c r="BC1013" s="141"/>
      <c r="BD1013" s="141"/>
      <c r="BE1013" s="141"/>
      <c r="BF1013" s="141"/>
      <c r="BG1013" s="18"/>
      <c r="BH1013" s="1"/>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row>
    <row r="1014" spans="1:135" ht="14.25" customHeight="1">
      <c r="A1014" s="18"/>
      <c r="B1014" s="18"/>
      <c r="C1014" s="19"/>
      <c r="D1014" s="18"/>
      <c r="E1014" s="18"/>
      <c r="F1014" s="19"/>
      <c r="G1014" s="18"/>
      <c r="H1014" s="114"/>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40"/>
      <c r="AL1014" s="141"/>
      <c r="AM1014" s="141"/>
      <c r="AN1014" s="141"/>
      <c r="AO1014" s="141"/>
      <c r="AP1014" s="141"/>
      <c r="AQ1014" s="141"/>
      <c r="AR1014" s="141"/>
      <c r="AS1014" s="141"/>
      <c r="AT1014" s="141"/>
      <c r="AU1014" s="141"/>
      <c r="AV1014" s="141"/>
      <c r="AW1014" s="141"/>
      <c r="AX1014" s="141"/>
      <c r="AY1014" s="141"/>
      <c r="AZ1014" s="141"/>
      <c r="BA1014" s="141"/>
      <c r="BB1014" s="141"/>
      <c r="BC1014" s="141"/>
      <c r="BD1014" s="141"/>
      <c r="BE1014" s="141"/>
      <c r="BF1014" s="141"/>
      <c r="BG1014" s="18"/>
      <c r="BH1014" s="1"/>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row>
    <row r="1015" spans="1:135" ht="14.25" customHeight="1">
      <c r="A1015" s="18"/>
      <c r="B1015" s="18"/>
      <c r="C1015" s="19"/>
      <c r="D1015" s="18"/>
      <c r="E1015" s="18"/>
      <c r="F1015" s="19"/>
      <c r="G1015" s="18"/>
      <c r="H1015" s="114"/>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40"/>
      <c r="AL1015" s="141"/>
      <c r="AM1015" s="141"/>
      <c r="AN1015" s="141"/>
      <c r="AO1015" s="141"/>
      <c r="AP1015" s="141"/>
      <c r="AQ1015" s="141"/>
      <c r="AR1015" s="141"/>
      <c r="AS1015" s="141"/>
      <c r="AT1015" s="141"/>
      <c r="AU1015" s="141"/>
      <c r="AV1015" s="141"/>
      <c r="AW1015" s="141"/>
      <c r="AX1015" s="141"/>
      <c r="AY1015" s="141"/>
      <c r="AZ1015" s="141"/>
      <c r="BA1015" s="141"/>
      <c r="BB1015" s="141"/>
      <c r="BC1015" s="141"/>
      <c r="BD1015" s="141"/>
      <c r="BE1015" s="141"/>
      <c r="BF1015" s="141"/>
      <c r="BG1015" s="18"/>
      <c r="BH1015" s="1"/>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row>
    <row r="1016" spans="1:135" ht="14.25" customHeight="1">
      <c r="A1016" s="18"/>
      <c r="B1016" s="18"/>
      <c r="C1016" s="19"/>
      <c r="D1016" s="18"/>
      <c r="E1016" s="18"/>
      <c r="F1016" s="19"/>
      <c r="G1016" s="18"/>
      <c r="H1016" s="114"/>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40"/>
      <c r="AL1016" s="141"/>
      <c r="AM1016" s="141"/>
      <c r="AN1016" s="141"/>
      <c r="AO1016" s="141"/>
      <c r="AP1016" s="141"/>
      <c r="AQ1016" s="141"/>
      <c r="AR1016" s="141"/>
      <c r="AS1016" s="141"/>
      <c r="AT1016" s="141"/>
      <c r="AU1016" s="141"/>
      <c r="AV1016" s="141"/>
      <c r="AW1016" s="141"/>
      <c r="AX1016" s="141"/>
      <c r="AY1016" s="141"/>
      <c r="AZ1016" s="141"/>
      <c r="BA1016" s="141"/>
      <c r="BB1016" s="141"/>
      <c r="BC1016" s="141"/>
      <c r="BD1016" s="141"/>
      <c r="BE1016" s="141"/>
      <c r="BF1016" s="141"/>
      <c r="BG1016" s="18"/>
      <c r="BH1016" s="1"/>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row>
    <row r="1017" spans="1:135" ht="14.25" customHeight="1">
      <c r="A1017" s="18"/>
      <c r="B1017" s="18"/>
      <c r="C1017" s="19"/>
      <c r="D1017" s="18"/>
      <c r="E1017" s="18"/>
      <c r="F1017" s="19"/>
      <c r="G1017" s="18"/>
      <c r="H1017" s="114"/>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40"/>
      <c r="AL1017" s="141"/>
      <c r="AM1017" s="141"/>
      <c r="AN1017" s="141"/>
      <c r="AO1017" s="141"/>
      <c r="AP1017" s="141"/>
      <c r="AQ1017" s="141"/>
      <c r="AR1017" s="141"/>
      <c r="AS1017" s="141"/>
      <c r="AT1017" s="141"/>
      <c r="AU1017" s="141"/>
      <c r="AV1017" s="141"/>
      <c r="AW1017" s="141"/>
      <c r="AX1017" s="141"/>
      <c r="AY1017" s="141"/>
      <c r="AZ1017" s="141"/>
      <c r="BA1017" s="141"/>
      <c r="BB1017" s="141"/>
      <c r="BC1017" s="141"/>
      <c r="BD1017" s="141"/>
      <c r="BE1017" s="141"/>
      <c r="BF1017" s="141"/>
      <c r="BG1017" s="18"/>
      <c r="BH1017" s="1"/>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row>
    <row r="1018" spans="1:135" ht="14.25" customHeight="1">
      <c r="A1018" s="18"/>
      <c r="B1018" s="18"/>
      <c r="C1018" s="19"/>
      <c r="D1018" s="18"/>
      <c r="E1018" s="18"/>
      <c r="F1018" s="19"/>
      <c r="G1018" s="18"/>
      <c r="H1018" s="114"/>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40"/>
      <c r="AL1018" s="141"/>
      <c r="AM1018" s="141"/>
      <c r="AN1018" s="141"/>
      <c r="AO1018" s="141"/>
      <c r="AP1018" s="141"/>
      <c r="AQ1018" s="141"/>
      <c r="AR1018" s="141"/>
      <c r="AS1018" s="141"/>
      <c r="AT1018" s="141"/>
      <c r="AU1018" s="141"/>
      <c r="AV1018" s="141"/>
      <c r="AW1018" s="141"/>
      <c r="AX1018" s="141"/>
      <c r="AY1018" s="141"/>
      <c r="AZ1018" s="141"/>
      <c r="BA1018" s="141"/>
      <c r="BB1018" s="141"/>
      <c r="BC1018" s="141"/>
      <c r="BD1018" s="141"/>
      <c r="BE1018" s="141"/>
      <c r="BF1018" s="141"/>
      <c r="BG1018" s="18"/>
      <c r="BH1018" s="1"/>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row>
    <row r="1019" spans="1:135" ht="14.25" customHeight="1">
      <c r="A1019" s="18"/>
      <c r="B1019" s="18"/>
      <c r="C1019" s="19"/>
      <c r="D1019" s="18"/>
      <c r="E1019" s="18"/>
      <c r="F1019" s="19"/>
      <c r="G1019" s="18"/>
      <c r="H1019" s="114"/>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40"/>
      <c r="AL1019" s="141"/>
      <c r="AM1019" s="141"/>
      <c r="AN1019" s="141"/>
      <c r="AO1019" s="141"/>
      <c r="AP1019" s="141"/>
      <c r="AQ1019" s="141"/>
      <c r="AR1019" s="141"/>
      <c r="AS1019" s="141"/>
      <c r="AT1019" s="141"/>
      <c r="AU1019" s="141"/>
      <c r="AV1019" s="141"/>
      <c r="AW1019" s="141"/>
      <c r="AX1019" s="141"/>
      <c r="AY1019" s="141"/>
      <c r="AZ1019" s="141"/>
      <c r="BA1019" s="141"/>
      <c r="BB1019" s="141"/>
      <c r="BC1019" s="141"/>
      <c r="BD1019" s="141"/>
      <c r="BE1019" s="141"/>
      <c r="BF1019" s="141"/>
      <c r="BG1019" s="18"/>
      <c r="BH1019" s="1"/>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row>
    <row r="1020" spans="1:135" ht="14.25" customHeight="1">
      <c r="A1020" s="18"/>
      <c r="B1020" s="18"/>
      <c r="C1020" s="19"/>
      <c r="D1020" s="18"/>
      <c r="E1020" s="18"/>
      <c r="F1020" s="19"/>
      <c r="G1020" s="18"/>
      <c r="H1020" s="114"/>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40"/>
      <c r="AL1020" s="141"/>
      <c r="AM1020" s="141"/>
      <c r="AN1020" s="141"/>
      <c r="AO1020" s="141"/>
      <c r="AP1020" s="141"/>
      <c r="AQ1020" s="141"/>
      <c r="AR1020" s="141"/>
      <c r="AS1020" s="141"/>
      <c r="AT1020" s="141"/>
      <c r="AU1020" s="141"/>
      <c r="AV1020" s="141"/>
      <c r="AW1020" s="141"/>
      <c r="AX1020" s="141"/>
      <c r="AY1020" s="141"/>
      <c r="AZ1020" s="141"/>
      <c r="BA1020" s="141"/>
      <c r="BB1020" s="141"/>
      <c r="BC1020" s="141"/>
      <c r="BD1020" s="141"/>
      <c r="BE1020" s="141"/>
      <c r="BF1020" s="141"/>
      <c r="BG1020" s="18"/>
      <c r="BH1020" s="1"/>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row>
    <row r="1021" spans="1:135" ht="14.25" customHeight="1">
      <c r="A1021" s="18"/>
      <c r="B1021" s="18"/>
      <c r="C1021" s="19"/>
      <c r="D1021" s="18"/>
      <c r="E1021" s="18"/>
      <c r="F1021" s="19"/>
      <c r="G1021" s="18"/>
      <c r="H1021" s="114"/>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40"/>
      <c r="AL1021" s="141"/>
      <c r="AM1021" s="141"/>
      <c r="AN1021" s="141"/>
      <c r="AO1021" s="141"/>
      <c r="AP1021" s="141"/>
      <c r="AQ1021" s="141"/>
      <c r="AR1021" s="141"/>
      <c r="AS1021" s="141"/>
      <c r="AT1021" s="141"/>
      <c r="AU1021" s="141"/>
      <c r="AV1021" s="141"/>
      <c r="AW1021" s="141"/>
      <c r="AX1021" s="141"/>
      <c r="AY1021" s="141"/>
      <c r="AZ1021" s="141"/>
      <c r="BA1021" s="141"/>
      <c r="BB1021" s="141"/>
      <c r="BC1021" s="141"/>
      <c r="BD1021" s="141"/>
      <c r="BE1021" s="141"/>
      <c r="BF1021" s="141"/>
      <c r="BG1021" s="18"/>
      <c r="BH1021" s="1"/>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row>
    <row r="1022" spans="1:135" ht="14.25" customHeight="1">
      <c r="A1022" s="18"/>
      <c r="B1022" s="18"/>
      <c r="C1022" s="19"/>
      <c r="D1022" s="18"/>
      <c r="E1022" s="18"/>
      <c r="F1022" s="19"/>
      <c r="G1022" s="18"/>
      <c r="H1022" s="114"/>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40"/>
      <c r="AL1022" s="141"/>
      <c r="AM1022" s="141"/>
      <c r="AN1022" s="141"/>
      <c r="AO1022" s="141"/>
      <c r="AP1022" s="141"/>
      <c r="AQ1022" s="141"/>
      <c r="AR1022" s="141"/>
      <c r="AS1022" s="141"/>
      <c r="AT1022" s="141"/>
      <c r="AU1022" s="141"/>
      <c r="AV1022" s="141"/>
      <c r="AW1022" s="141"/>
      <c r="AX1022" s="141"/>
      <c r="AY1022" s="141"/>
      <c r="AZ1022" s="141"/>
      <c r="BA1022" s="141"/>
      <c r="BB1022" s="141"/>
      <c r="BC1022" s="141"/>
      <c r="BD1022" s="141"/>
      <c r="BE1022" s="141"/>
      <c r="BF1022" s="141"/>
      <c r="BG1022" s="18"/>
      <c r="BH1022" s="1"/>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row>
    <row r="1023" spans="1:135" ht="14.25" customHeight="1">
      <c r="A1023" s="18"/>
      <c r="B1023" s="18"/>
      <c r="C1023" s="19"/>
      <c r="D1023" s="18"/>
      <c r="E1023" s="18"/>
      <c r="F1023" s="19"/>
      <c r="G1023" s="18"/>
      <c r="H1023" s="114"/>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40"/>
      <c r="AL1023" s="141"/>
      <c r="AM1023" s="141"/>
      <c r="AN1023" s="141"/>
      <c r="AO1023" s="141"/>
      <c r="AP1023" s="141"/>
      <c r="AQ1023" s="141"/>
      <c r="AR1023" s="141"/>
      <c r="AS1023" s="141"/>
      <c r="AT1023" s="141"/>
      <c r="AU1023" s="141"/>
      <c r="AV1023" s="141"/>
      <c r="AW1023" s="141"/>
      <c r="AX1023" s="141"/>
      <c r="AY1023" s="141"/>
      <c r="AZ1023" s="141"/>
      <c r="BA1023" s="141"/>
      <c r="BB1023" s="141"/>
      <c r="BC1023" s="141"/>
      <c r="BD1023" s="141"/>
      <c r="BE1023" s="141"/>
      <c r="BF1023" s="141"/>
      <c r="BG1023" s="18"/>
      <c r="BH1023" s="1"/>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row>
    <row r="1024" spans="1:135" ht="14.25" customHeight="1">
      <c r="A1024" s="18"/>
      <c r="B1024" s="18"/>
      <c r="C1024" s="19"/>
      <c r="D1024" s="18"/>
      <c r="E1024" s="18"/>
      <c r="F1024" s="19"/>
      <c r="G1024" s="18"/>
      <c r="H1024" s="114"/>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40"/>
      <c r="AL1024" s="141"/>
      <c r="AM1024" s="141"/>
      <c r="AN1024" s="141"/>
      <c r="AO1024" s="141"/>
      <c r="AP1024" s="141"/>
      <c r="AQ1024" s="141"/>
      <c r="AR1024" s="141"/>
      <c r="AS1024" s="141"/>
      <c r="AT1024" s="141"/>
      <c r="AU1024" s="141"/>
      <c r="AV1024" s="141"/>
      <c r="AW1024" s="141"/>
      <c r="AX1024" s="141"/>
      <c r="AY1024" s="141"/>
      <c r="AZ1024" s="141"/>
      <c r="BA1024" s="141"/>
      <c r="BB1024" s="141"/>
      <c r="BC1024" s="141"/>
      <c r="BD1024" s="141"/>
      <c r="BE1024" s="141"/>
      <c r="BF1024" s="141"/>
      <c r="BG1024" s="18"/>
      <c r="BH1024" s="1"/>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row>
    <row r="1025" spans="1:135" ht="14.25" customHeight="1">
      <c r="A1025" s="18"/>
      <c r="B1025" s="18"/>
      <c r="C1025" s="19"/>
      <c r="D1025" s="18"/>
      <c r="E1025" s="18"/>
      <c r="F1025" s="19"/>
      <c r="G1025" s="18"/>
      <c r="H1025" s="114"/>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40"/>
      <c r="AL1025" s="141"/>
      <c r="AM1025" s="141"/>
      <c r="AN1025" s="141"/>
      <c r="AO1025" s="141"/>
      <c r="AP1025" s="141"/>
      <c r="AQ1025" s="141"/>
      <c r="AR1025" s="141"/>
      <c r="AS1025" s="141"/>
      <c r="AT1025" s="141"/>
      <c r="AU1025" s="141"/>
      <c r="AV1025" s="141"/>
      <c r="AW1025" s="141"/>
      <c r="AX1025" s="141"/>
      <c r="AY1025" s="141"/>
      <c r="AZ1025" s="141"/>
      <c r="BA1025" s="141"/>
      <c r="BB1025" s="141"/>
      <c r="BC1025" s="141"/>
      <c r="BD1025" s="141"/>
      <c r="BE1025" s="141"/>
      <c r="BF1025" s="141"/>
      <c r="BG1025" s="18"/>
      <c r="BH1025" s="1"/>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row>
    <row r="1026" spans="1:135" ht="14.25" customHeight="1">
      <c r="A1026" s="18"/>
      <c r="B1026" s="18"/>
      <c r="C1026" s="19"/>
      <c r="D1026" s="18"/>
      <c r="E1026" s="18"/>
      <c r="F1026" s="19"/>
      <c r="G1026" s="18"/>
      <c r="H1026" s="114"/>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40"/>
      <c r="AL1026" s="141"/>
      <c r="AM1026" s="141"/>
      <c r="AN1026" s="141"/>
      <c r="AO1026" s="141"/>
      <c r="AP1026" s="141"/>
      <c r="AQ1026" s="141"/>
      <c r="AR1026" s="141"/>
      <c r="AS1026" s="141"/>
      <c r="AT1026" s="141"/>
      <c r="AU1026" s="141"/>
      <c r="AV1026" s="141"/>
      <c r="AW1026" s="141"/>
      <c r="AX1026" s="141"/>
      <c r="AY1026" s="141"/>
      <c r="AZ1026" s="141"/>
      <c r="BA1026" s="141"/>
      <c r="BB1026" s="141"/>
      <c r="BC1026" s="141"/>
      <c r="BD1026" s="141"/>
      <c r="BE1026" s="141"/>
      <c r="BF1026" s="141"/>
      <c r="BG1026" s="18"/>
      <c r="BH1026" s="1"/>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row>
    <row r="1027" spans="1:135" ht="14.25" customHeight="1">
      <c r="A1027" s="18"/>
      <c r="B1027" s="18"/>
      <c r="C1027" s="19"/>
      <c r="D1027" s="18"/>
      <c r="E1027" s="18"/>
      <c r="F1027" s="19"/>
      <c r="G1027" s="18"/>
      <c r="H1027" s="114"/>
      <c r="I1027" s="18"/>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40"/>
      <c r="AL1027" s="141"/>
      <c r="AM1027" s="141"/>
      <c r="AN1027" s="141"/>
      <c r="AO1027" s="141"/>
      <c r="AP1027" s="141"/>
      <c r="AQ1027" s="141"/>
      <c r="AR1027" s="141"/>
      <c r="AS1027" s="141"/>
      <c r="AT1027" s="141"/>
      <c r="AU1027" s="141"/>
      <c r="AV1027" s="141"/>
      <c r="AW1027" s="141"/>
      <c r="AX1027" s="141"/>
      <c r="AY1027" s="141"/>
      <c r="AZ1027" s="141"/>
      <c r="BA1027" s="141"/>
      <c r="BB1027" s="141"/>
      <c r="BC1027" s="141"/>
      <c r="BD1027" s="141"/>
      <c r="BE1027" s="141"/>
      <c r="BF1027" s="141"/>
      <c r="BG1027" s="18"/>
      <c r="BH1027" s="1"/>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row>
    <row r="1028" spans="1:135" ht="14.25" customHeight="1">
      <c r="A1028" s="18"/>
      <c r="B1028" s="18"/>
      <c r="C1028" s="19"/>
      <c r="D1028" s="18"/>
      <c r="E1028" s="18"/>
      <c r="F1028" s="19"/>
      <c r="G1028" s="18"/>
      <c r="H1028" s="114"/>
      <c r="I1028" s="18"/>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40"/>
      <c r="AL1028" s="141"/>
      <c r="AM1028" s="141"/>
      <c r="AN1028" s="141"/>
      <c r="AO1028" s="141"/>
      <c r="AP1028" s="141"/>
      <c r="AQ1028" s="141"/>
      <c r="AR1028" s="141"/>
      <c r="AS1028" s="141"/>
      <c r="AT1028" s="141"/>
      <c r="AU1028" s="141"/>
      <c r="AV1028" s="141"/>
      <c r="AW1028" s="141"/>
      <c r="AX1028" s="141"/>
      <c r="AY1028" s="141"/>
      <c r="AZ1028" s="141"/>
      <c r="BA1028" s="141"/>
      <c r="BB1028" s="141"/>
      <c r="BC1028" s="141"/>
      <c r="BD1028" s="141"/>
      <c r="BE1028" s="141"/>
      <c r="BF1028" s="141"/>
      <c r="BG1028" s="18"/>
      <c r="BH1028" s="1"/>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row>
    <row r="1029" spans="1:135" ht="14.25" customHeight="1">
      <c r="A1029" s="18"/>
      <c r="B1029" s="18"/>
      <c r="C1029" s="19"/>
      <c r="D1029" s="18"/>
      <c r="E1029" s="18"/>
      <c r="F1029" s="19"/>
      <c r="G1029" s="18"/>
      <c r="H1029" s="114"/>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40"/>
      <c r="AL1029" s="141"/>
      <c r="AM1029" s="141"/>
      <c r="AN1029" s="141"/>
      <c r="AO1029" s="141"/>
      <c r="AP1029" s="141"/>
      <c r="AQ1029" s="141"/>
      <c r="AR1029" s="141"/>
      <c r="AS1029" s="141"/>
      <c r="AT1029" s="141"/>
      <c r="AU1029" s="141"/>
      <c r="AV1029" s="141"/>
      <c r="AW1029" s="141"/>
      <c r="AX1029" s="141"/>
      <c r="AY1029" s="141"/>
      <c r="AZ1029" s="141"/>
      <c r="BA1029" s="141"/>
      <c r="BB1029" s="141"/>
      <c r="BC1029" s="141"/>
      <c r="BD1029" s="141"/>
      <c r="BE1029" s="141"/>
      <c r="BF1029" s="141"/>
      <c r="BG1029" s="18"/>
      <c r="BH1029" s="1"/>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row>
    <row r="1030" spans="1:135" ht="14.25" customHeight="1">
      <c r="A1030" s="18"/>
      <c r="B1030" s="18"/>
      <c r="C1030" s="19"/>
      <c r="D1030" s="18"/>
      <c r="E1030" s="18"/>
      <c r="F1030" s="19"/>
      <c r="G1030" s="18"/>
      <c r="H1030" s="114"/>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40"/>
      <c r="AL1030" s="141"/>
      <c r="AM1030" s="141"/>
      <c r="AN1030" s="141"/>
      <c r="AO1030" s="141"/>
      <c r="AP1030" s="141"/>
      <c r="AQ1030" s="141"/>
      <c r="AR1030" s="141"/>
      <c r="AS1030" s="141"/>
      <c r="AT1030" s="141"/>
      <c r="AU1030" s="141"/>
      <c r="AV1030" s="141"/>
      <c r="AW1030" s="141"/>
      <c r="AX1030" s="141"/>
      <c r="AY1030" s="141"/>
      <c r="AZ1030" s="141"/>
      <c r="BA1030" s="141"/>
      <c r="BB1030" s="141"/>
      <c r="BC1030" s="141"/>
      <c r="BD1030" s="141"/>
      <c r="BE1030" s="141"/>
      <c r="BF1030" s="141"/>
      <c r="BG1030" s="18"/>
      <c r="BH1030" s="1"/>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row>
    <row r="1031" spans="1:135" ht="14.25" customHeight="1">
      <c r="A1031" s="18"/>
      <c r="B1031" s="18"/>
      <c r="C1031" s="19"/>
      <c r="D1031" s="18"/>
      <c r="E1031" s="18"/>
      <c r="F1031" s="19"/>
      <c r="G1031" s="18"/>
      <c r="H1031" s="114"/>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40"/>
      <c r="AL1031" s="141"/>
      <c r="AM1031" s="141"/>
      <c r="AN1031" s="141"/>
      <c r="AO1031" s="141"/>
      <c r="AP1031" s="141"/>
      <c r="AQ1031" s="141"/>
      <c r="AR1031" s="141"/>
      <c r="AS1031" s="141"/>
      <c r="AT1031" s="141"/>
      <c r="AU1031" s="141"/>
      <c r="AV1031" s="141"/>
      <c r="AW1031" s="141"/>
      <c r="AX1031" s="141"/>
      <c r="AY1031" s="141"/>
      <c r="AZ1031" s="141"/>
      <c r="BA1031" s="141"/>
      <c r="BB1031" s="141"/>
      <c r="BC1031" s="141"/>
      <c r="BD1031" s="141"/>
      <c r="BE1031" s="141"/>
      <c r="BF1031" s="141"/>
      <c r="BG1031" s="18"/>
      <c r="BH1031" s="1"/>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row>
    <row r="1032" spans="1:135" ht="14.25" customHeight="1">
      <c r="A1032" s="18"/>
      <c r="B1032" s="18"/>
      <c r="C1032" s="19"/>
      <c r="D1032" s="18"/>
      <c r="E1032" s="18"/>
      <c r="F1032" s="19"/>
      <c r="G1032" s="18"/>
      <c r="H1032" s="114"/>
      <c r="I1032" s="18"/>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40"/>
      <c r="AL1032" s="141"/>
      <c r="AM1032" s="141"/>
      <c r="AN1032" s="141"/>
      <c r="AO1032" s="141"/>
      <c r="AP1032" s="141"/>
      <c r="AQ1032" s="141"/>
      <c r="AR1032" s="141"/>
      <c r="AS1032" s="141"/>
      <c r="AT1032" s="141"/>
      <c r="AU1032" s="141"/>
      <c r="AV1032" s="141"/>
      <c r="AW1032" s="141"/>
      <c r="AX1032" s="141"/>
      <c r="AY1032" s="141"/>
      <c r="AZ1032" s="141"/>
      <c r="BA1032" s="141"/>
      <c r="BB1032" s="141"/>
      <c r="BC1032" s="141"/>
      <c r="BD1032" s="141"/>
      <c r="BE1032" s="141"/>
      <c r="BF1032" s="141"/>
      <c r="BG1032" s="18"/>
      <c r="BH1032" s="1"/>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row>
    <row r="1033" spans="1:135" ht="14.25" customHeight="1">
      <c r="A1033" s="18"/>
      <c r="B1033" s="18"/>
      <c r="C1033" s="19"/>
      <c r="D1033" s="18"/>
      <c r="E1033" s="18"/>
      <c r="F1033" s="19"/>
      <c r="G1033" s="18"/>
      <c r="H1033" s="114"/>
      <c r="I1033" s="18"/>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40"/>
      <c r="AL1033" s="141"/>
      <c r="AM1033" s="141"/>
      <c r="AN1033" s="141"/>
      <c r="AO1033" s="141"/>
      <c r="AP1033" s="141"/>
      <c r="AQ1033" s="141"/>
      <c r="AR1033" s="141"/>
      <c r="AS1033" s="141"/>
      <c r="AT1033" s="141"/>
      <c r="AU1033" s="141"/>
      <c r="AV1033" s="141"/>
      <c r="AW1033" s="141"/>
      <c r="AX1033" s="141"/>
      <c r="AY1033" s="141"/>
      <c r="AZ1033" s="141"/>
      <c r="BA1033" s="141"/>
      <c r="BB1033" s="141"/>
      <c r="BC1033" s="141"/>
      <c r="BD1033" s="141"/>
      <c r="BE1033" s="141"/>
      <c r="BF1033" s="141"/>
      <c r="BG1033" s="18"/>
      <c r="BH1033" s="1"/>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row>
    <row r="1034" spans="1:135" ht="14.25" customHeight="1">
      <c r="A1034" s="18"/>
      <c r="B1034" s="18"/>
      <c r="C1034" s="19"/>
      <c r="D1034" s="18"/>
      <c r="E1034" s="18"/>
      <c r="F1034" s="19"/>
      <c r="G1034" s="18"/>
      <c r="H1034" s="114"/>
      <c r="I1034" s="18"/>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40"/>
      <c r="AL1034" s="141"/>
      <c r="AM1034" s="141"/>
      <c r="AN1034" s="141"/>
      <c r="AO1034" s="141"/>
      <c r="AP1034" s="141"/>
      <c r="AQ1034" s="141"/>
      <c r="AR1034" s="141"/>
      <c r="AS1034" s="141"/>
      <c r="AT1034" s="141"/>
      <c r="AU1034" s="141"/>
      <c r="AV1034" s="141"/>
      <c r="AW1034" s="141"/>
      <c r="AX1034" s="141"/>
      <c r="AY1034" s="141"/>
      <c r="AZ1034" s="141"/>
      <c r="BA1034" s="141"/>
      <c r="BB1034" s="141"/>
      <c r="BC1034" s="141"/>
      <c r="BD1034" s="141"/>
      <c r="BE1034" s="141"/>
      <c r="BF1034" s="141"/>
      <c r="BG1034" s="18"/>
      <c r="BH1034" s="1"/>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row>
    <row r="1035" spans="1:135" ht="14.25" customHeight="1">
      <c r="A1035" s="18"/>
      <c r="B1035" s="18"/>
      <c r="C1035" s="19"/>
      <c r="D1035" s="18"/>
      <c r="E1035" s="18"/>
      <c r="F1035" s="19"/>
      <c r="G1035" s="18"/>
      <c r="H1035" s="114"/>
      <c r="I1035" s="18"/>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40"/>
      <c r="AL1035" s="141"/>
      <c r="AM1035" s="141"/>
      <c r="AN1035" s="141"/>
      <c r="AO1035" s="141"/>
      <c r="AP1035" s="141"/>
      <c r="AQ1035" s="141"/>
      <c r="AR1035" s="141"/>
      <c r="AS1035" s="141"/>
      <c r="AT1035" s="141"/>
      <c r="AU1035" s="141"/>
      <c r="AV1035" s="141"/>
      <c r="AW1035" s="141"/>
      <c r="AX1035" s="141"/>
      <c r="AY1035" s="141"/>
      <c r="AZ1035" s="141"/>
      <c r="BA1035" s="141"/>
      <c r="BB1035" s="141"/>
      <c r="BC1035" s="141"/>
      <c r="BD1035" s="141"/>
      <c r="BE1035" s="141"/>
      <c r="BF1035" s="141"/>
      <c r="BG1035" s="18"/>
      <c r="BH1035" s="1"/>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row>
    <row r="1036" spans="1:135" ht="14.25" customHeight="1">
      <c r="A1036" s="18"/>
      <c r="B1036" s="18"/>
      <c r="C1036" s="19"/>
      <c r="D1036" s="18"/>
      <c r="E1036" s="18"/>
      <c r="F1036" s="19"/>
      <c r="G1036" s="18"/>
      <c r="H1036" s="114"/>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40"/>
      <c r="AL1036" s="141"/>
      <c r="AM1036" s="141"/>
      <c r="AN1036" s="141"/>
      <c r="AO1036" s="141"/>
      <c r="AP1036" s="141"/>
      <c r="AQ1036" s="141"/>
      <c r="AR1036" s="141"/>
      <c r="AS1036" s="141"/>
      <c r="AT1036" s="141"/>
      <c r="AU1036" s="141"/>
      <c r="AV1036" s="141"/>
      <c r="AW1036" s="141"/>
      <c r="AX1036" s="141"/>
      <c r="AY1036" s="141"/>
      <c r="AZ1036" s="141"/>
      <c r="BA1036" s="141"/>
      <c r="BB1036" s="141"/>
      <c r="BC1036" s="141"/>
      <c r="BD1036" s="141"/>
      <c r="BE1036" s="141"/>
      <c r="BF1036" s="141"/>
      <c r="BG1036" s="18"/>
      <c r="BH1036" s="1"/>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row>
    <row r="1037" spans="1:135" ht="14.25" customHeight="1">
      <c r="A1037" s="18"/>
      <c r="B1037" s="18"/>
      <c r="C1037" s="19"/>
      <c r="D1037" s="18"/>
      <c r="E1037" s="18"/>
      <c r="F1037" s="19"/>
      <c r="G1037" s="18"/>
      <c r="H1037" s="114"/>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40"/>
      <c r="AL1037" s="141"/>
      <c r="AM1037" s="141"/>
      <c r="AN1037" s="141"/>
      <c r="AO1037" s="141"/>
      <c r="AP1037" s="141"/>
      <c r="AQ1037" s="141"/>
      <c r="AR1037" s="141"/>
      <c r="AS1037" s="141"/>
      <c r="AT1037" s="141"/>
      <c r="AU1037" s="141"/>
      <c r="AV1037" s="141"/>
      <c r="AW1037" s="141"/>
      <c r="AX1037" s="141"/>
      <c r="AY1037" s="141"/>
      <c r="AZ1037" s="141"/>
      <c r="BA1037" s="141"/>
      <c r="BB1037" s="141"/>
      <c r="BC1037" s="141"/>
      <c r="BD1037" s="141"/>
      <c r="BE1037" s="141"/>
      <c r="BF1037" s="141"/>
      <c r="BG1037" s="18"/>
      <c r="BH1037" s="1"/>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row>
    <row r="1038" spans="1:135" ht="14.25" customHeight="1">
      <c r="A1038" s="18"/>
      <c r="B1038" s="18"/>
      <c r="C1038" s="19"/>
      <c r="D1038" s="18"/>
      <c r="E1038" s="18"/>
      <c r="F1038" s="19"/>
      <c r="G1038" s="18"/>
      <c r="H1038" s="114"/>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40"/>
      <c r="AL1038" s="141"/>
      <c r="AM1038" s="141"/>
      <c r="AN1038" s="141"/>
      <c r="AO1038" s="141"/>
      <c r="AP1038" s="141"/>
      <c r="AQ1038" s="141"/>
      <c r="AR1038" s="141"/>
      <c r="AS1038" s="141"/>
      <c r="AT1038" s="141"/>
      <c r="AU1038" s="141"/>
      <c r="AV1038" s="141"/>
      <c r="AW1038" s="141"/>
      <c r="AX1038" s="141"/>
      <c r="AY1038" s="141"/>
      <c r="AZ1038" s="141"/>
      <c r="BA1038" s="141"/>
      <c r="BB1038" s="141"/>
      <c r="BC1038" s="141"/>
      <c r="BD1038" s="141"/>
      <c r="BE1038" s="141"/>
      <c r="BF1038" s="141"/>
      <c r="BG1038" s="18"/>
      <c r="BH1038" s="1"/>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row>
    <row r="1039" spans="1:135" ht="14.25" customHeight="1">
      <c r="A1039" s="18"/>
      <c r="B1039" s="18"/>
      <c r="C1039" s="19"/>
      <c r="D1039" s="18"/>
      <c r="E1039" s="18"/>
      <c r="F1039" s="19"/>
      <c r="G1039" s="18"/>
      <c r="H1039" s="114"/>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40"/>
      <c r="AL1039" s="141"/>
      <c r="AM1039" s="141"/>
      <c r="AN1039" s="141"/>
      <c r="AO1039" s="141"/>
      <c r="AP1039" s="141"/>
      <c r="AQ1039" s="141"/>
      <c r="AR1039" s="141"/>
      <c r="AS1039" s="141"/>
      <c r="AT1039" s="141"/>
      <c r="AU1039" s="141"/>
      <c r="AV1039" s="141"/>
      <c r="AW1039" s="141"/>
      <c r="AX1039" s="141"/>
      <c r="AY1039" s="141"/>
      <c r="AZ1039" s="141"/>
      <c r="BA1039" s="141"/>
      <c r="BB1039" s="141"/>
      <c r="BC1039" s="141"/>
      <c r="BD1039" s="141"/>
      <c r="BE1039" s="141"/>
      <c r="BF1039" s="141"/>
      <c r="BG1039" s="18"/>
      <c r="BH1039" s="1"/>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row>
    <row r="1040" spans="1:135" ht="1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3"/>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row>
  </sheetData>
  <hyperlinks>
    <hyperlink ref="BR44" r:id="rId1" xr:uid="{00000000-0004-0000-0300-000000000000}"/>
  </hyperlinks>
  <pageMargins left="0.7" right="0.7" top="0.75" bottom="0.75" header="0" footer="0"/>
  <pageSetup orientation="portrait"/>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K1018"/>
  <sheetViews>
    <sheetView topLeftCell="A4" workbookViewId="0">
      <selection activeCell="B33" sqref="B33"/>
    </sheetView>
  </sheetViews>
  <sheetFormatPr defaultColWidth="14.44140625" defaultRowHeight="15" customHeight="1"/>
  <cols>
    <col min="1" max="1" width="27.6640625" customWidth="1"/>
    <col min="2" max="2" width="58.33203125" customWidth="1"/>
    <col min="3" max="3" width="89.109375" customWidth="1"/>
    <col min="4" max="4" width="60.44140625" customWidth="1"/>
    <col min="5" max="5" width="51.33203125" hidden="1" customWidth="1"/>
    <col min="6" max="6" width="28.88671875" customWidth="1"/>
    <col min="7" max="7" width="16.33203125" customWidth="1"/>
    <col min="8" max="8" width="8.33203125" customWidth="1"/>
    <col min="9" max="9" width="8.44140625" customWidth="1"/>
    <col min="10" max="31" width="8.88671875" customWidth="1"/>
    <col min="32" max="33" width="8" customWidth="1"/>
    <col min="34" max="35" width="9.33203125" customWidth="1"/>
    <col min="36" max="52" width="9.44140625" customWidth="1"/>
    <col min="53" max="57" width="9.33203125" customWidth="1"/>
    <col min="58" max="58" width="169.88671875" customWidth="1"/>
    <col min="59" max="59" width="59.33203125" customWidth="1"/>
  </cols>
  <sheetData>
    <row r="1" spans="1:115" ht="14.25" customHeight="1">
      <c r="A1" s="215" t="s">
        <v>25</v>
      </c>
      <c r="B1" s="215" t="s">
        <v>26</v>
      </c>
      <c r="C1" s="215" t="s">
        <v>27</v>
      </c>
      <c r="D1" s="215" t="s">
        <v>28</v>
      </c>
      <c r="E1" s="215" t="s">
        <v>30</v>
      </c>
      <c r="F1" s="215" t="s">
        <v>31</v>
      </c>
      <c r="G1" s="215">
        <v>2022</v>
      </c>
      <c r="H1" s="215">
        <v>2023</v>
      </c>
      <c r="I1" s="216">
        <v>2024</v>
      </c>
      <c r="J1" s="216">
        <v>2025</v>
      </c>
      <c r="K1" s="215">
        <v>2026</v>
      </c>
      <c r="L1" s="215">
        <v>2027</v>
      </c>
      <c r="M1" s="215">
        <v>2028</v>
      </c>
      <c r="N1" s="215">
        <v>2029</v>
      </c>
      <c r="O1" s="215">
        <v>2030</v>
      </c>
      <c r="P1" s="215">
        <v>2031</v>
      </c>
      <c r="Q1" s="215">
        <v>2032</v>
      </c>
      <c r="R1" s="215">
        <v>2033</v>
      </c>
      <c r="S1" s="215">
        <v>2034</v>
      </c>
      <c r="T1" s="215">
        <v>2035</v>
      </c>
      <c r="U1" s="215">
        <v>2036</v>
      </c>
      <c r="V1" s="215">
        <v>2037</v>
      </c>
      <c r="W1" s="215">
        <v>2038</v>
      </c>
      <c r="X1" s="215">
        <v>2039</v>
      </c>
      <c r="Y1" s="215">
        <v>2040</v>
      </c>
      <c r="Z1" s="215">
        <v>2041</v>
      </c>
      <c r="AA1" s="215">
        <v>2042</v>
      </c>
      <c r="AB1" s="215">
        <v>2043</v>
      </c>
      <c r="AC1" s="215">
        <v>2044</v>
      </c>
      <c r="AD1" s="215">
        <v>2045</v>
      </c>
      <c r="AE1" s="215">
        <v>2046</v>
      </c>
      <c r="AF1" s="215">
        <v>2047</v>
      </c>
      <c r="AG1" s="215">
        <v>2048</v>
      </c>
      <c r="AH1" s="215">
        <v>2049</v>
      </c>
      <c r="AI1" s="217">
        <v>2050</v>
      </c>
      <c r="AJ1" s="215">
        <v>2051</v>
      </c>
      <c r="AK1" s="215">
        <v>2052</v>
      </c>
      <c r="AL1" s="215">
        <v>2053</v>
      </c>
      <c r="AM1" s="215">
        <v>2054</v>
      </c>
      <c r="AN1" s="215">
        <v>2055</v>
      </c>
      <c r="AO1" s="215">
        <v>2056</v>
      </c>
      <c r="AP1" s="215">
        <v>2057</v>
      </c>
      <c r="AQ1" s="215">
        <v>2058</v>
      </c>
      <c r="AR1" s="215">
        <v>2059</v>
      </c>
      <c r="AS1" s="215">
        <v>2060</v>
      </c>
      <c r="AT1" s="215">
        <v>2061</v>
      </c>
      <c r="AU1" s="215">
        <v>2062</v>
      </c>
      <c r="AV1" s="215">
        <v>2063</v>
      </c>
      <c r="AW1" s="215">
        <v>2064</v>
      </c>
      <c r="AX1" s="215">
        <v>2065</v>
      </c>
      <c r="AY1" s="215">
        <v>2066</v>
      </c>
      <c r="AZ1" s="215">
        <v>2067</v>
      </c>
      <c r="BA1" s="215">
        <v>2068</v>
      </c>
      <c r="BB1" s="215">
        <v>2069</v>
      </c>
      <c r="BC1" s="215">
        <v>2070</v>
      </c>
      <c r="BD1" s="218">
        <v>2022</v>
      </c>
      <c r="BE1" s="215">
        <v>2070</v>
      </c>
      <c r="BF1" s="215" t="s">
        <v>259</v>
      </c>
      <c r="BG1" s="102" t="s">
        <v>259</v>
      </c>
      <c r="BH1" s="1" t="s">
        <v>260</v>
      </c>
      <c r="BI1" s="1"/>
      <c r="BJ1" s="1"/>
      <c r="BK1" s="1"/>
      <c r="BL1" s="1"/>
      <c r="BM1" s="1"/>
      <c r="BN1" s="1"/>
      <c r="BO1" s="1"/>
      <c r="BP1" s="1"/>
      <c r="BQ1" s="1"/>
      <c r="BR1" s="1"/>
      <c r="BS1" s="1"/>
      <c r="BT1" s="1"/>
      <c r="BU1" s="1"/>
      <c r="BV1" s="1"/>
      <c r="BW1" s="1"/>
      <c r="BX1" s="1"/>
      <c r="BY1" s="1"/>
      <c r="BZ1" s="1"/>
      <c r="CA1" s="1"/>
      <c r="CB1" s="1"/>
    </row>
    <row r="2" spans="1:115" ht="14.25" customHeight="1">
      <c r="A2" s="215" t="s">
        <v>34</v>
      </c>
      <c r="B2" s="219" t="s">
        <v>35</v>
      </c>
      <c r="C2" s="219" t="s">
        <v>36</v>
      </c>
      <c r="D2" s="219" t="s">
        <v>37</v>
      </c>
      <c r="E2" s="219" t="s">
        <v>38</v>
      </c>
      <c r="F2" s="219"/>
      <c r="G2" s="220">
        <v>14.1576</v>
      </c>
      <c r="H2" s="220">
        <v>14.950100000000001</v>
      </c>
      <c r="I2" s="221">
        <v>15.147869999999999</v>
      </c>
      <c r="J2" s="221">
        <v>14.88523</v>
      </c>
      <c r="K2" s="220">
        <v>14.34402</v>
      </c>
      <c r="L2" s="220">
        <v>13.65409</v>
      </c>
      <c r="M2" s="220">
        <v>12.88476</v>
      </c>
      <c r="N2" s="220">
        <v>11.541029999999999</v>
      </c>
      <c r="O2" s="220">
        <v>9.5856080000000006</v>
      </c>
      <c r="P2" s="220">
        <v>8.0071089999999998</v>
      </c>
      <c r="Q2" s="220">
        <v>6.7197319999999996</v>
      </c>
      <c r="R2" s="220">
        <v>5.178407</v>
      </c>
      <c r="S2" s="220">
        <v>3.7271169999999998</v>
      </c>
      <c r="T2" s="220">
        <v>1.172804</v>
      </c>
      <c r="U2" s="222">
        <v>1.82E-16</v>
      </c>
      <c r="V2" s="222">
        <v>2.0200000000000001E-32</v>
      </c>
      <c r="W2" s="222">
        <v>0</v>
      </c>
      <c r="X2" s="220">
        <v>0</v>
      </c>
      <c r="Y2" s="220">
        <v>0</v>
      </c>
      <c r="Z2" s="220">
        <v>0</v>
      </c>
      <c r="AA2" s="220">
        <v>0</v>
      </c>
      <c r="AB2" s="220">
        <v>0</v>
      </c>
      <c r="AC2" s="220">
        <v>0</v>
      </c>
      <c r="AD2" s="220">
        <v>0</v>
      </c>
      <c r="AE2" s="220">
        <v>0</v>
      </c>
      <c r="AF2" s="220">
        <v>0</v>
      </c>
      <c r="AG2" s="220">
        <v>0</v>
      </c>
      <c r="AH2" s="220">
        <v>0</v>
      </c>
      <c r="AI2" s="223">
        <v>0</v>
      </c>
      <c r="AJ2" s="220">
        <v>0</v>
      </c>
      <c r="AK2" s="220">
        <v>0</v>
      </c>
      <c r="AL2" s="220">
        <v>0</v>
      </c>
      <c r="AM2" s="220">
        <v>0</v>
      </c>
      <c r="AN2" s="220">
        <v>0</v>
      </c>
      <c r="AO2" s="220">
        <v>0</v>
      </c>
      <c r="AP2" s="220">
        <v>0</v>
      </c>
      <c r="AQ2" s="220">
        <v>0</v>
      </c>
      <c r="AR2" s="220">
        <v>0</v>
      </c>
      <c r="AS2" s="220">
        <v>0</v>
      </c>
      <c r="AT2" s="220">
        <v>0</v>
      </c>
      <c r="AU2" s="220">
        <v>0</v>
      </c>
      <c r="AV2" s="220">
        <v>0</v>
      </c>
      <c r="AW2" s="220">
        <v>0</v>
      </c>
      <c r="AX2" s="220">
        <v>0</v>
      </c>
      <c r="AY2" s="220">
        <v>0</v>
      </c>
      <c r="AZ2" s="220">
        <v>0</v>
      </c>
      <c r="BA2" s="220">
        <v>0</v>
      </c>
      <c r="BB2" s="220">
        <v>0</v>
      </c>
      <c r="BC2" s="220">
        <v>0</v>
      </c>
      <c r="BD2" s="224"/>
      <c r="BE2" s="220"/>
      <c r="BF2" s="225" t="s">
        <v>261</v>
      </c>
      <c r="BG2" s="76" t="s">
        <v>261</v>
      </c>
      <c r="BH2" s="75" t="s">
        <v>262</v>
      </c>
      <c r="BI2" s="75"/>
      <c r="BJ2" s="75"/>
      <c r="BK2" s="75"/>
      <c r="BL2" s="75"/>
      <c r="BM2" s="75"/>
      <c r="BN2" s="75"/>
      <c r="BO2" s="75"/>
      <c r="BP2" s="78"/>
      <c r="BQ2" s="50"/>
      <c r="BR2" s="50"/>
      <c r="BS2" s="50"/>
      <c r="BT2" s="50"/>
      <c r="BU2" s="50"/>
      <c r="BV2" s="50"/>
      <c r="BW2" s="50"/>
      <c r="BX2" s="50"/>
      <c r="BY2" s="50"/>
      <c r="BZ2" s="50"/>
      <c r="CA2" s="78"/>
      <c r="CB2" s="1"/>
    </row>
    <row r="3" spans="1:115" ht="14.25" customHeight="1">
      <c r="A3" s="215"/>
      <c r="B3" s="219" t="s">
        <v>41</v>
      </c>
      <c r="C3" s="219" t="s">
        <v>404</v>
      </c>
      <c r="D3" s="219" t="s">
        <v>43</v>
      </c>
      <c r="E3" s="219" t="s">
        <v>405</v>
      </c>
      <c r="F3" s="219"/>
      <c r="G3" s="30">
        <v>0</v>
      </c>
      <c r="H3" s="30">
        <v>0.28000000000000003</v>
      </c>
      <c r="I3" s="30">
        <v>0.55000000000000004</v>
      </c>
      <c r="J3" s="30">
        <v>1.0900000000000001</v>
      </c>
      <c r="K3" s="30">
        <v>1.08</v>
      </c>
      <c r="L3" s="30">
        <v>1.08</v>
      </c>
      <c r="M3" s="30">
        <v>1.08</v>
      </c>
      <c r="N3" s="30">
        <v>1.03</v>
      </c>
      <c r="O3" s="30">
        <v>0.96</v>
      </c>
      <c r="P3" s="30">
        <v>1.04</v>
      </c>
      <c r="Q3" s="30">
        <v>1.04</v>
      </c>
      <c r="R3" s="30">
        <v>0.96</v>
      </c>
      <c r="S3" s="30">
        <v>0.89</v>
      </c>
      <c r="T3" s="30">
        <v>0.39</v>
      </c>
      <c r="U3" s="30">
        <v>0</v>
      </c>
      <c r="V3" s="30">
        <v>0</v>
      </c>
      <c r="W3" s="30">
        <v>0</v>
      </c>
      <c r="X3" s="30">
        <v>0</v>
      </c>
      <c r="Y3" s="30">
        <v>0</v>
      </c>
      <c r="Z3" s="30">
        <v>0</v>
      </c>
      <c r="AA3" s="30">
        <v>0</v>
      </c>
      <c r="AB3" s="30">
        <v>0</v>
      </c>
      <c r="AC3" s="30">
        <v>0</v>
      </c>
      <c r="AD3" s="30">
        <v>0</v>
      </c>
      <c r="AE3" s="30">
        <v>0</v>
      </c>
      <c r="AF3" s="30">
        <v>0</v>
      </c>
      <c r="AG3" s="30">
        <v>0</v>
      </c>
      <c r="AH3" s="30">
        <v>0</v>
      </c>
      <c r="AI3" s="226">
        <v>0</v>
      </c>
      <c r="AJ3" s="30">
        <v>0</v>
      </c>
      <c r="AK3" s="30">
        <v>0</v>
      </c>
      <c r="AL3" s="30">
        <v>0</v>
      </c>
      <c r="AM3" s="30">
        <v>0</v>
      </c>
      <c r="AN3" s="30">
        <v>0</v>
      </c>
      <c r="AO3" s="30">
        <v>0</v>
      </c>
      <c r="AP3" s="30">
        <v>0</v>
      </c>
      <c r="AQ3" s="30">
        <v>0</v>
      </c>
      <c r="AR3" s="30">
        <v>0</v>
      </c>
      <c r="AS3" s="30">
        <v>0</v>
      </c>
      <c r="AT3" s="30">
        <v>0</v>
      </c>
      <c r="AU3" s="30">
        <v>0</v>
      </c>
      <c r="AV3" s="30">
        <v>0</v>
      </c>
      <c r="AW3" s="30">
        <v>0</v>
      </c>
      <c r="AX3" s="30">
        <v>0</v>
      </c>
      <c r="AY3" s="30">
        <v>0</v>
      </c>
      <c r="AZ3" s="30">
        <v>0</v>
      </c>
      <c r="BA3" s="30">
        <v>0</v>
      </c>
      <c r="BB3" s="30">
        <v>0</v>
      </c>
      <c r="BC3" s="30">
        <v>0</v>
      </c>
      <c r="BD3" s="227"/>
      <c r="BE3" s="30"/>
      <c r="BF3" s="30"/>
      <c r="BG3" s="20" t="s">
        <v>264</v>
      </c>
      <c r="BH3" s="1"/>
      <c r="BI3" s="1"/>
      <c r="BJ3" s="1"/>
      <c r="BK3" s="1"/>
      <c r="BL3" s="1"/>
      <c r="BM3" s="1"/>
      <c r="BN3" s="1"/>
      <c r="BO3" s="1"/>
      <c r="BP3" s="25"/>
      <c r="BQ3" s="54"/>
      <c r="BR3" s="54"/>
      <c r="BS3" s="54"/>
      <c r="BT3" s="54"/>
      <c r="BU3" s="54"/>
      <c r="BV3" s="54"/>
      <c r="BW3" s="54"/>
      <c r="BX3" s="54"/>
      <c r="BY3" s="54"/>
      <c r="BZ3" s="54"/>
      <c r="CA3" s="54"/>
      <c r="CB3" s="1"/>
    </row>
    <row r="4" spans="1:115" ht="14.25" customHeight="1">
      <c r="A4" s="215"/>
      <c r="B4" s="219"/>
      <c r="C4" s="219"/>
      <c r="D4" s="219" t="s">
        <v>46</v>
      </c>
      <c r="E4" s="219"/>
      <c r="F4" s="219"/>
      <c r="G4" s="30">
        <v>3.77</v>
      </c>
      <c r="H4" s="30">
        <v>2.76</v>
      </c>
      <c r="I4" s="30">
        <v>1.8</v>
      </c>
      <c r="J4" s="30">
        <v>0</v>
      </c>
      <c r="K4" s="30">
        <v>0</v>
      </c>
      <c r="L4" s="30">
        <v>0</v>
      </c>
      <c r="M4" s="30">
        <v>0</v>
      </c>
      <c r="N4" s="30">
        <v>0</v>
      </c>
      <c r="O4" s="30">
        <v>0</v>
      </c>
      <c r="P4" s="30">
        <v>0</v>
      </c>
      <c r="Q4" s="30">
        <v>0</v>
      </c>
      <c r="R4" s="30">
        <v>0</v>
      </c>
      <c r="S4" s="30">
        <v>0</v>
      </c>
      <c r="T4" s="30">
        <v>0</v>
      </c>
      <c r="U4" s="30">
        <v>0</v>
      </c>
      <c r="V4" s="30">
        <v>0</v>
      </c>
      <c r="W4" s="30">
        <v>0</v>
      </c>
      <c r="X4" s="30">
        <v>0</v>
      </c>
      <c r="Y4" s="30">
        <v>0</v>
      </c>
      <c r="Z4" s="30">
        <v>0</v>
      </c>
      <c r="AA4" s="30">
        <v>0</v>
      </c>
      <c r="AB4" s="30">
        <v>0</v>
      </c>
      <c r="AC4" s="30">
        <v>0</v>
      </c>
      <c r="AD4" s="30">
        <v>0</v>
      </c>
      <c r="AE4" s="30">
        <v>0</v>
      </c>
      <c r="AF4" s="30">
        <v>0</v>
      </c>
      <c r="AG4" s="30">
        <v>0</v>
      </c>
      <c r="AH4" s="30">
        <v>0</v>
      </c>
      <c r="AI4" s="226">
        <v>0</v>
      </c>
      <c r="AJ4" s="30">
        <v>0</v>
      </c>
      <c r="AK4" s="30">
        <v>0</v>
      </c>
      <c r="AL4" s="30">
        <v>0</v>
      </c>
      <c r="AM4" s="30">
        <v>0</v>
      </c>
      <c r="AN4" s="30">
        <v>0</v>
      </c>
      <c r="AO4" s="30">
        <v>0</v>
      </c>
      <c r="AP4" s="30">
        <v>0</v>
      </c>
      <c r="AQ4" s="30">
        <v>0</v>
      </c>
      <c r="AR4" s="30">
        <v>0</v>
      </c>
      <c r="AS4" s="30">
        <v>0</v>
      </c>
      <c r="AT4" s="30">
        <v>0</v>
      </c>
      <c r="AU4" s="30">
        <v>0</v>
      </c>
      <c r="AV4" s="30">
        <v>0</v>
      </c>
      <c r="AW4" s="30">
        <v>0</v>
      </c>
      <c r="AX4" s="30">
        <v>0</v>
      </c>
      <c r="AY4" s="30">
        <v>0</v>
      </c>
      <c r="AZ4" s="30">
        <v>0</v>
      </c>
      <c r="BA4" s="30">
        <v>0</v>
      </c>
      <c r="BB4" s="30">
        <v>0</v>
      </c>
      <c r="BC4" s="30">
        <v>0</v>
      </c>
      <c r="BD4" s="227"/>
      <c r="BE4" s="30"/>
      <c r="BF4" s="30"/>
      <c r="BG4" s="20"/>
      <c r="BH4" s="1"/>
      <c r="BI4" s="1"/>
      <c r="BJ4" s="1"/>
      <c r="BK4" s="1"/>
      <c r="BL4" s="1"/>
      <c r="BM4" s="1"/>
      <c r="BN4" s="1"/>
      <c r="BO4" s="1"/>
      <c r="BP4" s="25"/>
      <c r="BQ4" s="54"/>
      <c r="BR4" s="54"/>
      <c r="BS4" s="54"/>
      <c r="BT4" s="54"/>
      <c r="BU4" s="54"/>
      <c r="BV4" s="54"/>
      <c r="BW4" s="54"/>
      <c r="BX4" s="54"/>
      <c r="BY4" s="54"/>
      <c r="BZ4" s="54"/>
      <c r="CA4" s="54"/>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row>
    <row r="5" spans="1:115" ht="14.25" customHeight="1">
      <c r="A5" s="215"/>
      <c r="B5" s="219" t="s">
        <v>47</v>
      </c>
      <c r="C5" s="219" t="s">
        <v>48</v>
      </c>
      <c r="D5" s="219" t="s">
        <v>49</v>
      </c>
      <c r="E5" s="219" t="s">
        <v>267</v>
      </c>
      <c r="F5" s="219"/>
      <c r="G5" s="219" t="s">
        <v>51</v>
      </c>
      <c r="H5" s="219" t="s">
        <v>51</v>
      </c>
      <c r="I5" s="228" t="s">
        <v>51</v>
      </c>
      <c r="J5" s="228" t="s">
        <v>51</v>
      </c>
      <c r="K5" s="219">
        <v>0.05</v>
      </c>
      <c r="L5" s="219">
        <v>0.05</v>
      </c>
      <c r="M5" s="219">
        <v>0.05</v>
      </c>
      <c r="N5" s="219">
        <v>0.05</v>
      </c>
      <c r="O5" s="219">
        <v>0.05</v>
      </c>
      <c r="P5" s="219">
        <v>0.05</v>
      </c>
      <c r="Q5" s="219">
        <v>0.05</v>
      </c>
      <c r="R5" s="219">
        <v>0.05</v>
      </c>
      <c r="S5" s="219">
        <v>0.05</v>
      </c>
      <c r="T5" s="219">
        <v>0.05</v>
      </c>
      <c r="U5" s="219">
        <v>0.05</v>
      </c>
      <c r="V5" s="219">
        <v>0.05</v>
      </c>
      <c r="W5" s="219">
        <v>0.05</v>
      </c>
      <c r="X5" s="219">
        <v>0.05</v>
      </c>
      <c r="Y5" s="219">
        <v>0.05</v>
      </c>
      <c r="Z5" s="219">
        <v>0.05</v>
      </c>
      <c r="AA5" s="219">
        <v>0.05</v>
      </c>
      <c r="AB5" s="219">
        <v>0.05</v>
      </c>
      <c r="AC5" s="219">
        <v>0.05</v>
      </c>
      <c r="AD5" s="219">
        <v>0.05</v>
      </c>
      <c r="AE5" s="219">
        <v>0.05</v>
      </c>
      <c r="AF5" s="219">
        <v>0.05</v>
      </c>
      <c r="AG5" s="219">
        <v>0.05</v>
      </c>
      <c r="AH5" s="219">
        <v>0.05</v>
      </c>
      <c r="AI5" s="229">
        <v>0.05</v>
      </c>
      <c r="AJ5" s="219">
        <v>0.05</v>
      </c>
      <c r="AK5" s="219">
        <v>0.05</v>
      </c>
      <c r="AL5" s="219">
        <v>0.05</v>
      </c>
      <c r="AM5" s="219">
        <v>0.05</v>
      </c>
      <c r="AN5" s="219">
        <v>0.05</v>
      </c>
      <c r="AO5" s="219">
        <v>0.05</v>
      </c>
      <c r="AP5" s="219">
        <v>0.05</v>
      </c>
      <c r="AQ5" s="219">
        <v>0.05</v>
      </c>
      <c r="AR5" s="219">
        <v>0.05</v>
      </c>
      <c r="AS5" s="219">
        <v>0.05</v>
      </c>
      <c r="AT5" s="219">
        <v>0.05</v>
      </c>
      <c r="AU5" s="219">
        <v>0.05</v>
      </c>
      <c r="AV5" s="219">
        <v>0.05</v>
      </c>
      <c r="AW5" s="219">
        <v>0.05</v>
      </c>
      <c r="AX5" s="219">
        <v>0.05</v>
      </c>
      <c r="AY5" s="219">
        <v>0.05</v>
      </c>
      <c r="AZ5" s="219">
        <v>0.05</v>
      </c>
      <c r="BA5" s="219">
        <v>0.05</v>
      </c>
      <c r="BB5" s="219">
        <v>0.05</v>
      </c>
      <c r="BC5" s="219">
        <v>0.05</v>
      </c>
      <c r="BD5" s="230"/>
      <c r="BE5" s="219"/>
      <c r="BF5" s="231"/>
      <c r="BG5" s="20" t="s">
        <v>268</v>
      </c>
      <c r="BH5" s="14"/>
      <c r="BI5" s="14"/>
      <c r="BJ5" s="1"/>
      <c r="BK5" s="1"/>
      <c r="BL5" s="14"/>
      <c r="BM5" s="14"/>
      <c r="BN5" s="14"/>
      <c r="BO5" s="14"/>
      <c r="BP5" s="14"/>
      <c r="BQ5" s="14"/>
      <c r="BR5" s="14"/>
      <c r="BS5" s="14"/>
      <c r="BT5" s="14"/>
      <c r="BU5" s="14"/>
      <c r="BV5" s="14"/>
      <c r="BW5" s="1"/>
      <c r="BX5" s="1"/>
      <c r="BY5" s="1"/>
      <c r="BZ5" s="1"/>
      <c r="CA5" s="1"/>
      <c r="CB5" s="1"/>
    </row>
    <row r="6" spans="1:115" ht="14.25" customHeight="1">
      <c r="A6" s="215"/>
      <c r="B6" s="215"/>
      <c r="C6" s="219" t="s">
        <v>52</v>
      </c>
      <c r="D6" s="219" t="s">
        <v>53</v>
      </c>
      <c r="E6" s="219" t="s">
        <v>54</v>
      </c>
      <c r="F6" s="215"/>
      <c r="G6" s="219" t="s">
        <v>51</v>
      </c>
      <c r="H6" s="219" t="s">
        <v>51</v>
      </c>
      <c r="I6" s="228" t="s">
        <v>51</v>
      </c>
      <c r="J6" s="228" t="s">
        <v>51</v>
      </c>
      <c r="K6" s="219" t="s">
        <v>51</v>
      </c>
      <c r="L6" s="219">
        <v>144.0804</v>
      </c>
      <c r="M6" s="219">
        <v>144.0804</v>
      </c>
      <c r="N6" s="219">
        <v>144.0804</v>
      </c>
      <c r="O6" s="219">
        <v>144.0804</v>
      </c>
      <c r="P6" s="219">
        <v>144.0804</v>
      </c>
      <c r="Q6" s="219">
        <v>144.0804</v>
      </c>
      <c r="R6" s="219">
        <v>144.0804</v>
      </c>
      <c r="S6" s="219">
        <v>144.0804</v>
      </c>
      <c r="T6" s="219">
        <v>144.0804</v>
      </c>
      <c r="U6" s="219">
        <v>144.0804</v>
      </c>
      <c r="V6" s="219">
        <v>144.0804</v>
      </c>
      <c r="W6" s="219">
        <v>144.0804</v>
      </c>
      <c r="X6" s="219">
        <v>144.0804</v>
      </c>
      <c r="Y6" s="219">
        <v>144.0804</v>
      </c>
      <c r="Z6" s="219">
        <v>144.0804</v>
      </c>
      <c r="AA6" s="219">
        <v>144.0804</v>
      </c>
      <c r="AB6" s="219">
        <v>144.0804</v>
      </c>
      <c r="AC6" s="219">
        <v>144.0804</v>
      </c>
      <c r="AD6" s="219">
        <v>144.0804</v>
      </c>
      <c r="AE6" s="219">
        <v>144.08000000000001</v>
      </c>
      <c r="AF6" s="219">
        <v>144.08000000000001</v>
      </c>
      <c r="AG6" s="219">
        <v>144.0804</v>
      </c>
      <c r="AH6" s="219">
        <v>144.0804</v>
      </c>
      <c r="AI6" s="229">
        <v>144.0804</v>
      </c>
      <c r="AJ6" s="219">
        <v>144.0804</v>
      </c>
      <c r="AK6" s="219">
        <v>144.0804</v>
      </c>
      <c r="AL6" s="219">
        <v>144.0804</v>
      </c>
      <c r="AM6" s="219">
        <v>144.0804</v>
      </c>
      <c r="AN6" s="219">
        <v>144.0804</v>
      </c>
      <c r="AO6" s="219">
        <v>144.0804</v>
      </c>
      <c r="AP6" s="219">
        <v>144.0804</v>
      </c>
      <c r="AQ6" s="219">
        <v>144.0804</v>
      </c>
      <c r="AR6" s="219">
        <v>144.0804</v>
      </c>
      <c r="AS6" s="219">
        <v>144.0804</v>
      </c>
      <c r="AT6" s="219">
        <v>144.0804</v>
      </c>
      <c r="AU6" s="219">
        <v>144.0804</v>
      </c>
      <c r="AV6" s="219">
        <v>144.0804</v>
      </c>
      <c r="AW6" s="219">
        <v>144.0804</v>
      </c>
      <c r="AX6" s="219">
        <v>144.0804</v>
      </c>
      <c r="AY6" s="219">
        <v>144.0804</v>
      </c>
      <c r="AZ6" s="219">
        <v>144.0804</v>
      </c>
      <c r="BA6" s="219">
        <v>144.0804</v>
      </c>
      <c r="BB6" s="219">
        <v>144.0804</v>
      </c>
      <c r="BC6" s="219">
        <v>144.0804</v>
      </c>
      <c r="BD6" s="230"/>
      <c r="BE6" s="219"/>
      <c r="BF6" s="30"/>
      <c r="BG6" s="20" t="s">
        <v>55</v>
      </c>
      <c r="BH6" s="1" t="s">
        <v>273</v>
      </c>
      <c r="BI6" s="1"/>
      <c r="BJ6" s="1"/>
      <c r="BK6" s="1"/>
      <c r="BL6" s="1"/>
      <c r="BM6" s="1"/>
      <c r="BN6" s="1"/>
      <c r="BO6" s="1"/>
      <c r="BP6" s="1"/>
      <c r="BQ6" s="1"/>
      <c r="BR6" s="1"/>
      <c r="BS6" s="1"/>
      <c r="BT6" s="1"/>
      <c r="BU6" s="1"/>
      <c r="BV6" s="1"/>
      <c r="BW6" s="1"/>
      <c r="BX6" s="1"/>
      <c r="BY6" s="1"/>
      <c r="BZ6" s="1"/>
      <c r="CA6" s="1"/>
      <c r="CB6" s="1"/>
    </row>
    <row r="7" spans="1:115" ht="14.25" customHeight="1">
      <c r="A7" s="215"/>
      <c r="B7" s="215"/>
      <c r="C7" s="219" t="s">
        <v>406</v>
      </c>
      <c r="D7" s="219" t="s">
        <v>58</v>
      </c>
      <c r="E7" s="219" t="s">
        <v>12</v>
      </c>
      <c r="F7" s="219"/>
      <c r="G7" s="219" t="s">
        <v>51</v>
      </c>
      <c r="H7" s="219" t="s">
        <v>51</v>
      </c>
      <c r="I7" s="228" t="s">
        <v>51</v>
      </c>
      <c r="J7" s="228" t="s">
        <v>51</v>
      </c>
      <c r="K7" s="219" t="s">
        <v>51</v>
      </c>
      <c r="L7" s="219">
        <v>6.4554400000000003</v>
      </c>
      <c r="M7" s="219">
        <v>6.4554400000000003</v>
      </c>
      <c r="N7" s="219">
        <v>6.4554400000000003</v>
      </c>
      <c r="O7" s="219">
        <v>6.4554400000000003</v>
      </c>
      <c r="P7" s="219">
        <v>6.4554400000000003</v>
      </c>
      <c r="Q7" s="219">
        <v>6.4554400000000003</v>
      </c>
      <c r="R7" s="219">
        <v>6.4554400000000003</v>
      </c>
      <c r="S7" s="219">
        <v>6.4554400000000003</v>
      </c>
      <c r="T7" s="219">
        <v>6.4554400000000003</v>
      </c>
      <c r="U7" s="219">
        <v>6.4554400000000003</v>
      </c>
      <c r="V7" s="219">
        <v>6.4554400000000003</v>
      </c>
      <c r="W7" s="219">
        <v>6.4554400000000003</v>
      </c>
      <c r="X7" s="219">
        <v>6.4554400000000003</v>
      </c>
      <c r="Y7" s="219">
        <v>6.4554400000000003</v>
      </c>
      <c r="Z7" s="219">
        <v>6.4554400000000003</v>
      </c>
      <c r="AA7" s="219">
        <v>6.4554400000000003</v>
      </c>
      <c r="AB7" s="219">
        <v>6.4554400000000003</v>
      </c>
      <c r="AC7" s="219">
        <v>6.4554400000000003</v>
      </c>
      <c r="AD7" s="219">
        <v>6.4554400000000003</v>
      </c>
      <c r="AE7" s="219">
        <v>6.4554400000000003</v>
      </c>
      <c r="AF7" s="219">
        <v>6.4554400000000003</v>
      </c>
      <c r="AG7" s="219">
        <v>6.4554400000000003</v>
      </c>
      <c r="AH7" s="219">
        <v>6.4554400000000003</v>
      </c>
      <c r="AI7" s="229">
        <v>6.4554400000000003</v>
      </c>
      <c r="AJ7" s="219">
        <v>6.4554400000000003</v>
      </c>
      <c r="AK7" s="219">
        <v>6.4554400000000003</v>
      </c>
      <c r="AL7" s="219">
        <v>6.4554400000000003</v>
      </c>
      <c r="AM7" s="219">
        <v>6.4554400000000003</v>
      </c>
      <c r="AN7" s="219">
        <v>6.4554400000000003</v>
      </c>
      <c r="AO7" s="219">
        <v>6.4554400000000003</v>
      </c>
      <c r="AP7" s="219">
        <v>6.4554400000000003</v>
      </c>
      <c r="AQ7" s="219">
        <v>6.4554400000000003</v>
      </c>
      <c r="AR7" s="219">
        <v>6.4554400000000003</v>
      </c>
      <c r="AS7" s="219">
        <v>6.4554400000000003</v>
      </c>
      <c r="AT7" s="219">
        <v>6.4554400000000003</v>
      </c>
      <c r="AU7" s="219">
        <v>6.4554400000000003</v>
      </c>
      <c r="AV7" s="219">
        <v>6.4554400000000003</v>
      </c>
      <c r="AW7" s="219">
        <v>6.4554400000000003</v>
      </c>
      <c r="AX7" s="219">
        <v>6.4554400000000003</v>
      </c>
      <c r="AY7" s="219">
        <v>6.4554400000000003</v>
      </c>
      <c r="AZ7" s="219">
        <v>6.4554400000000003</v>
      </c>
      <c r="BA7" s="219">
        <v>6.4554400000000003</v>
      </c>
      <c r="BB7" s="219">
        <v>6.4554400000000003</v>
      </c>
      <c r="BC7" s="219">
        <v>6.4554400000000003</v>
      </c>
      <c r="BD7" s="230"/>
      <c r="BE7" s="219"/>
      <c r="BF7" s="231"/>
      <c r="BG7" s="20"/>
      <c r="BH7" s="1"/>
      <c r="BI7" s="1"/>
      <c r="BJ7" s="1"/>
      <c r="BK7" s="1"/>
      <c r="BL7" s="1"/>
      <c r="BM7" s="1"/>
      <c r="BN7" s="1"/>
      <c r="BO7" s="1"/>
      <c r="BP7" s="1"/>
      <c r="BQ7" s="1"/>
      <c r="BR7" s="1"/>
      <c r="BS7" s="1"/>
      <c r="BT7" s="1"/>
      <c r="BU7" s="1"/>
      <c r="BV7" s="1"/>
      <c r="BW7" s="1"/>
      <c r="BX7" s="1"/>
      <c r="BY7" s="1"/>
      <c r="BZ7" s="1"/>
      <c r="CA7" s="1"/>
      <c r="CB7" s="1"/>
    </row>
    <row r="8" spans="1:115" ht="14.25" customHeight="1">
      <c r="A8" s="215"/>
      <c r="B8" s="215"/>
      <c r="C8" s="219" t="s">
        <v>406</v>
      </c>
      <c r="D8" s="219" t="s">
        <v>59</v>
      </c>
      <c r="E8" s="219" t="s">
        <v>12</v>
      </c>
      <c r="F8" s="215"/>
      <c r="G8" s="219" t="s">
        <v>51</v>
      </c>
      <c r="H8" s="219" t="s">
        <v>51</v>
      </c>
      <c r="I8" s="228" t="s">
        <v>51</v>
      </c>
      <c r="J8" s="228" t="s">
        <v>51</v>
      </c>
      <c r="K8" s="219" t="s">
        <v>51</v>
      </c>
      <c r="L8" s="219">
        <v>53.83258</v>
      </c>
      <c r="M8" s="219">
        <v>53.83258</v>
      </c>
      <c r="N8" s="219">
        <v>53.83258</v>
      </c>
      <c r="O8" s="219">
        <v>53.83258</v>
      </c>
      <c r="P8" s="219">
        <v>53.83258</v>
      </c>
      <c r="Q8" s="219">
        <v>53.83258</v>
      </c>
      <c r="R8" s="219">
        <v>53.83258</v>
      </c>
      <c r="S8" s="219">
        <v>53.83258</v>
      </c>
      <c r="T8" s="219">
        <v>53.83258</v>
      </c>
      <c r="U8" s="219">
        <v>53.83258</v>
      </c>
      <c r="V8" s="219">
        <v>53.83258</v>
      </c>
      <c r="W8" s="219">
        <v>53.83258</v>
      </c>
      <c r="X8" s="219">
        <v>53.83258</v>
      </c>
      <c r="Y8" s="219">
        <v>53.83258</v>
      </c>
      <c r="Z8" s="219">
        <v>53.83258</v>
      </c>
      <c r="AA8" s="219">
        <v>53.83258</v>
      </c>
      <c r="AB8" s="219">
        <v>53.83258</v>
      </c>
      <c r="AC8" s="219">
        <v>53.83258</v>
      </c>
      <c r="AD8" s="219">
        <v>53.83258</v>
      </c>
      <c r="AE8" s="219">
        <v>53.832599999999999</v>
      </c>
      <c r="AF8" s="219">
        <v>53.832599999999999</v>
      </c>
      <c r="AG8" s="219">
        <v>53.83258</v>
      </c>
      <c r="AH8" s="219">
        <v>53.83258</v>
      </c>
      <c r="AI8" s="229">
        <v>53.83258</v>
      </c>
      <c r="AJ8" s="219">
        <v>53.83258</v>
      </c>
      <c r="AK8" s="219">
        <v>53.83258</v>
      </c>
      <c r="AL8" s="219">
        <v>53.83258</v>
      </c>
      <c r="AM8" s="219">
        <v>53.83258</v>
      </c>
      <c r="AN8" s="219">
        <v>53.83258</v>
      </c>
      <c r="AO8" s="219">
        <v>53.83258</v>
      </c>
      <c r="AP8" s="219">
        <v>53.83258</v>
      </c>
      <c r="AQ8" s="219">
        <v>53.83258</v>
      </c>
      <c r="AR8" s="219">
        <v>53.83258</v>
      </c>
      <c r="AS8" s="219">
        <v>53.83258</v>
      </c>
      <c r="AT8" s="219">
        <v>53.83258</v>
      </c>
      <c r="AU8" s="219">
        <v>53.83258</v>
      </c>
      <c r="AV8" s="219">
        <v>53.83258</v>
      </c>
      <c r="AW8" s="219">
        <v>53.83258</v>
      </c>
      <c r="AX8" s="219">
        <v>53.83258</v>
      </c>
      <c r="AY8" s="219">
        <v>53.83258</v>
      </c>
      <c r="AZ8" s="219">
        <v>53.83258</v>
      </c>
      <c r="BA8" s="219">
        <v>53.83258</v>
      </c>
      <c r="BB8" s="219">
        <v>53.83258</v>
      </c>
      <c r="BC8" s="219">
        <v>53.83258</v>
      </c>
      <c r="BD8" s="230"/>
      <c r="BE8" s="219"/>
      <c r="BF8" s="231"/>
      <c r="BG8" s="20" t="s">
        <v>275</v>
      </c>
      <c r="BH8" s="1"/>
      <c r="BI8" s="1"/>
      <c r="BJ8" s="1"/>
      <c r="BK8" s="1"/>
      <c r="BL8" s="1"/>
      <c r="BM8" s="1"/>
      <c r="BN8" s="1"/>
      <c r="BO8" s="1"/>
      <c r="BP8" s="1"/>
      <c r="BQ8" s="1"/>
      <c r="BR8" s="1"/>
      <c r="BS8" s="1"/>
      <c r="BT8" s="1"/>
      <c r="BU8" s="1"/>
      <c r="BV8" s="1"/>
      <c r="BW8" s="1"/>
      <c r="BX8" s="1"/>
      <c r="BY8" s="1"/>
      <c r="BZ8" s="1"/>
      <c r="CA8" s="1"/>
      <c r="CB8" s="1"/>
    </row>
    <row r="9" spans="1:115" ht="14.25" customHeight="1">
      <c r="A9" s="215"/>
      <c r="B9" s="215"/>
      <c r="C9" s="219" t="s">
        <v>406</v>
      </c>
      <c r="D9" s="219" t="s">
        <v>60</v>
      </c>
      <c r="E9" s="219" t="s">
        <v>12</v>
      </c>
      <c r="F9" s="215"/>
      <c r="G9" s="219" t="s">
        <v>51</v>
      </c>
      <c r="H9" s="219" t="s">
        <v>51</v>
      </c>
      <c r="I9" s="228" t="s">
        <v>51</v>
      </c>
      <c r="J9" s="228" t="s">
        <v>51</v>
      </c>
      <c r="K9" s="219" t="s">
        <v>51</v>
      </c>
      <c r="L9" s="219">
        <v>14.876440000000001</v>
      </c>
      <c r="M9" s="219">
        <v>14.876440000000001</v>
      </c>
      <c r="N9" s="219">
        <v>14.876440000000001</v>
      </c>
      <c r="O9" s="219">
        <v>14.876440000000001</v>
      </c>
      <c r="P9" s="219">
        <v>14.876440000000001</v>
      </c>
      <c r="Q9" s="219">
        <v>14.876440000000001</v>
      </c>
      <c r="R9" s="219">
        <v>14.876440000000001</v>
      </c>
      <c r="S9" s="219">
        <v>14.876440000000001</v>
      </c>
      <c r="T9" s="219">
        <v>14.876440000000001</v>
      </c>
      <c r="U9" s="219">
        <v>14.876440000000001</v>
      </c>
      <c r="V9" s="219">
        <v>14.876440000000001</v>
      </c>
      <c r="W9" s="219">
        <v>14.876440000000001</v>
      </c>
      <c r="X9" s="219">
        <v>14.876440000000001</v>
      </c>
      <c r="Y9" s="219">
        <v>14.876440000000001</v>
      </c>
      <c r="Z9" s="219">
        <v>14.876440000000001</v>
      </c>
      <c r="AA9" s="219">
        <v>14.876440000000001</v>
      </c>
      <c r="AB9" s="219">
        <v>14.876440000000001</v>
      </c>
      <c r="AC9" s="219">
        <v>14.876440000000001</v>
      </c>
      <c r="AD9" s="219">
        <v>14.876440000000001</v>
      </c>
      <c r="AE9" s="219">
        <v>14.8764</v>
      </c>
      <c r="AF9" s="219">
        <v>14.8764</v>
      </c>
      <c r="AG9" s="219">
        <v>14.876440000000001</v>
      </c>
      <c r="AH9" s="219">
        <v>14.876440000000001</v>
      </c>
      <c r="AI9" s="229">
        <v>14.876440000000001</v>
      </c>
      <c r="AJ9" s="219">
        <v>14.876440000000001</v>
      </c>
      <c r="AK9" s="219">
        <v>14.876440000000001</v>
      </c>
      <c r="AL9" s="219">
        <v>14.876440000000001</v>
      </c>
      <c r="AM9" s="219">
        <v>14.876440000000001</v>
      </c>
      <c r="AN9" s="219">
        <v>14.876440000000001</v>
      </c>
      <c r="AO9" s="219">
        <v>14.876440000000001</v>
      </c>
      <c r="AP9" s="219">
        <v>14.876440000000001</v>
      </c>
      <c r="AQ9" s="219">
        <v>14.876440000000001</v>
      </c>
      <c r="AR9" s="219">
        <v>14.876440000000001</v>
      </c>
      <c r="AS9" s="219">
        <v>14.876440000000001</v>
      </c>
      <c r="AT9" s="219">
        <v>14.876440000000001</v>
      </c>
      <c r="AU9" s="219">
        <v>14.876440000000001</v>
      </c>
      <c r="AV9" s="219">
        <v>14.876440000000001</v>
      </c>
      <c r="AW9" s="219">
        <v>14.876440000000001</v>
      </c>
      <c r="AX9" s="219">
        <v>14.876440000000001</v>
      </c>
      <c r="AY9" s="219">
        <v>14.876440000000001</v>
      </c>
      <c r="AZ9" s="219">
        <v>14.876440000000001</v>
      </c>
      <c r="BA9" s="219">
        <v>14.876440000000001</v>
      </c>
      <c r="BB9" s="219">
        <v>14.876440000000001</v>
      </c>
      <c r="BC9" s="219">
        <v>14.876440000000001</v>
      </c>
      <c r="BD9" s="230"/>
      <c r="BE9" s="219"/>
      <c r="BF9" s="30"/>
      <c r="BG9" s="125"/>
      <c r="BH9" s="75"/>
      <c r="BI9" s="75"/>
      <c r="BJ9" s="75"/>
      <c r="BK9" s="75"/>
      <c r="BL9" s="75"/>
      <c r="BM9" s="75"/>
      <c r="BN9" s="75"/>
      <c r="BO9" s="75"/>
      <c r="BP9" s="75"/>
      <c r="BQ9" s="75"/>
      <c r="BR9" s="75"/>
      <c r="BS9" s="75"/>
      <c r="BT9" s="75"/>
      <c r="BU9" s="75"/>
      <c r="BV9" s="75"/>
      <c r="BW9" s="75"/>
      <c r="BX9" s="75"/>
      <c r="BY9" s="75"/>
      <c r="BZ9" s="75"/>
      <c r="CA9" s="75"/>
      <c r="CB9" s="1"/>
    </row>
    <row r="10" spans="1:115" ht="14.25" customHeight="1">
      <c r="A10" s="215"/>
      <c r="B10" s="215"/>
      <c r="C10" s="219" t="s">
        <v>406</v>
      </c>
      <c r="D10" s="219" t="s">
        <v>61</v>
      </c>
      <c r="E10" s="219" t="s">
        <v>12</v>
      </c>
      <c r="F10" s="215"/>
      <c r="G10" s="219" t="s">
        <v>51</v>
      </c>
      <c r="H10" s="219" t="s">
        <v>51</v>
      </c>
      <c r="I10" s="219" t="s">
        <v>51</v>
      </c>
      <c r="J10" s="219" t="s">
        <v>51</v>
      </c>
      <c r="K10" s="219" t="s">
        <v>51</v>
      </c>
      <c r="L10" s="219">
        <v>52.379779999999997</v>
      </c>
      <c r="M10" s="219">
        <v>52.379779999999997</v>
      </c>
      <c r="N10" s="219">
        <v>52.379779999999997</v>
      </c>
      <c r="O10" s="219">
        <v>52.379779999999997</v>
      </c>
      <c r="P10" s="219">
        <v>52.379779999999997</v>
      </c>
      <c r="Q10" s="219">
        <v>52.379779999999997</v>
      </c>
      <c r="R10" s="219">
        <v>52.379779999999997</v>
      </c>
      <c r="S10" s="219">
        <v>52.379779999999997</v>
      </c>
      <c r="T10" s="219">
        <v>52.379779999999997</v>
      </c>
      <c r="U10" s="219">
        <v>52.379779999999997</v>
      </c>
      <c r="V10" s="219">
        <v>52.379779999999997</v>
      </c>
      <c r="W10" s="219">
        <v>52.379779999999997</v>
      </c>
      <c r="X10" s="219">
        <v>52.379779999999997</v>
      </c>
      <c r="Y10" s="219">
        <v>52.379779999999997</v>
      </c>
      <c r="Z10" s="219">
        <v>52.379779999999997</v>
      </c>
      <c r="AA10" s="219">
        <v>52.379779999999997</v>
      </c>
      <c r="AB10" s="219">
        <v>52.379779999999997</v>
      </c>
      <c r="AC10" s="219">
        <v>52.379779999999997</v>
      </c>
      <c r="AD10" s="219">
        <v>52.379779999999997</v>
      </c>
      <c r="AE10" s="219">
        <v>52.379800000000003</v>
      </c>
      <c r="AF10" s="219">
        <v>52.379800000000003</v>
      </c>
      <c r="AG10" s="219">
        <v>52.379779999999997</v>
      </c>
      <c r="AH10" s="219">
        <v>52.379779999999997</v>
      </c>
      <c r="AI10" s="229">
        <v>52.379779999999997</v>
      </c>
      <c r="AJ10" s="219">
        <v>52.379779999999997</v>
      </c>
      <c r="AK10" s="219">
        <v>52.379779999999997</v>
      </c>
      <c r="AL10" s="219">
        <v>52.379779999999997</v>
      </c>
      <c r="AM10" s="219">
        <v>52.379779999999997</v>
      </c>
      <c r="AN10" s="219">
        <v>52.379779999999997</v>
      </c>
      <c r="AO10" s="219">
        <v>52.379779999999997</v>
      </c>
      <c r="AP10" s="219">
        <v>52.379779999999997</v>
      </c>
      <c r="AQ10" s="219">
        <v>52.379779999999997</v>
      </c>
      <c r="AR10" s="219">
        <v>52.379779999999997</v>
      </c>
      <c r="AS10" s="219">
        <v>52.379779999999997</v>
      </c>
      <c r="AT10" s="219">
        <v>52.379779999999997</v>
      </c>
      <c r="AU10" s="219">
        <v>52.379779999999997</v>
      </c>
      <c r="AV10" s="219">
        <v>52.379779999999997</v>
      </c>
      <c r="AW10" s="219">
        <v>52.379779999999997</v>
      </c>
      <c r="AX10" s="219">
        <v>52.379779999999997</v>
      </c>
      <c r="AY10" s="219">
        <v>52.379779999999997</v>
      </c>
      <c r="AZ10" s="219">
        <v>52.379779999999997</v>
      </c>
      <c r="BA10" s="219">
        <v>52.379779999999997</v>
      </c>
      <c r="BB10" s="219">
        <v>52.379779999999997</v>
      </c>
      <c r="BC10" s="219">
        <v>52.379779999999997</v>
      </c>
      <c r="BD10" s="230"/>
      <c r="BE10" s="219"/>
      <c r="BF10" s="30" t="s">
        <v>264</v>
      </c>
      <c r="BG10" s="20"/>
      <c r="BH10" s="1" t="s">
        <v>278</v>
      </c>
      <c r="BI10" s="1"/>
      <c r="BJ10" s="1"/>
      <c r="BK10" s="1" t="s">
        <v>276</v>
      </c>
      <c r="BL10" s="1"/>
      <c r="BM10" s="1"/>
      <c r="BN10" s="1"/>
      <c r="BO10" s="1"/>
      <c r="BP10" s="1"/>
      <c r="BQ10" s="1"/>
      <c r="BR10" s="1"/>
      <c r="BS10" s="1"/>
      <c r="BT10" s="1"/>
      <c r="BU10" s="1"/>
      <c r="BV10" s="1"/>
      <c r="BW10" s="1"/>
      <c r="BX10" s="1"/>
      <c r="BY10" s="1"/>
      <c r="BZ10" s="1"/>
      <c r="CA10" s="1"/>
      <c r="CB10" s="1"/>
    </row>
    <row r="11" spans="1:115" ht="14.25" customHeight="1">
      <c r="A11" s="215"/>
      <c r="B11" s="215"/>
      <c r="C11" s="219" t="s">
        <v>406</v>
      </c>
      <c r="D11" s="219" t="s">
        <v>62</v>
      </c>
      <c r="E11" s="219" t="s">
        <v>12</v>
      </c>
      <c r="F11" s="215"/>
      <c r="G11" s="219" t="s">
        <v>51</v>
      </c>
      <c r="H11" s="219" t="s">
        <v>51</v>
      </c>
      <c r="I11" s="219" t="s">
        <v>51</v>
      </c>
      <c r="J11" s="219" t="s">
        <v>51</v>
      </c>
      <c r="K11" s="219" t="s">
        <v>51</v>
      </c>
      <c r="L11" s="219">
        <v>7.0721129999999999</v>
      </c>
      <c r="M11" s="219">
        <v>7.0721129999999999</v>
      </c>
      <c r="N11" s="219">
        <v>7.0721129999999999</v>
      </c>
      <c r="O11" s="219">
        <v>7.0721129999999999</v>
      </c>
      <c r="P11" s="219">
        <v>7.0721129999999999</v>
      </c>
      <c r="Q11" s="219">
        <v>7.0721129999999999</v>
      </c>
      <c r="R11" s="219">
        <v>7.0721129999999999</v>
      </c>
      <c r="S11" s="219">
        <v>7.0721129999999999</v>
      </c>
      <c r="T11" s="219">
        <v>7.0721129999999999</v>
      </c>
      <c r="U11" s="219">
        <v>7.0721129999999999</v>
      </c>
      <c r="V11" s="219">
        <v>7.0721129999999999</v>
      </c>
      <c r="W11" s="219">
        <v>7.0721129999999999</v>
      </c>
      <c r="X11" s="219">
        <v>7.0721129999999999</v>
      </c>
      <c r="Y11" s="219">
        <v>7.0721129999999999</v>
      </c>
      <c r="Z11" s="219">
        <v>7.0721129999999999</v>
      </c>
      <c r="AA11" s="219">
        <v>7.0721129999999999</v>
      </c>
      <c r="AB11" s="219">
        <v>7.0721129999999999</v>
      </c>
      <c r="AC11" s="219">
        <v>7.0721129999999999</v>
      </c>
      <c r="AD11" s="219">
        <v>7.0721129999999999</v>
      </c>
      <c r="AE11" s="219">
        <v>7.0721100000000003</v>
      </c>
      <c r="AF11" s="219">
        <v>7.0721100000000003</v>
      </c>
      <c r="AG11" s="219">
        <v>7.0721129999999999</v>
      </c>
      <c r="AH11" s="219">
        <v>7.0721129999999999</v>
      </c>
      <c r="AI11" s="229">
        <v>7.0721129999999999</v>
      </c>
      <c r="AJ11" s="219">
        <v>7.0721129999999999</v>
      </c>
      <c r="AK11" s="219">
        <v>7.0721129999999999</v>
      </c>
      <c r="AL11" s="219">
        <v>7.0721129999999999</v>
      </c>
      <c r="AM11" s="219">
        <v>7.0721129999999999</v>
      </c>
      <c r="AN11" s="219">
        <v>7.0721129999999999</v>
      </c>
      <c r="AO11" s="219">
        <v>7.0721129999999999</v>
      </c>
      <c r="AP11" s="219">
        <v>7.0721129999999999</v>
      </c>
      <c r="AQ11" s="219">
        <v>7.0721129999999999</v>
      </c>
      <c r="AR11" s="219">
        <v>7.0721129999999999</v>
      </c>
      <c r="AS11" s="219">
        <v>7.0721129999999999</v>
      </c>
      <c r="AT11" s="219">
        <v>7.0721129999999999</v>
      </c>
      <c r="AU11" s="219">
        <v>7.0721129999999999</v>
      </c>
      <c r="AV11" s="219">
        <v>7.0721129999999999</v>
      </c>
      <c r="AW11" s="219">
        <v>7.0721129999999999</v>
      </c>
      <c r="AX11" s="219">
        <v>7.0721129999999999</v>
      </c>
      <c r="AY11" s="219">
        <v>7.0721129999999999</v>
      </c>
      <c r="AZ11" s="219">
        <v>7.0721129999999999</v>
      </c>
      <c r="BA11" s="219">
        <v>7.0721129999999999</v>
      </c>
      <c r="BB11" s="219">
        <v>7.0721129999999999</v>
      </c>
      <c r="BC11" s="219">
        <v>7.0721129999999999</v>
      </c>
      <c r="BD11" s="230"/>
      <c r="BE11" s="219"/>
      <c r="BF11" s="30" t="s">
        <v>268</v>
      </c>
      <c r="BG11" s="20"/>
      <c r="BH11" s="1" t="s">
        <v>407</v>
      </c>
      <c r="BI11" s="1"/>
      <c r="BJ11" s="1"/>
      <c r="BK11" s="1" t="s">
        <v>279</v>
      </c>
      <c r="BL11" s="1"/>
      <c r="BM11" s="1"/>
      <c r="BN11" s="1"/>
      <c r="BO11" s="1"/>
      <c r="BP11" s="1"/>
      <c r="BQ11" s="1"/>
      <c r="BR11" s="1"/>
      <c r="BS11" s="1"/>
      <c r="BT11" s="1"/>
      <c r="BU11" s="1"/>
      <c r="BV11" s="1"/>
      <c r="BW11" s="1"/>
      <c r="BX11" s="1"/>
      <c r="BY11" s="1"/>
      <c r="BZ11" s="1"/>
      <c r="CA11" s="1"/>
      <c r="CB11" s="1"/>
    </row>
    <row r="12" spans="1:115" ht="14.25" customHeight="1">
      <c r="A12" s="215"/>
      <c r="B12" s="215"/>
      <c r="C12" s="219" t="s">
        <v>406</v>
      </c>
      <c r="D12" s="219" t="s">
        <v>63</v>
      </c>
      <c r="E12" s="219" t="s">
        <v>12</v>
      </c>
      <c r="F12" s="215"/>
      <c r="G12" s="219" t="s">
        <v>51</v>
      </c>
      <c r="H12" s="219" t="s">
        <v>51</v>
      </c>
      <c r="I12" s="219" t="s">
        <v>51</v>
      </c>
      <c r="J12" s="219" t="s">
        <v>51</v>
      </c>
      <c r="K12" s="219" t="s">
        <v>51</v>
      </c>
      <c r="L12" s="219">
        <v>0</v>
      </c>
      <c r="M12" s="219">
        <v>0</v>
      </c>
      <c r="N12" s="219">
        <v>0</v>
      </c>
      <c r="O12" s="219">
        <v>0</v>
      </c>
      <c r="P12" s="219">
        <v>0</v>
      </c>
      <c r="Q12" s="219">
        <v>0</v>
      </c>
      <c r="R12" s="219">
        <v>0</v>
      </c>
      <c r="S12" s="219">
        <v>0</v>
      </c>
      <c r="T12" s="219">
        <v>0</v>
      </c>
      <c r="U12" s="219">
        <v>0</v>
      </c>
      <c r="V12" s="219">
        <v>0</v>
      </c>
      <c r="W12" s="219">
        <v>0</v>
      </c>
      <c r="X12" s="219">
        <v>0</v>
      </c>
      <c r="Y12" s="219">
        <v>0</v>
      </c>
      <c r="Z12" s="219">
        <v>0</v>
      </c>
      <c r="AA12" s="219">
        <v>0</v>
      </c>
      <c r="AB12" s="219">
        <v>0</v>
      </c>
      <c r="AC12" s="219">
        <v>0</v>
      </c>
      <c r="AD12" s="219">
        <v>0</v>
      </c>
      <c r="AE12" s="219">
        <v>0</v>
      </c>
      <c r="AF12" s="219">
        <v>0</v>
      </c>
      <c r="AG12" s="219">
        <v>0</v>
      </c>
      <c r="AH12" s="219">
        <v>0</v>
      </c>
      <c r="AI12" s="229">
        <v>0</v>
      </c>
      <c r="AJ12" s="219">
        <v>0</v>
      </c>
      <c r="AK12" s="219">
        <v>0</v>
      </c>
      <c r="AL12" s="219">
        <v>0</v>
      </c>
      <c r="AM12" s="219">
        <v>0</v>
      </c>
      <c r="AN12" s="219">
        <v>0</v>
      </c>
      <c r="AO12" s="219">
        <v>0</v>
      </c>
      <c r="AP12" s="219">
        <v>0</v>
      </c>
      <c r="AQ12" s="219">
        <v>0</v>
      </c>
      <c r="AR12" s="219">
        <v>0</v>
      </c>
      <c r="AS12" s="219">
        <v>0</v>
      </c>
      <c r="AT12" s="219">
        <v>0</v>
      </c>
      <c r="AU12" s="219">
        <v>0</v>
      </c>
      <c r="AV12" s="219">
        <v>0</v>
      </c>
      <c r="AW12" s="219">
        <v>0</v>
      </c>
      <c r="AX12" s="219">
        <v>0</v>
      </c>
      <c r="AY12" s="219">
        <v>0</v>
      </c>
      <c r="AZ12" s="219">
        <v>0</v>
      </c>
      <c r="BA12" s="219">
        <v>0</v>
      </c>
      <c r="BB12" s="219">
        <v>0</v>
      </c>
      <c r="BC12" s="219">
        <v>0</v>
      </c>
      <c r="BD12" s="230"/>
      <c r="BE12" s="219"/>
      <c r="BF12" s="30" t="s">
        <v>55</v>
      </c>
      <c r="BG12" s="20"/>
      <c r="BH12" s="1" t="s">
        <v>408</v>
      </c>
      <c r="BI12" s="1"/>
      <c r="BJ12" s="1"/>
      <c r="BK12" s="1" t="s">
        <v>99</v>
      </c>
      <c r="BL12" s="1"/>
      <c r="BM12" s="1"/>
      <c r="BN12" s="1"/>
      <c r="BO12" s="1"/>
      <c r="BP12" s="1"/>
      <c r="BQ12" s="1"/>
      <c r="BR12" s="1"/>
      <c r="BS12" s="1"/>
      <c r="BT12" s="1"/>
      <c r="BU12" s="1"/>
      <c r="BV12" s="1"/>
      <c r="BW12" s="1"/>
      <c r="BX12" s="1"/>
      <c r="BY12" s="1"/>
      <c r="BZ12" s="1"/>
      <c r="CA12" s="1"/>
      <c r="CB12" s="1"/>
    </row>
    <row r="13" spans="1:115" ht="14.25" customHeight="1">
      <c r="A13" s="215"/>
      <c r="B13" s="215"/>
      <c r="C13" s="219" t="s">
        <v>64</v>
      </c>
      <c r="D13" s="219"/>
      <c r="E13" s="219" t="s">
        <v>274</v>
      </c>
      <c r="F13" s="30"/>
      <c r="G13" s="219">
        <v>8.9713100000000008</v>
      </c>
      <c r="H13" s="219">
        <v>9.2059999999999995</v>
      </c>
      <c r="I13" s="219">
        <v>9.0568000000000008</v>
      </c>
      <c r="J13" s="219">
        <v>8.6334330000000001</v>
      </c>
      <c r="K13" s="219">
        <v>8.3195329999999998</v>
      </c>
      <c r="L13" s="219">
        <v>7.9193689999999997</v>
      </c>
      <c r="M13" s="219">
        <v>7.4731620000000003</v>
      </c>
      <c r="N13" s="219">
        <v>6.693797</v>
      </c>
      <c r="O13" s="219">
        <v>5.559653</v>
      </c>
      <c r="P13" s="219">
        <v>4.6441229999999996</v>
      </c>
      <c r="Q13" s="219">
        <v>3.8974449999999998</v>
      </c>
      <c r="R13" s="219">
        <v>3.003476</v>
      </c>
      <c r="S13" s="219">
        <v>2.1617280000000001</v>
      </c>
      <c r="T13" s="219">
        <v>0.680226</v>
      </c>
      <c r="U13" s="232">
        <v>1.06E-16</v>
      </c>
      <c r="V13" s="232">
        <v>1.17E-32</v>
      </c>
      <c r="W13" s="219">
        <v>0</v>
      </c>
      <c r="X13" s="219">
        <v>0</v>
      </c>
      <c r="Y13" s="219">
        <v>0</v>
      </c>
      <c r="Z13" s="219">
        <v>0</v>
      </c>
      <c r="AA13" s="219">
        <v>0</v>
      </c>
      <c r="AB13" s="219">
        <v>0</v>
      </c>
      <c r="AC13" s="219">
        <v>0</v>
      </c>
      <c r="AD13" s="219">
        <v>0</v>
      </c>
      <c r="AE13" s="219">
        <v>0</v>
      </c>
      <c r="AF13" s="219">
        <v>0</v>
      </c>
      <c r="AG13" s="219">
        <v>0</v>
      </c>
      <c r="AH13" s="219">
        <v>0</v>
      </c>
      <c r="AI13" s="229">
        <v>0</v>
      </c>
      <c r="AJ13" s="219">
        <v>0</v>
      </c>
      <c r="AK13" s="219">
        <v>0</v>
      </c>
      <c r="AL13" s="219">
        <v>0</v>
      </c>
      <c r="AM13" s="219">
        <v>0</v>
      </c>
      <c r="AN13" s="219">
        <v>0</v>
      </c>
      <c r="AO13" s="219">
        <v>0</v>
      </c>
      <c r="AP13" s="219">
        <v>0</v>
      </c>
      <c r="AQ13" s="219">
        <v>0</v>
      </c>
      <c r="AR13" s="219">
        <v>0</v>
      </c>
      <c r="AS13" s="219">
        <v>0</v>
      </c>
      <c r="AT13" s="219">
        <v>0</v>
      </c>
      <c r="AU13" s="219">
        <v>0</v>
      </c>
      <c r="AV13" s="219">
        <v>0</v>
      </c>
      <c r="AW13" s="219">
        <v>0</v>
      </c>
      <c r="AX13" s="219">
        <v>0</v>
      </c>
      <c r="AY13" s="219">
        <v>0</v>
      </c>
      <c r="AZ13" s="219">
        <v>0</v>
      </c>
      <c r="BA13" s="219">
        <v>0</v>
      </c>
      <c r="BB13" s="219">
        <v>0</v>
      </c>
      <c r="BC13" s="219">
        <v>0</v>
      </c>
      <c r="BD13" s="230"/>
      <c r="BE13" s="219"/>
      <c r="BF13" s="233"/>
      <c r="BG13" s="20"/>
      <c r="BH13" s="1" t="s">
        <v>409</v>
      </c>
      <c r="BI13" s="1"/>
      <c r="BJ13" s="1"/>
      <c r="BK13" s="1" t="s">
        <v>102</v>
      </c>
      <c r="BL13" s="1"/>
      <c r="BM13" s="1"/>
      <c r="BN13" s="1"/>
      <c r="BO13" s="1"/>
      <c r="BP13" s="1"/>
      <c r="BQ13" s="1"/>
      <c r="BR13" s="1"/>
      <c r="BS13" s="1"/>
      <c r="BT13" s="1"/>
      <c r="BU13" s="1"/>
      <c r="BV13" s="1"/>
      <c r="BW13" s="1"/>
      <c r="BX13" s="1"/>
      <c r="BY13" s="1"/>
      <c r="BZ13" s="1"/>
      <c r="CA13" s="1"/>
      <c r="CB13" s="1"/>
    </row>
    <row r="14" spans="1:115" ht="14.25" customHeight="1">
      <c r="A14" s="215"/>
      <c r="B14" s="215"/>
      <c r="C14" s="219" t="s">
        <v>410</v>
      </c>
      <c r="D14" s="215"/>
      <c r="E14" s="219" t="s">
        <v>274</v>
      </c>
      <c r="F14" s="215"/>
      <c r="G14" s="219">
        <v>5.1863000000000001</v>
      </c>
      <c r="H14" s="219">
        <v>5.7441000000000004</v>
      </c>
      <c r="I14" s="228">
        <v>6.0911</v>
      </c>
      <c r="J14" s="234">
        <v>6.25</v>
      </c>
      <c r="K14" s="183">
        <v>6.02</v>
      </c>
      <c r="L14" s="183">
        <v>5.73</v>
      </c>
      <c r="M14" s="183">
        <v>5.41</v>
      </c>
      <c r="N14" s="183">
        <v>4.8499999999999996</v>
      </c>
      <c r="O14" s="183">
        <v>4.03</v>
      </c>
      <c r="P14" s="183">
        <v>3.36</v>
      </c>
      <c r="Q14" s="183">
        <v>2.82</v>
      </c>
      <c r="R14" s="183">
        <v>2.17</v>
      </c>
      <c r="S14" s="183">
        <v>1.57</v>
      </c>
      <c r="T14" s="183">
        <v>0.49</v>
      </c>
      <c r="U14" s="183">
        <v>0</v>
      </c>
      <c r="V14" s="234">
        <v>0</v>
      </c>
      <c r="W14" s="234">
        <v>0</v>
      </c>
      <c r="X14" s="234">
        <v>0</v>
      </c>
      <c r="Y14" s="234">
        <v>0</v>
      </c>
      <c r="Z14" s="183">
        <v>0</v>
      </c>
      <c r="AA14" s="234">
        <v>0</v>
      </c>
      <c r="AB14" s="234">
        <v>0</v>
      </c>
      <c r="AC14" s="234">
        <v>0</v>
      </c>
      <c r="AD14" s="234">
        <v>0</v>
      </c>
      <c r="AE14" s="183">
        <v>0</v>
      </c>
      <c r="AF14" s="234">
        <v>0</v>
      </c>
      <c r="AG14" s="234">
        <v>0</v>
      </c>
      <c r="AH14" s="234">
        <v>0</v>
      </c>
      <c r="AI14" s="158">
        <v>0</v>
      </c>
      <c r="AJ14" s="183">
        <v>0</v>
      </c>
      <c r="AK14" s="183">
        <v>0</v>
      </c>
      <c r="AL14" s="183">
        <v>0</v>
      </c>
      <c r="AM14" s="183">
        <v>0</v>
      </c>
      <c r="AN14" s="183">
        <v>0</v>
      </c>
      <c r="AO14" s="183">
        <v>0</v>
      </c>
      <c r="AP14" s="183">
        <v>0</v>
      </c>
      <c r="AQ14" s="183">
        <v>0</v>
      </c>
      <c r="AR14" s="183">
        <v>0</v>
      </c>
      <c r="AS14" s="183">
        <v>0</v>
      </c>
      <c r="AT14" s="183">
        <v>0</v>
      </c>
      <c r="AU14" s="183">
        <v>0</v>
      </c>
      <c r="AV14" s="183">
        <v>0</v>
      </c>
      <c r="AW14" s="183">
        <v>0</v>
      </c>
      <c r="AX14" s="183">
        <v>0</v>
      </c>
      <c r="AY14" s="183">
        <v>0</v>
      </c>
      <c r="AZ14" s="183">
        <v>0</v>
      </c>
      <c r="BA14" s="183">
        <v>0</v>
      </c>
      <c r="BB14" s="183">
        <v>0</v>
      </c>
      <c r="BC14" s="183">
        <v>0</v>
      </c>
      <c r="BD14" s="235"/>
      <c r="BE14" s="183"/>
      <c r="BF14" s="30" t="s">
        <v>275</v>
      </c>
      <c r="BG14" s="20"/>
      <c r="BH14" s="1" t="s">
        <v>409</v>
      </c>
      <c r="BI14" s="1"/>
      <c r="BJ14" s="1"/>
      <c r="BK14" s="1" t="s">
        <v>125</v>
      </c>
      <c r="BL14" s="1"/>
      <c r="BM14" s="1"/>
      <c r="BN14" s="1"/>
      <c r="BO14" s="1"/>
      <c r="BP14" s="1"/>
      <c r="BQ14" s="1"/>
      <c r="BR14" s="1"/>
      <c r="BS14" s="1"/>
      <c r="BT14" s="1"/>
      <c r="BU14" s="1"/>
      <c r="BV14" s="1"/>
      <c r="BW14" s="1"/>
      <c r="BX14" s="1"/>
      <c r="BY14" s="1"/>
      <c r="BZ14" s="1"/>
      <c r="CA14" s="1"/>
      <c r="CB14" s="1"/>
    </row>
    <row r="15" spans="1:115" ht="14.25" customHeight="1">
      <c r="A15" s="236" t="s">
        <v>69</v>
      </c>
      <c r="B15" s="236"/>
      <c r="C15" s="236"/>
      <c r="D15" s="236"/>
      <c r="E15" s="236"/>
      <c r="F15" s="236"/>
      <c r="G15" s="236"/>
      <c r="H15" s="237"/>
      <c r="I15" s="238"/>
      <c r="J15" s="238"/>
      <c r="K15" s="237"/>
      <c r="L15" s="236"/>
      <c r="M15" s="236"/>
      <c r="N15" s="236"/>
      <c r="O15" s="236"/>
      <c r="P15" s="236"/>
      <c r="Q15" s="236"/>
      <c r="R15" s="236"/>
      <c r="S15" s="236"/>
      <c r="T15" s="236"/>
      <c r="U15" s="236"/>
      <c r="V15" s="236"/>
      <c r="W15" s="236"/>
      <c r="X15" s="236"/>
      <c r="Y15" s="236"/>
      <c r="Z15" s="236"/>
      <c r="AA15" s="236"/>
      <c r="AB15" s="236"/>
      <c r="AC15" s="236"/>
      <c r="AD15" s="236"/>
      <c r="AE15" s="236"/>
      <c r="AF15" s="236"/>
      <c r="AG15" s="236"/>
      <c r="AH15" s="236"/>
      <c r="AI15" s="239"/>
      <c r="AJ15" s="236"/>
      <c r="AK15" s="236"/>
      <c r="AL15" s="236"/>
      <c r="AM15" s="236"/>
      <c r="AN15" s="236"/>
      <c r="AO15" s="236"/>
      <c r="AP15" s="236"/>
      <c r="AQ15" s="236"/>
      <c r="AR15" s="236"/>
      <c r="AS15" s="236"/>
      <c r="AT15" s="236"/>
      <c r="AU15" s="236"/>
      <c r="AV15" s="236"/>
      <c r="AW15" s="236"/>
      <c r="AX15" s="236"/>
      <c r="AY15" s="236"/>
      <c r="AZ15" s="236"/>
      <c r="BA15" s="236"/>
      <c r="BB15" s="236"/>
      <c r="BC15" s="236"/>
      <c r="BD15" s="240"/>
      <c r="BE15" s="236"/>
      <c r="BF15" s="236"/>
      <c r="BG15" s="20"/>
      <c r="BH15" s="1"/>
      <c r="BI15" s="1"/>
      <c r="BJ15" s="1"/>
      <c r="BK15" s="1" t="s">
        <v>131</v>
      </c>
      <c r="BL15" s="1"/>
      <c r="BM15" s="1"/>
      <c r="BN15" s="1"/>
      <c r="BO15" s="1"/>
      <c r="BP15" s="1"/>
      <c r="BQ15" s="1"/>
      <c r="BR15" s="1"/>
      <c r="BS15" s="1"/>
      <c r="BT15" s="1"/>
      <c r="BU15" s="1"/>
      <c r="BV15" s="1"/>
      <c r="BW15" s="1"/>
      <c r="BX15" s="1"/>
      <c r="BY15" s="1"/>
      <c r="BZ15" s="1"/>
      <c r="CA15" s="1"/>
      <c r="CB15" s="1"/>
    </row>
    <row r="16" spans="1:115" ht="14.25" customHeight="1">
      <c r="A16" s="30"/>
      <c r="B16" s="29" t="s">
        <v>70</v>
      </c>
      <c r="C16" s="30" t="s">
        <v>78</v>
      </c>
      <c r="D16" s="30" t="s">
        <v>411</v>
      </c>
      <c r="E16" s="30" t="s">
        <v>73</v>
      </c>
      <c r="F16" s="30" t="s">
        <v>153</v>
      </c>
      <c r="G16" s="241">
        <v>3.8999999999999998E-3</v>
      </c>
      <c r="H16" s="241">
        <v>6.6E-3</v>
      </c>
      <c r="I16" s="241">
        <v>9.2999999999999992E-3</v>
      </c>
      <c r="J16" s="241">
        <v>1.2E-2</v>
      </c>
      <c r="K16" s="241">
        <v>1.7000000000000001E-2</v>
      </c>
      <c r="L16" s="241">
        <v>2.1999999999999999E-2</v>
      </c>
      <c r="M16" s="241">
        <v>2.5999999999999999E-2</v>
      </c>
      <c r="N16" s="241">
        <v>3.1E-2</v>
      </c>
      <c r="O16" s="241">
        <v>3.5999999999999997E-2</v>
      </c>
      <c r="P16" s="241">
        <v>4.8000000000000001E-2</v>
      </c>
      <c r="Q16" s="241">
        <v>6.0999999999999999E-2</v>
      </c>
      <c r="R16" s="241">
        <v>7.2999999999999995E-2</v>
      </c>
      <c r="S16" s="241">
        <v>8.5999999999999993E-2</v>
      </c>
      <c r="T16" s="241">
        <v>9.8000000000000004E-2</v>
      </c>
      <c r="U16" s="241">
        <v>0.1082</v>
      </c>
      <c r="V16" s="241">
        <v>0.11840000000000001</v>
      </c>
      <c r="W16" s="241">
        <v>0.12859999999999999</v>
      </c>
      <c r="X16" s="241">
        <v>0.13880000000000001</v>
      </c>
      <c r="Y16" s="241">
        <v>0.14899999999999999</v>
      </c>
      <c r="Z16" s="241">
        <v>0.15859999999999999</v>
      </c>
      <c r="AA16" s="241">
        <v>0.16819999999999999</v>
      </c>
      <c r="AB16" s="241">
        <v>0.17780000000000001</v>
      </c>
      <c r="AC16" s="241">
        <v>0.18740000000000001</v>
      </c>
      <c r="AD16" s="241">
        <v>0.19700000000000001</v>
      </c>
      <c r="AE16" s="241">
        <v>0.20019999999999999</v>
      </c>
      <c r="AF16" s="241">
        <v>0.2034</v>
      </c>
      <c r="AG16" s="241">
        <v>0.20660000000000001</v>
      </c>
      <c r="AH16" s="241">
        <v>0.20979999999999999</v>
      </c>
      <c r="AI16" s="242">
        <v>0.21299999999999999</v>
      </c>
      <c r="AJ16" s="241">
        <v>0.214</v>
      </c>
      <c r="AK16" s="241">
        <v>0.215</v>
      </c>
      <c r="AL16" s="241">
        <v>0.215</v>
      </c>
      <c r="AM16" s="241">
        <v>0.216</v>
      </c>
      <c r="AN16" s="241">
        <v>0.217</v>
      </c>
      <c r="AO16" s="241">
        <v>0.218</v>
      </c>
      <c r="AP16" s="241">
        <v>0.219</v>
      </c>
      <c r="AQ16" s="241">
        <v>0.22</v>
      </c>
      <c r="AR16" s="241">
        <v>0.22</v>
      </c>
      <c r="AS16" s="241">
        <v>0.221</v>
      </c>
      <c r="AT16" s="241">
        <v>0.222</v>
      </c>
      <c r="AU16" s="241">
        <v>0.223</v>
      </c>
      <c r="AV16" s="241">
        <v>0.224</v>
      </c>
      <c r="AW16" s="241">
        <v>0.22500000000000001</v>
      </c>
      <c r="AX16" s="241">
        <v>0.22600000000000001</v>
      </c>
      <c r="AY16" s="241">
        <v>0.22700000000000001</v>
      </c>
      <c r="AZ16" s="241">
        <v>0.22700000000000001</v>
      </c>
      <c r="BA16" s="241">
        <v>0.22800000000000001</v>
      </c>
      <c r="BB16" s="241">
        <v>0.22900000000000001</v>
      </c>
      <c r="BC16" s="241">
        <v>0.23</v>
      </c>
      <c r="BD16" s="243"/>
      <c r="BE16" s="241"/>
      <c r="BF16" s="30"/>
      <c r="BG16" s="20"/>
      <c r="BH16" s="1"/>
      <c r="BI16" s="1"/>
      <c r="BJ16" s="1"/>
      <c r="BK16" s="1"/>
      <c r="BL16" s="1"/>
      <c r="BM16" s="1"/>
      <c r="BN16" s="1"/>
      <c r="BO16" s="1"/>
      <c r="BP16" s="1"/>
      <c r="BQ16" s="1"/>
      <c r="BR16" s="1"/>
      <c r="BS16" s="1"/>
      <c r="BT16" s="1"/>
      <c r="BU16" s="1"/>
      <c r="BV16" s="1"/>
      <c r="BW16" s="1"/>
      <c r="BX16" s="1"/>
      <c r="BY16" s="1"/>
      <c r="BZ16" s="1"/>
      <c r="CA16" s="1"/>
      <c r="CB16" s="1"/>
    </row>
    <row r="17" spans="1:80" ht="14.25" customHeight="1">
      <c r="A17" s="30"/>
      <c r="B17" s="29" t="s">
        <v>70</v>
      </c>
      <c r="C17" s="30" t="s">
        <v>78</v>
      </c>
      <c r="D17" s="30" t="s">
        <v>412</v>
      </c>
      <c r="E17" s="30" t="s">
        <v>73</v>
      </c>
      <c r="F17" s="30" t="s">
        <v>281</v>
      </c>
      <c r="G17" s="241">
        <v>2E-3</v>
      </c>
      <c r="H17" s="241">
        <v>4.0000000000000001E-3</v>
      </c>
      <c r="I17" s="241">
        <v>5.0000000000000001E-3</v>
      </c>
      <c r="J17" s="241">
        <v>7.4999999999999997E-3</v>
      </c>
      <c r="K17" s="241">
        <v>8.9999999999999993E-3</v>
      </c>
      <c r="L17" s="241">
        <v>1.0999999999999999E-2</v>
      </c>
      <c r="M17" s="241">
        <v>1.2E-2</v>
      </c>
      <c r="N17" s="241">
        <v>1.4E-2</v>
      </c>
      <c r="O17" s="241">
        <v>1.6E-2</v>
      </c>
      <c r="P17" s="241">
        <v>1.7000000000000001E-2</v>
      </c>
      <c r="Q17" s="241">
        <v>1.9E-2</v>
      </c>
      <c r="R17" s="241">
        <v>0.02</v>
      </c>
      <c r="S17" s="241">
        <v>2.1000000000000001E-2</v>
      </c>
      <c r="T17" s="241">
        <v>2.1999999999999999E-2</v>
      </c>
      <c r="U17" s="241">
        <v>2.3E-2</v>
      </c>
      <c r="V17" s="241">
        <v>2.4E-2</v>
      </c>
      <c r="W17" s="241">
        <v>2.5000000000000001E-2</v>
      </c>
      <c r="X17" s="241">
        <v>2.5999999999999999E-2</v>
      </c>
      <c r="Y17" s="241">
        <v>2.7E-2</v>
      </c>
      <c r="Z17" s="241">
        <v>2.7E-2</v>
      </c>
      <c r="AA17" s="241">
        <v>2.75E-2</v>
      </c>
      <c r="AB17" s="241">
        <v>2.8000000000000001E-2</v>
      </c>
      <c r="AC17" s="241">
        <v>2.8000000000000001E-2</v>
      </c>
      <c r="AD17" s="241">
        <v>2.8000000000000001E-2</v>
      </c>
      <c r="AE17" s="241">
        <v>2.8000000000000001E-2</v>
      </c>
      <c r="AF17" s="241">
        <v>2.8500000000000001E-2</v>
      </c>
      <c r="AG17" s="241">
        <v>2.8500000000000001E-2</v>
      </c>
      <c r="AH17" s="241">
        <v>2.8500000000000001E-2</v>
      </c>
      <c r="AI17" s="242">
        <v>2.9000000000000001E-2</v>
      </c>
      <c r="AJ17" s="241">
        <v>2.9000000000000001E-2</v>
      </c>
      <c r="AK17" s="241">
        <v>2.9000000000000001E-2</v>
      </c>
      <c r="AL17" s="241">
        <v>2.9000000000000001E-2</v>
      </c>
      <c r="AM17" s="241">
        <v>0.03</v>
      </c>
      <c r="AN17" s="241">
        <v>0.03</v>
      </c>
      <c r="AO17" s="241">
        <v>0.03</v>
      </c>
      <c r="AP17" s="241">
        <v>3.1E-2</v>
      </c>
      <c r="AQ17" s="241">
        <v>3.1E-2</v>
      </c>
      <c r="AR17" s="241">
        <v>3.2000000000000001E-2</v>
      </c>
      <c r="AS17" s="241">
        <v>3.2000000000000001E-2</v>
      </c>
      <c r="AT17" s="241">
        <v>3.2000000000000001E-2</v>
      </c>
      <c r="AU17" s="241">
        <v>3.3000000000000002E-2</v>
      </c>
      <c r="AV17" s="241">
        <v>3.3000000000000002E-2</v>
      </c>
      <c r="AW17" s="241">
        <v>3.3000000000000002E-2</v>
      </c>
      <c r="AX17" s="241">
        <v>3.3000000000000002E-2</v>
      </c>
      <c r="AY17" s="241">
        <v>3.4000000000000002E-2</v>
      </c>
      <c r="AZ17" s="241">
        <v>3.4000000000000002E-2</v>
      </c>
      <c r="BA17" s="241">
        <v>3.4000000000000002E-2</v>
      </c>
      <c r="BB17" s="241">
        <v>3.4000000000000002E-2</v>
      </c>
      <c r="BC17" s="241">
        <v>3.4000000000000002E-2</v>
      </c>
      <c r="BD17" s="243"/>
      <c r="BE17" s="241"/>
      <c r="BF17" s="244"/>
      <c r="BG17" s="20"/>
      <c r="BH17" s="1"/>
      <c r="BI17" s="1">
        <v>2050</v>
      </c>
      <c r="BJ17" s="1">
        <v>2070</v>
      </c>
      <c r="BK17" s="1"/>
      <c r="BL17" s="1"/>
      <c r="BM17" s="1"/>
      <c r="BN17" s="1"/>
      <c r="BO17" s="1"/>
      <c r="BP17" s="1"/>
      <c r="BQ17" s="1"/>
      <c r="BR17" s="1"/>
      <c r="BS17" s="1"/>
      <c r="BT17" s="1"/>
      <c r="BU17" s="1"/>
      <c r="BV17" s="1"/>
      <c r="BW17" s="1"/>
      <c r="BX17" s="1"/>
      <c r="BY17" s="1"/>
      <c r="BZ17" s="1"/>
      <c r="CA17" s="1"/>
      <c r="CB17" s="1"/>
    </row>
    <row r="18" spans="1:80" ht="14.25" customHeight="1">
      <c r="A18" s="30"/>
      <c r="B18" s="245" t="s">
        <v>70</v>
      </c>
      <c r="C18" s="219" t="s">
        <v>282</v>
      </c>
      <c r="D18" s="219" t="s">
        <v>283</v>
      </c>
      <c r="E18" s="219" t="s">
        <v>73</v>
      </c>
      <c r="F18" s="30" t="s">
        <v>281</v>
      </c>
      <c r="G18" s="241">
        <v>1.1999999999999999E-3</v>
      </c>
      <c r="H18" s="241">
        <v>2E-3</v>
      </c>
      <c r="I18" s="241">
        <v>3.5000000000000001E-3</v>
      </c>
      <c r="J18" s="241">
        <v>4.4999999999999997E-3</v>
      </c>
      <c r="K18" s="241">
        <v>6.0000000000000001E-3</v>
      </c>
      <c r="L18" s="241">
        <v>7.0000000000000001E-3</v>
      </c>
      <c r="M18" s="241">
        <v>8.0000000000000002E-3</v>
      </c>
      <c r="N18" s="241">
        <v>0.01</v>
      </c>
      <c r="O18" s="241">
        <v>1.2E-2</v>
      </c>
      <c r="P18" s="241">
        <v>1.4E-2</v>
      </c>
      <c r="Q18" s="241">
        <v>1.4999999999999999E-2</v>
      </c>
      <c r="R18" s="241">
        <v>1.6E-2</v>
      </c>
      <c r="S18" s="241">
        <v>1.7000000000000001E-2</v>
      </c>
      <c r="T18" s="241">
        <v>1.7999999999999999E-2</v>
      </c>
      <c r="U18" s="241">
        <v>1.9E-2</v>
      </c>
      <c r="V18" s="241">
        <v>0.02</v>
      </c>
      <c r="W18" s="241">
        <v>2.0500000000000001E-2</v>
      </c>
      <c r="X18" s="241">
        <v>2.12E-2</v>
      </c>
      <c r="Y18" s="241">
        <v>2.18E-2</v>
      </c>
      <c r="Z18" s="241">
        <v>2.1899999999999999E-2</v>
      </c>
      <c r="AA18" s="241">
        <v>2.2100000000000002E-2</v>
      </c>
      <c r="AB18" s="241">
        <v>2.23E-2</v>
      </c>
      <c r="AC18" s="241">
        <v>2.2499999999999999E-2</v>
      </c>
      <c r="AD18" s="241">
        <v>2.2700000000000001E-2</v>
      </c>
      <c r="AE18" s="241">
        <v>2.3E-2</v>
      </c>
      <c r="AF18" s="241">
        <v>2.3199999999999998E-2</v>
      </c>
      <c r="AG18" s="241">
        <v>2.35E-2</v>
      </c>
      <c r="AH18" s="241">
        <v>2.3699999999999999E-2</v>
      </c>
      <c r="AI18" s="242">
        <v>2.3800000000000002E-2</v>
      </c>
      <c r="AJ18" s="241">
        <v>2.3900000000000001E-2</v>
      </c>
      <c r="AK18" s="183">
        <v>2.4E-2</v>
      </c>
      <c r="AL18" s="183">
        <v>2.41E-2</v>
      </c>
      <c r="AM18" s="183">
        <v>2.4199999999999999E-2</v>
      </c>
      <c r="AN18" s="183">
        <v>2.4299999999999999E-2</v>
      </c>
      <c r="AO18" s="183">
        <v>2.4299999999999999E-2</v>
      </c>
      <c r="AP18" s="183">
        <v>2.4400000000000002E-2</v>
      </c>
      <c r="AQ18" s="183">
        <v>2.4400000000000002E-2</v>
      </c>
      <c r="AR18" s="183">
        <v>2.4500000000000001E-2</v>
      </c>
      <c r="AS18" s="183">
        <v>2.4500000000000001E-2</v>
      </c>
      <c r="AT18" s="183">
        <v>2.46E-2</v>
      </c>
      <c r="AU18" s="183">
        <v>2.46E-2</v>
      </c>
      <c r="AV18" s="183">
        <v>2.47E-2</v>
      </c>
      <c r="AW18" s="183">
        <v>2.47E-2</v>
      </c>
      <c r="AX18" s="183">
        <v>2.47E-2</v>
      </c>
      <c r="AY18" s="183">
        <v>2.47E-2</v>
      </c>
      <c r="AZ18" s="183">
        <v>2.4799999999999999E-2</v>
      </c>
      <c r="BA18" s="183">
        <v>2.4799999999999999E-2</v>
      </c>
      <c r="BB18" s="183">
        <v>2.4799999999999999E-2</v>
      </c>
      <c r="BC18" s="183">
        <v>2.4799999999999999E-2</v>
      </c>
      <c r="BD18" s="235"/>
      <c r="BE18" s="183"/>
      <c r="BF18" s="233"/>
      <c r="BG18" s="76"/>
      <c r="BH18" s="76" t="s">
        <v>292</v>
      </c>
      <c r="BI18" s="75"/>
      <c r="BJ18" s="75"/>
      <c r="BK18" s="75" t="s">
        <v>150</v>
      </c>
      <c r="BL18" s="75" t="s">
        <v>297</v>
      </c>
      <c r="BM18" s="75"/>
      <c r="BN18" s="75"/>
      <c r="BO18" s="75"/>
      <c r="BP18" s="75"/>
      <c r="BQ18" s="75"/>
      <c r="BR18" s="75"/>
      <c r="BS18" s="75"/>
      <c r="BT18" s="75"/>
      <c r="BU18" s="75"/>
      <c r="BV18" s="75"/>
      <c r="BW18" s="75"/>
      <c r="BX18" s="75"/>
      <c r="BY18" s="75"/>
      <c r="BZ18" s="75"/>
      <c r="CA18" s="75"/>
      <c r="CB18" s="1"/>
    </row>
    <row r="19" spans="1:80" ht="14.25" customHeight="1">
      <c r="A19" s="30"/>
      <c r="B19" s="29" t="s">
        <v>70</v>
      </c>
      <c r="C19" s="30" t="s">
        <v>98</v>
      </c>
      <c r="D19" s="30" t="s">
        <v>99</v>
      </c>
      <c r="E19" s="30" t="s">
        <v>73</v>
      </c>
      <c r="F19" s="30"/>
      <c r="G19" s="241">
        <v>0.03</v>
      </c>
      <c r="H19" s="241">
        <v>2.7E-2</v>
      </c>
      <c r="I19" s="241">
        <v>2.4E-2</v>
      </c>
      <c r="J19" s="241">
        <v>2.1000000000000001E-2</v>
      </c>
      <c r="K19" s="241">
        <v>1.8499999999999999E-2</v>
      </c>
      <c r="L19" s="241">
        <v>1.6500000000000001E-2</v>
      </c>
      <c r="M19" s="241">
        <v>1.4999999999999999E-2</v>
      </c>
      <c r="N19" s="241">
        <v>1.34E-2</v>
      </c>
      <c r="O19" s="241">
        <v>1.2800000000000001E-2</v>
      </c>
      <c r="P19" s="241">
        <v>1.2E-2</v>
      </c>
      <c r="Q19" s="241">
        <v>1.2E-2</v>
      </c>
      <c r="R19" s="241">
        <v>1.2E-2</v>
      </c>
      <c r="S19" s="241">
        <v>1.0999999999999999E-2</v>
      </c>
      <c r="T19" s="241">
        <v>1.0999999999999999E-2</v>
      </c>
      <c r="U19" s="241">
        <v>1.0999999999999999E-2</v>
      </c>
      <c r="V19" s="241">
        <v>1.0500000000000001E-2</v>
      </c>
      <c r="W19" s="241">
        <v>1.0500000000000001E-2</v>
      </c>
      <c r="X19" s="241">
        <v>1.0500000000000001E-2</v>
      </c>
      <c r="Y19" s="241">
        <v>8.9999999999999993E-3</v>
      </c>
      <c r="Z19" s="241">
        <v>8.9999999999999993E-3</v>
      </c>
      <c r="AA19" s="241">
        <v>8.9999999999999993E-3</v>
      </c>
      <c r="AB19" s="241">
        <v>7.4999999999999997E-3</v>
      </c>
      <c r="AC19" s="241">
        <v>7.4999999999999997E-3</v>
      </c>
      <c r="AD19" s="241">
        <v>8.0000000000000002E-3</v>
      </c>
      <c r="AE19" s="241">
        <v>7.4999999999999997E-3</v>
      </c>
      <c r="AF19" s="241">
        <v>6.0000000000000001E-3</v>
      </c>
      <c r="AG19" s="241">
        <v>6.0000000000000001E-3</v>
      </c>
      <c r="AH19" s="241">
        <v>6.0000000000000001E-3</v>
      </c>
      <c r="AI19" s="242">
        <v>5.0000000000000001E-3</v>
      </c>
      <c r="AJ19" s="241">
        <v>5.0000000000000001E-3</v>
      </c>
      <c r="AK19" s="183">
        <v>5.0000000000000001E-3</v>
      </c>
      <c r="AL19" s="183">
        <v>5.0000000000000001E-3</v>
      </c>
      <c r="AM19" s="183">
        <v>5.0000000000000001E-3</v>
      </c>
      <c r="AN19" s="183">
        <v>5.0000000000000001E-3</v>
      </c>
      <c r="AO19" s="183">
        <v>5.0000000000000001E-3</v>
      </c>
      <c r="AP19" s="183">
        <v>5.0000000000000001E-3</v>
      </c>
      <c r="AQ19" s="183">
        <v>4.0000000000000001E-3</v>
      </c>
      <c r="AR19" s="183">
        <v>4.0000000000000001E-3</v>
      </c>
      <c r="AS19" s="183">
        <v>4.0000000000000001E-3</v>
      </c>
      <c r="AT19" s="183">
        <v>4.0000000000000001E-3</v>
      </c>
      <c r="AU19" s="183">
        <v>4.0000000000000001E-3</v>
      </c>
      <c r="AV19" s="183">
        <v>4.0000000000000001E-3</v>
      </c>
      <c r="AW19" s="183">
        <v>4.0000000000000001E-3</v>
      </c>
      <c r="AX19" s="183">
        <v>4.0000000000000001E-3</v>
      </c>
      <c r="AY19" s="183">
        <v>4.0000000000000001E-3</v>
      </c>
      <c r="AZ19" s="183">
        <v>4.0000000000000001E-3</v>
      </c>
      <c r="BA19" s="183">
        <v>4.0000000000000001E-3</v>
      </c>
      <c r="BB19" s="183">
        <v>4.0000000000000001E-3</v>
      </c>
      <c r="BC19" s="183">
        <v>4.0000000000000001E-3</v>
      </c>
      <c r="BD19" s="235"/>
      <c r="BE19" s="183"/>
      <c r="BF19" s="233"/>
      <c r="BG19" s="20"/>
      <c r="BH19" s="20" t="s">
        <v>300</v>
      </c>
      <c r="BI19" s="1"/>
      <c r="BJ19" s="1"/>
      <c r="BK19" s="1" t="s">
        <v>150</v>
      </c>
      <c r="BL19" s="1" t="s">
        <v>151</v>
      </c>
      <c r="BM19" s="1"/>
      <c r="BN19" s="1"/>
      <c r="BO19" s="1"/>
      <c r="BP19" s="1"/>
      <c r="BQ19" s="1"/>
      <c r="BR19" s="1"/>
      <c r="BS19" s="1"/>
      <c r="BT19" s="1"/>
      <c r="BU19" s="1"/>
      <c r="BV19" s="1"/>
      <c r="BW19" s="1"/>
      <c r="BX19" s="1"/>
      <c r="BY19" s="1"/>
      <c r="BZ19" s="1"/>
      <c r="CA19" s="1"/>
      <c r="CB19" s="1"/>
    </row>
    <row r="20" spans="1:80" ht="14.25" customHeight="1">
      <c r="A20" s="30"/>
      <c r="B20" s="29" t="s">
        <v>70</v>
      </c>
      <c r="C20" s="30" t="s">
        <v>78</v>
      </c>
      <c r="D20" s="30" t="s">
        <v>102</v>
      </c>
      <c r="E20" s="30" t="s">
        <v>73</v>
      </c>
      <c r="F20" s="30"/>
      <c r="G20" s="241">
        <v>0</v>
      </c>
      <c r="H20" s="183">
        <v>0</v>
      </c>
      <c r="I20" s="241">
        <v>0</v>
      </c>
      <c r="J20" s="241">
        <v>0</v>
      </c>
      <c r="K20" s="183">
        <v>0</v>
      </c>
      <c r="L20" s="183">
        <v>0</v>
      </c>
      <c r="M20" s="183">
        <v>5.0000000000000001E-3</v>
      </c>
      <c r="N20" s="183">
        <v>5.0000000000000001E-3</v>
      </c>
      <c r="O20" s="183">
        <v>5.0000000000000001E-3</v>
      </c>
      <c r="P20" s="183">
        <v>5.0000000000000001E-3</v>
      </c>
      <c r="Q20" s="183">
        <v>5.0000000000000001E-3</v>
      </c>
      <c r="R20" s="183">
        <v>8.0000000000000002E-3</v>
      </c>
      <c r="S20" s="183">
        <v>8.0000000000000002E-3</v>
      </c>
      <c r="T20" s="183">
        <v>8.0000000000000002E-3</v>
      </c>
      <c r="U20" s="183">
        <v>8.0000000000000002E-3</v>
      </c>
      <c r="V20" s="183">
        <v>8.0000000000000002E-3</v>
      </c>
      <c r="W20" s="183">
        <v>8.0000000000000002E-3</v>
      </c>
      <c r="X20" s="183">
        <v>8.0000000000000002E-3</v>
      </c>
      <c r="Y20" s="183">
        <v>1.03E-2</v>
      </c>
      <c r="Z20" s="183">
        <v>1.03E-2</v>
      </c>
      <c r="AA20" s="183">
        <v>1.03E-2</v>
      </c>
      <c r="AB20" s="183">
        <v>1.03E-2</v>
      </c>
      <c r="AC20" s="183">
        <v>1.03E-2</v>
      </c>
      <c r="AD20" s="183">
        <v>1.03E-2</v>
      </c>
      <c r="AE20" s="183">
        <v>1.03E-2</v>
      </c>
      <c r="AF20" s="183">
        <v>1.03E-2</v>
      </c>
      <c r="AG20" s="183">
        <v>1.03E-2</v>
      </c>
      <c r="AH20" s="183">
        <v>1.03E-2</v>
      </c>
      <c r="AI20" s="156">
        <v>1.03E-2</v>
      </c>
      <c r="AJ20" s="183">
        <v>1.03E-2</v>
      </c>
      <c r="AK20" s="183">
        <v>1.03E-2</v>
      </c>
      <c r="AL20" s="241">
        <v>1.03E-2</v>
      </c>
      <c r="AM20" s="183">
        <v>1.03E-2</v>
      </c>
      <c r="AN20" s="183">
        <v>1.03E-2</v>
      </c>
      <c r="AO20" s="183">
        <v>1.03E-2</v>
      </c>
      <c r="AP20" s="183">
        <v>1.03E-2</v>
      </c>
      <c r="AQ20" s="183">
        <v>1.03E-2</v>
      </c>
      <c r="AR20" s="183">
        <v>1.03E-2</v>
      </c>
      <c r="AS20" s="183">
        <v>1.03E-2</v>
      </c>
      <c r="AT20" s="183">
        <v>1.03E-2</v>
      </c>
      <c r="AU20" s="183">
        <v>1.03E-2</v>
      </c>
      <c r="AV20" s="183">
        <v>1.03E-2</v>
      </c>
      <c r="AW20" s="183">
        <v>1.03E-2</v>
      </c>
      <c r="AX20" s="183">
        <v>1.03E-2</v>
      </c>
      <c r="AY20" s="183">
        <v>1.03E-2</v>
      </c>
      <c r="AZ20" s="183">
        <v>1.03E-2</v>
      </c>
      <c r="BA20" s="183">
        <v>1.03E-2</v>
      </c>
      <c r="BB20" s="183">
        <v>1.03E-2</v>
      </c>
      <c r="BC20" s="183">
        <v>1.03E-2</v>
      </c>
      <c r="BD20" s="235"/>
      <c r="BE20" s="183"/>
      <c r="BF20" s="233"/>
      <c r="BG20" s="20"/>
      <c r="BH20" s="1" t="s">
        <v>278</v>
      </c>
      <c r="BI20" s="25">
        <v>0.45</v>
      </c>
      <c r="BJ20" s="25"/>
      <c r="BK20" s="1" t="s">
        <v>154</v>
      </c>
      <c r="BL20" s="1" t="s">
        <v>155</v>
      </c>
      <c r="BM20" s="1"/>
      <c r="BN20" s="1"/>
      <c r="BO20" s="1"/>
      <c r="BP20" s="1"/>
      <c r="BQ20" s="1"/>
      <c r="BR20" s="1"/>
      <c r="BS20" s="1"/>
      <c r="BT20" s="1"/>
      <c r="BU20" s="1"/>
      <c r="BV20" s="1"/>
      <c r="BW20" s="1"/>
      <c r="BX20" s="1"/>
      <c r="BY20" s="1"/>
      <c r="BZ20" s="1"/>
      <c r="CA20" s="1"/>
      <c r="CB20" s="1"/>
    </row>
    <row r="21" spans="1:80" ht="14.25" customHeight="1">
      <c r="A21" s="30"/>
      <c r="B21" s="29" t="s">
        <v>70</v>
      </c>
      <c r="C21" s="30" t="s">
        <v>413</v>
      </c>
      <c r="D21" s="30" t="s">
        <v>125</v>
      </c>
      <c r="E21" s="30" t="s">
        <v>73</v>
      </c>
      <c r="F21" s="30"/>
      <c r="G21" s="241">
        <v>1E-3</v>
      </c>
      <c r="H21" s="183">
        <v>3.0000000000000001E-3</v>
      </c>
      <c r="I21" s="241">
        <v>5.0000000000000001E-3</v>
      </c>
      <c r="J21" s="241">
        <v>7.0000000000000001E-3</v>
      </c>
      <c r="K21" s="183">
        <v>8.0000000000000002E-3</v>
      </c>
      <c r="L21" s="183">
        <v>8.9999999999999993E-3</v>
      </c>
      <c r="M21" s="183">
        <v>0.01</v>
      </c>
      <c r="N21" s="183">
        <v>1.0999999999999999E-2</v>
      </c>
      <c r="O21" s="183">
        <v>1.2999999999999999E-2</v>
      </c>
      <c r="P21" s="183">
        <v>1.4E-2</v>
      </c>
      <c r="Q21" s="183">
        <v>1.6E-2</v>
      </c>
      <c r="R21" s="183">
        <v>1.7999999999999999E-2</v>
      </c>
      <c r="S21" s="183">
        <v>0.02</v>
      </c>
      <c r="T21" s="183">
        <v>2.1999999999999999E-2</v>
      </c>
      <c r="U21" s="183">
        <v>2.4899999999999999E-2</v>
      </c>
      <c r="V21" s="183">
        <v>2.7799999999999998E-2</v>
      </c>
      <c r="W21" s="183">
        <v>3.0599999999999999E-2</v>
      </c>
      <c r="X21" s="183">
        <v>3.2800000000000003E-2</v>
      </c>
      <c r="Y21" s="183">
        <v>3.4200000000000001E-2</v>
      </c>
      <c r="Z21" s="183">
        <v>3.6999999999999998E-2</v>
      </c>
      <c r="AA21" s="183">
        <v>3.9199999999999999E-2</v>
      </c>
      <c r="AB21" s="183">
        <v>4.0599999999999997E-2</v>
      </c>
      <c r="AC21" s="183">
        <v>4.2000000000000003E-2</v>
      </c>
      <c r="AD21" s="183">
        <v>4.41E-2</v>
      </c>
      <c r="AE21" s="183">
        <v>4.5600000000000002E-2</v>
      </c>
      <c r="AF21" s="183">
        <v>4.6600000000000003E-2</v>
      </c>
      <c r="AG21" s="183">
        <v>4.7699999999999999E-2</v>
      </c>
      <c r="AH21" s="183">
        <v>4.9099999999999998E-2</v>
      </c>
      <c r="AI21" s="156">
        <v>5.0599999999999999E-2</v>
      </c>
      <c r="AJ21" s="183">
        <v>5.1299999999999998E-2</v>
      </c>
      <c r="AK21" s="183">
        <v>5.1999999999999998E-2</v>
      </c>
      <c r="AL21" s="241">
        <v>5.2499999999999998E-2</v>
      </c>
      <c r="AM21" s="183">
        <v>5.3400000000000003E-2</v>
      </c>
      <c r="AN21" s="183">
        <v>5.3800000000000001E-2</v>
      </c>
      <c r="AO21" s="183">
        <v>5.4100000000000002E-2</v>
      </c>
      <c r="AP21" s="183">
        <v>5.4800000000000001E-2</v>
      </c>
      <c r="AQ21" s="183">
        <v>5.5199999999999999E-2</v>
      </c>
      <c r="AR21" s="183">
        <v>5.57E-2</v>
      </c>
      <c r="AS21" s="183">
        <v>5.6300000000000003E-2</v>
      </c>
      <c r="AT21" s="183">
        <v>5.6899999999999999E-2</v>
      </c>
      <c r="AU21" s="183">
        <v>5.7099999999999998E-2</v>
      </c>
      <c r="AV21" s="183">
        <v>5.7599999999999998E-2</v>
      </c>
      <c r="AW21" s="183">
        <v>5.8200000000000002E-2</v>
      </c>
      <c r="AX21" s="183">
        <v>5.8500000000000003E-2</v>
      </c>
      <c r="AY21" s="183">
        <v>5.8799999999999998E-2</v>
      </c>
      <c r="AZ21" s="183">
        <v>5.91E-2</v>
      </c>
      <c r="BA21" s="183">
        <v>5.9400000000000001E-2</v>
      </c>
      <c r="BB21" s="183">
        <v>5.9700000000000003E-2</v>
      </c>
      <c r="BC21" s="183">
        <v>0.06</v>
      </c>
      <c r="BD21" s="235"/>
      <c r="BE21" s="183"/>
      <c r="BF21" s="233"/>
      <c r="BG21" s="20"/>
      <c r="BH21" s="1" t="s">
        <v>301</v>
      </c>
      <c r="BI21" s="25">
        <v>0.45</v>
      </c>
      <c r="BJ21" s="25"/>
      <c r="BK21" s="1" t="s">
        <v>154</v>
      </c>
      <c r="BL21" s="1" t="s">
        <v>158</v>
      </c>
      <c r="BM21" s="1"/>
      <c r="BN21" s="1"/>
      <c r="BO21" s="1"/>
      <c r="BP21" s="1"/>
      <c r="BQ21" s="1"/>
      <c r="BR21" s="1"/>
      <c r="BS21" s="1"/>
      <c r="BT21" s="1"/>
      <c r="BU21" s="1"/>
      <c r="BV21" s="1"/>
      <c r="BW21" s="1"/>
      <c r="BX21" s="1"/>
      <c r="BY21" s="1"/>
      <c r="BZ21" s="1"/>
      <c r="CA21" s="1"/>
      <c r="CB21" s="1"/>
    </row>
    <row r="22" spans="1:80" ht="14.25" customHeight="1">
      <c r="A22" s="30"/>
      <c r="B22" s="29" t="s">
        <v>129</v>
      </c>
      <c r="C22" s="30" t="s">
        <v>414</v>
      </c>
      <c r="D22" s="30" t="s">
        <v>131</v>
      </c>
      <c r="E22" s="30" t="s">
        <v>132</v>
      </c>
      <c r="F22" s="215"/>
      <c r="G22" s="234">
        <v>0</v>
      </c>
      <c r="H22" s="183">
        <v>0.12330000000000001</v>
      </c>
      <c r="I22" s="241">
        <v>0.2467</v>
      </c>
      <c r="J22" s="234">
        <v>0.37</v>
      </c>
      <c r="K22" s="183">
        <v>0.37</v>
      </c>
      <c r="L22" s="183">
        <v>0.37</v>
      </c>
      <c r="M22" s="183">
        <v>0.37</v>
      </c>
      <c r="N22" s="183">
        <v>0.37</v>
      </c>
      <c r="O22" s="183">
        <v>0.37</v>
      </c>
      <c r="P22" s="183">
        <v>0.37</v>
      </c>
      <c r="Q22" s="183">
        <v>0.37</v>
      </c>
      <c r="R22" s="183">
        <v>0.37</v>
      </c>
      <c r="S22" s="183">
        <v>0.37</v>
      </c>
      <c r="T22" s="183">
        <v>0.37</v>
      </c>
      <c r="U22" s="183">
        <v>0.37</v>
      </c>
      <c r="V22" s="183">
        <v>0.37</v>
      </c>
      <c r="W22" s="183">
        <v>0.37</v>
      </c>
      <c r="X22" s="183">
        <v>0.37</v>
      </c>
      <c r="Y22" s="183">
        <v>0.37</v>
      </c>
      <c r="Z22" s="183">
        <v>0.37</v>
      </c>
      <c r="AA22" s="183">
        <v>0.37</v>
      </c>
      <c r="AB22" s="183">
        <v>0.37</v>
      </c>
      <c r="AC22" s="183">
        <v>0.37</v>
      </c>
      <c r="AD22" s="183">
        <v>0.37</v>
      </c>
      <c r="AE22" s="183">
        <v>0.37</v>
      </c>
      <c r="AF22" s="183">
        <v>0.37</v>
      </c>
      <c r="AG22" s="183">
        <v>0.37</v>
      </c>
      <c r="AH22" s="183">
        <v>0.37</v>
      </c>
      <c r="AI22" s="156">
        <v>0.37</v>
      </c>
      <c r="AJ22" s="183">
        <v>0.37</v>
      </c>
      <c r="AK22" s="183">
        <v>0.37</v>
      </c>
      <c r="AL22" s="234">
        <v>0.37</v>
      </c>
      <c r="AM22" s="183">
        <v>0.37</v>
      </c>
      <c r="AN22" s="183">
        <v>0.37</v>
      </c>
      <c r="AO22" s="183">
        <v>0.37</v>
      </c>
      <c r="AP22" s="183">
        <v>0.37</v>
      </c>
      <c r="AQ22" s="183">
        <v>0.37</v>
      </c>
      <c r="AR22" s="183">
        <v>0.37</v>
      </c>
      <c r="AS22" s="183">
        <v>0.37</v>
      </c>
      <c r="AT22" s="183">
        <v>0.37</v>
      </c>
      <c r="AU22" s="183">
        <v>0.37</v>
      </c>
      <c r="AV22" s="183">
        <v>0.37</v>
      </c>
      <c r="AW22" s="183">
        <v>0.37</v>
      </c>
      <c r="AX22" s="183">
        <v>0.37</v>
      </c>
      <c r="AY22" s="183">
        <v>0.37</v>
      </c>
      <c r="AZ22" s="183">
        <v>0.37</v>
      </c>
      <c r="BA22" s="183">
        <v>0.37</v>
      </c>
      <c r="BB22" s="183">
        <v>0.37</v>
      </c>
      <c r="BC22" s="183">
        <v>0.37</v>
      </c>
      <c r="BD22" s="235"/>
      <c r="BE22" s="183"/>
      <c r="BF22" s="233"/>
      <c r="BG22" s="20"/>
      <c r="BH22" s="1"/>
      <c r="BI22" s="25">
        <v>0.3</v>
      </c>
      <c r="BJ22" s="25"/>
      <c r="BK22" s="1" t="s">
        <v>154</v>
      </c>
      <c r="BL22" s="1" t="s">
        <v>159</v>
      </c>
      <c r="BM22" s="1"/>
      <c r="BN22" s="1"/>
      <c r="BO22" s="1"/>
      <c r="BP22" s="1"/>
      <c r="BQ22" s="1"/>
      <c r="BR22" s="1"/>
      <c r="BS22" s="1"/>
      <c r="BT22" s="1"/>
      <c r="BU22" s="1"/>
      <c r="BV22" s="1"/>
      <c r="BW22" s="1"/>
      <c r="BX22" s="1"/>
      <c r="BY22" s="1"/>
      <c r="BZ22" s="1"/>
      <c r="CA22" s="1"/>
      <c r="CB22" s="1"/>
    </row>
    <row r="23" spans="1:80" ht="14.25" customHeight="1">
      <c r="A23" s="30"/>
      <c r="B23" s="30" t="s">
        <v>129</v>
      </c>
      <c r="C23" s="412" t="s">
        <v>137</v>
      </c>
      <c r="D23" s="413"/>
      <c r="E23" s="30" t="s">
        <v>138</v>
      </c>
      <c r="F23" s="30"/>
      <c r="G23" s="241">
        <v>9.3100000000000002E-2</v>
      </c>
      <c r="H23" s="183">
        <v>9.0899999999999995E-2</v>
      </c>
      <c r="I23" s="241">
        <v>8.9099999999999999E-2</v>
      </c>
      <c r="J23" s="241">
        <v>8.7900000000000006E-2</v>
      </c>
      <c r="K23" s="183">
        <v>8.7499999999999994E-2</v>
      </c>
      <c r="L23" s="183">
        <v>8.6800000000000002E-2</v>
      </c>
      <c r="M23" s="183">
        <v>8.6499999999999994E-2</v>
      </c>
      <c r="N23" s="183">
        <v>8.5999999999999993E-2</v>
      </c>
      <c r="O23" s="183">
        <v>8.5599999999999996E-2</v>
      </c>
      <c r="P23" s="183">
        <v>8.5199999999999998E-2</v>
      </c>
      <c r="Q23" s="183">
        <v>8.5000000000000006E-2</v>
      </c>
      <c r="R23" s="183">
        <v>8.4599999999999995E-2</v>
      </c>
      <c r="S23" s="183">
        <v>8.4400000000000003E-2</v>
      </c>
      <c r="T23" s="183">
        <v>8.4199999999999997E-2</v>
      </c>
      <c r="U23" s="183">
        <v>8.4000000000000005E-2</v>
      </c>
      <c r="V23" s="183">
        <v>8.3799999999999999E-2</v>
      </c>
      <c r="W23" s="183">
        <v>8.3599999999999994E-2</v>
      </c>
      <c r="X23" s="183">
        <v>8.3500000000000005E-2</v>
      </c>
      <c r="Y23" s="183">
        <v>8.3299999999999999E-2</v>
      </c>
      <c r="Z23" s="183">
        <v>8.3199999999999996E-2</v>
      </c>
      <c r="AA23" s="183">
        <v>8.3099999999999993E-2</v>
      </c>
      <c r="AB23" s="183">
        <v>8.3000000000000004E-2</v>
      </c>
      <c r="AC23" s="183">
        <v>8.2900000000000001E-2</v>
      </c>
      <c r="AD23" s="183">
        <v>8.2699999999999996E-2</v>
      </c>
      <c r="AE23" s="183">
        <v>8.2600000000000007E-2</v>
      </c>
      <c r="AF23" s="183">
        <v>8.2500000000000004E-2</v>
      </c>
      <c r="AG23" s="183">
        <v>8.2400000000000001E-2</v>
      </c>
      <c r="AH23" s="183">
        <v>8.2199999999999995E-2</v>
      </c>
      <c r="AI23" s="156">
        <v>8.2100000000000006E-2</v>
      </c>
      <c r="AJ23" s="183">
        <v>8.2000000000000003E-2</v>
      </c>
      <c r="AK23" s="183">
        <v>8.1900000000000001E-2</v>
      </c>
      <c r="AL23" s="241">
        <v>8.1799999999999998E-2</v>
      </c>
      <c r="AM23" s="183">
        <v>8.1699999999999995E-2</v>
      </c>
      <c r="AN23" s="183">
        <v>8.1600000000000006E-2</v>
      </c>
      <c r="AO23" s="183">
        <v>8.1500000000000003E-2</v>
      </c>
      <c r="AP23" s="183">
        <v>8.1500000000000003E-2</v>
      </c>
      <c r="AQ23" s="183">
        <v>8.14E-2</v>
      </c>
      <c r="AR23" s="183">
        <v>8.1299999999999997E-2</v>
      </c>
      <c r="AS23" s="183">
        <v>8.1199999999999994E-2</v>
      </c>
      <c r="AT23" s="183">
        <v>8.1100000000000005E-2</v>
      </c>
      <c r="AU23" s="183">
        <v>8.1000000000000003E-2</v>
      </c>
      <c r="AV23" s="183">
        <v>8.1000000000000003E-2</v>
      </c>
      <c r="AW23" s="183">
        <v>8.09E-2</v>
      </c>
      <c r="AX23" s="183">
        <v>8.0799999999999997E-2</v>
      </c>
      <c r="AY23" s="183">
        <v>8.0799999999999997E-2</v>
      </c>
      <c r="AZ23" s="183">
        <v>8.0799999999999997E-2</v>
      </c>
      <c r="BA23" s="183">
        <v>8.0699999999999994E-2</v>
      </c>
      <c r="BB23" s="183">
        <v>8.0699999999999994E-2</v>
      </c>
      <c r="BC23" s="183">
        <v>8.0600000000000005E-2</v>
      </c>
      <c r="BD23" s="235"/>
      <c r="BE23" s="183"/>
      <c r="BF23" s="233"/>
      <c r="BG23" s="20"/>
      <c r="BH23" s="1"/>
      <c r="BI23" s="25">
        <v>1</v>
      </c>
      <c r="BJ23" s="25"/>
      <c r="BK23" s="1" t="s">
        <v>154</v>
      </c>
      <c r="BL23" s="1" t="s">
        <v>161</v>
      </c>
      <c r="BM23" s="1"/>
      <c r="BN23" s="1"/>
      <c r="BO23" s="1"/>
      <c r="BP23" s="1"/>
      <c r="BQ23" s="1"/>
      <c r="BR23" s="1"/>
      <c r="BS23" s="1"/>
      <c r="BT23" s="1"/>
      <c r="BU23" s="1"/>
      <c r="BV23" s="1"/>
      <c r="BW23" s="1"/>
      <c r="BX23" s="1"/>
      <c r="BY23" s="1"/>
      <c r="BZ23" s="1"/>
      <c r="CA23" s="1"/>
      <c r="CB23" s="1"/>
    </row>
    <row r="24" spans="1:80" ht="14.25" customHeight="1">
      <c r="A24" s="30"/>
      <c r="B24" s="30"/>
      <c r="C24" s="30"/>
      <c r="D24" s="30"/>
      <c r="E24" s="30"/>
      <c r="F24" s="30"/>
      <c r="G24" s="241"/>
      <c r="H24" s="183"/>
      <c r="I24" s="241"/>
      <c r="J24" s="241"/>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56"/>
      <c r="AJ24" s="183"/>
      <c r="AK24" s="183"/>
      <c r="AL24" s="241"/>
      <c r="AM24" s="183"/>
      <c r="AN24" s="183"/>
      <c r="AO24" s="183"/>
      <c r="AP24" s="183"/>
      <c r="AQ24" s="183"/>
      <c r="AR24" s="183"/>
      <c r="AS24" s="183"/>
      <c r="AT24" s="183"/>
      <c r="AU24" s="183"/>
      <c r="AV24" s="183"/>
      <c r="AW24" s="183"/>
      <c r="AX24" s="183"/>
      <c r="AY24" s="183"/>
      <c r="AZ24" s="183"/>
      <c r="BA24" s="183"/>
      <c r="BB24" s="183"/>
      <c r="BC24" s="183"/>
      <c r="BD24" s="235"/>
      <c r="BE24" s="183"/>
      <c r="BF24" s="233"/>
      <c r="BG24" s="20"/>
      <c r="BH24" s="1"/>
      <c r="BI24" s="25">
        <v>0.9</v>
      </c>
      <c r="BJ24" s="25"/>
      <c r="BK24" s="1" t="s">
        <v>154</v>
      </c>
      <c r="BL24" s="1" t="s">
        <v>166</v>
      </c>
      <c r="BM24" s="1"/>
      <c r="BN24" s="1"/>
      <c r="BO24" s="1"/>
      <c r="BP24" s="1"/>
      <c r="BQ24" s="1"/>
      <c r="BR24" s="1"/>
      <c r="BS24" s="1"/>
      <c r="BT24" s="1"/>
      <c r="BU24" s="1"/>
      <c r="BV24" s="1"/>
      <c r="BW24" s="1"/>
      <c r="BX24" s="1"/>
      <c r="BY24" s="1"/>
      <c r="BZ24" s="1"/>
      <c r="CA24" s="1"/>
      <c r="CB24" s="1"/>
    </row>
    <row r="25" spans="1:80" ht="14.25" customHeight="1">
      <c r="A25" s="236" t="s">
        <v>144</v>
      </c>
      <c r="B25" s="246" t="s">
        <v>145</v>
      </c>
      <c r="C25" s="246" t="s">
        <v>291</v>
      </c>
      <c r="D25" s="246"/>
      <c r="E25" s="246" t="s">
        <v>147</v>
      </c>
      <c r="F25" s="225"/>
      <c r="G25" s="247">
        <v>0.09</v>
      </c>
      <c r="H25" s="248">
        <v>0.104</v>
      </c>
      <c r="I25" s="247">
        <v>0.11899999999999999</v>
      </c>
      <c r="J25" s="247">
        <v>0.13300000000000001</v>
      </c>
      <c r="K25" s="248">
        <v>0.14199999999999999</v>
      </c>
      <c r="L25" s="248">
        <v>0.151</v>
      </c>
      <c r="M25" s="248">
        <v>0.161</v>
      </c>
      <c r="N25" s="248">
        <v>0.17</v>
      </c>
      <c r="O25" s="248">
        <v>0.17899999999999999</v>
      </c>
      <c r="P25" s="248">
        <v>0.188</v>
      </c>
      <c r="Q25" s="248">
        <v>0.19800000000000001</v>
      </c>
      <c r="R25" s="248">
        <v>0.20699999999999999</v>
      </c>
      <c r="S25" s="248">
        <v>0.217</v>
      </c>
      <c r="T25" s="248">
        <v>0.22600000000000001</v>
      </c>
      <c r="U25" s="248">
        <v>0.23100000000000001</v>
      </c>
      <c r="V25" s="248">
        <v>0.23499999999999999</v>
      </c>
      <c r="W25" s="248">
        <v>0.23899999999999999</v>
      </c>
      <c r="X25" s="248">
        <v>0.24299999999999999</v>
      </c>
      <c r="Y25" s="248">
        <v>0.247</v>
      </c>
      <c r="Z25" s="248">
        <v>0.251</v>
      </c>
      <c r="AA25" s="248">
        <v>0.254</v>
      </c>
      <c r="AB25" s="248">
        <v>0.25700000000000001</v>
      </c>
      <c r="AC25" s="248">
        <v>0.26100000000000001</v>
      </c>
      <c r="AD25" s="248">
        <v>0.26300000000000001</v>
      </c>
      <c r="AE25" s="248">
        <v>0.26600000000000001</v>
      </c>
      <c r="AF25" s="248">
        <v>0.26800000000000002</v>
      </c>
      <c r="AG25" s="248">
        <v>0.27</v>
      </c>
      <c r="AH25" s="248">
        <v>0.27200000000000002</v>
      </c>
      <c r="AI25" s="249">
        <v>0.27400000000000002</v>
      </c>
      <c r="AJ25" s="248">
        <v>0.27400000000000002</v>
      </c>
      <c r="AK25" s="248">
        <v>0.27400000000000002</v>
      </c>
      <c r="AL25" s="247">
        <v>0.27400000000000002</v>
      </c>
      <c r="AM25" s="248">
        <v>0.27400000000000002</v>
      </c>
      <c r="AN25" s="248">
        <v>0.27400000000000002</v>
      </c>
      <c r="AO25" s="248">
        <v>0.27400000000000002</v>
      </c>
      <c r="AP25" s="248">
        <v>0.27400000000000002</v>
      </c>
      <c r="AQ25" s="248">
        <v>0.27400000000000002</v>
      </c>
      <c r="AR25" s="248">
        <v>0.27400000000000002</v>
      </c>
      <c r="AS25" s="248">
        <v>0.27400000000000002</v>
      </c>
      <c r="AT25" s="248">
        <v>0.27400000000000002</v>
      </c>
      <c r="AU25" s="248">
        <v>0.27400000000000002</v>
      </c>
      <c r="AV25" s="248">
        <v>0.27400000000000002</v>
      </c>
      <c r="AW25" s="248">
        <v>0.27400000000000002</v>
      </c>
      <c r="AX25" s="248">
        <v>0.27400000000000002</v>
      </c>
      <c r="AY25" s="248">
        <v>0.27400000000000002</v>
      </c>
      <c r="AZ25" s="248">
        <v>0.27400000000000002</v>
      </c>
      <c r="BA25" s="248">
        <v>0.27400000000000002</v>
      </c>
      <c r="BB25" s="248">
        <v>0.27400000000000002</v>
      </c>
      <c r="BC25" s="248">
        <v>0.27400000000000002</v>
      </c>
      <c r="BD25" s="250"/>
      <c r="BE25" s="248"/>
      <c r="BF25" s="251"/>
      <c r="BG25" s="20"/>
      <c r="BH25" s="1" t="s">
        <v>304</v>
      </c>
      <c r="BI25" s="25">
        <v>0.9</v>
      </c>
      <c r="BJ25" s="25"/>
      <c r="BK25" s="1" t="s">
        <v>154</v>
      </c>
      <c r="BL25" s="1" t="s">
        <v>167</v>
      </c>
      <c r="BM25" s="1"/>
      <c r="BN25" s="1"/>
      <c r="BO25" s="1"/>
      <c r="BP25" s="1"/>
      <c r="BQ25" s="1"/>
      <c r="BR25" s="1"/>
      <c r="BS25" s="1"/>
      <c r="BT25" s="1"/>
      <c r="BU25" s="1"/>
      <c r="BV25" s="1"/>
      <c r="BW25" s="1"/>
      <c r="BX25" s="1"/>
      <c r="BY25" s="1"/>
      <c r="BZ25" s="1"/>
      <c r="CA25" s="1"/>
      <c r="CB25" s="1"/>
    </row>
    <row r="26" spans="1:80" ht="14.25" customHeight="1">
      <c r="A26" s="215"/>
      <c r="B26" s="252" t="s">
        <v>145</v>
      </c>
      <c r="C26" s="252" t="s">
        <v>415</v>
      </c>
      <c r="D26" s="252"/>
      <c r="E26" s="252" t="s">
        <v>296</v>
      </c>
      <c r="F26" s="30"/>
      <c r="G26" s="241">
        <v>0</v>
      </c>
      <c r="H26" s="183">
        <v>2E-3</v>
      </c>
      <c r="I26" s="241">
        <v>4.0000000000000001E-3</v>
      </c>
      <c r="J26" s="241">
        <v>6.0000000000000001E-3</v>
      </c>
      <c r="K26" s="183">
        <v>7.0000000000000001E-3</v>
      </c>
      <c r="L26" s="183">
        <v>8.9999999999999993E-3</v>
      </c>
      <c r="M26" s="183">
        <v>0.01</v>
      </c>
      <c r="N26" s="183">
        <v>1.0999999999999999E-2</v>
      </c>
      <c r="O26" s="183">
        <v>1.2E-2</v>
      </c>
      <c r="P26" s="183">
        <v>1.2999999999999999E-2</v>
      </c>
      <c r="Q26" s="183">
        <v>1.4E-2</v>
      </c>
      <c r="R26" s="183">
        <v>1.4999999999999999E-2</v>
      </c>
      <c r="S26" s="183">
        <v>1.6E-2</v>
      </c>
      <c r="T26" s="183">
        <v>1.7000000000000001E-2</v>
      </c>
      <c r="U26" s="183">
        <v>1.7999999999999999E-2</v>
      </c>
      <c r="V26" s="183">
        <v>1.9E-2</v>
      </c>
      <c r="W26" s="183">
        <v>0.02</v>
      </c>
      <c r="X26" s="183">
        <v>2.1000000000000001E-2</v>
      </c>
      <c r="Y26" s="183">
        <v>2.1000000000000001E-2</v>
      </c>
      <c r="Z26" s="183">
        <v>2.1999999999999999E-2</v>
      </c>
      <c r="AA26" s="183">
        <v>2.3E-2</v>
      </c>
      <c r="AB26" s="183">
        <v>2.3E-2</v>
      </c>
      <c r="AC26" s="183">
        <v>2.4E-2</v>
      </c>
      <c r="AD26" s="183">
        <v>2.4E-2</v>
      </c>
      <c r="AE26" s="183">
        <v>2.5000000000000001E-2</v>
      </c>
      <c r="AF26" s="183">
        <v>2.5000000000000001E-2</v>
      </c>
      <c r="AG26" s="183">
        <v>2.5000000000000001E-2</v>
      </c>
      <c r="AH26" s="183">
        <v>2.5000000000000001E-2</v>
      </c>
      <c r="AI26" s="156">
        <v>2.5000000000000001E-2</v>
      </c>
      <c r="AJ26" s="183">
        <v>2.5000000000000001E-2</v>
      </c>
      <c r="AK26" s="183">
        <v>2.5000000000000001E-2</v>
      </c>
      <c r="AL26" s="241">
        <v>2.5000000000000001E-2</v>
      </c>
      <c r="AM26" s="183">
        <v>2.5000000000000001E-2</v>
      </c>
      <c r="AN26" s="183">
        <v>2.5000000000000001E-2</v>
      </c>
      <c r="AO26" s="183">
        <v>2.5000000000000001E-2</v>
      </c>
      <c r="AP26" s="183">
        <v>2.5000000000000001E-2</v>
      </c>
      <c r="AQ26" s="183">
        <v>2.5000000000000001E-2</v>
      </c>
      <c r="AR26" s="183">
        <v>2.5000000000000001E-2</v>
      </c>
      <c r="AS26" s="183">
        <v>2.5000000000000001E-2</v>
      </c>
      <c r="AT26" s="183">
        <v>2.5000000000000001E-2</v>
      </c>
      <c r="AU26" s="183">
        <v>2.5000000000000001E-2</v>
      </c>
      <c r="AV26" s="183">
        <v>2.5000000000000001E-2</v>
      </c>
      <c r="AW26" s="183">
        <v>2.5000000000000001E-2</v>
      </c>
      <c r="AX26" s="183">
        <v>2.5000000000000001E-2</v>
      </c>
      <c r="AY26" s="183">
        <v>2.5000000000000001E-2</v>
      </c>
      <c r="AZ26" s="183">
        <v>2.5000000000000001E-2</v>
      </c>
      <c r="BA26" s="183">
        <v>2.5000000000000001E-2</v>
      </c>
      <c r="BB26" s="183">
        <v>2.5000000000000001E-2</v>
      </c>
      <c r="BC26" s="183">
        <v>2.5000000000000001E-2</v>
      </c>
      <c r="BD26" s="235"/>
      <c r="BE26" s="183"/>
      <c r="BF26" s="233"/>
      <c r="BG26" s="20"/>
      <c r="BH26" s="1" t="s">
        <v>173</v>
      </c>
      <c r="BI26" s="25">
        <v>0.9</v>
      </c>
      <c r="BJ26" s="25"/>
      <c r="BK26" s="1" t="s">
        <v>154</v>
      </c>
      <c r="BL26" s="1" t="s">
        <v>172</v>
      </c>
      <c r="BM26" s="1"/>
      <c r="BN26" s="1"/>
      <c r="BO26" s="1"/>
      <c r="BP26" s="1"/>
      <c r="BQ26" s="1"/>
      <c r="BR26" s="1"/>
      <c r="BS26" s="1"/>
      <c r="BT26" s="1"/>
      <c r="BU26" s="1"/>
      <c r="BV26" s="1"/>
      <c r="BW26" s="1"/>
      <c r="BX26" s="1"/>
      <c r="BY26" s="1"/>
      <c r="BZ26" s="1"/>
      <c r="CA26" s="1"/>
      <c r="CB26" s="1"/>
    </row>
    <row r="27" spans="1:80" ht="14.25" customHeight="1">
      <c r="A27" s="30"/>
      <c r="B27" s="30" t="s">
        <v>145</v>
      </c>
      <c r="C27" s="30" t="s">
        <v>150</v>
      </c>
      <c r="D27" s="30" t="s">
        <v>297</v>
      </c>
      <c r="E27" s="30" t="s">
        <v>416</v>
      </c>
      <c r="F27" s="30"/>
      <c r="G27" s="241">
        <v>0.22800000000000001</v>
      </c>
      <c r="H27" s="183">
        <v>0.22600000000000001</v>
      </c>
      <c r="I27" s="241">
        <v>0.22459999999999999</v>
      </c>
      <c r="J27" s="241">
        <v>0.2233</v>
      </c>
      <c r="K27" s="183">
        <v>0.222</v>
      </c>
      <c r="L27" s="183">
        <v>0.22070000000000001</v>
      </c>
      <c r="M27" s="183">
        <v>0.21940000000000001</v>
      </c>
      <c r="N27" s="183">
        <v>0.21809999999999999</v>
      </c>
      <c r="O27" s="183">
        <v>0.21679999999999999</v>
      </c>
      <c r="P27" s="183">
        <v>0.2155</v>
      </c>
      <c r="Q27" s="183">
        <v>0.2142</v>
      </c>
      <c r="R27" s="183">
        <v>0.21299999999999999</v>
      </c>
      <c r="S27" s="183">
        <v>0.2117</v>
      </c>
      <c r="T27" s="183">
        <v>0.21049999999999999</v>
      </c>
      <c r="U27" s="183">
        <v>0.2092</v>
      </c>
      <c r="V27" s="183">
        <v>0.20799999999999999</v>
      </c>
      <c r="W27" s="183">
        <v>0.20680000000000001</v>
      </c>
      <c r="X27" s="183">
        <v>0.2056</v>
      </c>
      <c r="Y27" s="183">
        <v>0.20430000000000001</v>
      </c>
      <c r="Z27" s="183">
        <v>0.2031</v>
      </c>
      <c r="AA27" s="183">
        <v>0.2019</v>
      </c>
      <c r="AB27" s="183">
        <v>0.20069999999999999</v>
      </c>
      <c r="AC27" s="183">
        <v>0.1996</v>
      </c>
      <c r="AD27" s="183">
        <v>0.19839999999999999</v>
      </c>
      <c r="AE27" s="183">
        <v>0.19719999999999999</v>
      </c>
      <c r="AF27" s="183">
        <v>0.19600000000000001</v>
      </c>
      <c r="AG27" s="183">
        <v>0.19489999999999999</v>
      </c>
      <c r="AH27" s="183">
        <v>0.19370000000000001</v>
      </c>
      <c r="AI27" s="156">
        <v>0.19259999999999999</v>
      </c>
      <c r="AJ27" s="183">
        <v>0.1915</v>
      </c>
      <c r="AK27" s="183">
        <v>0.1903</v>
      </c>
      <c r="AL27" s="183">
        <v>0.18920000000000001</v>
      </c>
      <c r="AM27" s="183">
        <v>0.18809999999999999</v>
      </c>
      <c r="AN27" s="183">
        <v>0.187</v>
      </c>
      <c r="AO27" s="183">
        <v>0.18590000000000001</v>
      </c>
      <c r="AP27" s="183">
        <v>0.18479999999999999</v>
      </c>
      <c r="AQ27" s="183">
        <v>0.1837</v>
      </c>
      <c r="AR27" s="183">
        <v>0.18260000000000001</v>
      </c>
      <c r="AS27" s="183">
        <v>0.18149999999999999</v>
      </c>
      <c r="AT27" s="183">
        <v>0.18049999999999999</v>
      </c>
      <c r="AU27" s="183">
        <v>0.1794</v>
      </c>
      <c r="AV27" s="183">
        <v>0.17829999999999999</v>
      </c>
      <c r="AW27" s="183">
        <v>0.17730000000000001</v>
      </c>
      <c r="AX27" s="183">
        <v>0.1762</v>
      </c>
      <c r="AY27" s="183">
        <v>0.17519999999999999</v>
      </c>
      <c r="AZ27" s="183">
        <v>0.17419999999999999</v>
      </c>
      <c r="BA27" s="183">
        <v>0.1731</v>
      </c>
      <c r="BB27" s="183">
        <v>0.1721</v>
      </c>
      <c r="BC27" s="183">
        <v>0.1711</v>
      </c>
      <c r="BD27" s="235"/>
      <c r="BE27" s="183"/>
      <c r="BF27" s="30" t="s">
        <v>417</v>
      </c>
      <c r="BG27" s="20"/>
      <c r="BH27" s="1"/>
      <c r="BI27" s="25"/>
      <c r="BJ27" s="25"/>
      <c r="BK27" s="1" t="s">
        <v>186</v>
      </c>
      <c r="BL27" s="1" t="s">
        <v>418</v>
      </c>
      <c r="BM27" s="1"/>
      <c r="BN27" s="1"/>
      <c r="BO27" s="1"/>
      <c r="BP27" s="1"/>
      <c r="BQ27" s="1"/>
      <c r="BR27" s="1"/>
      <c r="BS27" s="1"/>
      <c r="BT27" s="1"/>
      <c r="BU27" s="1"/>
      <c r="BV27" s="1"/>
      <c r="BW27" s="1"/>
      <c r="BX27" s="1"/>
      <c r="BY27" s="1"/>
      <c r="BZ27" s="1"/>
      <c r="CA27" s="1"/>
      <c r="CB27" s="1"/>
    </row>
    <row r="28" spans="1:80" ht="14.25" customHeight="1">
      <c r="A28" s="30"/>
      <c r="B28" s="30" t="s">
        <v>145</v>
      </c>
      <c r="C28" s="30" t="s">
        <v>150</v>
      </c>
      <c r="D28" s="30" t="s">
        <v>151</v>
      </c>
      <c r="E28" s="30" t="s">
        <v>152</v>
      </c>
      <c r="F28" s="30"/>
      <c r="G28" s="241">
        <v>0.156</v>
      </c>
      <c r="H28" s="234">
        <v>0.155</v>
      </c>
      <c r="I28" s="241">
        <v>0.154</v>
      </c>
      <c r="J28" s="241">
        <v>0.153</v>
      </c>
      <c r="K28" s="183">
        <v>0.152</v>
      </c>
      <c r="L28" s="183">
        <v>0.151</v>
      </c>
      <c r="M28" s="183">
        <v>0.15</v>
      </c>
      <c r="N28" s="183">
        <v>0.15</v>
      </c>
      <c r="O28" s="183">
        <v>0.14899999999999999</v>
      </c>
      <c r="P28" s="183">
        <v>0.14799999999999999</v>
      </c>
      <c r="Q28" s="183">
        <v>0.14699999999999999</v>
      </c>
      <c r="R28" s="183">
        <v>0.14599999999999999</v>
      </c>
      <c r="S28" s="183">
        <v>0.14499999999999999</v>
      </c>
      <c r="T28" s="183">
        <v>0.14399999999999999</v>
      </c>
      <c r="U28" s="183">
        <v>0.14299999999999999</v>
      </c>
      <c r="V28" s="183">
        <v>0.14199999999999999</v>
      </c>
      <c r="W28" s="183">
        <v>0.14199999999999999</v>
      </c>
      <c r="X28" s="183">
        <v>0.14099999999999999</v>
      </c>
      <c r="Y28" s="183">
        <v>0.14000000000000001</v>
      </c>
      <c r="Z28" s="183">
        <v>0.13900000000000001</v>
      </c>
      <c r="AA28" s="183">
        <v>0.13800000000000001</v>
      </c>
      <c r="AB28" s="183">
        <v>0.13700000000000001</v>
      </c>
      <c r="AC28" s="183">
        <v>0.13700000000000001</v>
      </c>
      <c r="AD28" s="183">
        <v>0.13600000000000001</v>
      </c>
      <c r="AE28" s="183">
        <v>0.13500000000000001</v>
      </c>
      <c r="AF28" s="183">
        <v>0.13400000000000001</v>
      </c>
      <c r="AG28" s="183">
        <v>0.13300000000000001</v>
      </c>
      <c r="AH28" s="183">
        <v>0.13300000000000001</v>
      </c>
      <c r="AI28" s="156">
        <v>0.13200000000000001</v>
      </c>
      <c r="AJ28" s="183">
        <v>0.13100000000000001</v>
      </c>
      <c r="AK28" s="183">
        <v>0.13</v>
      </c>
      <c r="AL28" s="183">
        <v>0.129</v>
      </c>
      <c r="AM28" s="183">
        <v>0.129</v>
      </c>
      <c r="AN28" s="183">
        <v>0.128</v>
      </c>
      <c r="AO28" s="183">
        <v>0.127</v>
      </c>
      <c r="AP28" s="183">
        <v>0.126</v>
      </c>
      <c r="AQ28" s="183">
        <v>0.126</v>
      </c>
      <c r="AR28" s="183">
        <v>0.125</v>
      </c>
      <c r="AS28" s="183">
        <v>0.124</v>
      </c>
      <c r="AT28" s="183">
        <v>0.123</v>
      </c>
      <c r="AU28" s="183">
        <v>0.123</v>
      </c>
      <c r="AV28" s="183">
        <v>0.122</v>
      </c>
      <c r="AW28" s="183">
        <v>0.121</v>
      </c>
      <c r="AX28" s="183">
        <v>0.12</v>
      </c>
      <c r="AY28" s="183">
        <v>0.12</v>
      </c>
      <c r="AZ28" s="183">
        <v>0.11899999999999999</v>
      </c>
      <c r="BA28" s="183">
        <v>0.11799999999999999</v>
      </c>
      <c r="BB28" s="183">
        <v>0.11799999999999999</v>
      </c>
      <c r="BC28" s="183">
        <v>0.11700000000000001</v>
      </c>
      <c r="BD28" s="235"/>
      <c r="BE28" s="183"/>
      <c r="BF28" s="30" t="s">
        <v>417</v>
      </c>
      <c r="BG28" s="20"/>
      <c r="BH28" s="1"/>
      <c r="BI28" s="25"/>
      <c r="BJ28" s="25"/>
      <c r="BK28" s="1" t="s">
        <v>190</v>
      </c>
      <c r="BL28" s="1"/>
      <c r="BM28" s="1"/>
      <c r="BN28" s="1"/>
      <c r="BO28" s="1"/>
      <c r="BP28" s="1"/>
      <c r="BQ28" s="1"/>
      <c r="BR28" s="1"/>
      <c r="BS28" s="1"/>
      <c r="BT28" s="1"/>
      <c r="BU28" s="1"/>
      <c r="BV28" s="1"/>
      <c r="BW28" s="1"/>
      <c r="BX28" s="1"/>
      <c r="BY28" s="1"/>
      <c r="BZ28" s="1"/>
      <c r="CA28" s="1"/>
      <c r="CB28" s="1"/>
    </row>
    <row r="29" spans="1:80" ht="14.25" customHeight="1">
      <c r="A29" s="30"/>
      <c r="B29" s="30" t="s">
        <v>145</v>
      </c>
      <c r="C29" s="30" t="s">
        <v>154</v>
      </c>
      <c r="D29" s="30" t="s">
        <v>155</v>
      </c>
      <c r="E29" s="30" t="s">
        <v>156</v>
      </c>
      <c r="F29" s="30"/>
      <c r="G29" s="241">
        <v>1E-3</v>
      </c>
      <c r="H29" s="183">
        <v>1E-3</v>
      </c>
      <c r="I29" s="241">
        <v>1E-3</v>
      </c>
      <c r="J29" s="241">
        <v>1E-3</v>
      </c>
      <c r="K29" s="183">
        <v>2E-3</v>
      </c>
      <c r="L29" s="183">
        <v>4.0000000000000001E-3</v>
      </c>
      <c r="M29" s="183">
        <v>6.0000000000000001E-3</v>
      </c>
      <c r="N29" s="183">
        <v>8.9999999999999993E-3</v>
      </c>
      <c r="O29" s="183">
        <v>1.4E-2</v>
      </c>
      <c r="P29" s="183">
        <v>1.7999999999999999E-2</v>
      </c>
      <c r="Q29" s="183">
        <v>2.1999999999999999E-2</v>
      </c>
      <c r="R29" s="183">
        <v>2.5000000000000001E-2</v>
      </c>
      <c r="S29" s="183">
        <v>0.03</v>
      </c>
      <c r="T29" s="183">
        <v>3.4000000000000002E-2</v>
      </c>
      <c r="U29" s="183">
        <v>0.04</v>
      </c>
      <c r="V29" s="183">
        <v>4.7E-2</v>
      </c>
      <c r="W29" s="183">
        <v>5.1999999999999998E-2</v>
      </c>
      <c r="X29" s="183">
        <v>5.8000000000000003E-2</v>
      </c>
      <c r="Y29" s="183">
        <v>6.4000000000000001E-2</v>
      </c>
      <c r="Z29" s="183">
        <v>7.0000000000000007E-2</v>
      </c>
      <c r="AA29" s="183">
        <v>8.1000000000000003E-2</v>
      </c>
      <c r="AB29" s="183">
        <v>9.2999999999999999E-2</v>
      </c>
      <c r="AC29" s="183">
        <v>0.105</v>
      </c>
      <c r="AD29" s="183">
        <v>0.11700000000000001</v>
      </c>
      <c r="AE29" s="183">
        <v>0.13100000000000001</v>
      </c>
      <c r="AF29" s="183">
        <v>0.14399999999999999</v>
      </c>
      <c r="AG29" s="183">
        <v>0.158</v>
      </c>
      <c r="AH29" s="183">
        <v>0.17100000000000001</v>
      </c>
      <c r="AI29" s="156">
        <v>0.185</v>
      </c>
      <c r="AJ29" s="183">
        <v>0.19900000000000001</v>
      </c>
      <c r="AK29" s="183">
        <v>0.21299999999999999</v>
      </c>
      <c r="AL29" s="183">
        <v>0.22700000000000001</v>
      </c>
      <c r="AM29" s="183">
        <v>0.24199999999999999</v>
      </c>
      <c r="AN29" s="183">
        <v>0.251</v>
      </c>
      <c r="AO29" s="183">
        <v>0.25900000000000001</v>
      </c>
      <c r="AP29" s="183">
        <v>0.26700000000000002</v>
      </c>
      <c r="AQ29" s="183">
        <v>0.27600000000000002</v>
      </c>
      <c r="AR29" s="183">
        <v>0.27900000000000003</v>
      </c>
      <c r="AS29" s="183">
        <v>0.28299999999999997</v>
      </c>
      <c r="AT29" s="183">
        <v>0.28599999999999998</v>
      </c>
      <c r="AU29" s="183">
        <v>0.28899999999999998</v>
      </c>
      <c r="AV29" s="183">
        <v>0.29299999999999998</v>
      </c>
      <c r="AW29" s="183">
        <v>0.29599999999999999</v>
      </c>
      <c r="AX29" s="183">
        <v>0.29899999999999999</v>
      </c>
      <c r="AY29" s="183">
        <v>0.30199999999999999</v>
      </c>
      <c r="AZ29" s="183">
        <v>0.30599999999999999</v>
      </c>
      <c r="BA29" s="183">
        <v>0.309</v>
      </c>
      <c r="BB29" s="183">
        <v>0.312</v>
      </c>
      <c r="BC29" s="183">
        <v>0.316</v>
      </c>
      <c r="BD29" s="235"/>
      <c r="BE29" s="183"/>
      <c r="BF29" s="30" t="s">
        <v>419</v>
      </c>
      <c r="BG29" s="20"/>
      <c r="BH29" s="1"/>
      <c r="BI29" s="25"/>
      <c r="BJ29" s="25"/>
      <c r="BK29" s="1" t="s">
        <v>192</v>
      </c>
      <c r="BL29" s="1"/>
      <c r="BM29" s="1"/>
      <c r="BN29" s="1"/>
      <c r="BO29" s="1"/>
      <c r="BP29" s="1"/>
      <c r="BQ29" s="1"/>
      <c r="BR29" s="1"/>
      <c r="BS29" s="1"/>
      <c r="BT29" s="1"/>
      <c r="BU29" s="1"/>
      <c r="BV29" s="1"/>
      <c r="BW29" s="1"/>
      <c r="BX29" s="1"/>
      <c r="BY29" s="1"/>
      <c r="BZ29" s="1"/>
      <c r="CA29" s="1"/>
      <c r="CB29" s="1"/>
    </row>
    <row r="30" spans="1:80" ht="14.25" customHeight="1">
      <c r="A30" s="30"/>
      <c r="B30" s="30" t="s">
        <v>145</v>
      </c>
      <c r="C30" s="30" t="s">
        <v>154</v>
      </c>
      <c r="D30" s="30" t="s">
        <v>158</v>
      </c>
      <c r="E30" s="30" t="s">
        <v>156</v>
      </c>
      <c r="F30" s="30"/>
      <c r="G30" s="241">
        <v>1E-3</v>
      </c>
      <c r="H30" s="183">
        <v>1E-3</v>
      </c>
      <c r="I30" s="241">
        <v>1E-3</v>
      </c>
      <c r="J30" s="241">
        <v>1E-3</v>
      </c>
      <c r="K30" s="183">
        <v>2E-3</v>
      </c>
      <c r="L30" s="183">
        <v>4.0000000000000001E-3</v>
      </c>
      <c r="M30" s="183">
        <v>6.0000000000000001E-3</v>
      </c>
      <c r="N30" s="183">
        <v>8.9999999999999993E-3</v>
      </c>
      <c r="O30" s="183">
        <v>1.4E-2</v>
      </c>
      <c r="P30" s="183">
        <v>1.7999999999999999E-2</v>
      </c>
      <c r="Q30" s="183">
        <v>2.1999999999999999E-2</v>
      </c>
      <c r="R30" s="183">
        <v>2.5000000000000001E-2</v>
      </c>
      <c r="S30" s="183">
        <v>0.03</v>
      </c>
      <c r="T30" s="183">
        <v>3.4000000000000002E-2</v>
      </c>
      <c r="U30" s="183">
        <v>0.04</v>
      </c>
      <c r="V30" s="183">
        <v>4.7E-2</v>
      </c>
      <c r="W30" s="183">
        <v>5.1999999999999998E-2</v>
      </c>
      <c r="X30" s="183">
        <v>5.8000000000000003E-2</v>
      </c>
      <c r="Y30" s="183">
        <v>6.4000000000000001E-2</v>
      </c>
      <c r="Z30" s="183">
        <v>7.0000000000000007E-2</v>
      </c>
      <c r="AA30" s="183">
        <v>8.1000000000000003E-2</v>
      </c>
      <c r="AB30" s="183">
        <v>9.2999999999999999E-2</v>
      </c>
      <c r="AC30" s="183">
        <v>0.105</v>
      </c>
      <c r="AD30" s="183">
        <v>0.11700000000000001</v>
      </c>
      <c r="AE30" s="183">
        <v>0.13100000000000001</v>
      </c>
      <c r="AF30" s="183">
        <v>0.14399999999999999</v>
      </c>
      <c r="AG30" s="183">
        <v>0.158</v>
      </c>
      <c r="AH30" s="183">
        <v>0.17100000000000001</v>
      </c>
      <c r="AI30" s="156">
        <v>0.185</v>
      </c>
      <c r="AJ30" s="183">
        <v>0.19900000000000001</v>
      </c>
      <c r="AK30" s="183">
        <v>0.21299999999999999</v>
      </c>
      <c r="AL30" s="241">
        <v>0.22700000000000001</v>
      </c>
      <c r="AM30" s="183">
        <v>0.24199999999999999</v>
      </c>
      <c r="AN30" s="183">
        <v>0.251</v>
      </c>
      <c r="AO30" s="183">
        <v>0.25900000000000001</v>
      </c>
      <c r="AP30" s="183">
        <v>0.26700000000000002</v>
      </c>
      <c r="AQ30" s="183">
        <v>0.27600000000000002</v>
      </c>
      <c r="AR30" s="183">
        <v>0.27900000000000003</v>
      </c>
      <c r="AS30" s="183">
        <v>0.28299999999999997</v>
      </c>
      <c r="AT30" s="183">
        <v>0.28599999999999998</v>
      </c>
      <c r="AU30" s="183">
        <v>0.28899999999999998</v>
      </c>
      <c r="AV30" s="183">
        <v>0.29299999999999998</v>
      </c>
      <c r="AW30" s="183">
        <v>0.29599999999999999</v>
      </c>
      <c r="AX30" s="183">
        <v>0.29899999999999999</v>
      </c>
      <c r="AY30" s="183">
        <v>0.30199999999999999</v>
      </c>
      <c r="AZ30" s="183">
        <v>0.30599999999999999</v>
      </c>
      <c r="BA30" s="183">
        <v>0.309</v>
      </c>
      <c r="BB30" s="183">
        <v>0.312</v>
      </c>
      <c r="BC30" s="183">
        <v>0.316</v>
      </c>
      <c r="BD30" s="235"/>
      <c r="BE30" s="183"/>
      <c r="BF30" s="30" t="s">
        <v>420</v>
      </c>
      <c r="BG30" s="20"/>
      <c r="BH30" s="1"/>
      <c r="BI30" s="25">
        <v>0.5</v>
      </c>
      <c r="BJ30" s="1"/>
      <c r="BK30" s="1" t="s">
        <v>154</v>
      </c>
      <c r="BL30" s="1"/>
      <c r="BM30" s="1"/>
      <c r="BN30" s="1"/>
      <c r="BO30" s="1"/>
      <c r="BP30" s="1" t="s">
        <v>194</v>
      </c>
      <c r="BQ30" s="1"/>
      <c r="BR30" s="1"/>
      <c r="BS30" s="1"/>
      <c r="BT30" s="1"/>
      <c r="BU30" s="1"/>
      <c r="BV30" s="1"/>
      <c r="BW30" s="1"/>
      <c r="BX30" s="1"/>
      <c r="BY30" s="1"/>
      <c r="BZ30" s="1"/>
      <c r="CA30" s="1"/>
      <c r="CB30" s="1"/>
    </row>
    <row r="31" spans="1:80" ht="14.25" customHeight="1">
      <c r="A31" s="30"/>
      <c r="B31" s="30" t="s">
        <v>145</v>
      </c>
      <c r="C31" s="30" t="s">
        <v>154</v>
      </c>
      <c r="D31" s="30" t="s">
        <v>159</v>
      </c>
      <c r="E31" s="30" t="s">
        <v>156</v>
      </c>
      <c r="F31" s="30"/>
      <c r="G31" s="241">
        <v>1E-3</v>
      </c>
      <c r="H31" s="183">
        <v>1E-3</v>
      </c>
      <c r="I31" s="241">
        <v>4.0000000000000001E-3</v>
      </c>
      <c r="J31" s="241">
        <v>7.0000000000000001E-3</v>
      </c>
      <c r="K31" s="183">
        <v>8.0000000000000002E-3</v>
      </c>
      <c r="L31" s="183">
        <v>8.9999999999999993E-3</v>
      </c>
      <c r="M31" s="183">
        <v>1.2E-2</v>
      </c>
      <c r="N31" s="183">
        <v>1.4E-2</v>
      </c>
      <c r="O31" s="183">
        <v>1.7999999999999999E-2</v>
      </c>
      <c r="P31" s="183">
        <v>2.1000000000000001E-2</v>
      </c>
      <c r="Q31" s="183">
        <v>2.3E-2</v>
      </c>
      <c r="R31" s="183">
        <v>2.4E-2</v>
      </c>
      <c r="S31" s="183">
        <v>2.9000000000000001E-2</v>
      </c>
      <c r="T31" s="183">
        <v>3.3000000000000002E-2</v>
      </c>
      <c r="U31" s="183">
        <v>3.5999999999999997E-2</v>
      </c>
      <c r="V31" s="183">
        <v>3.9E-2</v>
      </c>
      <c r="W31" s="183">
        <v>4.2999999999999997E-2</v>
      </c>
      <c r="X31" s="183">
        <v>4.7E-2</v>
      </c>
      <c r="Y31" s="183">
        <v>5.2999999999999999E-2</v>
      </c>
      <c r="Z31" s="183">
        <v>5.8999999999999997E-2</v>
      </c>
      <c r="AA31" s="183">
        <v>7.0000000000000007E-2</v>
      </c>
      <c r="AB31" s="183">
        <v>8.1000000000000003E-2</v>
      </c>
      <c r="AC31" s="183">
        <v>9.1999999999999998E-2</v>
      </c>
      <c r="AD31" s="183">
        <v>0.106</v>
      </c>
      <c r="AE31" s="183">
        <v>0.11700000000000001</v>
      </c>
      <c r="AF31" s="183">
        <v>0.126</v>
      </c>
      <c r="AG31" s="183">
        <v>0.14199999999999999</v>
      </c>
      <c r="AH31" s="183">
        <v>0.155</v>
      </c>
      <c r="AI31" s="156">
        <v>0.17100000000000001</v>
      </c>
      <c r="AJ31" s="183">
        <v>0.19800000000000001</v>
      </c>
      <c r="AK31" s="183">
        <v>0.22800000000000001</v>
      </c>
      <c r="AL31" s="241">
        <v>0.26</v>
      </c>
      <c r="AM31" s="183">
        <v>0.28899999999999998</v>
      </c>
      <c r="AN31" s="183">
        <v>0.30599999999999999</v>
      </c>
      <c r="AO31" s="183">
        <v>0.315</v>
      </c>
      <c r="AP31" s="183">
        <v>0.32600000000000001</v>
      </c>
      <c r="AQ31" s="183">
        <v>0.33300000000000002</v>
      </c>
      <c r="AR31" s="183">
        <v>0.33600000000000002</v>
      </c>
      <c r="AS31" s="183">
        <v>0.34</v>
      </c>
      <c r="AT31" s="183">
        <v>0.34300000000000003</v>
      </c>
      <c r="AU31" s="183">
        <v>0.34699999999999998</v>
      </c>
      <c r="AV31" s="183">
        <v>0.35</v>
      </c>
      <c r="AW31" s="183">
        <v>0.35399999999999998</v>
      </c>
      <c r="AX31" s="183">
        <v>0.35699999999999998</v>
      </c>
      <c r="AY31" s="183">
        <v>0.36099999999999999</v>
      </c>
      <c r="AZ31" s="183">
        <v>0.36399999999999999</v>
      </c>
      <c r="BA31" s="183">
        <v>0.36799999999999999</v>
      </c>
      <c r="BB31" s="183">
        <v>0.371</v>
      </c>
      <c r="BC31" s="183">
        <v>0.375</v>
      </c>
      <c r="BD31" s="235"/>
      <c r="BE31" s="183"/>
      <c r="BF31" s="30" t="s">
        <v>421</v>
      </c>
      <c r="BG31" s="20"/>
      <c r="BH31" s="1"/>
      <c r="BI31" s="25">
        <v>0.2</v>
      </c>
      <c r="BJ31" s="1"/>
      <c r="BK31" s="1" t="s">
        <v>154</v>
      </c>
      <c r="BL31" s="1"/>
      <c r="BM31" s="1"/>
      <c r="BN31" s="1"/>
      <c r="BO31" s="1"/>
      <c r="BP31" s="1" t="s">
        <v>199</v>
      </c>
      <c r="BQ31" s="1"/>
      <c r="BR31" s="1"/>
      <c r="BS31" s="1"/>
      <c r="BT31" s="1"/>
      <c r="BU31" s="1"/>
      <c r="BV31" s="1"/>
      <c r="BW31" s="1"/>
      <c r="BX31" s="1"/>
      <c r="BY31" s="1"/>
      <c r="BZ31" s="1"/>
      <c r="CA31" s="1"/>
      <c r="CB31" s="1"/>
    </row>
    <row r="32" spans="1:80" ht="14.25" customHeight="1">
      <c r="A32" s="30"/>
      <c r="B32" s="30" t="s">
        <v>145</v>
      </c>
      <c r="C32" s="30" t="s">
        <v>154</v>
      </c>
      <c r="D32" s="30" t="s">
        <v>161</v>
      </c>
      <c r="E32" s="30" t="s">
        <v>156</v>
      </c>
      <c r="F32" s="30"/>
      <c r="G32" s="241">
        <v>1E-3</v>
      </c>
      <c r="H32" s="183">
        <v>1E-3</v>
      </c>
      <c r="I32" s="241">
        <v>4.0000000000000001E-3</v>
      </c>
      <c r="J32" s="241">
        <v>7.0000000000000001E-3</v>
      </c>
      <c r="K32" s="183">
        <v>0.01</v>
      </c>
      <c r="L32" s="183">
        <v>1.4E-2</v>
      </c>
      <c r="M32" s="183">
        <v>2.7E-2</v>
      </c>
      <c r="N32" s="183">
        <v>4.1000000000000002E-2</v>
      </c>
      <c r="O32" s="183">
        <v>5.6000000000000001E-2</v>
      </c>
      <c r="P32" s="183">
        <v>7.1999999999999995E-2</v>
      </c>
      <c r="Q32" s="183">
        <v>0.104</v>
      </c>
      <c r="R32" s="183">
        <v>0.13500000000000001</v>
      </c>
      <c r="S32" s="183">
        <v>0.17100000000000001</v>
      </c>
      <c r="T32" s="183">
        <v>0.20699999999999999</v>
      </c>
      <c r="U32" s="183">
        <v>0.24299999999999999</v>
      </c>
      <c r="V32" s="183">
        <v>0.27900000000000003</v>
      </c>
      <c r="W32" s="183">
        <v>0.315</v>
      </c>
      <c r="X32" s="183">
        <v>0.35099999999999998</v>
      </c>
      <c r="Y32" s="183">
        <v>0.39200000000000002</v>
      </c>
      <c r="Z32" s="183">
        <v>0.432</v>
      </c>
      <c r="AA32" s="183">
        <v>0.51300000000000001</v>
      </c>
      <c r="AB32" s="183">
        <v>0.56699999999999995</v>
      </c>
      <c r="AC32" s="183">
        <v>0.61199999999999999</v>
      </c>
      <c r="AD32" s="183">
        <v>0.64800000000000002</v>
      </c>
      <c r="AE32" s="183">
        <v>0.67500000000000004</v>
      </c>
      <c r="AF32" s="183">
        <v>0.71099999999999997</v>
      </c>
      <c r="AG32" s="183">
        <v>0.72899999999999998</v>
      </c>
      <c r="AH32" s="183">
        <v>0.747</v>
      </c>
      <c r="AI32" s="156">
        <v>0.76500000000000001</v>
      </c>
      <c r="AJ32" s="183">
        <v>0.77400000000000002</v>
      </c>
      <c r="AK32" s="183">
        <v>0.77800000000000002</v>
      </c>
      <c r="AL32" s="241">
        <v>0.78300000000000003</v>
      </c>
      <c r="AM32" s="183">
        <v>0.78800000000000003</v>
      </c>
      <c r="AN32" s="183">
        <v>0.80100000000000005</v>
      </c>
      <c r="AO32" s="183">
        <v>0.80300000000000005</v>
      </c>
      <c r="AP32" s="183">
        <v>0.80600000000000005</v>
      </c>
      <c r="AQ32" s="183">
        <v>0.80800000000000005</v>
      </c>
      <c r="AR32" s="183">
        <v>0.81599999999999995</v>
      </c>
      <c r="AS32" s="183">
        <v>0.82399999999999995</v>
      </c>
      <c r="AT32" s="183">
        <v>0.83099999999999996</v>
      </c>
      <c r="AU32" s="183">
        <v>0.83899999999999997</v>
      </c>
      <c r="AV32" s="183">
        <v>0.84599999999999997</v>
      </c>
      <c r="AW32" s="183">
        <v>0.85399999999999998</v>
      </c>
      <c r="AX32" s="183">
        <v>0.86199999999999999</v>
      </c>
      <c r="AY32" s="183">
        <v>0.86899999999999999</v>
      </c>
      <c r="AZ32" s="183">
        <v>0.877</v>
      </c>
      <c r="BA32" s="183">
        <v>0.88500000000000001</v>
      </c>
      <c r="BB32" s="183">
        <v>0.89200000000000002</v>
      </c>
      <c r="BC32" s="183">
        <v>0.9</v>
      </c>
      <c r="BD32" s="235"/>
      <c r="BE32" s="183"/>
      <c r="BF32" s="30" t="s">
        <v>421</v>
      </c>
      <c r="BG32" s="20"/>
      <c r="BH32" s="1"/>
      <c r="BI32" s="25">
        <v>0.05</v>
      </c>
      <c r="BJ32" s="1"/>
      <c r="BK32" s="1" t="s">
        <v>154</v>
      </c>
      <c r="BL32" s="1"/>
      <c r="BM32" s="1"/>
      <c r="BN32" s="1"/>
      <c r="BO32" s="1"/>
      <c r="BP32" s="1" t="s">
        <v>202</v>
      </c>
      <c r="BQ32" s="1" t="s">
        <v>422</v>
      </c>
      <c r="BR32" s="1"/>
      <c r="BS32" s="1"/>
      <c r="BT32" s="1"/>
      <c r="BU32" s="1"/>
      <c r="BV32" s="1"/>
      <c r="BW32" s="1"/>
      <c r="BX32" s="1"/>
      <c r="BY32" s="1"/>
      <c r="BZ32" s="1"/>
      <c r="CA32" s="1"/>
      <c r="CB32" s="1"/>
    </row>
    <row r="33" spans="1:80" ht="14.25" customHeight="1">
      <c r="A33" s="30"/>
      <c r="B33" s="30" t="s">
        <v>145</v>
      </c>
      <c r="C33" s="30" t="s">
        <v>154</v>
      </c>
      <c r="D33" s="30" t="s">
        <v>166</v>
      </c>
      <c r="E33" s="30" t="s">
        <v>156</v>
      </c>
      <c r="F33" s="30"/>
      <c r="G33" s="241">
        <v>1E-3</v>
      </c>
      <c r="H33" s="183">
        <v>1E-3</v>
      </c>
      <c r="I33" s="241">
        <v>4.0000000000000001E-3</v>
      </c>
      <c r="J33" s="241">
        <v>6.0000000000000001E-3</v>
      </c>
      <c r="K33" s="183">
        <v>1.4E-2</v>
      </c>
      <c r="L33" s="183">
        <v>2.1999999999999999E-2</v>
      </c>
      <c r="M33" s="183">
        <v>2.8000000000000001E-2</v>
      </c>
      <c r="N33" s="183">
        <v>3.4000000000000002E-2</v>
      </c>
      <c r="O33" s="183">
        <v>4.8000000000000001E-2</v>
      </c>
      <c r="P33" s="183">
        <v>6.2E-2</v>
      </c>
      <c r="Q33" s="183">
        <v>7.4999999999999997E-2</v>
      </c>
      <c r="R33" s="183">
        <v>8.7999999999999995E-2</v>
      </c>
      <c r="S33" s="183">
        <v>0.105</v>
      </c>
      <c r="T33" s="183">
        <v>0.121</v>
      </c>
      <c r="U33" s="183">
        <v>0.14299999999999999</v>
      </c>
      <c r="V33" s="183">
        <v>0.16400000000000001</v>
      </c>
      <c r="W33" s="183">
        <v>0.182</v>
      </c>
      <c r="X33" s="183">
        <v>0.2</v>
      </c>
      <c r="Y33" s="183">
        <v>0.22</v>
      </c>
      <c r="Z33" s="183">
        <v>0.23899999999999999</v>
      </c>
      <c r="AA33" s="183">
        <v>0.28799999999999998</v>
      </c>
      <c r="AB33" s="183">
        <v>0.33800000000000002</v>
      </c>
      <c r="AC33" s="183">
        <v>0.39100000000000001</v>
      </c>
      <c r="AD33" s="183">
        <v>0.42599999999999999</v>
      </c>
      <c r="AE33" s="183">
        <v>0.46</v>
      </c>
      <c r="AF33" s="183">
        <v>0.48299999999999998</v>
      </c>
      <c r="AG33" s="183">
        <v>0.498</v>
      </c>
      <c r="AH33" s="183">
        <v>0.504</v>
      </c>
      <c r="AI33" s="156">
        <v>0.51500000000000001</v>
      </c>
      <c r="AJ33" s="183">
        <v>0.52</v>
      </c>
      <c r="AK33" s="183">
        <v>0.52600000000000002</v>
      </c>
      <c r="AL33" s="241">
        <v>0.53100000000000003</v>
      </c>
      <c r="AM33" s="183">
        <v>0.53800000000000003</v>
      </c>
      <c r="AN33" s="183">
        <v>0.54200000000000004</v>
      </c>
      <c r="AO33" s="183">
        <v>0.54600000000000004</v>
      </c>
      <c r="AP33" s="183">
        <v>0.55400000000000005</v>
      </c>
      <c r="AQ33" s="183">
        <v>0.55600000000000005</v>
      </c>
      <c r="AR33" s="183">
        <v>0.56200000000000006</v>
      </c>
      <c r="AS33" s="183">
        <v>0.56699999999999995</v>
      </c>
      <c r="AT33" s="183">
        <v>0.57199999999999995</v>
      </c>
      <c r="AU33" s="183">
        <v>0.57699999999999996</v>
      </c>
      <c r="AV33" s="183">
        <v>0.58299999999999996</v>
      </c>
      <c r="AW33" s="183">
        <v>0.58799999999999997</v>
      </c>
      <c r="AX33" s="183">
        <v>0.59299999999999997</v>
      </c>
      <c r="AY33" s="183">
        <v>0.59899999999999998</v>
      </c>
      <c r="AZ33" s="183">
        <v>0.60399999999999998</v>
      </c>
      <c r="BA33" s="183">
        <v>0.60899999999999999</v>
      </c>
      <c r="BB33" s="183">
        <v>0.61499999999999999</v>
      </c>
      <c r="BC33" s="183">
        <v>0.62</v>
      </c>
      <c r="BD33" s="235"/>
      <c r="BE33" s="183"/>
      <c r="BF33" s="30" t="s">
        <v>421</v>
      </c>
      <c r="BG33" s="20"/>
      <c r="BH33" s="1" t="s">
        <v>423</v>
      </c>
      <c r="BI33" s="54">
        <v>5.0000000000000001E-3</v>
      </c>
      <c r="BJ33" s="1"/>
      <c r="BK33" s="1" t="s">
        <v>328</v>
      </c>
      <c r="BL33" s="1"/>
      <c r="BM33" s="1"/>
      <c r="BN33" s="1"/>
      <c r="BO33" s="1"/>
      <c r="BP33" s="1" t="s">
        <v>194</v>
      </c>
      <c r="BQ33" s="1"/>
      <c r="BR33" s="1"/>
      <c r="BS33" s="1"/>
      <c r="BT33" s="1"/>
      <c r="BU33" s="1"/>
      <c r="BV33" s="1"/>
      <c r="BW33" s="1"/>
      <c r="BX33" s="1"/>
      <c r="BY33" s="1"/>
      <c r="BZ33" s="1"/>
      <c r="CA33" s="1"/>
      <c r="CB33" s="1"/>
    </row>
    <row r="34" spans="1:80" ht="14.25" customHeight="1">
      <c r="A34" s="30"/>
      <c r="B34" s="30" t="s">
        <v>145</v>
      </c>
      <c r="C34" s="30" t="s">
        <v>154</v>
      </c>
      <c r="D34" s="30" t="s">
        <v>167</v>
      </c>
      <c r="E34" s="30" t="s">
        <v>156</v>
      </c>
      <c r="F34" s="30"/>
      <c r="G34" s="241">
        <v>1E-3</v>
      </c>
      <c r="H34" s="183">
        <v>1E-3</v>
      </c>
      <c r="I34" s="241">
        <v>2E-3</v>
      </c>
      <c r="J34" s="241">
        <v>4.0000000000000001E-3</v>
      </c>
      <c r="K34" s="183">
        <v>8.0000000000000002E-3</v>
      </c>
      <c r="L34" s="183">
        <v>1.2999999999999999E-2</v>
      </c>
      <c r="M34" s="183">
        <v>1.7000000000000001E-2</v>
      </c>
      <c r="N34" s="183">
        <v>2.1999999999999999E-2</v>
      </c>
      <c r="O34" s="183">
        <v>3.1E-2</v>
      </c>
      <c r="P34" s="183">
        <v>0.04</v>
      </c>
      <c r="Q34" s="183">
        <v>4.8000000000000001E-2</v>
      </c>
      <c r="R34" s="183">
        <v>5.7000000000000002E-2</v>
      </c>
      <c r="S34" s="183">
        <v>6.7000000000000004E-2</v>
      </c>
      <c r="T34" s="183">
        <v>7.8E-2</v>
      </c>
      <c r="U34" s="183">
        <v>9.1999999999999998E-2</v>
      </c>
      <c r="V34" s="183">
        <v>0.105</v>
      </c>
      <c r="W34" s="183">
        <v>0.11700000000000001</v>
      </c>
      <c r="X34" s="183">
        <v>0.129</v>
      </c>
      <c r="Y34" s="183">
        <v>0.14199999999999999</v>
      </c>
      <c r="Z34" s="183">
        <v>0.155</v>
      </c>
      <c r="AA34" s="183">
        <v>0.185</v>
      </c>
      <c r="AB34" s="183">
        <v>0.216</v>
      </c>
      <c r="AC34" s="183">
        <v>0.248</v>
      </c>
      <c r="AD34" s="183">
        <v>0.27200000000000002</v>
      </c>
      <c r="AE34" s="183">
        <v>0.29499999999999998</v>
      </c>
      <c r="AF34" s="183">
        <v>0.313</v>
      </c>
      <c r="AG34" s="183">
        <v>0.32800000000000001</v>
      </c>
      <c r="AH34" s="183">
        <v>0.33800000000000002</v>
      </c>
      <c r="AI34" s="156">
        <v>0.35</v>
      </c>
      <c r="AJ34" s="183">
        <v>0.36</v>
      </c>
      <c r="AK34" s="183">
        <v>0.37</v>
      </c>
      <c r="AL34" s="241">
        <v>0.379</v>
      </c>
      <c r="AM34" s="183">
        <v>0.39</v>
      </c>
      <c r="AN34" s="183">
        <v>0.39600000000000002</v>
      </c>
      <c r="AO34" s="183">
        <v>0.40300000000000002</v>
      </c>
      <c r="AP34" s="183">
        <v>0.41</v>
      </c>
      <c r="AQ34" s="183">
        <v>0.41599999999999998</v>
      </c>
      <c r="AR34" s="183">
        <v>0.42</v>
      </c>
      <c r="AS34" s="183">
        <v>0.42499999999999999</v>
      </c>
      <c r="AT34" s="183">
        <v>0.42899999999999999</v>
      </c>
      <c r="AU34" s="183">
        <v>0.433</v>
      </c>
      <c r="AV34" s="183">
        <v>0.438</v>
      </c>
      <c r="AW34" s="183">
        <v>0.442</v>
      </c>
      <c r="AX34" s="183">
        <v>0.44600000000000001</v>
      </c>
      <c r="AY34" s="183">
        <v>0.45100000000000001</v>
      </c>
      <c r="AZ34" s="183">
        <v>0.45500000000000002</v>
      </c>
      <c r="BA34" s="183">
        <v>0.45900000000000002</v>
      </c>
      <c r="BB34" s="183">
        <v>0.46300000000000002</v>
      </c>
      <c r="BC34" s="183">
        <v>0.46800000000000003</v>
      </c>
      <c r="BD34" s="235"/>
      <c r="BE34" s="183"/>
      <c r="BF34" s="30" t="s">
        <v>421</v>
      </c>
      <c r="BG34" s="20"/>
      <c r="BH34" s="1"/>
      <c r="BI34" s="25">
        <v>0.01</v>
      </c>
      <c r="BJ34" s="1"/>
      <c r="BK34" s="1" t="s">
        <v>328</v>
      </c>
      <c r="BL34" s="1"/>
      <c r="BM34" s="1"/>
      <c r="BN34" s="1"/>
      <c r="BO34" s="1"/>
      <c r="BP34" s="1" t="s">
        <v>199</v>
      </c>
      <c r="BQ34" s="1"/>
      <c r="BR34" s="1"/>
      <c r="BS34" s="1"/>
      <c r="BT34" s="1"/>
      <c r="BU34" s="1"/>
      <c r="BV34" s="1"/>
      <c r="BW34" s="1"/>
      <c r="BX34" s="1"/>
      <c r="BY34" s="1"/>
      <c r="BZ34" s="1"/>
      <c r="CA34" s="1"/>
      <c r="CB34" s="1"/>
    </row>
    <row r="35" spans="1:80" ht="14.25" customHeight="1">
      <c r="A35" s="30"/>
      <c r="B35" s="30" t="s">
        <v>145</v>
      </c>
      <c r="C35" s="30" t="s">
        <v>154</v>
      </c>
      <c r="D35" s="30" t="s">
        <v>172</v>
      </c>
      <c r="E35" s="30" t="s">
        <v>156</v>
      </c>
      <c r="F35" s="30"/>
      <c r="G35" s="241">
        <v>1E-3</v>
      </c>
      <c r="H35" s="183">
        <v>1E-3</v>
      </c>
      <c r="I35" s="241">
        <v>2E-3</v>
      </c>
      <c r="J35" s="241">
        <v>3.0000000000000001E-3</v>
      </c>
      <c r="K35" s="183">
        <v>5.0000000000000001E-3</v>
      </c>
      <c r="L35" s="183">
        <v>7.0000000000000001E-3</v>
      </c>
      <c r="M35" s="183">
        <v>1.2999999999999999E-2</v>
      </c>
      <c r="N35" s="183">
        <v>1.7999999999999999E-2</v>
      </c>
      <c r="O35" s="183">
        <v>2.7E-2</v>
      </c>
      <c r="P35" s="183">
        <v>3.5999999999999997E-2</v>
      </c>
      <c r="Q35" s="183">
        <v>4.2999999999999997E-2</v>
      </c>
      <c r="R35" s="183">
        <v>0.05</v>
      </c>
      <c r="S35" s="183">
        <v>5.8999999999999997E-2</v>
      </c>
      <c r="T35" s="183">
        <v>6.8000000000000005E-2</v>
      </c>
      <c r="U35" s="183">
        <v>8.1000000000000003E-2</v>
      </c>
      <c r="V35" s="183">
        <v>9.2999999999999999E-2</v>
      </c>
      <c r="W35" s="183">
        <v>0.104</v>
      </c>
      <c r="X35" s="183">
        <v>0.11600000000000001</v>
      </c>
      <c r="Y35" s="183">
        <v>0.128</v>
      </c>
      <c r="Z35" s="183">
        <v>0.14000000000000001</v>
      </c>
      <c r="AA35" s="183">
        <v>0.16200000000000001</v>
      </c>
      <c r="AB35" s="183">
        <v>0.186</v>
      </c>
      <c r="AC35" s="183">
        <v>0.20899999999999999</v>
      </c>
      <c r="AD35" s="183">
        <v>0.23499999999999999</v>
      </c>
      <c r="AE35" s="183">
        <v>0.26100000000000001</v>
      </c>
      <c r="AF35" s="183">
        <v>0.28799999999999998</v>
      </c>
      <c r="AG35" s="183">
        <v>0.315</v>
      </c>
      <c r="AH35" s="183">
        <v>0.34200000000000003</v>
      </c>
      <c r="AI35" s="156">
        <v>0.36899999999999999</v>
      </c>
      <c r="AJ35" s="183">
        <v>0.39800000000000002</v>
      </c>
      <c r="AK35" s="183">
        <v>0.42699999999999999</v>
      </c>
      <c r="AL35" s="241">
        <v>0.45500000000000002</v>
      </c>
      <c r="AM35" s="183">
        <v>0.48399999999999999</v>
      </c>
      <c r="AN35" s="183">
        <v>0.501</v>
      </c>
      <c r="AO35" s="183">
        <v>0.51800000000000002</v>
      </c>
      <c r="AP35" s="183">
        <v>0.53500000000000003</v>
      </c>
      <c r="AQ35" s="183">
        <v>0.55200000000000005</v>
      </c>
      <c r="AR35" s="183">
        <v>0.55900000000000005</v>
      </c>
      <c r="AS35" s="183">
        <v>0.56499999999999995</v>
      </c>
      <c r="AT35" s="183">
        <v>0.57199999999999995</v>
      </c>
      <c r="AU35" s="183">
        <v>0.57799999999999996</v>
      </c>
      <c r="AV35" s="183">
        <v>0.58499999999999996</v>
      </c>
      <c r="AW35" s="183">
        <v>0.59199999999999997</v>
      </c>
      <c r="AX35" s="183">
        <v>0.59799999999999998</v>
      </c>
      <c r="AY35" s="183">
        <v>0.60499999999999998</v>
      </c>
      <c r="AZ35" s="183">
        <v>0.61099999999999999</v>
      </c>
      <c r="BA35" s="183">
        <v>0.61799999999999999</v>
      </c>
      <c r="BB35" s="183">
        <v>0.625</v>
      </c>
      <c r="BC35" s="183">
        <v>0.63100000000000001</v>
      </c>
      <c r="BD35" s="235"/>
      <c r="BE35" s="183"/>
      <c r="BF35" s="30" t="s">
        <v>421</v>
      </c>
      <c r="BG35" s="20"/>
      <c r="BH35" s="1"/>
      <c r="BI35" s="25">
        <v>7.0000000000000007E-2</v>
      </c>
      <c r="BJ35" s="1"/>
      <c r="BK35" s="1" t="s">
        <v>328</v>
      </c>
      <c r="BL35" s="1"/>
      <c r="BM35" s="1">
        <v>2021</v>
      </c>
      <c r="BN35" s="1"/>
      <c r="BO35" s="1"/>
      <c r="BP35" s="1" t="s">
        <v>202</v>
      </c>
      <c r="BQ35" s="1" t="s">
        <v>323</v>
      </c>
      <c r="BR35" s="253" t="s">
        <v>324</v>
      </c>
      <c r="BS35" s="1"/>
      <c r="BT35" s="1"/>
      <c r="BU35" s="1"/>
      <c r="BV35" s="1"/>
      <c r="BW35" s="1"/>
      <c r="BX35" s="1"/>
      <c r="BY35" s="1"/>
      <c r="BZ35" s="1"/>
      <c r="CA35" s="1"/>
      <c r="CB35" s="1"/>
    </row>
    <row r="36" spans="1:80" ht="14.25" customHeight="1">
      <c r="A36" s="30"/>
      <c r="B36" s="30" t="s">
        <v>145</v>
      </c>
      <c r="C36" s="30" t="s">
        <v>424</v>
      </c>
      <c r="D36" s="30" t="s">
        <v>308</v>
      </c>
      <c r="E36" s="30" t="s">
        <v>184</v>
      </c>
      <c r="F36" s="30"/>
      <c r="G36" s="241">
        <v>4.0000000000000001E-3</v>
      </c>
      <c r="H36" s="183">
        <v>7.0000000000000001E-3</v>
      </c>
      <c r="I36" s="241">
        <v>1.0999999999999999E-2</v>
      </c>
      <c r="J36" s="241">
        <v>1.4E-2</v>
      </c>
      <c r="K36" s="183">
        <v>1.7999999999999999E-2</v>
      </c>
      <c r="L36" s="183">
        <v>2.1000000000000001E-2</v>
      </c>
      <c r="M36" s="183">
        <v>2.5000000000000001E-2</v>
      </c>
      <c r="N36" s="183">
        <v>2.8000000000000001E-2</v>
      </c>
      <c r="O36" s="183">
        <v>3.1E-2</v>
      </c>
      <c r="P36" s="183">
        <v>3.4000000000000002E-2</v>
      </c>
      <c r="Q36" s="183">
        <v>3.5999999999999997E-2</v>
      </c>
      <c r="R36" s="183">
        <v>3.9E-2</v>
      </c>
      <c r="S36" s="183">
        <v>4.1000000000000002E-2</v>
      </c>
      <c r="T36" s="183">
        <v>4.3999999999999997E-2</v>
      </c>
      <c r="U36" s="183">
        <v>4.5999999999999999E-2</v>
      </c>
      <c r="V36" s="183">
        <v>4.9000000000000002E-2</v>
      </c>
      <c r="W36" s="183">
        <v>5.0999999999999997E-2</v>
      </c>
      <c r="X36" s="183">
        <v>5.3999999999999999E-2</v>
      </c>
      <c r="Y36" s="183">
        <v>5.6000000000000001E-2</v>
      </c>
      <c r="Z36" s="183">
        <v>5.8000000000000003E-2</v>
      </c>
      <c r="AA36" s="183">
        <v>5.8999999999999997E-2</v>
      </c>
      <c r="AB36" s="183">
        <v>0.06</v>
      </c>
      <c r="AC36" s="183">
        <v>6.2E-2</v>
      </c>
      <c r="AD36" s="183">
        <v>6.3E-2</v>
      </c>
      <c r="AE36" s="183">
        <v>6.5000000000000002E-2</v>
      </c>
      <c r="AF36" s="183">
        <v>6.6000000000000003E-2</v>
      </c>
      <c r="AG36" s="183">
        <v>6.8000000000000005E-2</v>
      </c>
      <c r="AH36" s="183">
        <v>6.9000000000000006E-2</v>
      </c>
      <c r="AI36" s="156">
        <v>7.0999999999999994E-2</v>
      </c>
      <c r="AJ36" s="183">
        <v>7.1999999999999995E-2</v>
      </c>
      <c r="AK36" s="183">
        <v>7.3999999999999996E-2</v>
      </c>
      <c r="AL36" s="241">
        <v>7.4999999999999997E-2</v>
      </c>
      <c r="AM36" s="183">
        <v>7.6999999999999999E-2</v>
      </c>
      <c r="AN36" s="183">
        <v>7.8E-2</v>
      </c>
      <c r="AO36" s="183">
        <v>0.08</v>
      </c>
      <c r="AP36" s="183">
        <v>8.1000000000000003E-2</v>
      </c>
      <c r="AQ36" s="183">
        <v>8.2000000000000003E-2</v>
      </c>
      <c r="AR36" s="183">
        <v>8.4000000000000005E-2</v>
      </c>
      <c r="AS36" s="183">
        <v>8.5000000000000006E-2</v>
      </c>
      <c r="AT36" s="183">
        <v>8.6999999999999994E-2</v>
      </c>
      <c r="AU36" s="183">
        <v>8.7999999999999995E-2</v>
      </c>
      <c r="AV36" s="183">
        <v>0.09</v>
      </c>
      <c r="AW36" s="183">
        <v>9.0999999999999998E-2</v>
      </c>
      <c r="AX36" s="183">
        <v>9.2999999999999999E-2</v>
      </c>
      <c r="AY36" s="183">
        <v>9.4E-2</v>
      </c>
      <c r="AZ36" s="183">
        <v>9.6000000000000002E-2</v>
      </c>
      <c r="BA36" s="183">
        <v>9.7000000000000003E-2</v>
      </c>
      <c r="BB36" s="183">
        <v>9.9000000000000005E-2</v>
      </c>
      <c r="BC36" s="183">
        <v>0.1</v>
      </c>
      <c r="BD36" s="235"/>
      <c r="BE36" s="183"/>
      <c r="BF36" s="30" t="s">
        <v>421</v>
      </c>
      <c r="BG36" s="20"/>
      <c r="BH36" s="1" t="s">
        <v>425</v>
      </c>
      <c r="BI36" s="54">
        <v>5.0000000000000001E-3</v>
      </c>
      <c r="BJ36" s="1"/>
      <c r="BK36" s="1"/>
      <c r="BL36" s="1" t="s">
        <v>426</v>
      </c>
      <c r="BM36" s="1">
        <v>2488939</v>
      </c>
      <c r="BN36" s="25"/>
      <c r="BO36" s="1"/>
      <c r="BP36" s="1"/>
      <c r="BQ36" s="1"/>
      <c r="BR36" s="1"/>
      <c r="BS36" s="1"/>
      <c r="BT36" s="1"/>
      <c r="BU36" s="1"/>
      <c r="BV36" s="1"/>
      <c r="BW36" s="1"/>
      <c r="BX36" s="1"/>
      <c r="BY36" s="1"/>
      <c r="BZ36" s="1"/>
      <c r="CA36" s="1"/>
      <c r="CB36" s="1"/>
    </row>
    <row r="37" spans="1:80" ht="14.25" customHeight="1">
      <c r="A37" s="30"/>
      <c r="B37" s="30" t="s">
        <v>145</v>
      </c>
      <c r="C37" s="30" t="s">
        <v>424</v>
      </c>
      <c r="D37" s="30" t="s">
        <v>312</v>
      </c>
      <c r="E37" s="30" t="s">
        <v>184</v>
      </c>
      <c r="F37" s="30"/>
      <c r="G37" s="241">
        <v>0</v>
      </c>
      <c r="H37" s="183">
        <v>6.0000000000000001E-3</v>
      </c>
      <c r="I37" s="241">
        <v>1.0999999999999999E-2</v>
      </c>
      <c r="J37" s="241">
        <v>1.2E-2</v>
      </c>
      <c r="K37" s="183">
        <v>1.4E-2</v>
      </c>
      <c r="L37" s="183">
        <v>1.4999999999999999E-2</v>
      </c>
      <c r="M37" s="183">
        <v>1.7000000000000001E-2</v>
      </c>
      <c r="N37" s="183">
        <v>1.7999999999999999E-2</v>
      </c>
      <c r="O37" s="183">
        <v>0.02</v>
      </c>
      <c r="P37" s="183">
        <v>2.1000000000000001E-2</v>
      </c>
      <c r="Q37" s="183">
        <v>2.1999999999999999E-2</v>
      </c>
      <c r="R37" s="183">
        <v>2.3E-2</v>
      </c>
      <c r="S37" s="183">
        <v>2.4E-2</v>
      </c>
      <c r="T37" s="183">
        <v>2.5000000000000001E-2</v>
      </c>
      <c r="U37" s="183">
        <v>2.5999999999999999E-2</v>
      </c>
      <c r="V37" s="183">
        <v>2.7E-2</v>
      </c>
      <c r="W37" s="183">
        <v>2.8000000000000001E-2</v>
      </c>
      <c r="X37" s="183">
        <v>2.9000000000000001E-2</v>
      </c>
      <c r="Y37" s="183">
        <v>0.03</v>
      </c>
      <c r="Z37" s="183">
        <v>0.03</v>
      </c>
      <c r="AA37" s="183">
        <v>3.1E-2</v>
      </c>
      <c r="AB37" s="183">
        <v>3.2000000000000001E-2</v>
      </c>
      <c r="AC37" s="183">
        <v>3.2000000000000001E-2</v>
      </c>
      <c r="AD37" s="183">
        <v>3.3000000000000002E-2</v>
      </c>
      <c r="AE37" s="183">
        <v>3.4000000000000002E-2</v>
      </c>
      <c r="AF37" s="183">
        <v>3.4000000000000002E-2</v>
      </c>
      <c r="AG37" s="183">
        <v>3.5000000000000003E-2</v>
      </c>
      <c r="AH37" s="183">
        <v>3.5999999999999997E-2</v>
      </c>
      <c r="AI37" s="156">
        <v>3.6999999999999998E-2</v>
      </c>
      <c r="AJ37" s="183">
        <v>3.6999999999999998E-2</v>
      </c>
      <c r="AK37" s="183">
        <v>3.7999999999999999E-2</v>
      </c>
      <c r="AL37" s="241">
        <v>3.9E-2</v>
      </c>
      <c r="AM37" s="183">
        <v>3.9E-2</v>
      </c>
      <c r="AN37" s="183">
        <v>0.04</v>
      </c>
      <c r="AO37" s="183">
        <v>4.1000000000000002E-2</v>
      </c>
      <c r="AP37" s="183">
        <v>4.1000000000000002E-2</v>
      </c>
      <c r="AQ37" s="183">
        <v>4.2000000000000003E-2</v>
      </c>
      <c r="AR37" s="183">
        <v>4.2999999999999997E-2</v>
      </c>
      <c r="AS37" s="183">
        <v>4.2999999999999997E-2</v>
      </c>
      <c r="AT37" s="183">
        <v>4.3999999999999997E-2</v>
      </c>
      <c r="AU37" s="183">
        <v>4.4999999999999998E-2</v>
      </c>
      <c r="AV37" s="183">
        <v>4.4999999999999998E-2</v>
      </c>
      <c r="AW37" s="183">
        <v>4.5999999999999999E-2</v>
      </c>
      <c r="AX37" s="183">
        <v>4.7E-2</v>
      </c>
      <c r="AY37" s="183">
        <v>4.7E-2</v>
      </c>
      <c r="AZ37" s="183">
        <v>4.8000000000000001E-2</v>
      </c>
      <c r="BA37" s="183">
        <v>4.9000000000000002E-2</v>
      </c>
      <c r="BB37" s="183">
        <v>4.9000000000000002E-2</v>
      </c>
      <c r="BC37" s="183">
        <v>0.05</v>
      </c>
      <c r="BD37" s="235"/>
      <c r="BE37" s="183"/>
      <c r="BF37" s="30" t="s">
        <v>427</v>
      </c>
      <c r="BG37" s="20"/>
      <c r="BH37" s="1"/>
      <c r="BI37" s="25">
        <v>0.01</v>
      </c>
      <c r="BJ37" s="1"/>
      <c r="BK37" s="1"/>
      <c r="BL37" s="1" t="s">
        <v>428</v>
      </c>
      <c r="BM37" s="1">
        <v>12480067</v>
      </c>
      <c r="BN37" s="25"/>
      <c r="BO37" s="1"/>
      <c r="BP37" s="1"/>
      <c r="BQ37" s="1"/>
      <c r="BR37" s="1"/>
      <c r="BS37" s="1"/>
      <c r="BT37" s="1"/>
      <c r="BU37" s="1"/>
      <c r="BV37" s="1"/>
      <c r="BW37" s="1"/>
      <c r="BX37" s="1"/>
      <c r="BY37" s="1"/>
      <c r="BZ37" s="1"/>
      <c r="CA37" s="1"/>
      <c r="CB37" s="1"/>
    </row>
    <row r="38" spans="1:80" ht="14.25" customHeight="1">
      <c r="A38" s="30"/>
      <c r="B38" s="30" t="s">
        <v>145</v>
      </c>
      <c r="C38" s="30" t="s">
        <v>424</v>
      </c>
      <c r="D38" s="30" t="s">
        <v>191</v>
      </c>
      <c r="E38" s="30" t="s">
        <v>184</v>
      </c>
      <c r="F38" s="30"/>
      <c r="G38" s="241">
        <v>7.0000000000000001E-3</v>
      </c>
      <c r="H38" s="183">
        <v>0.01</v>
      </c>
      <c r="I38" s="241">
        <v>1.4E-2</v>
      </c>
      <c r="J38" s="241">
        <v>1.7999999999999999E-2</v>
      </c>
      <c r="K38" s="183">
        <v>2.1000000000000001E-2</v>
      </c>
      <c r="L38" s="183">
        <v>2.5000000000000001E-2</v>
      </c>
      <c r="M38" s="183">
        <v>2.9000000000000001E-2</v>
      </c>
      <c r="N38" s="183">
        <v>3.2000000000000001E-2</v>
      </c>
      <c r="O38" s="183">
        <v>3.5999999999999997E-2</v>
      </c>
      <c r="P38" s="183">
        <v>3.9E-2</v>
      </c>
      <c r="Q38" s="183">
        <v>4.1000000000000002E-2</v>
      </c>
      <c r="R38" s="183">
        <v>4.3999999999999997E-2</v>
      </c>
      <c r="S38" s="183">
        <v>4.5999999999999999E-2</v>
      </c>
      <c r="T38" s="183">
        <v>4.9000000000000002E-2</v>
      </c>
      <c r="U38" s="183">
        <v>5.1999999999999998E-2</v>
      </c>
      <c r="V38" s="183">
        <v>5.3999999999999999E-2</v>
      </c>
      <c r="W38" s="183">
        <v>5.7000000000000002E-2</v>
      </c>
      <c r="X38" s="183">
        <v>5.8999999999999997E-2</v>
      </c>
      <c r="Y38" s="183">
        <v>6.2E-2</v>
      </c>
      <c r="Z38" s="183">
        <v>6.4000000000000001E-2</v>
      </c>
      <c r="AA38" s="183">
        <v>6.5000000000000002E-2</v>
      </c>
      <c r="AB38" s="183">
        <v>6.7000000000000004E-2</v>
      </c>
      <c r="AC38" s="183">
        <v>6.8000000000000005E-2</v>
      </c>
      <c r="AD38" s="183">
        <v>7.0000000000000007E-2</v>
      </c>
      <c r="AE38" s="183">
        <v>7.1999999999999995E-2</v>
      </c>
      <c r="AF38" s="183">
        <v>7.2999999999999995E-2</v>
      </c>
      <c r="AG38" s="183">
        <v>7.4999999999999997E-2</v>
      </c>
      <c r="AH38" s="183">
        <v>7.5999999999999998E-2</v>
      </c>
      <c r="AI38" s="156">
        <v>7.8E-2</v>
      </c>
      <c r="AJ38" s="183">
        <v>0.08</v>
      </c>
      <c r="AK38" s="183">
        <v>8.1000000000000003E-2</v>
      </c>
      <c r="AL38" s="241">
        <v>8.3000000000000004E-2</v>
      </c>
      <c r="AM38" s="183">
        <v>8.4000000000000005E-2</v>
      </c>
      <c r="AN38" s="183">
        <v>8.5999999999999993E-2</v>
      </c>
      <c r="AO38" s="183">
        <v>8.7999999999999995E-2</v>
      </c>
      <c r="AP38" s="183">
        <v>8.8999999999999996E-2</v>
      </c>
      <c r="AQ38" s="183">
        <v>9.0999999999999998E-2</v>
      </c>
      <c r="AR38" s="183">
        <v>9.1999999999999998E-2</v>
      </c>
      <c r="AS38" s="183">
        <v>9.4E-2</v>
      </c>
      <c r="AT38" s="183">
        <v>9.6000000000000002E-2</v>
      </c>
      <c r="AU38" s="183">
        <v>9.7000000000000003E-2</v>
      </c>
      <c r="AV38" s="183">
        <v>9.9000000000000005E-2</v>
      </c>
      <c r="AW38" s="183">
        <v>0.1</v>
      </c>
      <c r="AX38" s="183">
        <v>0.10199999999999999</v>
      </c>
      <c r="AY38" s="183">
        <v>0.104</v>
      </c>
      <c r="AZ38" s="183">
        <v>0.105</v>
      </c>
      <c r="BA38" s="183">
        <v>0.107</v>
      </c>
      <c r="BB38" s="183">
        <v>0.108</v>
      </c>
      <c r="BC38" s="183">
        <v>0.11</v>
      </c>
      <c r="BD38" s="235"/>
      <c r="BE38" s="183"/>
      <c r="BF38" s="30" t="s">
        <v>427</v>
      </c>
      <c r="BG38" s="20"/>
      <c r="BH38" s="1"/>
      <c r="BI38" s="25">
        <v>7.0000000000000007E-2</v>
      </c>
      <c r="BJ38" s="1"/>
      <c r="BK38" s="1"/>
      <c r="BL38" s="1" t="s">
        <v>429</v>
      </c>
      <c r="BM38" s="1">
        <v>13482281</v>
      </c>
      <c r="BN38" s="25"/>
      <c r="BO38" s="1"/>
      <c r="BP38" s="1"/>
      <c r="BQ38" s="1"/>
      <c r="BR38" s="1"/>
      <c r="BS38" s="1"/>
      <c r="BT38" s="1"/>
      <c r="BU38" s="1"/>
      <c r="BV38" s="1"/>
      <c r="BW38" s="1"/>
      <c r="BX38" s="1"/>
      <c r="BY38" s="1"/>
      <c r="BZ38" s="1"/>
      <c r="CA38" s="1"/>
      <c r="CB38" s="1"/>
    </row>
    <row r="39" spans="1:80" ht="14.25" customHeight="1">
      <c r="A39" s="30"/>
      <c r="B39" s="30" t="s">
        <v>145</v>
      </c>
      <c r="C39" s="252" t="s">
        <v>317</v>
      </c>
      <c r="D39" s="30" t="s">
        <v>155</v>
      </c>
      <c r="E39" s="30" t="s">
        <v>156</v>
      </c>
      <c r="F39" s="30"/>
      <c r="G39" s="241">
        <v>1E-3</v>
      </c>
      <c r="H39" s="183">
        <v>5.0000000000000001E-3</v>
      </c>
      <c r="I39" s="241">
        <v>7.0000000000000001E-3</v>
      </c>
      <c r="J39" s="241">
        <v>8.9999999999999993E-3</v>
      </c>
      <c r="K39" s="183">
        <v>1.0999999999999999E-2</v>
      </c>
      <c r="L39" s="183">
        <v>1.4E-2</v>
      </c>
      <c r="M39" s="183">
        <v>1.6E-2</v>
      </c>
      <c r="N39" s="183">
        <v>1.9E-2</v>
      </c>
      <c r="O39" s="183">
        <v>2.3E-2</v>
      </c>
      <c r="P39" s="183">
        <v>2.7E-2</v>
      </c>
      <c r="Q39" s="183">
        <v>3.1E-2</v>
      </c>
      <c r="R39" s="183">
        <v>3.5000000000000003E-2</v>
      </c>
      <c r="S39" s="183">
        <v>3.9E-2</v>
      </c>
      <c r="T39" s="183">
        <v>4.2999999999999997E-2</v>
      </c>
      <c r="U39" s="183">
        <v>4.8000000000000001E-2</v>
      </c>
      <c r="V39" s="183">
        <v>5.2999999999999999E-2</v>
      </c>
      <c r="W39" s="183">
        <v>5.8999999999999997E-2</v>
      </c>
      <c r="X39" s="183">
        <v>6.6000000000000003E-2</v>
      </c>
      <c r="Y39" s="183">
        <v>7.2999999999999995E-2</v>
      </c>
      <c r="Z39" s="183">
        <v>8.1000000000000003E-2</v>
      </c>
      <c r="AA39" s="183">
        <v>0.1</v>
      </c>
      <c r="AB39" s="183">
        <v>0.115</v>
      </c>
      <c r="AC39" s="183">
        <v>0.127</v>
      </c>
      <c r="AD39" s="183">
        <v>0.13900000000000001</v>
      </c>
      <c r="AE39" s="183">
        <v>0.14899999999999999</v>
      </c>
      <c r="AF39" s="183">
        <v>0.156</v>
      </c>
      <c r="AG39" s="183">
        <v>0.16200000000000001</v>
      </c>
      <c r="AH39" s="183">
        <v>0.16700000000000001</v>
      </c>
      <c r="AI39" s="156">
        <v>0.17299999999999999</v>
      </c>
      <c r="AJ39" s="183">
        <v>0.18</v>
      </c>
      <c r="AK39" s="183">
        <v>0.186</v>
      </c>
      <c r="AL39" s="183">
        <v>0.192</v>
      </c>
      <c r="AM39" s="183">
        <v>0.19800000000000001</v>
      </c>
      <c r="AN39" s="183">
        <v>0.2</v>
      </c>
      <c r="AO39" s="183">
        <v>0.20300000000000001</v>
      </c>
      <c r="AP39" s="183">
        <v>0.20499999999999999</v>
      </c>
      <c r="AQ39" s="183">
        <v>0.20699999999999999</v>
      </c>
      <c r="AR39" s="183">
        <v>0.20899999999999999</v>
      </c>
      <c r="AS39" s="183">
        <v>0.21099999999999999</v>
      </c>
      <c r="AT39" s="183">
        <v>0.21299999999999999</v>
      </c>
      <c r="AU39" s="183">
        <v>0.215</v>
      </c>
      <c r="AV39" s="183">
        <v>0.218</v>
      </c>
      <c r="AW39" s="183">
        <v>0.22</v>
      </c>
      <c r="AX39" s="183">
        <v>0.222</v>
      </c>
      <c r="AY39" s="183">
        <v>0.224</v>
      </c>
      <c r="AZ39" s="183">
        <v>0.22600000000000001</v>
      </c>
      <c r="BA39" s="183">
        <v>0.22800000000000001</v>
      </c>
      <c r="BB39" s="183">
        <v>0.23</v>
      </c>
      <c r="BC39" s="183">
        <v>0.23200000000000001</v>
      </c>
      <c r="BD39" s="235"/>
      <c r="BE39" s="183"/>
      <c r="BF39" s="30" t="s">
        <v>419</v>
      </c>
      <c r="BG39" s="20"/>
      <c r="BH39" s="1"/>
      <c r="BI39" s="1" t="s">
        <v>430</v>
      </c>
      <c r="BJ39" s="1"/>
      <c r="BK39" s="1" t="s">
        <v>340</v>
      </c>
      <c r="BL39" s="1" t="s">
        <v>341</v>
      </c>
      <c r="BM39" s="1"/>
      <c r="BN39" s="1"/>
      <c r="BO39" s="1"/>
      <c r="BP39" s="1" t="s">
        <v>145</v>
      </c>
      <c r="BQ39" s="1"/>
      <c r="BR39" s="1"/>
      <c r="BS39" s="1"/>
      <c r="BT39" s="1"/>
      <c r="BU39" s="1"/>
      <c r="BV39" s="1"/>
      <c r="BW39" s="1"/>
      <c r="BX39" s="1"/>
      <c r="BY39" s="1"/>
      <c r="BZ39" s="1"/>
      <c r="CA39" s="1"/>
      <c r="CB39" s="1"/>
    </row>
    <row r="40" spans="1:80" ht="14.25" customHeight="1">
      <c r="A40" s="30"/>
      <c r="B40" s="30" t="s">
        <v>145</v>
      </c>
      <c r="C40" s="252" t="s">
        <v>317</v>
      </c>
      <c r="D40" s="30" t="s">
        <v>158</v>
      </c>
      <c r="E40" s="30" t="s">
        <v>156</v>
      </c>
      <c r="F40" s="30"/>
      <c r="G40" s="241">
        <v>1E-3</v>
      </c>
      <c r="H40" s="183">
        <v>5.0000000000000001E-3</v>
      </c>
      <c r="I40" s="241">
        <v>7.0000000000000001E-3</v>
      </c>
      <c r="J40" s="241">
        <v>8.9999999999999993E-3</v>
      </c>
      <c r="K40" s="183">
        <v>1.0999999999999999E-2</v>
      </c>
      <c r="L40" s="183">
        <v>1.4E-2</v>
      </c>
      <c r="M40" s="183">
        <v>1.6E-2</v>
      </c>
      <c r="N40" s="183">
        <v>1.9E-2</v>
      </c>
      <c r="O40" s="183">
        <v>2.3E-2</v>
      </c>
      <c r="P40" s="183">
        <v>2.7E-2</v>
      </c>
      <c r="Q40" s="183">
        <v>3.1E-2</v>
      </c>
      <c r="R40" s="183">
        <v>3.5000000000000003E-2</v>
      </c>
      <c r="S40" s="183">
        <v>3.9E-2</v>
      </c>
      <c r="T40" s="183">
        <v>4.2999999999999997E-2</v>
      </c>
      <c r="U40" s="183">
        <v>4.8000000000000001E-2</v>
      </c>
      <c r="V40" s="183">
        <v>5.2999999999999999E-2</v>
      </c>
      <c r="W40" s="183">
        <v>5.8999999999999997E-2</v>
      </c>
      <c r="X40" s="183">
        <v>6.6000000000000003E-2</v>
      </c>
      <c r="Y40" s="183">
        <v>7.2999999999999995E-2</v>
      </c>
      <c r="Z40" s="183">
        <v>8.1000000000000003E-2</v>
      </c>
      <c r="AA40" s="183">
        <v>0.1</v>
      </c>
      <c r="AB40" s="183">
        <v>0.115</v>
      </c>
      <c r="AC40" s="183">
        <v>0.127</v>
      </c>
      <c r="AD40" s="183">
        <v>0.13900000000000001</v>
      </c>
      <c r="AE40" s="183">
        <v>0.14899999999999999</v>
      </c>
      <c r="AF40" s="183">
        <v>0.156</v>
      </c>
      <c r="AG40" s="183">
        <v>0.16200000000000001</v>
      </c>
      <c r="AH40" s="183">
        <v>0.16700000000000001</v>
      </c>
      <c r="AI40" s="156">
        <v>0.17299999999999999</v>
      </c>
      <c r="AJ40" s="183">
        <v>0.18</v>
      </c>
      <c r="AK40" s="234">
        <v>0.186</v>
      </c>
      <c r="AL40" s="183">
        <v>0.192</v>
      </c>
      <c r="AM40" s="234">
        <v>0.19800000000000001</v>
      </c>
      <c r="AN40" s="234">
        <v>0.2</v>
      </c>
      <c r="AO40" s="234">
        <v>0.20300000000000001</v>
      </c>
      <c r="AP40" s="234">
        <v>0.20499999999999999</v>
      </c>
      <c r="AQ40" s="234">
        <v>0.20699999999999999</v>
      </c>
      <c r="AR40" s="234">
        <v>0.20899999999999999</v>
      </c>
      <c r="AS40" s="234">
        <v>0.21099999999999999</v>
      </c>
      <c r="AT40" s="234">
        <v>0.21299999999999999</v>
      </c>
      <c r="AU40" s="234">
        <v>0.215</v>
      </c>
      <c r="AV40" s="234">
        <v>0.218</v>
      </c>
      <c r="AW40" s="234">
        <v>0.22</v>
      </c>
      <c r="AX40" s="234">
        <v>0.222</v>
      </c>
      <c r="AY40" s="234">
        <v>0.224</v>
      </c>
      <c r="AZ40" s="234">
        <v>0.22600000000000001</v>
      </c>
      <c r="BA40" s="234">
        <v>0.22800000000000001</v>
      </c>
      <c r="BB40" s="234">
        <v>0.23</v>
      </c>
      <c r="BC40" s="234">
        <v>0.23200000000000001</v>
      </c>
      <c r="BD40" s="254"/>
      <c r="BE40" s="234"/>
      <c r="BF40" s="231"/>
      <c r="BG40" s="20"/>
      <c r="BH40" s="1" t="s">
        <v>431</v>
      </c>
      <c r="BI40" s="25">
        <v>0.2</v>
      </c>
      <c r="BJ40" s="1"/>
      <c r="BK40" s="1" t="s">
        <v>340</v>
      </c>
      <c r="BL40" s="1" t="s">
        <v>344</v>
      </c>
      <c r="BM40" s="1"/>
      <c r="BN40" s="1"/>
      <c r="BO40" s="1"/>
      <c r="BP40" s="1" t="s">
        <v>194</v>
      </c>
      <c r="BQ40" s="1"/>
      <c r="BR40" s="1"/>
      <c r="BS40" s="1"/>
      <c r="BT40" s="1"/>
      <c r="BU40" s="1"/>
      <c r="BV40" s="1"/>
      <c r="BW40" s="1"/>
      <c r="BX40" s="1"/>
      <c r="BY40" s="1"/>
      <c r="BZ40" s="1"/>
      <c r="CA40" s="1"/>
      <c r="CB40" s="1"/>
    </row>
    <row r="41" spans="1:80" ht="14.25" customHeight="1">
      <c r="A41" s="30"/>
      <c r="B41" s="30" t="s">
        <v>145</v>
      </c>
      <c r="C41" s="252" t="s">
        <v>317</v>
      </c>
      <c r="D41" s="30" t="s">
        <v>159</v>
      </c>
      <c r="E41" s="30" t="s">
        <v>156</v>
      </c>
      <c r="F41" s="30"/>
      <c r="G41" s="241">
        <v>1E-3</v>
      </c>
      <c r="H41" s="183">
        <v>6.0000000000000001E-3</v>
      </c>
      <c r="I41" s="241">
        <v>8.0000000000000002E-3</v>
      </c>
      <c r="J41" s="241">
        <v>1.0999999999999999E-2</v>
      </c>
      <c r="K41" s="183">
        <v>1.4E-2</v>
      </c>
      <c r="L41" s="183">
        <v>1.7000000000000001E-2</v>
      </c>
      <c r="M41" s="183">
        <v>0.02</v>
      </c>
      <c r="N41" s="183">
        <v>2.3E-2</v>
      </c>
      <c r="O41" s="183">
        <v>2.5999999999999999E-2</v>
      </c>
      <c r="P41" s="183">
        <v>2.9000000000000001E-2</v>
      </c>
      <c r="Q41" s="183">
        <v>3.3000000000000002E-2</v>
      </c>
      <c r="R41" s="183">
        <v>3.7999999999999999E-2</v>
      </c>
      <c r="S41" s="183">
        <v>4.1000000000000002E-2</v>
      </c>
      <c r="T41" s="183">
        <v>4.4999999999999998E-2</v>
      </c>
      <c r="U41" s="183">
        <v>0.05</v>
      </c>
      <c r="V41" s="183">
        <v>5.3999999999999999E-2</v>
      </c>
      <c r="W41" s="183">
        <v>5.8000000000000003E-2</v>
      </c>
      <c r="X41" s="183">
        <v>6.0999999999999999E-2</v>
      </c>
      <c r="Y41" s="183">
        <v>6.6000000000000003E-2</v>
      </c>
      <c r="Z41" s="183">
        <v>7.0000000000000007E-2</v>
      </c>
      <c r="AA41" s="183">
        <v>8.1000000000000003E-2</v>
      </c>
      <c r="AB41" s="183">
        <v>9.0999999999999998E-2</v>
      </c>
      <c r="AC41" s="183">
        <v>0.10100000000000001</v>
      </c>
      <c r="AD41" s="183">
        <v>0.113</v>
      </c>
      <c r="AE41" s="183">
        <v>0.121</v>
      </c>
      <c r="AF41" s="183">
        <v>0.13100000000000001</v>
      </c>
      <c r="AG41" s="183">
        <v>0.14000000000000001</v>
      </c>
      <c r="AH41" s="183">
        <v>0.14899999999999999</v>
      </c>
      <c r="AI41" s="156">
        <v>0.152</v>
      </c>
      <c r="AJ41" s="183">
        <v>0.155</v>
      </c>
      <c r="AK41" s="234">
        <v>0.158</v>
      </c>
      <c r="AL41" s="183">
        <v>0.158</v>
      </c>
      <c r="AM41" s="234">
        <v>0.16</v>
      </c>
      <c r="AN41" s="234">
        <v>0.16200000000000001</v>
      </c>
      <c r="AO41" s="234">
        <v>0.16200000000000001</v>
      </c>
      <c r="AP41" s="234">
        <v>0.16300000000000001</v>
      </c>
      <c r="AQ41" s="234">
        <v>0.16300000000000001</v>
      </c>
      <c r="AR41" s="234">
        <v>0.16400000000000001</v>
      </c>
      <c r="AS41" s="234">
        <v>0.16500000000000001</v>
      </c>
      <c r="AT41" s="234">
        <v>0.16600000000000001</v>
      </c>
      <c r="AU41" s="234">
        <v>0.16700000000000001</v>
      </c>
      <c r="AV41" s="234">
        <v>0.16700000000000001</v>
      </c>
      <c r="AW41" s="234">
        <v>0.16800000000000001</v>
      </c>
      <c r="AX41" s="234">
        <v>0.16900000000000001</v>
      </c>
      <c r="AY41" s="234">
        <v>0.17</v>
      </c>
      <c r="AZ41" s="234">
        <v>0.17100000000000001</v>
      </c>
      <c r="BA41" s="234">
        <v>0.17100000000000001</v>
      </c>
      <c r="BB41" s="234">
        <v>0.17199999999999999</v>
      </c>
      <c r="BC41" s="234">
        <v>0.17299999999999999</v>
      </c>
      <c r="BD41" s="254"/>
      <c r="BE41" s="234"/>
      <c r="BF41" s="231"/>
      <c r="BG41" s="20"/>
      <c r="BH41" s="1"/>
      <c r="BI41" s="25">
        <v>0.3</v>
      </c>
      <c r="BJ41" s="1"/>
      <c r="BK41" s="1" t="s">
        <v>340</v>
      </c>
      <c r="BL41" s="1" t="s">
        <v>344</v>
      </c>
      <c r="BM41" s="1"/>
      <c r="BN41" s="1"/>
      <c r="BO41" s="1"/>
      <c r="BP41" s="1" t="s">
        <v>199</v>
      </c>
      <c r="BQ41" s="1"/>
      <c r="BR41" s="1"/>
      <c r="BS41" s="1"/>
      <c r="BT41" s="1"/>
      <c r="BU41" s="1"/>
      <c r="BV41" s="1"/>
      <c r="BW41" s="1"/>
      <c r="BX41" s="1"/>
      <c r="BY41" s="1"/>
      <c r="BZ41" s="1"/>
      <c r="CA41" s="1"/>
      <c r="CB41" s="1"/>
    </row>
    <row r="42" spans="1:80" ht="14.25" customHeight="1">
      <c r="A42" s="30"/>
      <c r="B42" s="30" t="s">
        <v>145</v>
      </c>
      <c r="C42" s="252" t="s">
        <v>317</v>
      </c>
      <c r="D42" s="30" t="s">
        <v>166</v>
      </c>
      <c r="E42" s="30" t="s">
        <v>156</v>
      </c>
      <c r="F42" s="30"/>
      <c r="G42" s="241">
        <v>0</v>
      </c>
      <c r="H42" s="183">
        <v>1E-3</v>
      </c>
      <c r="I42" s="241">
        <v>3.0000000000000001E-3</v>
      </c>
      <c r="J42" s="241">
        <v>5.0000000000000001E-3</v>
      </c>
      <c r="K42" s="183">
        <v>0.01</v>
      </c>
      <c r="L42" s="183">
        <v>1.4E-2</v>
      </c>
      <c r="M42" s="183">
        <v>1.7000000000000001E-2</v>
      </c>
      <c r="N42" s="183">
        <v>0.02</v>
      </c>
      <c r="O42" s="183">
        <v>2.4E-2</v>
      </c>
      <c r="P42" s="183">
        <v>2.8000000000000001E-2</v>
      </c>
      <c r="Q42" s="183">
        <v>3.3000000000000002E-2</v>
      </c>
      <c r="R42" s="183">
        <v>3.7999999999999999E-2</v>
      </c>
      <c r="S42" s="183">
        <v>4.3999999999999997E-2</v>
      </c>
      <c r="T42" s="183">
        <v>0.05</v>
      </c>
      <c r="U42" s="183">
        <v>5.5E-2</v>
      </c>
      <c r="V42" s="183">
        <v>6.0999999999999999E-2</v>
      </c>
      <c r="W42" s="183">
        <v>6.5000000000000002E-2</v>
      </c>
      <c r="X42" s="183">
        <v>7.0000000000000007E-2</v>
      </c>
      <c r="Y42" s="183">
        <v>7.2999999999999995E-2</v>
      </c>
      <c r="Z42" s="183">
        <v>7.5999999999999998E-2</v>
      </c>
      <c r="AA42" s="183">
        <v>8.1000000000000003E-2</v>
      </c>
      <c r="AB42" s="183">
        <v>8.5000000000000006E-2</v>
      </c>
      <c r="AC42" s="183">
        <v>8.5999999999999993E-2</v>
      </c>
      <c r="AD42" s="183">
        <v>8.6999999999999994E-2</v>
      </c>
      <c r="AE42" s="183">
        <v>8.8999999999999996E-2</v>
      </c>
      <c r="AF42" s="183">
        <v>9.0999999999999998E-2</v>
      </c>
      <c r="AG42" s="183">
        <v>9.2999999999999999E-2</v>
      </c>
      <c r="AH42" s="183">
        <v>9.5000000000000001E-2</v>
      </c>
      <c r="AI42" s="156">
        <v>9.7000000000000003E-2</v>
      </c>
      <c r="AJ42" s="183">
        <v>9.9000000000000005E-2</v>
      </c>
      <c r="AK42" s="234">
        <v>0.10100000000000001</v>
      </c>
      <c r="AL42" s="183">
        <v>0.10199999999999999</v>
      </c>
      <c r="AM42" s="234">
        <v>0.10299999999999999</v>
      </c>
      <c r="AN42" s="234">
        <v>0.104</v>
      </c>
      <c r="AO42" s="234">
        <v>0.105</v>
      </c>
      <c r="AP42" s="234">
        <v>0.107</v>
      </c>
      <c r="AQ42" s="234">
        <v>0.108</v>
      </c>
      <c r="AR42" s="234">
        <v>0.109</v>
      </c>
      <c r="AS42" s="234">
        <v>0.11</v>
      </c>
      <c r="AT42" s="234">
        <v>0.111</v>
      </c>
      <c r="AU42" s="234">
        <v>0.112</v>
      </c>
      <c r="AV42" s="234">
        <v>0.113</v>
      </c>
      <c r="AW42" s="234">
        <v>0.114</v>
      </c>
      <c r="AX42" s="234">
        <v>0.115</v>
      </c>
      <c r="AY42" s="234">
        <v>0.11600000000000001</v>
      </c>
      <c r="AZ42" s="234">
        <v>0.11700000000000001</v>
      </c>
      <c r="BA42" s="234">
        <v>0.11799999999999999</v>
      </c>
      <c r="BB42" s="234">
        <v>0.11899999999999999</v>
      </c>
      <c r="BC42" s="234">
        <v>0.12</v>
      </c>
      <c r="BD42" s="254"/>
      <c r="BE42" s="234"/>
      <c r="BF42" s="231"/>
      <c r="BG42" s="20"/>
      <c r="BH42" s="1"/>
      <c r="BI42" s="25">
        <v>0.4</v>
      </c>
      <c r="BJ42" s="1"/>
      <c r="BK42" s="1" t="s">
        <v>340</v>
      </c>
      <c r="BL42" s="1" t="s">
        <v>344</v>
      </c>
      <c r="BM42" s="1"/>
      <c r="BN42" s="1"/>
      <c r="BO42" s="1"/>
      <c r="BP42" s="1" t="s">
        <v>202</v>
      </c>
      <c r="BQ42" s="1" t="s">
        <v>335</v>
      </c>
      <c r="BR42" s="1"/>
      <c r="BS42" s="1"/>
      <c r="BT42" s="1"/>
      <c r="BU42" s="1"/>
      <c r="BV42" s="1"/>
      <c r="BW42" s="1"/>
      <c r="BX42" s="1"/>
      <c r="BY42" s="1"/>
      <c r="BZ42" s="1"/>
      <c r="CA42" s="1"/>
      <c r="CB42" s="1"/>
    </row>
    <row r="43" spans="1:80" ht="14.25" customHeight="1">
      <c r="A43" s="30"/>
      <c r="B43" s="30" t="s">
        <v>145</v>
      </c>
      <c r="C43" s="252" t="s">
        <v>317</v>
      </c>
      <c r="D43" s="30" t="s">
        <v>167</v>
      </c>
      <c r="E43" s="30" t="s">
        <v>156</v>
      </c>
      <c r="F43" s="30"/>
      <c r="G43" s="241">
        <v>1E-3</v>
      </c>
      <c r="H43" s="241">
        <v>2E-3</v>
      </c>
      <c r="I43" s="241">
        <v>3.0000000000000001E-3</v>
      </c>
      <c r="J43" s="241">
        <v>4.0000000000000001E-3</v>
      </c>
      <c r="K43" s="241">
        <v>5.0000000000000001E-3</v>
      </c>
      <c r="L43" s="241">
        <v>5.0000000000000001E-3</v>
      </c>
      <c r="M43" s="241">
        <v>6.0000000000000001E-3</v>
      </c>
      <c r="N43" s="241">
        <v>7.0000000000000001E-3</v>
      </c>
      <c r="O43" s="241">
        <v>8.9999999999999993E-3</v>
      </c>
      <c r="P43" s="241">
        <v>0.01</v>
      </c>
      <c r="Q43" s="241">
        <v>1.4E-2</v>
      </c>
      <c r="R43" s="241">
        <v>1.7999999999999999E-2</v>
      </c>
      <c r="S43" s="241">
        <v>2.1000000000000001E-2</v>
      </c>
      <c r="T43" s="241">
        <v>2.4E-2</v>
      </c>
      <c r="U43" s="241">
        <v>2.9000000000000001E-2</v>
      </c>
      <c r="V43" s="241">
        <v>3.3000000000000002E-2</v>
      </c>
      <c r="W43" s="241">
        <v>3.7999999999999999E-2</v>
      </c>
      <c r="X43" s="241">
        <v>4.2999999999999997E-2</v>
      </c>
      <c r="Y43" s="241">
        <v>4.9000000000000002E-2</v>
      </c>
      <c r="Z43" s="241">
        <v>5.3999999999999999E-2</v>
      </c>
      <c r="AA43" s="241">
        <v>6.9000000000000006E-2</v>
      </c>
      <c r="AB43" s="241">
        <v>8.2000000000000003E-2</v>
      </c>
      <c r="AC43" s="241">
        <v>9.4E-2</v>
      </c>
      <c r="AD43" s="241">
        <v>0.105</v>
      </c>
      <c r="AE43" s="241">
        <v>0.112</v>
      </c>
      <c r="AF43" s="241">
        <v>0.11799999999999999</v>
      </c>
      <c r="AG43" s="241">
        <v>0.123</v>
      </c>
      <c r="AH43" s="241">
        <v>0.126</v>
      </c>
      <c r="AI43" s="242">
        <v>0.13</v>
      </c>
      <c r="AJ43" s="241">
        <v>0.13400000000000001</v>
      </c>
      <c r="AK43" s="241">
        <v>0.13800000000000001</v>
      </c>
      <c r="AL43" s="241">
        <v>0.14199999999999999</v>
      </c>
      <c r="AM43" s="241">
        <v>0.14699999999999999</v>
      </c>
      <c r="AN43" s="241">
        <v>0.14899999999999999</v>
      </c>
      <c r="AO43" s="241">
        <v>0.151</v>
      </c>
      <c r="AP43" s="241">
        <v>0.153</v>
      </c>
      <c r="AQ43" s="241">
        <v>0.154</v>
      </c>
      <c r="AR43" s="241">
        <v>0.156</v>
      </c>
      <c r="AS43" s="241">
        <v>0.158</v>
      </c>
      <c r="AT43" s="241">
        <v>0.16</v>
      </c>
      <c r="AU43" s="241">
        <v>0.16200000000000001</v>
      </c>
      <c r="AV43" s="241">
        <v>0.16300000000000001</v>
      </c>
      <c r="AW43" s="241">
        <v>0.16500000000000001</v>
      </c>
      <c r="AX43" s="241">
        <v>0.16700000000000001</v>
      </c>
      <c r="AY43" s="241">
        <v>0.16900000000000001</v>
      </c>
      <c r="AZ43" s="241">
        <v>0.17100000000000001</v>
      </c>
      <c r="BA43" s="241">
        <v>0.17199999999999999</v>
      </c>
      <c r="BB43" s="241">
        <v>0.17399999999999999</v>
      </c>
      <c r="BC43" s="241">
        <v>0.17599999999999999</v>
      </c>
      <c r="BD43" s="243"/>
      <c r="BE43" s="241"/>
      <c r="BF43" s="30"/>
      <c r="BG43" s="20"/>
      <c r="BH43" s="1"/>
      <c r="BI43" s="1"/>
      <c r="BJ43" s="1"/>
      <c r="BK43" s="1" t="s">
        <v>432</v>
      </c>
      <c r="BL43" s="1"/>
      <c r="BM43" s="1"/>
      <c r="BN43" s="20"/>
      <c r="BO43" s="1"/>
      <c r="BP43" s="1"/>
      <c r="BQ43" s="1"/>
      <c r="BR43" s="1"/>
      <c r="BS43" s="1"/>
      <c r="BT43" s="1"/>
      <c r="BU43" s="1"/>
      <c r="BV43" s="1"/>
      <c r="BW43" s="1"/>
      <c r="BX43" s="1"/>
      <c r="BY43" s="1"/>
      <c r="BZ43" s="1"/>
      <c r="CA43" s="1"/>
      <c r="CB43" s="1"/>
    </row>
    <row r="44" spans="1:80" ht="14.25" customHeight="1">
      <c r="A44" s="30"/>
      <c r="B44" s="30" t="s">
        <v>145</v>
      </c>
      <c r="C44" s="252" t="s">
        <v>317</v>
      </c>
      <c r="D44" s="30" t="s">
        <v>172</v>
      </c>
      <c r="E44" s="30" t="s">
        <v>156</v>
      </c>
      <c r="F44" s="30"/>
      <c r="G44" s="241">
        <v>3.0000000000000001E-3</v>
      </c>
      <c r="H44" s="241">
        <v>0.01</v>
      </c>
      <c r="I44" s="241">
        <v>1.4E-2</v>
      </c>
      <c r="J44" s="241">
        <v>1.7999999999999999E-2</v>
      </c>
      <c r="K44" s="241">
        <v>2.3E-2</v>
      </c>
      <c r="L44" s="241">
        <v>2.7E-2</v>
      </c>
      <c r="M44" s="241">
        <v>3.2000000000000001E-2</v>
      </c>
      <c r="N44" s="241">
        <v>3.7999999999999999E-2</v>
      </c>
      <c r="O44" s="241">
        <v>4.5999999999999999E-2</v>
      </c>
      <c r="P44" s="241">
        <v>5.3999999999999999E-2</v>
      </c>
      <c r="Q44" s="241">
        <v>6.2E-2</v>
      </c>
      <c r="R44" s="241">
        <v>7.0000000000000007E-2</v>
      </c>
      <c r="S44" s="241">
        <v>7.8E-2</v>
      </c>
      <c r="T44" s="241">
        <v>8.5999999999999993E-2</v>
      </c>
      <c r="U44" s="241">
        <v>9.6000000000000002E-2</v>
      </c>
      <c r="V44" s="241">
        <v>0.105</v>
      </c>
      <c r="W44" s="241">
        <v>0.11799999999999999</v>
      </c>
      <c r="X44" s="241">
        <v>0.13200000000000001</v>
      </c>
      <c r="Y44" s="241">
        <v>0.14699999999999999</v>
      </c>
      <c r="Z44" s="241">
        <v>0.16200000000000001</v>
      </c>
      <c r="AA44" s="241">
        <v>0.19900000000000001</v>
      </c>
      <c r="AB44" s="241">
        <v>0.22900000000000001</v>
      </c>
      <c r="AC44" s="241">
        <v>0.254</v>
      </c>
      <c r="AD44" s="241">
        <v>0.27900000000000003</v>
      </c>
      <c r="AE44" s="241">
        <v>0.29699999999999999</v>
      </c>
      <c r="AF44" s="241">
        <v>0.312</v>
      </c>
      <c r="AG44" s="241">
        <v>0.32400000000000001</v>
      </c>
      <c r="AH44" s="241">
        <v>0.33400000000000002</v>
      </c>
      <c r="AI44" s="242">
        <v>0.34699999999999998</v>
      </c>
      <c r="AJ44" s="241">
        <v>0.35899999999999999</v>
      </c>
      <c r="AK44" s="241">
        <v>0.372</v>
      </c>
      <c r="AL44" s="241">
        <v>0.38300000000000001</v>
      </c>
      <c r="AM44" s="241">
        <v>0.39500000000000002</v>
      </c>
      <c r="AN44" s="241">
        <v>0.4</v>
      </c>
      <c r="AO44" s="241">
        <v>0.40500000000000003</v>
      </c>
      <c r="AP44" s="241">
        <v>0.41</v>
      </c>
      <c r="AQ44" s="241">
        <v>0.41399999999999998</v>
      </c>
      <c r="AR44" s="241">
        <v>0.41799999999999998</v>
      </c>
      <c r="AS44" s="241">
        <v>0.42299999999999999</v>
      </c>
      <c r="AT44" s="241">
        <v>0.42699999999999999</v>
      </c>
      <c r="AU44" s="241">
        <v>0.43099999999999999</v>
      </c>
      <c r="AV44" s="241">
        <v>0.435</v>
      </c>
      <c r="AW44" s="241">
        <v>0.439</v>
      </c>
      <c r="AX44" s="241">
        <v>0.443</v>
      </c>
      <c r="AY44" s="241">
        <v>0.44800000000000001</v>
      </c>
      <c r="AZ44" s="241">
        <v>0.45200000000000001</v>
      </c>
      <c r="BA44" s="241">
        <v>0.45600000000000002</v>
      </c>
      <c r="BB44" s="241">
        <v>0.46</v>
      </c>
      <c r="BC44" s="241">
        <v>0.46400000000000002</v>
      </c>
      <c r="BD44" s="243"/>
      <c r="BE44" s="241"/>
      <c r="BF44" s="30"/>
      <c r="BG44" s="20"/>
      <c r="BH44" s="1"/>
      <c r="BI44" s="1"/>
      <c r="BJ44" s="1"/>
      <c r="BK44" s="1" t="s">
        <v>347</v>
      </c>
      <c r="BL44" s="1"/>
      <c r="BM44" s="1"/>
      <c r="BN44" s="20"/>
      <c r="BO44" s="1"/>
      <c r="BP44" s="1"/>
      <c r="BQ44" s="1"/>
      <c r="BR44" s="1"/>
      <c r="BS44" s="1"/>
      <c r="BT44" s="1"/>
      <c r="BU44" s="1"/>
      <c r="BV44" s="1"/>
      <c r="BW44" s="1"/>
      <c r="BX44" s="1"/>
      <c r="BY44" s="1"/>
      <c r="BZ44" s="1"/>
      <c r="CA44" s="1"/>
      <c r="CB44" s="1"/>
    </row>
    <row r="45" spans="1:80" ht="14.25" customHeight="1">
      <c r="A45" s="30"/>
      <c r="B45" s="30"/>
      <c r="C45" s="252"/>
      <c r="D45" s="30"/>
      <c r="E45" s="30"/>
      <c r="F45" s="30"/>
      <c r="G45" s="30"/>
      <c r="H45" s="30"/>
      <c r="I45" s="255"/>
      <c r="J45" s="255"/>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226"/>
      <c r="AJ45" s="30"/>
      <c r="AK45" s="30"/>
      <c r="AL45" s="30"/>
      <c r="AM45" s="30"/>
      <c r="AN45" s="30"/>
      <c r="AO45" s="30"/>
      <c r="AP45" s="30"/>
      <c r="AQ45" s="30"/>
      <c r="AR45" s="30"/>
      <c r="AS45" s="30"/>
      <c r="AT45" s="30"/>
      <c r="AU45" s="30"/>
      <c r="AV45" s="30"/>
      <c r="AW45" s="30"/>
      <c r="AX45" s="30"/>
      <c r="AY45" s="30"/>
      <c r="AZ45" s="30"/>
      <c r="BA45" s="30"/>
      <c r="BB45" s="30"/>
      <c r="BC45" s="30"/>
      <c r="BD45" s="227"/>
      <c r="BE45" s="30"/>
      <c r="BF45" s="30"/>
      <c r="BG45" s="20"/>
      <c r="BH45" s="1"/>
      <c r="BI45" s="1"/>
      <c r="BJ45" s="1"/>
      <c r="BK45" s="1"/>
      <c r="BL45" s="1"/>
      <c r="BM45" s="1"/>
      <c r="BN45" s="1"/>
      <c r="BO45" s="1"/>
      <c r="BP45" s="1"/>
      <c r="BQ45" s="1"/>
      <c r="BR45" s="1"/>
      <c r="BS45" s="1"/>
      <c r="BT45" s="1"/>
      <c r="BU45" s="1"/>
      <c r="BV45" s="1"/>
      <c r="BW45" s="1"/>
      <c r="BX45" s="1"/>
      <c r="BY45" s="1"/>
      <c r="BZ45" s="1"/>
      <c r="CA45" s="1"/>
      <c r="CB45" s="1"/>
    </row>
    <row r="46" spans="1:80" ht="14.25" customHeight="1">
      <c r="A46" s="30"/>
      <c r="B46" s="30" t="s">
        <v>194</v>
      </c>
      <c r="C46" s="30" t="s">
        <v>154</v>
      </c>
      <c r="D46" s="30"/>
      <c r="E46" s="30" t="s">
        <v>156</v>
      </c>
      <c r="F46" s="30"/>
      <c r="G46" s="256">
        <v>4.0000000000000001E-3</v>
      </c>
      <c r="H46" s="256">
        <v>6.0000000000000001E-3</v>
      </c>
      <c r="I46" s="256">
        <v>7.0000000000000001E-3</v>
      </c>
      <c r="J46" s="256">
        <v>7.0000000000000001E-3</v>
      </c>
      <c r="K46" s="256">
        <v>8.0000000000000002E-3</v>
      </c>
      <c r="L46" s="256">
        <v>8.9999999999999993E-3</v>
      </c>
      <c r="M46" s="256">
        <v>1.0999999999999999E-2</v>
      </c>
      <c r="N46" s="256">
        <v>1.2999999999999999E-2</v>
      </c>
      <c r="O46" s="256">
        <v>1.4E-2</v>
      </c>
      <c r="P46" s="256">
        <v>1.6E-2</v>
      </c>
      <c r="Q46" s="256">
        <v>1.7999999999999999E-2</v>
      </c>
      <c r="R46" s="256">
        <v>0.02</v>
      </c>
      <c r="S46" s="256">
        <v>2.1999999999999999E-2</v>
      </c>
      <c r="T46" s="256">
        <v>2.3E-2</v>
      </c>
      <c r="U46" s="256">
        <v>2.5000000000000001E-2</v>
      </c>
      <c r="V46" s="256">
        <v>2.7E-2</v>
      </c>
      <c r="W46" s="256">
        <v>2.9000000000000001E-2</v>
      </c>
      <c r="X46" s="256">
        <v>3.1E-2</v>
      </c>
      <c r="Y46" s="256">
        <v>3.2000000000000001E-2</v>
      </c>
      <c r="Z46" s="256">
        <v>3.4000000000000002E-2</v>
      </c>
      <c r="AA46" s="256">
        <v>3.7999999999999999E-2</v>
      </c>
      <c r="AB46" s="256">
        <v>4.1000000000000002E-2</v>
      </c>
      <c r="AC46" s="256">
        <v>4.4999999999999998E-2</v>
      </c>
      <c r="AD46" s="256">
        <v>5.3999999999999999E-2</v>
      </c>
      <c r="AE46" s="256">
        <v>6.3E-2</v>
      </c>
      <c r="AF46" s="256">
        <v>7.1999999999999995E-2</v>
      </c>
      <c r="AG46" s="256">
        <v>8.1000000000000003E-2</v>
      </c>
      <c r="AH46" s="256">
        <v>0.09</v>
      </c>
      <c r="AI46" s="257">
        <v>0.13400000000000001</v>
      </c>
      <c r="AJ46" s="256">
        <v>0.17799999999999999</v>
      </c>
      <c r="AK46" s="256">
        <v>0.222</v>
      </c>
      <c r="AL46" s="256">
        <v>0.26600000000000001</v>
      </c>
      <c r="AM46" s="256">
        <v>0.311</v>
      </c>
      <c r="AN46" s="256">
        <v>0.32</v>
      </c>
      <c r="AO46" s="256">
        <v>0.33</v>
      </c>
      <c r="AP46" s="256">
        <v>0.34</v>
      </c>
      <c r="AQ46" s="256">
        <v>0.35</v>
      </c>
      <c r="AR46" s="256">
        <v>0.35399999999999998</v>
      </c>
      <c r="AS46" s="256">
        <v>0.35799999999999998</v>
      </c>
      <c r="AT46" s="256">
        <v>0.36299999999999999</v>
      </c>
      <c r="AU46" s="256">
        <v>0.36699999999999999</v>
      </c>
      <c r="AV46" s="256">
        <v>0.371</v>
      </c>
      <c r="AW46" s="256">
        <v>0.375</v>
      </c>
      <c r="AX46" s="256">
        <v>0.379</v>
      </c>
      <c r="AY46" s="256">
        <v>0.38300000000000001</v>
      </c>
      <c r="AZ46" s="256">
        <v>0.38800000000000001</v>
      </c>
      <c r="BA46" s="256">
        <v>0.39200000000000002</v>
      </c>
      <c r="BB46" s="256">
        <v>0.39600000000000002</v>
      </c>
      <c r="BC46" s="256">
        <v>0.4</v>
      </c>
      <c r="BD46" s="258"/>
      <c r="BE46" s="256"/>
      <c r="BF46" s="30" t="s">
        <v>419</v>
      </c>
      <c r="BG46" s="20"/>
      <c r="BH46" s="1"/>
      <c r="BI46" s="1"/>
      <c r="BJ46" s="1"/>
      <c r="BK46" s="1"/>
      <c r="BL46" s="1"/>
      <c r="BM46" s="1"/>
      <c r="BN46" s="1"/>
      <c r="BO46" s="1"/>
      <c r="BP46" s="1"/>
      <c r="BQ46" s="1"/>
      <c r="BR46" s="1"/>
      <c r="BS46" s="1"/>
      <c r="BT46" s="1"/>
      <c r="BU46" s="1"/>
      <c r="BV46" s="1"/>
      <c r="BW46" s="1"/>
      <c r="BX46" s="1"/>
      <c r="BY46" s="1"/>
      <c r="BZ46" s="1"/>
      <c r="CA46" s="1"/>
      <c r="CB46" s="1"/>
    </row>
    <row r="47" spans="1:80" ht="14.25" customHeight="1">
      <c r="A47" s="30"/>
      <c r="B47" s="30" t="s">
        <v>199</v>
      </c>
      <c r="C47" s="30" t="s">
        <v>154</v>
      </c>
      <c r="D47" s="30"/>
      <c r="E47" s="30" t="s">
        <v>156</v>
      </c>
      <c r="F47" s="30"/>
      <c r="G47" s="256">
        <v>0</v>
      </c>
      <c r="H47" s="256">
        <v>0</v>
      </c>
      <c r="I47" s="256">
        <v>0</v>
      </c>
      <c r="J47" s="256">
        <v>1E-3</v>
      </c>
      <c r="K47" s="256">
        <v>1E-3</v>
      </c>
      <c r="L47" s="256">
        <v>1E-3</v>
      </c>
      <c r="M47" s="256">
        <v>1E-3</v>
      </c>
      <c r="N47" s="256">
        <v>2E-3</v>
      </c>
      <c r="O47" s="256">
        <v>3.0000000000000001E-3</v>
      </c>
      <c r="P47" s="256">
        <v>4.0000000000000001E-3</v>
      </c>
      <c r="Q47" s="256">
        <v>4.0000000000000001E-3</v>
      </c>
      <c r="R47" s="256">
        <v>5.0000000000000001E-3</v>
      </c>
      <c r="S47" s="256">
        <v>5.0000000000000001E-3</v>
      </c>
      <c r="T47" s="256">
        <v>6.0000000000000001E-3</v>
      </c>
      <c r="U47" s="256">
        <v>7.0000000000000001E-3</v>
      </c>
      <c r="V47" s="256">
        <v>7.0000000000000001E-3</v>
      </c>
      <c r="W47" s="256">
        <v>8.9999999999999993E-3</v>
      </c>
      <c r="X47" s="256">
        <v>1.0999999999999999E-2</v>
      </c>
      <c r="Y47" s="256">
        <v>1.2999999999999999E-2</v>
      </c>
      <c r="Z47" s="256">
        <v>1.4E-2</v>
      </c>
      <c r="AA47" s="256">
        <v>1.7999999999999999E-2</v>
      </c>
      <c r="AB47" s="256">
        <v>2.1999999999999999E-2</v>
      </c>
      <c r="AC47" s="256">
        <v>2.5000000000000001E-2</v>
      </c>
      <c r="AD47" s="256">
        <v>3.5000000000000003E-2</v>
      </c>
      <c r="AE47" s="256">
        <v>4.3999999999999997E-2</v>
      </c>
      <c r="AF47" s="256">
        <v>5.3999999999999999E-2</v>
      </c>
      <c r="AG47" s="256">
        <v>6.4000000000000001E-2</v>
      </c>
      <c r="AH47" s="256">
        <v>7.3999999999999996E-2</v>
      </c>
      <c r="AI47" s="257">
        <v>8.3000000000000004E-2</v>
      </c>
      <c r="AJ47" s="256">
        <v>9.2999999999999999E-2</v>
      </c>
      <c r="AK47" s="256">
        <v>0.10199999999999999</v>
      </c>
      <c r="AL47" s="256">
        <v>0.111</v>
      </c>
      <c r="AM47" s="256">
        <v>0.12</v>
      </c>
      <c r="AN47" s="256">
        <v>0.13100000000000001</v>
      </c>
      <c r="AO47" s="256">
        <v>0.14099999999999999</v>
      </c>
      <c r="AP47" s="256">
        <v>0.152</v>
      </c>
      <c r="AQ47" s="256">
        <v>0.16300000000000001</v>
      </c>
      <c r="AR47" s="256">
        <v>0.16500000000000001</v>
      </c>
      <c r="AS47" s="256">
        <v>0.16800000000000001</v>
      </c>
      <c r="AT47" s="256">
        <v>0.17</v>
      </c>
      <c r="AU47" s="256">
        <v>0.17299999999999999</v>
      </c>
      <c r="AV47" s="256">
        <v>0.17499999999999999</v>
      </c>
      <c r="AW47" s="256">
        <v>0.17699999999999999</v>
      </c>
      <c r="AX47" s="256">
        <v>0.18</v>
      </c>
      <c r="AY47" s="256">
        <v>0.182</v>
      </c>
      <c r="AZ47" s="256">
        <v>0.185</v>
      </c>
      <c r="BA47" s="256">
        <v>0.187</v>
      </c>
      <c r="BB47" s="256">
        <v>0.19</v>
      </c>
      <c r="BC47" s="256">
        <v>0.192</v>
      </c>
      <c r="BD47" s="258"/>
      <c r="BE47" s="256"/>
      <c r="BF47" s="30" t="s">
        <v>419</v>
      </c>
      <c r="BG47" s="76" t="s">
        <v>350</v>
      </c>
      <c r="BH47" s="75"/>
      <c r="BI47" s="75"/>
      <c r="BJ47" s="75"/>
      <c r="BK47" s="75"/>
      <c r="BL47" s="75"/>
      <c r="BM47" s="75"/>
      <c r="BN47" s="75"/>
      <c r="BO47" s="75"/>
      <c r="BP47" s="75"/>
      <c r="BQ47" s="75"/>
      <c r="BR47" s="75"/>
      <c r="BS47" s="75"/>
      <c r="BT47" s="75"/>
      <c r="BU47" s="75"/>
      <c r="BV47" s="75"/>
      <c r="BW47" s="75"/>
      <c r="BX47" s="75"/>
      <c r="BY47" s="75"/>
      <c r="BZ47" s="75"/>
      <c r="CA47" s="75"/>
      <c r="CB47" s="1"/>
    </row>
    <row r="48" spans="1:80" ht="14.25" customHeight="1">
      <c r="A48" s="30"/>
      <c r="B48" s="30" t="s">
        <v>202</v>
      </c>
      <c r="C48" s="30" t="s">
        <v>154</v>
      </c>
      <c r="D48" s="30"/>
      <c r="E48" s="30" t="s">
        <v>156</v>
      </c>
      <c r="F48" s="30"/>
      <c r="G48" s="256">
        <v>0</v>
      </c>
      <c r="H48" s="256">
        <v>0</v>
      </c>
      <c r="I48" s="256">
        <v>0</v>
      </c>
      <c r="J48" s="256">
        <v>0</v>
      </c>
      <c r="K48" s="256">
        <v>0</v>
      </c>
      <c r="L48" s="256">
        <v>1E-3</v>
      </c>
      <c r="M48" s="256">
        <v>1E-3</v>
      </c>
      <c r="N48" s="256">
        <v>2E-3</v>
      </c>
      <c r="O48" s="256">
        <v>2E-3</v>
      </c>
      <c r="P48" s="256">
        <v>3.0000000000000001E-3</v>
      </c>
      <c r="Q48" s="256">
        <v>3.0000000000000001E-3</v>
      </c>
      <c r="R48" s="256">
        <v>4.0000000000000001E-3</v>
      </c>
      <c r="S48" s="256">
        <v>5.0000000000000001E-3</v>
      </c>
      <c r="T48" s="256">
        <v>5.0000000000000001E-3</v>
      </c>
      <c r="U48" s="256">
        <v>6.0000000000000001E-3</v>
      </c>
      <c r="V48" s="256">
        <v>6.0000000000000001E-3</v>
      </c>
      <c r="W48" s="256">
        <v>7.0000000000000001E-3</v>
      </c>
      <c r="X48" s="256">
        <v>7.0000000000000001E-3</v>
      </c>
      <c r="Y48" s="256">
        <v>8.0000000000000002E-3</v>
      </c>
      <c r="Z48" s="256">
        <v>8.9999999999999993E-3</v>
      </c>
      <c r="AA48" s="256">
        <v>0.01</v>
      </c>
      <c r="AB48" s="256">
        <v>1.0999999999999999E-2</v>
      </c>
      <c r="AC48" s="256">
        <v>1.2999999999999999E-2</v>
      </c>
      <c r="AD48" s="256">
        <v>2.1000000000000001E-2</v>
      </c>
      <c r="AE48" s="256">
        <v>0.03</v>
      </c>
      <c r="AF48" s="256">
        <v>3.7999999999999999E-2</v>
      </c>
      <c r="AG48" s="256">
        <v>4.7E-2</v>
      </c>
      <c r="AH48" s="256">
        <v>5.5E-2</v>
      </c>
      <c r="AI48" s="257">
        <v>5.8000000000000003E-2</v>
      </c>
      <c r="AJ48" s="256">
        <v>6.0999999999999999E-2</v>
      </c>
      <c r="AK48" s="256">
        <v>6.4000000000000001E-2</v>
      </c>
      <c r="AL48" s="256">
        <v>6.8000000000000005E-2</v>
      </c>
      <c r="AM48" s="256">
        <v>7.0000000000000007E-2</v>
      </c>
      <c r="AN48" s="256">
        <v>7.3999999999999996E-2</v>
      </c>
      <c r="AO48" s="256">
        <v>7.6999999999999999E-2</v>
      </c>
      <c r="AP48" s="256">
        <v>7.9000000000000001E-2</v>
      </c>
      <c r="AQ48" s="256">
        <v>8.3000000000000004E-2</v>
      </c>
      <c r="AR48" s="256">
        <v>8.4000000000000005E-2</v>
      </c>
      <c r="AS48" s="256">
        <v>8.5000000000000006E-2</v>
      </c>
      <c r="AT48" s="256">
        <v>8.5999999999999993E-2</v>
      </c>
      <c r="AU48" s="256">
        <v>8.6999999999999994E-2</v>
      </c>
      <c r="AV48" s="256">
        <v>8.7999999999999995E-2</v>
      </c>
      <c r="AW48" s="256">
        <v>8.8999999999999996E-2</v>
      </c>
      <c r="AX48" s="256">
        <v>0.09</v>
      </c>
      <c r="AY48" s="256">
        <v>9.0999999999999998E-2</v>
      </c>
      <c r="AZ48" s="256">
        <v>9.1999999999999998E-2</v>
      </c>
      <c r="BA48" s="256">
        <v>9.2999999999999999E-2</v>
      </c>
      <c r="BB48" s="256">
        <v>9.4E-2</v>
      </c>
      <c r="BC48" s="256">
        <v>9.5000000000000001E-2</v>
      </c>
      <c r="BD48" s="258"/>
      <c r="BE48" s="256"/>
      <c r="BF48" s="30" t="s">
        <v>419</v>
      </c>
      <c r="BG48" s="20" t="s">
        <v>352</v>
      </c>
      <c r="BH48" s="1"/>
      <c r="BI48" s="1"/>
      <c r="BJ48" s="1"/>
      <c r="BK48" s="1"/>
      <c r="BL48" s="1"/>
      <c r="BM48" s="1"/>
      <c r="BN48" s="1"/>
      <c r="BO48" s="1"/>
      <c r="BP48" s="1"/>
      <c r="BQ48" s="1"/>
      <c r="BR48" s="1"/>
      <c r="BS48" s="1"/>
      <c r="BT48" s="1"/>
      <c r="BU48" s="1"/>
      <c r="BV48" s="1"/>
      <c r="BW48" s="1"/>
      <c r="BX48" s="1"/>
      <c r="BY48" s="1"/>
      <c r="BZ48" s="1"/>
      <c r="CA48" s="1"/>
      <c r="CB48" s="1"/>
    </row>
    <row r="49" spans="1:80" ht="14.25" customHeight="1">
      <c r="A49" s="30"/>
      <c r="B49" s="30" t="s">
        <v>194</v>
      </c>
      <c r="C49" s="30" t="s">
        <v>328</v>
      </c>
      <c r="D49" s="30"/>
      <c r="E49" s="30" t="s">
        <v>156</v>
      </c>
      <c r="F49" s="30"/>
      <c r="G49" s="256">
        <v>0</v>
      </c>
      <c r="H49" s="256">
        <v>0</v>
      </c>
      <c r="I49" s="256">
        <v>0</v>
      </c>
      <c r="J49" s="256">
        <v>0</v>
      </c>
      <c r="K49" s="256">
        <v>0</v>
      </c>
      <c r="L49" s="256">
        <v>0</v>
      </c>
      <c r="M49" s="256">
        <v>0</v>
      </c>
      <c r="N49" s="256">
        <v>0</v>
      </c>
      <c r="O49" s="256">
        <v>0</v>
      </c>
      <c r="P49" s="256">
        <v>0</v>
      </c>
      <c r="Q49" s="256">
        <v>0</v>
      </c>
      <c r="R49" s="256">
        <v>0</v>
      </c>
      <c r="S49" s="256">
        <v>0</v>
      </c>
      <c r="T49" s="256">
        <v>0</v>
      </c>
      <c r="U49" s="256">
        <v>0</v>
      </c>
      <c r="V49" s="256">
        <v>0</v>
      </c>
      <c r="W49" s="256">
        <v>0</v>
      </c>
      <c r="X49" s="256">
        <v>0</v>
      </c>
      <c r="Y49" s="256">
        <v>0</v>
      </c>
      <c r="Z49" s="256">
        <v>0</v>
      </c>
      <c r="AA49" s="256">
        <v>0</v>
      </c>
      <c r="AB49" s="256">
        <v>0</v>
      </c>
      <c r="AC49" s="256">
        <v>0</v>
      </c>
      <c r="AD49" s="256">
        <v>0</v>
      </c>
      <c r="AE49" s="256">
        <v>0</v>
      </c>
      <c r="AF49" s="256">
        <v>0</v>
      </c>
      <c r="AG49" s="256">
        <v>0</v>
      </c>
      <c r="AH49" s="256">
        <v>0</v>
      </c>
      <c r="AI49" s="257">
        <v>0</v>
      </c>
      <c r="AJ49" s="256">
        <v>0</v>
      </c>
      <c r="AK49" s="256">
        <v>0</v>
      </c>
      <c r="AL49" s="256">
        <v>0</v>
      </c>
      <c r="AM49" s="256">
        <v>0</v>
      </c>
      <c r="AN49" s="256">
        <v>0</v>
      </c>
      <c r="AO49" s="256">
        <v>0</v>
      </c>
      <c r="AP49" s="256">
        <v>0</v>
      </c>
      <c r="AQ49" s="256">
        <v>0</v>
      </c>
      <c r="AR49" s="256">
        <v>0</v>
      </c>
      <c r="AS49" s="256">
        <v>0</v>
      </c>
      <c r="AT49" s="256">
        <v>0</v>
      </c>
      <c r="AU49" s="256">
        <v>0</v>
      </c>
      <c r="AV49" s="256">
        <v>0</v>
      </c>
      <c r="AW49" s="256">
        <v>0</v>
      </c>
      <c r="AX49" s="256">
        <v>0</v>
      </c>
      <c r="AY49" s="256">
        <v>0</v>
      </c>
      <c r="AZ49" s="256">
        <v>0</v>
      </c>
      <c r="BA49" s="256">
        <v>0</v>
      </c>
      <c r="BB49" s="256">
        <v>0</v>
      </c>
      <c r="BC49" s="256">
        <v>0</v>
      </c>
      <c r="BD49" s="258"/>
      <c r="BE49" s="256"/>
      <c r="BF49" s="191"/>
      <c r="BG49" s="20" t="s">
        <v>355</v>
      </c>
      <c r="BH49" s="1" t="s">
        <v>356</v>
      </c>
      <c r="BI49" s="1"/>
      <c r="BJ49" s="1"/>
      <c r="BK49" s="1"/>
      <c r="BL49" s="1"/>
      <c r="BM49" s="1"/>
      <c r="BN49" s="1"/>
      <c r="BO49" s="1"/>
      <c r="BP49" s="1"/>
      <c r="BQ49" s="1"/>
      <c r="BR49" s="1"/>
      <c r="BS49" s="1"/>
      <c r="BT49" s="1"/>
      <c r="BU49" s="1"/>
      <c r="BV49" s="1"/>
      <c r="BW49" s="1"/>
      <c r="BX49" s="1"/>
      <c r="BY49" s="1"/>
      <c r="BZ49" s="1"/>
      <c r="CA49" s="1"/>
      <c r="CB49" s="1"/>
    </row>
    <row r="50" spans="1:80" ht="14.25" customHeight="1">
      <c r="A50" s="30"/>
      <c r="B50" s="30" t="s">
        <v>199</v>
      </c>
      <c r="C50" s="30" t="s">
        <v>328</v>
      </c>
      <c r="D50" s="30"/>
      <c r="E50" s="30" t="s">
        <v>156</v>
      </c>
      <c r="F50" s="30"/>
      <c r="G50" s="256">
        <v>0</v>
      </c>
      <c r="H50" s="256">
        <v>0</v>
      </c>
      <c r="I50" s="256">
        <v>0</v>
      </c>
      <c r="J50" s="256">
        <v>0</v>
      </c>
      <c r="K50" s="256">
        <v>0</v>
      </c>
      <c r="L50" s="256">
        <v>0</v>
      </c>
      <c r="M50" s="256">
        <v>0</v>
      </c>
      <c r="N50" s="256">
        <v>0</v>
      </c>
      <c r="O50" s="256">
        <v>0</v>
      </c>
      <c r="P50" s="256">
        <v>0</v>
      </c>
      <c r="Q50" s="256">
        <v>0</v>
      </c>
      <c r="R50" s="256">
        <v>0</v>
      </c>
      <c r="S50" s="256">
        <v>0</v>
      </c>
      <c r="T50" s="256">
        <v>0</v>
      </c>
      <c r="U50" s="256">
        <v>0</v>
      </c>
      <c r="V50" s="256">
        <v>0</v>
      </c>
      <c r="W50" s="256">
        <v>0</v>
      </c>
      <c r="X50" s="256">
        <v>0</v>
      </c>
      <c r="Y50" s="256">
        <v>0</v>
      </c>
      <c r="Z50" s="256">
        <v>0</v>
      </c>
      <c r="AA50" s="256">
        <v>0</v>
      </c>
      <c r="AB50" s="256">
        <v>0</v>
      </c>
      <c r="AC50" s="256">
        <v>0</v>
      </c>
      <c r="AD50" s="256">
        <v>0</v>
      </c>
      <c r="AE50" s="256">
        <v>0</v>
      </c>
      <c r="AF50" s="256">
        <v>0</v>
      </c>
      <c r="AG50" s="256">
        <v>0</v>
      </c>
      <c r="AH50" s="256">
        <v>0</v>
      </c>
      <c r="AI50" s="257">
        <v>0</v>
      </c>
      <c r="AJ50" s="256">
        <v>0</v>
      </c>
      <c r="AK50" s="256">
        <v>0</v>
      </c>
      <c r="AL50" s="256">
        <v>0</v>
      </c>
      <c r="AM50" s="256">
        <v>0</v>
      </c>
      <c r="AN50" s="256">
        <v>0</v>
      </c>
      <c r="AO50" s="256">
        <v>0</v>
      </c>
      <c r="AP50" s="256">
        <v>0</v>
      </c>
      <c r="AQ50" s="256">
        <v>0</v>
      </c>
      <c r="AR50" s="256">
        <v>0</v>
      </c>
      <c r="AS50" s="256">
        <v>0</v>
      </c>
      <c r="AT50" s="256">
        <v>0</v>
      </c>
      <c r="AU50" s="256">
        <v>0</v>
      </c>
      <c r="AV50" s="256">
        <v>0</v>
      </c>
      <c r="AW50" s="256">
        <v>0</v>
      </c>
      <c r="AX50" s="256">
        <v>0</v>
      </c>
      <c r="AY50" s="256">
        <v>0</v>
      </c>
      <c r="AZ50" s="256">
        <v>0</v>
      </c>
      <c r="BA50" s="256">
        <v>0</v>
      </c>
      <c r="BB50" s="256">
        <v>0</v>
      </c>
      <c r="BC50" s="256">
        <v>0</v>
      </c>
      <c r="BD50" s="258"/>
      <c r="BE50" s="256"/>
      <c r="BF50" s="191"/>
      <c r="BG50" s="20"/>
      <c r="BH50" s="1"/>
      <c r="BI50" s="1"/>
      <c r="BJ50" s="1"/>
      <c r="BK50" s="1"/>
      <c r="BL50" s="1"/>
      <c r="BM50" s="1"/>
      <c r="BN50" s="1"/>
      <c r="BO50" s="1"/>
      <c r="BP50" s="1"/>
      <c r="BQ50" s="1"/>
      <c r="BR50" s="1"/>
      <c r="BS50" s="1"/>
      <c r="BT50" s="1"/>
      <c r="BU50" s="1"/>
      <c r="BV50" s="1"/>
      <c r="BW50" s="1"/>
      <c r="BX50" s="1"/>
      <c r="BY50" s="1"/>
      <c r="BZ50" s="1"/>
      <c r="CA50" s="1"/>
      <c r="CB50" s="1"/>
    </row>
    <row r="51" spans="1:80" ht="14.25" customHeight="1">
      <c r="A51" s="30"/>
      <c r="B51" s="30" t="s">
        <v>202</v>
      </c>
      <c r="C51" s="30" t="s">
        <v>328</v>
      </c>
      <c r="D51" s="30"/>
      <c r="E51" s="30" t="s">
        <v>156</v>
      </c>
      <c r="F51" s="30"/>
      <c r="G51" s="256">
        <v>0</v>
      </c>
      <c r="H51" s="256">
        <v>0</v>
      </c>
      <c r="I51" s="256">
        <v>0</v>
      </c>
      <c r="J51" s="256">
        <v>0</v>
      </c>
      <c r="K51" s="256">
        <v>0</v>
      </c>
      <c r="L51" s="256">
        <v>0</v>
      </c>
      <c r="M51" s="256">
        <v>0</v>
      </c>
      <c r="N51" s="256">
        <v>0</v>
      </c>
      <c r="O51" s="256">
        <v>0</v>
      </c>
      <c r="P51" s="256">
        <v>0</v>
      </c>
      <c r="Q51" s="256">
        <v>0</v>
      </c>
      <c r="R51" s="256">
        <v>0</v>
      </c>
      <c r="S51" s="256">
        <v>0</v>
      </c>
      <c r="T51" s="256">
        <v>0</v>
      </c>
      <c r="U51" s="256">
        <v>0</v>
      </c>
      <c r="V51" s="256">
        <v>0</v>
      </c>
      <c r="W51" s="256">
        <v>1E-3</v>
      </c>
      <c r="X51" s="256">
        <v>2E-3</v>
      </c>
      <c r="Y51" s="256">
        <v>3.0000000000000001E-3</v>
      </c>
      <c r="Z51" s="256">
        <v>4.0000000000000001E-3</v>
      </c>
      <c r="AA51" s="256">
        <v>5.0000000000000001E-3</v>
      </c>
      <c r="AB51" s="256">
        <v>7.0000000000000001E-3</v>
      </c>
      <c r="AC51" s="256">
        <v>8.9999999999999993E-3</v>
      </c>
      <c r="AD51" s="256">
        <v>1.2999999999999999E-2</v>
      </c>
      <c r="AE51" s="256">
        <v>1.6E-2</v>
      </c>
      <c r="AF51" s="256">
        <v>2.1000000000000001E-2</v>
      </c>
      <c r="AG51" s="256">
        <v>2.4E-2</v>
      </c>
      <c r="AH51" s="256">
        <v>2.8000000000000001E-2</v>
      </c>
      <c r="AI51" s="257">
        <v>3.2000000000000001E-2</v>
      </c>
      <c r="AJ51" s="256">
        <v>3.5000000000000003E-2</v>
      </c>
      <c r="AK51" s="256">
        <v>3.9E-2</v>
      </c>
      <c r="AL51" s="256">
        <v>4.2000000000000003E-2</v>
      </c>
      <c r="AM51" s="256">
        <v>4.5999999999999999E-2</v>
      </c>
      <c r="AN51" s="256">
        <v>0.05</v>
      </c>
      <c r="AO51" s="256">
        <v>5.2999999999999999E-2</v>
      </c>
      <c r="AP51" s="256">
        <v>5.7000000000000002E-2</v>
      </c>
      <c r="AQ51" s="256">
        <v>0.06</v>
      </c>
      <c r="AR51" s="256">
        <v>6.0999999999999999E-2</v>
      </c>
      <c r="AS51" s="256">
        <v>6.2E-2</v>
      </c>
      <c r="AT51" s="256">
        <v>6.3E-2</v>
      </c>
      <c r="AU51" s="256">
        <v>6.4000000000000001E-2</v>
      </c>
      <c r="AV51" s="256">
        <v>6.5000000000000002E-2</v>
      </c>
      <c r="AW51" s="256">
        <v>6.6000000000000003E-2</v>
      </c>
      <c r="AX51" s="256">
        <v>6.7000000000000004E-2</v>
      </c>
      <c r="AY51" s="256">
        <v>6.7000000000000004E-2</v>
      </c>
      <c r="AZ51" s="256">
        <v>6.8000000000000005E-2</v>
      </c>
      <c r="BA51" s="256">
        <v>6.9000000000000006E-2</v>
      </c>
      <c r="BB51" s="256">
        <v>7.0000000000000007E-2</v>
      </c>
      <c r="BC51" s="256">
        <v>7.0999999999999994E-2</v>
      </c>
      <c r="BD51" s="258"/>
      <c r="BE51" s="256"/>
      <c r="BF51" s="30" t="s">
        <v>419</v>
      </c>
      <c r="BG51" s="20"/>
      <c r="BH51" s="1"/>
      <c r="BI51" s="1"/>
      <c r="BJ51" s="1"/>
      <c r="BK51" s="1"/>
      <c r="BL51" s="1"/>
      <c r="BM51" s="1"/>
      <c r="BN51" s="1"/>
      <c r="BO51" s="1"/>
      <c r="BP51" s="1"/>
      <c r="BQ51" s="1"/>
      <c r="BR51" s="1"/>
      <c r="BS51" s="1"/>
      <c r="BT51" s="1"/>
      <c r="BU51" s="1"/>
      <c r="BV51" s="1"/>
      <c r="BW51" s="1"/>
      <c r="BX51" s="1"/>
      <c r="BY51" s="1"/>
      <c r="BZ51" s="1"/>
      <c r="CA51" s="1"/>
      <c r="CB51" s="1"/>
    </row>
    <row r="52" spans="1:80" ht="14.25" customHeight="1">
      <c r="A52" s="30"/>
      <c r="B52" s="30" t="s">
        <v>194</v>
      </c>
      <c r="C52" s="30" t="s">
        <v>128</v>
      </c>
      <c r="D52" s="30"/>
      <c r="E52" s="30" t="s">
        <v>156</v>
      </c>
      <c r="F52" s="30"/>
      <c r="G52" s="256">
        <v>0</v>
      </c>
      <c r="H52" s="256">
        <v>0</v>
      </c>
      <c r="I52" s="256">
        <v>0</v>
      </c>
      <c r="J52" s="256">
        <v>0</v>
      </c>
      <c r="K52" s="256">
        <v>0</v>
      </c>
      <c r="L52" s="256">
        <v>0</v>
      </c>
      <c r="M52" s="256">
        <v>0</v>
      </c>
      <c r="N52" s="256">
        <v>0</v>
      </c>
      <c r="O52" s="256">
        <v>0</v>
      </c>
      <c r="P52" s="256">
        <v>0</v>
      </c>
      <c r="Q52" s="256">
        <v>0</v>
      </c>
      <c r="R52" s="256">
        <v>0</v>
      </c>
      <c r="S52" s="256">
        <v>0</v>
      </c>
      <c r="T52" s="256">
        <v>0</v>
      </c>
      <c r="U52" s="256">
        <v>0</v>
      </c>
      <c r="V52" s="256">
        <v>0</v>
      </c>
      <c r="W52" s="256">
        <v>0</v>
      </c>
      <c r="X52" s="256">
        <v>0</v>
      </c>
      <c r="Y52" s="256">
        <v>0</v>
      </c>
      <c r="Z52" s="256">
        <v>0</v>
      </c>
      <c r="AA52" s="256">
        <v>0</v>
      </c>
      <c r="AB52" s="256">
        <v>0</v>
      </c>
      <c r="AC52" s="256">
        <v>0</v>
      </c>
      <c r="AD52" s="256">
        <v>0</v>
      </c>
      <c r="AE52" s="256">
        <v>0</v>
      </c>
      <c r="AF52" s="256">
        <v>0</v>
      </c>
      <c r="AG52" s="256">
        <v>0</v>
      </c>
      <c r="AH52" s="256">
        <v>0</v>
      </c>
      <c r="AI52" s="257">
        <v>0</v>
      </c>
      <c r="AJ52" s="256">
        <v>0</v>
      </c>
      <c r="AK52" s="256">
        <v>0</v>
      </c>
      <c r="AL52" s="256">
        <v>0</v>
      </c>
      <c r="AM52" s="256">
        <v>0</v>
      </c>
      <c r="AN52" s="256">
        <v>0</v>
      </c>
      <c r="AO52" s="256">
        <v>0</v>
      </c>
      <c r="AP52" s="256">
        <v>0</v>
      </c>
      <c r="AQ52" s="256">
        <v>0</v>
      </c>
      <c r="AR52" s="256">
        <v>0</v>
      </c>
      <c r="AS52" s="256">
        <v>0</v>
      </c>
      <c r="AT52" s="256">
        <v>0</v>
      </c>
      <c r="AU52" s="256">
        <v>0</v>
      </c>
      <c r="AV52" s="256">
        <v>0</v>
      </c>
      <c r="AW52" s="256">
        <v>0</v>
      </c>
      <c r="AX52" s="256">
        <v>0</v>
      </c>
      <c r="AY52" s="256">
        <v>0</v>
      </c>
      <c r="AZ52" s="256">
        <v>0</v>
      </c>
      <c r="BA52" s="256">
        <v>0</v>
      </c>
      <c r="BB52" s="256">
        <v>0</v>
      </c>
      <c r="BC52" s="256">
        <v>0</v>
      </c>
      <c r="BD52" s="258"/>
      <c r="BE52" s="256"/>
      <c r="BF52" s="30"/>
      <c r="BG52" s="20"/>
      <c r="BH52" s="1"/>
      <c r="BI52" s="1"/>
      <c r="BJ52" s="1"/>
      <c r="BK52" s="1"/>
      <c r="BL52" s="1"/>
      <c r="BM52" s="1"/>
      <c r="BN52" s="1"/>
      <c r="BO52" s="1"/>
      <c r="BP52" s="1"/>
      <c r="BQ52" s="1"/>
      <c r="BR52" s="1"/>
      <c r="BS52" s="1"/>
      <c r="BT52" s="1"/>
      <c r="BU52" s="1"/>
      <c r="BV52" s="1"/>
      <c r="BW52" s="1"/>
      <c r="BX52" s="1"/>
      <c r="BY52" s="1"/>
      <c r="BZ52" s="1"/>
      <c r="CA52" s="1"/>
      <c r="CB52" s="1"/>
    </row>
    <row r="53" spans="1:80" ht="14.25" customHeight="1">
      <c r="A53" s="30"/>
      <c r="B53" s="30" t="s">
        <v>199</v>
      </c>
      <c r="C53" s="30" t="s">
        <v>128</v>
      </c>
      <c r="D53" s="30"/>
      <c r="E53" s="30" t="s">
        <v>156</v>
      </c>
      <c r="F53" s="30"/>
      <c r="G53" s="256">
        <v>0</v>
      </c>
      <c r="H53" s="256">
        <v>0</v>
      </c>
      <c r="I53" s="256">
        <v>0</v>
      </c>
      <c r="J53" s="256">
        <v>0</v>
      </c>
      <c r="K53" s="256">
        <v>0</v>
      </c>
      <c r="L53" s="256">
        <v>0</v>
      </c>
      <c r="M53" s="256">
        <v>0</v>
      </c>
      <c r="N53" s="256">
        <v>0</v>
      </c>
      <c r="O53" s="256">
        <v>0</v>
      </c>
      <c r="P53" s="256">
        <v>0</v>
      </c>
      <c r="Q53" s="256">
        <v>0</v>
      </c>
      <c r="R53" s="256">
        <v>0</v>
      </c>
      <c r="S53" s="256">
        <v>0</v>
      </c>
      <c r="T53" s="256">
        <v>0</v>
      </c>
      <c r="U53" s="256">
        <v>0</v>
      </c>
      <c r="V53" s="256">
        <v>0</v>
      </c>
      <c r="W53" s="256">
        <v>0</v>
      </c>
      <c r="X53" s="256">
        <v>0</v>
      </c>
      <c r="Y53" s="256">
        <v>0</v>
      </c>
      <c r="Z53" s="256">
        <v>0</v>
      </c>
      <c r="AA53" s="256">
        <v>0</v>
      </c>
      <c r="AB53" s="256">
        <v>0</v>
      </c>
      <c r="AC53" s="256">
        <v>0</v>
      </c>
      <c r="AD53" s="256">
        <v>0</v>
      </c>
      <c r="AE53" s="256">
        <v>0</v>
      </c>
      <c r="AF53" s="256">
        <v>0</v>
      </c>
      <c r="AG53" s="256">
        <v>0</v>
      </c>
      <c r="AH53" s="256">
        <v>0</v>
      </c>
      <c r="AI53" s="257">
        <v>0</v>
      </c>
      <c r="AJ53" s="256">
        <v>0</v>
      </c>
      <c r="AK53" s="256">
        <v>0</v>
      </c>
      <c r="AL53" s="256">
        <v>0</v>
      </c>
      <c r="AM53" s="256">
        <v>0</v>
      </c>
      <c r="AN53" s="256">
        <v>0</v>
      </c>
      <c r="AO53" s="256">
        <v>0</v>
      </c>
      <c r="AP53" s="256">
        <v>0</v>
      </c>
      <c r="AQ53" s="256">
        <v>0</v>
      </c>
      <c r="AR53" s="256">
        <v>0</v>
      </c>
      <c r="AS53" s="256">
        <v>0</v>
      </c>
      <c r="AT53" s="256">
        <v>0</v>
      </c>
      <c r="AU53" s="256">
        <v>0</v>
      </c>
      <c r="AV53" s="256">
        <v>0</v>
      </c>
      <c r="AW53" s="256">
        <v>0</v>
      </c>
      <c r="AX53" s="256">
        <v>0</v>
      </c>
      <c r="AY53" s="256">
        <v>0</v>
      </c>
      <c r="AZ53" s="256">
        <v>0</v>
      </c>
      <c r="BA53" s="256">
        <v>0</v>
      </c>
      <c r="BB53" s="256">
        <v>0</v>
      </c>
      <c r="BC53" s="256">
        <v>0</v>
      </c>
      <c r="BD53" s="258"/>
      <c r="BE53" s="256"/>
      <c r="BF53" s="30"/>
      <c r="BG53" s="76" t="s">
        <v>231</v>
      </c>
      <c r="BH53" s="75"/>
      <c r="BI53" s="75"/>
      <c r="BJ53" s="75"/>
      <c r="BK53" s="75"/>
      <c r="BL53" s="75"/>
      <c r="BM53" s="75"/>
      <c r="BN53" s="75"/>
      <c r="BO53" s="75"/>
      <c r="BP53" s="75"/>
      <c r="BQ53" s="75"/>
      <c r="BR53" s="75"/>
      <c r="BS53" s="75"/>
      <c r="BT53" s="75"/>
      <c r="BU53" s="75"/>
      <c r="BV53" s="75"/>
      <c r="BW53" s="75"/>
      <c r="BX53" s="75"/>
      <c r="BY53" s="75"/>
      <c r="BZ53" s="75"/>
      <c r="CA53" s="75"/>
      <c r="CB53" s="1"/>
    </row>
    <row r="54" spans="1:80" ht="14.25" customHeight="1">
      <c r="A54" s="30"/>
      <c r="B54" s="30" t="s">
        <v>202</v>
      </c>
      <c r="C54" s="30" t="s">
        <v>128</v>
      </c>
      <c r="D54" s="30"/>
      <c r="E54" s="30" t="s">
        <v>156</v>
      </c>
      <c r="F54" s="30"/>
      <c r="G54" s="256">
        <v>0</v>
      </c>
      <c r="H54" s="256">
        <v>0</v>
      </c>
      <c r="I54" s="256">
        <v>0</v>
      </c>
      <c r="J54" s="256">
        <v>0</v>
      </c>
      <c r="K54" s="256">
        <v>0</v>
      </c>
      <c r="L54" s="256">
        <v>0</v>
      </c>
      <c r="M54" s="256">
        <v>0</v>
      </c>
      <c r="N54" s="256">
        <v>0</v>
      </c>
      <c r="O54" s="256">
        <v>0</v>
      </c>
      <c r="P54" s="256">
        <v>0</v>
      </c>
      <c r="Q54" s="256">
        <v>0</v>
      </c>
      <c r="R54" s="256">
        <v>0</v>
      </c>
      <c r="S54" s="256">
        <v>0</v>
      </c>
      <c r="T54" s="256">
        <v>0</v>
      </c>
      <c r="U54" s="256">
        <v>0</v>
      </c>
      <c r="V54" s="256">
        <v>0</v>
      </c>
      <c r="W54" s="256">
        <v>0</v>
      </c>
      <c r="X54" s="256">
        <v>0</v>
      </c>
      <c r="Y54" s="256">
        <v>0</v>
      </c>
      <c r="Z54" s="256">
        <v>0</v>
      </c>
      <c r="AA54" s="256">
        <v>0</v>
      </c>
      <c r="AB54" s="256">
        <v>0</v>
      </c>
      <c r="AC54" s="256">
        <v>0</v>
      </c>
      <c r="AD54" s="256">
        <v>0</v>
      </c>
      <c r="AE54" s="256">
        <v>0</v>
      </c>
      <c r="AF54" s="256">
        <v>0</v>
      </c>
      <c r="AG54" s="256">
        <v>0</v>
      </c>
      <c r="AH54" s="256">
        <v>0</v>
      </c>
      <c r="AI54" s="257">
        <v>0</v>
      </c>
      <c r="AJ54" s="256">
        <v>0</v>
      </c>
      <c r="AK54" s="256">
        <v>0</v>
      </c>
      <c r="AL54" s="256">
        <v>0</v>
      </c>
      <c r="AM54" s="256">
        <v>0</v>
      </c>
      <c r="AN54" s="256">
        <v>0</v>
      </c>
      <c r="AO54" s="256">
        <v>0</v>
      </c>
      <c r="AP54" s="256">
        <v>0</v>
      </c>
      <c r="AQ54" s="256">
        <v>0</v>
      </c>
      <c r="AR54" s="256">
        <v>0</v>
      </c>
      <c r="AS54" s="256">
        <v>0</v>
      </c>
      <c r="AT54" s="256">
        <v>0</v>
      </c>
      <c r="AU54" s="256">
        <v>0</v>
      </c>
      <c r="AV54" s="256">
        <v>0</v>
      </c>
      <c r="AW54" s="256">
        <v>0</v>
      </c>
      <c r="AX54" s="256">
        <v>0</v>
      </c>
      <c r="AY54" s="256">
        <v>0</v>
      </c>
      <c r="AZ54" s="256">
        <v>0</v>
      </c>
      <c r="BA54" s="256">
        <v>0</v>
      </c>
      <c r="BB54" s="256">
        <v>0</v>
      </c>
      <c r="BC54" s="256">
        <v>0</v>
      </c>
      <c r="BD54" s="258"/>
      <c r="BE54" s="256"/>
      <c r="BF54" s="191"/>
      <c r="BG54" s="20" t="s">
        <v>360</v>
      </c>
      <c r="BH54" s="1" t="s">
        <v>361</v>
      </c>
      <c r="BI54" s="1"/>
      <c r="BJ54" s="1"/>
      <c r="BK54" s="1"/>
      <c r="BL54" s="1"/>
      <c r="BM54" s="1"/>
      <c r="BN54" s="1"/>
      <c r="BO54" s="1"/>
      <c r="BP54" s="1"/>
      <c r="BQ54" s="1"/>
      <c r="BR54" s="1"/>
      <c r="BS54" s="1"/>
      <c r="BT54" s="1"/>
      <c r="BU54" s="1"/>
      <c r="BV54" s="1"/>
      <c r="BW54" s="1"/>
      <c r="BX54" s="1"/>
      <c r="BY54" s="1"/>
      <c r="BZ54" s="1"/>
      <c r="CA54" s="1"/>
      <c r="CB54" s="1"/>
    </row>
    <row r="55" spans="1:80" ht="14.25" customHeight="1">
      <c r="A55" s="30"/>
      <c r="B55" s="30" t="s">
        <v>145</v>
      </c>
      <c r="C55" s="30" t="s">
        <v>340</v>
      </c>
      <c r="D55" s="30" t="s">
        <v>341</v>
      </c>
      <c r="E55" s="30" t="s">
        <v>342</v>
      </c>
      <c r="F55" s="30"/>
      <c r="G55" s="256">
        <v>2.5000000000000001E-2</v>
      </c>
      <c r="H55" s="256">
        <v>4.4999999999999998E-2</v>
      </c>
      <c r="I55" s="256">
        <v>5.1999999999999998E-2</v>
      </c>
      <c r="J55" s="256">
        <v>5.8999999999999997E-2</v>
      </c>
      <c r="K55" s="256">
        <v>6.8000000000000005E-2</v>
      </c>
      <c r="L55" s="256">
        <v>7.6999999999999999E-2</v>
      </c>
      <c r="M55" s="256">
        <v>8.5999999999999993E-2</v>
      </c>
      <c r="N55" s="256">
        <v>9.5000000000000001E-2</v>
      </c>
      <c r="O55" s="256">
        <v>0.104</v>
      </c>
      <c r="P55" s="256">
        <v>0.113</v>
      </c>
      <c r="Q55" s="256">
        <v>0.122</v>
      </c>
      <c r="R55" s="256">
        <v>0.13100000000000001</v>
      </c>
      <c r="S55" s="256">
        <v>0.14000000000000001</v>
      </c>
      <c r="T55" s="256">
        <v>0.14899999999999999</v>
      </c>
      <c r="U55" s="256">
        <v>0.158</v>
      </c>
      <c r="V55" s="256">
        <v>0.16700000000000001</v>
      </c>
      <c r="W55" s="256">
        <v>0.17599999999999999</v>
      </c>
      <c r="X55" s="256">
        <v>0.185</v>
      </c>
      <c r="Y55" s="256">
        <v>0.19400000000000001</v>
      </c>
      <c r="Z55" s="256">
        <v>0.20300000000000001</v>
      </c>
      <c r="AA55" s="256">
        <v>0.221</v>
      </c>
      <c r="AB55" s="256">
        <v>0.23899999999999999</v>
      </c>
      <c r="AC55" s="256">
        <v>0.25700000000000001</v>
      </c>
      <c r="AD55" s="256">
        <v>0.27500000000000002</v>
      </c>
      <c r="AE55" s="256">
        <v>0.29299999999999998</v>
      </c>
      <c r="AF55" s="256">
        <v>0.311</v>
      </c>
      <c r="AG55" s="256">
        <v>0.32900000000000001</v>
      </c>
      <c r="AH55" s="256">
        <v>0.34699999999999998</v>
      </c>
      <c r="AI55" s="257">
        <v>0.36499999999999999</v>
      </c>
      <c r="AJ55" s="256">
        <v>0.38300000000000001</v>
      </c>
      <c r="AK55" s="256">
        <v>0.40100000000000002</v>
      </c>
      <c r="AL55" s="256">
        <v>0.41899999999999998</v>
      </c>
      <c r="AM55" s="256">
        <v>0.437</v>
      </c>
      <c r="AN55" s="256">
        <v>0.45500000000000002</v>
      </c>
      <c r="AO55" s="256">
        <v>0.47399999999999998</v>
      </c>
      <c r="AP55" s="256">
        <v>0.49199999999999999</v>
      </c>
      <c r="AQ55" s="256">
        <v>0.51</v>
      </c>
      <c r="AR55" s="256">
        <v>0.505</v>
      </c>
      <c r="AS55" s="256">
        <v>0.5</v>
      </c>
      <c r="AT55" s="256">
        <v>0.495</v>
      </c>
      <c r="AU55" s="256">
        <v>0.49</v>
      </c>
      <c r="AV55" s="256">
        <v>0.48499999999999999</v>
      </c>
      <c r="AW55" s="256">
        <v>0.48</v>
      </c>
      <c r="AX55" s="256">
        <v>0.47499999999999998</v>
      </c>
      <c r="AY55" s="256">
        <v>0.47</v>
      </c>
      <c r="AZ55" s="256">
        <v>0.46500000000000002</v>
      </c>
      <c r="BA55" s="256">
        <v>0.46</v>
      </c>
      <c r="BB55" s="256">
        <v>0.45500000000000002</v>
      </c>
      <c r="BC55" s="256">
        <v>0.45</v>
      </c>
      <c r="BD55" s="258"/>
      <c r="BE55" s="256"/>
      <c r="BF55" s="30" t="s">
        <v>417</v>
      </c>
      <c r="BG55" s="20" t="s">
        <v>364</v>
      </c>
      <c r="BH55" s="1"/>
      <c r="BI55" s="1"/>
      <c r="BJ55" s="1"/>
      <c r="BK55" s="1"/>
      <c r="BL55" s="1"/>
      <c r="BM55" s="1"/>
      <c r="BN55" s="1"/>
      <c r="BO55" s="1"/>
      <c r="BP55" s="1"/>
      <c r="BQ55" s="1"/>
      <c r="BR55" s="1"/>
      <c r="BS55" s="1"/>
      <c r="BT55" s="1"/>
      <c r="BU55" s="1"/>
      <c r="BV55" s="1"/>
      <c r="BW55" s="1"/>
      <c r="BX55" s="1"/>
      <c r="BY55" s="1"/>
      <c r="BZ55" s="1"/>
      <c r="CA55" s="1"/>
      <c r="CB55" s="1"/>
    </row>
    <row r="56" spans="1:80" ht="14.25" customHeight="1">
      <c r="A56" s="30"/>
      <c r="B56" s="30" t="s">
        <v>194</v>
      </c>
      <c r="C56" s="30" t="s">
        <v>340</v>
      </c>
      <c r="D56" s="30" t="s">
        <v>344</v>
      </c>
      <c r="E56" s="30" t="s">
        <v>345</v>
      </c>
      <c r="F56" s="30"/>
      <c r="G56" s="256">
        <v>0.05</v>
      </c>
      <c r="H56" s="256">
        <v>5.8000000000000003E-2</v>
      </c>
      <c r="I56" s="256">
        <v>5.8000000000000003E-2</v>
      </c>
      <c r="J56" s="256">
        <v>5.8999999999999997E-2</v>
      </c>
      <c r="K56" s="256">
        <v>6.2E-2</v>
      </c>
      <c r="L56" s="256">
        <v>6.6000000000000003E-2</v>
      </c>
      <c r="M56" s="256">
        <v>6.9000000000000006E-2</v>
      </c>
      <c r="N56" s="256">
        <v>7.2999999999999995E-2</v>
      </c>
      <c r="O56" s="256">
        <v>7.6999999999999999E-2</v>
      </c>
      <c r="P56" s="256">
        <v>0.08</v>
      </c>
      <c r="Q56" s="256">
        <v>8.3000000000000004E-2</v>
      </c>
      <c r="R56" s="256">
        <v>8.5999999999999993E-2</v>
      </c>
      <c r="S56" s="256">
        <v>0.09</v>
      </c>
      <c r="T56" s="256">
        <v>9.4E-2</v>
      </c>
      <c r="U56" s="256">
        <v>9.7000000000000003E-2</v>
      </c>
      <c r="V56" s="256">
        <v>0.10100000000000001</v>
      </c>
      <c r="W56" s="256">
        <v>0.104</v>
      </c>
      <c r="X56" s="256">
        <v>0.107</v>
      </c>
      <c r="Y56" s="256">
        <v>0.111</v>
      </c>
      <c r="Z56" s="256">
        <v>0.114</v>
      </c>
      <c r="AA56" s="256">
        <v>0.122</v>
      </c>
      <c r="AB56" s="256">
        <v>0.128</v>
      </c>
      <c r="AC56" s="256">
        <v>0.13500000000000001</v>
      </c>
      <c r="AD56" s="256">
        <v>0.14199999999999999</v>
      </c>
      <c r="AE56" s="256">
        <v>0.14899999999999999</v>
      </c>
      <c r="AF56" s="256">
        <v>0.156</v>
      </c>
      <c r="AG56" s="256">
        <v>0.16300000000000001</v>
      </c>
      <c r="AH56" s="256">
        <v>0.17</v>
      </c>
      <c r="AI56" s="257">
        <v>0.17599999999999999</v>
      </c>
      <c r="AJ56" s="256">
        <v>0.184</v>
      </c>
      <c r="AK56" s="256">
        <v>0.191</v>
      </c>
      <c r="AL56" s="256">
        <v>0.19700000000000001</v>
      </c>
      <c r="AM56" s="256">
        <v>0.20399999999999999</v>
      </c>
      <c r="AN56" s="256">
        <v>0.21199999999999999</v>
      </c>
      <c r="AO56" s="256">
        <v>0.219</v>
      </c>
      <c r="AP56" s="256">
        <v>0.22500000000000001</v>
      </c>
      <c r="AQ56" s="256">
        <v>0.23200000000000001</v>
      </c>
      <c r="AR56" s="256">
        <v>0.23</v>
      </c>
      <c r="AS56" s="256">
        <v>0.22700000000000001</v>
      </c>
      <c r="AT56" s="256">
        <v>0.224</v>
      </c>
      <c r="AU56" s="256">
        <v>0.221</v>
      </c>
      <c r="AV56" s="256">
        <v>0.219</v>
      </c>
      <c r="AW56" s="256">
        <v>0.216</v>
      </c>
      <c r="AX56" s="256">
        <v>0.21299999999999999</v>
      </c>
      <c r="AY56" s="256">
        <v>0.21099999999999999</v>
      </c>
      <c r="AZ56" s="256">
        <v>0.20799999999999999</v>
      </c>
      <c r="BA56" s="256">
        <v>0.20499999999999999</v>
      </c>
      <c r="BB56" s="256">
        <v>0.20300000000000001</v>
      </c>
      <c r="BC56" s="256">
        <v>0.2</v>
      </c>
      <c r="BD56" s="258"/>
      <c r="BE56" s="256"/>
      <c r="BF56" s="30" t="s">
        <v>417</v>
      </c>
      <c r="BG56" s="20"/>
      <c r="BH56" s="1"/>
      <c r="BI56" s="1"/>
      <c r="BJ56" s="20"/>
      <c r="BK56" s="1"/>
      <c r="BL56" s="1"/>
      <c r="BM56" s="1"/>
      <c r="BN56" s="1" t="s">
        <v>433</v>
      </c>
      <c r="BO56" s="1">
        <f>0.52*0.09</f>
        <v>4.6800000000000001E-2</v>
      </c>
      <c r="BP56" s="1"/>
      <c r="BQ56" s="1"/>
      <c r="BR56" s="1"/>
      <c r="BS56" s="1"/>
      <c r="BT56" s="1"/>
      <c r="BU56" s="1"/>
      <c r="BV56" s="1"/>
      <c r="BW56" s="1"/>
      <c r="BX56" s="1"/>
      <c r="BY56" s="1"/>
      <c r="BZ56" s="1"/>
      <c r="CA56" s="1"/>
      <c r="CB56" s="1"/>
    </row>
    <row r="57" spans="1:80" ht="14.25" customHeight="1">
      <c r="A57" s="30"/>
      <c r="B57" s="30" t="s">
        <v>199</v>
      </c>
      <c r="C57" s="30" t="s">
        <v>340</v>
      </c>
      <c r="D57" s="30" t="s">
        <v>344</v>
      </c>
      <c r="E57" s="30" t="s">
        <v>345</v>
      </c>
      <c r="F57" s="30"/>
      <c r="G57" s="256">
        <v>0.05</v>
      </c>
      <c r="H57" s="256">
        <v>5.8000000000000003E-2</v>
      </c>
      <c r="I57" s="256">
        <v>5.8000000000000003E-2</v>
      </c>
      <c r="J57" s="256">
        <v>5.8999999999999997E-2</v>
      </c>
      <c r="K57" s="256">
        <v>6.2E-2</v>
      </c>
      <c r="L57" s="256">
        <v>6.6000000000000003E-2</v>
      </c>
      <c r="M57" s="256">
        <v>6.9000000000000006E-2</v>
      </c>
      <c r="N57" s="256">
        <v>7.2999999999999995E-2</v>
      </c>
      <c r="O57" s="256">
        <v>7.6999999999999999E-2</v>
      </c>
      <c r="P57" s="256">
        <v>0.08</v>
      </c>
      <c r="Q57" s="256">
        <v>8.3000000000000004E-2</v>
      </c>
      <c r="R57" s="256">
        <v>8.5999999999999993E-2</v>
      </c>
      <c r="S57" s="256">
        <v>0.09</v>
      </c>
      <c r="T57" s="256">
        <v>9.4E-2</v>
      </c>
      <c r="U57" s="256">
        <v>9.7000000000000003E-2</v>
      </c>
      <c r="V57" s="256">
        <v>0.10100000000000001</v>
      </c>
      <c r="W57" s="256">
        <v>0.104</v>
      </c>
      <c r="X57" s="256">
        <v>0.107</v>
      </c>
      <c r="Y57" s="256">
        <v>0.111</v>
      </c>
      <c r="Z57" s="256">
        <v>0.114</v>
      </c>
      <c r="AA57" s="256">
        <v>0.122</v>
      </c>
      <c r="AB57" s="256">
        <v>0.128</v>
      </c>
      <c r="AC57" s="256">
        <v>0.13500000000000001</v>
      </c>
      <c r="AD57" s="256">
        <v>0.14199999999999999</v>
      </c>
      <c r="AE57" s="256">
        <v>0.14899999999999999</v>
      </c>
      <c r="AF57" s="256">
        <v>0.156</v>
      </c>
      <c r="AG57" s="256">
        <v>0.16300000000000001</v>
      </c>
      <c r="AH57" s="256">
        <v>0.17</v>
      </c>
      <c r="AI57" s="257">
        <v>0.17599999999999999</v>
      </c>
      <c r="AJ57" s="256">
        <v>0.184</v>
      </c>
      <c r="AK57" s="256">
        <v>0.191</v>
      </c>
      <c r="AL57" s="256">
        <v>0.19700000000000001</v>
      </c>
      <c r="AM57" s="256">
        <v>0.20399999999999999</v>
      </c>
      <c r="AN57" s="256">
        <v>0.21199999999999999</v>
      </c>
      <c r="AO57" s="256">
        <v>0.219</v>
      </c>
      <c r="AP57" s="256">
        <v>0.22500000000000001</v>
      </c>
      <c r="AQ57" s="256">
        <v>0.23200000000000001</v>
      </c>
      <c r="AR57" s="256">
        <v>0.23</v>
      </c>
      <c r="AS57" s="256">
        <v>0.22700000000000001</v>
      </c>
      <c r="AT57" s="256">
        <v>0.224</v>
      </c>
      <c r="AU57" s="256">
        <v>0.221</v>
      </c>
      <c r="AV57" s="256">
        <v>0.219</v>
      </c>
      <c r="AW57" s="256">
        <v>0.216</v>
      </c>
      <c r="AX57" s="256">
        <v>0.21299999999999999</v>
      </c>
      <c r="AY57" s="256">
        <v>0.21099999999999999</v>
      </c>
      <c r="AZ57" s="256">
        <v>0.20799999999999999</v>
      </c>
      <c r="BA57" s="256">
        <v>0.20499999999999999</v>
      </c>
      <c r="BB57" s="256">
        <v>0.20300000000000001</v>
      </c>
      <c r="BC57" s="256">
        <v>0.2</v>
      </c>
      <c r="BD57" s="258"/>
      <c r="BE57" s="256"/>
      <c r="BF57" s="30" t="s">
        <v>417</v>
      </c>
      <c r="BG57" s="20"/>
      <c r="BH57" s="1"/>
      <c r="BI57" s="1"/>
      <c r="BJ57" s="65"/>
      <c r="BK57" s="1"/>
      <c r="BL57" s="1"/>
      <c r="BM57" s="1"/>
      <c r="BN57" s="1" t="s">
        <v>426</v>
      </c>
      <c r="BO57" s="1">
        <f>0.48*0.09</f>
        <v>4.3199999999999995E-2</v>
      </c>
      <c r="BP57" s="1"/>
      <c r="BQ57" s="1"/>
      <c r="BR57" s="1"/>
      <c r="BS57" s="1"/>
      <c r="BT57" s="1"/>
      <c r="BU57" s="1"/>
      <c r="BV57" s="1"/>
      <c r="BW57" s="1"/>
      <c r="BX57" s="1"/>
      <c r="BY57" s="1"/>
      <c r="BZ57" s="1"/>
      <c r="CA57" s="1"/>
      <c r="CB57" s="1"/>
    </row>
    <row r="58" spans="1:80" ht="14.25" customHeight="1">
      <c r="A58" s="30"/>
      <c r="B58" s="30" t="s">
        <v>202</v>
      </c>
      <c r="C58" s="30" t="s">
        <v>340</v>
      </c>
      <c r="D58" s="30" t="s">
        <v>344</v>
      </c>
      <c r="E58" s="30" t="s">
        <v>345</v>
      </c>
      <c r="F58" s="30"/>
      <c r="G58" s="256">
        <v>0.05</v>
      </c>
      <c r="H58" s="256">
        <v>5.8000000000000003E-2</v>
      </c>
      <c r="I58" s="256">
        <v>5.8000000000000003E-2</v>
      </c>
      <c r="J58" s="256">
        <v>5.8999999999999997E-2</v>
      </c>
      <c r="K58" s="256">
        <v>6.2E-2</v>
      </c>
      <c r="L58" s="256">
        <v>6.6000000000000003E-2</v>
      </c>
      <c r="M58" s="256">
        <v>6.9000000000000006E-2</v>
      </c>
      <c r="N58" s="256">
        <v>7.2999999999999995E-2</v>
      </c>
      <c r="O58" s="256">
        <v>7.6999999999999999E-2</v>
      </c>
      <c r="P58" s="256">
        <v>0.08</v>
      </c>
      <c r="Q58" s="256">
        <v>8.3000000000000004E-2</v>
      </c>
      <c r="R58" s="256">
        <v>8.5999999999999993E-2</v>
      </c>
      <c r="S58" s="256">
        <v>0.09</v>
      </c>
      <c r="T58" s="256">
        <v>9.4E-2</v>
      </c>
      <c r="U58" s="256">
        <v>9.7000000000000003E-2</v>
      </c>
      <c r="V58" s="256">
        <v>0.10100000000000001</v>
      </c>
      <c r="W58" s="256">
        <v>0.104</v>
      </c>
      <c r="X58" s="256">
        <v>0.107</v>
      </c>
      <c r="Y58" s="256">
        <v>0.111</v>
      </c>
      <c r="Z58" s="256">
        <v>0.114</v>
      </c>
      <c r="AA58" s="256">
        <v>0.122</v>
      </c>
      <c r="AB58" s="256">
        <v>0.128</v>
      </c>
      <c r="AC58" s="256">
        <v>0.13500000000000001</v>
      </c>
      <c r="AD58" s="256">
        <v>0.14199999999999999</v>
      </c>
      <c r="AE58" s="256">
        <v>0.14899999999999999</v>
      </c>
      <c r="AF58" s="256">
        <v>0.156</v>
      </c>
      <c r="AG58" s="256">
        <v>0.16300000000000001</v>
      </c>
      <c r="AH58" s="256">
        <v>0.17</v>
      </c>
      <c r="AI58" s="257">
        <v>0.17599999999999999</v>
      </c>
      <c r="AJ58" s="256">
        <v>0.184</v>
      </c>
      <c r="AK58" s="256">
        <v>0.191</v>
      </c>
      <c r="AL58" s="256">
        <v>0.19700000000000001</v>
      </c>
      <c r="AM58" s="256">
        <v>0.20399999999999999</v>
      </c>
      <c r="AN58" s="256">
        <v>0.21199999999999999</v>
      </c>
      <c r="AO58" s="256">
        <v>0.219</v>
      </c>
      <c r="AP58" s="256">
        <v>0.22500000000000001</v>
      </c>
      <c r="AQ58" s="256">
        <v>0.23200000000000001</v>
      </c>
      <c r="AR58" s="256">
        <v>0.23</v>
      </c>
      <c r="AS58" s="256">
        <v>0.22700000000000001</v>
      </c>
      <c r="AT58" s="256">
        <v>0.224</v>
      </c>
      <c r="AU58" s="256">
        <v>0.221</v>
      </c>
      <c r="AV58" s="256">
        <v>0.219</v>
      </c>
      <c r="AW58" s="256">
        <v>0.216</v>
      </c>
      <c r="AX58" s="256">
        <v>0.21299999999999999</v>
      </c>
      <c r="AY58" s="256">
        <v>0.21099999999999999</v>
      </c>
      <c r="AZ58" s="256">
        <v>0.20799999999999999</v>
      </c>
      <c r="BA58" s="256">
        <v>0.20499999999999999</v>
      </c>
      <c r="BB58" s="256">
        <v>0.20300000000000001</v>
      </c>
      <c r="BC58" s="256">
        <v>0.2</v>
      </c>
      <c r="BD58" s="258"/>
      <c r="BE58" s="256"/>
      <c r="BF58" s="191"/>
      <c r="BG58" s="20"/>
      <c r="BH58" s="1"/>
      <c r="BI58" s="1"/>
      <c r="BJ58" s="65"/>
      <c r="BK58" s="1"/>
      <c r="BL58" s="1"/>
      <c r="BM58" s="1"/>
      <c r="BN58" s="1"/>
      <c r="BO58" s="1"/>
      <c r="BP58" s="1"/>
      <c r="BQ58" s="1"/>
      <c r="BR58" s="1"/>
      <c r="BS58" s="1"/>
      <c r="BT58" s="1"/>
      <c r="BU58" s="1"/>
      <c r="BV58" s="1"/>
      <c r="BW58" s="1"/>
      <c r="BX58" s="1"/>
      <c r="BY58" s="1"/>
      <c r="BZ58" s="1"/>
      <c r="CA58" s="1"/>
      <c r="CB58" s="1"/>
    </row>
    <row r="59" spans="1:80" ht="14.25" customHeight="1">
      <c r="A59" s="30"/>
      <c r="B59" s="30"/>
      <c r="C59" s="30" t="s">
        <v>347</v>
      </c>
      <c r="D59" s="30"/>
      <c r="E59" s="30" t="s">
        <v>205</v>
      </c>
      <c r="F59" s="30"/>
      <c r="G59" s="256">
        <v>0</v>
      </c>
      <c r="H59" s="256">
        <v>3.0000000000000001E-3</v>
      </c>
      <c r="I59" s="256">
        <v>5.0000000000000001E-3</v>
      </c>
      <c r="J59" s="256">
        <v>6.0000000000000001E-3</v>
      </c>
      <c r="K59" s="256">
        <v>8.0000000000000002E-3</v>
      </c>
      <c r="L59" s="256">
        <v>0.01</v>
      </c>
      <c r="M59" s="256">
        <v>1.0999999999999999E-2</v>
      </c>
      <c r="N59" s="256">
        <v>1.2E-2</v>
      </c>
      <c r="O59" s="256">
        <v>1.2999999999999999E-2</v>
      </c>
      <c r="P59" s="256">
        <v>1.4E-2</v>
      </c>
      <c r="Q59" s="256">
        <v>1.4999999999999999E-2</v>
      </c>
      <c r="R59" s="256">
        <v>1.7000000000000001E-2</v>
      </c>
      <c r="S59" s="256">
        <v>1.7999999999999999E-2</v>
      </c>
      <c r="T59" s="256">
        <v>0.02</v>
      </c>
      <c r="U59" s="256">
        <v>2.1000000000000001E-2</v>
      </c>
      <c r="V59" s="256">
        <v>2.3E-2</v>
      </c>
      <c r="W59" s="256">
        <v>2.4E-2</v>
      </c>
      <c r="X59" s="256">
        <v>2.5999999999999999E-2</v>
      </c>
      <c r="Y59" s="256">
        <v>2.8000000000000001E-2</v>
      </c>
      <c r="Z59" s="256">
        <v>0.03</v>
      </c>
      <c r="AA59" s="256">
        <v>3.4000000000000002E-2</v>
      </c>
      <c r="AB59" s="256">
        <v>3.7999999999999999E-2</v>
      </c>
      <c r="AC59" s="256">
        <v>4.2999999999999997E-2</v>
      </c>
      <c r="AD59" s="256">
        <v>4.7E-2</v>
      </c>
      <c r="AE59" s="256">
        <v>5.1999999999999998E-2</v>
      </c>
      <c r="AF59" s="256">
        <v>5.7000000000000002E-2</v>
      </c>
      <c r="AG59" s="256">
        <v>6.0999999999999999E-2</v>
      </c>
      <c r="AH59" s="256">
        <v>6.6000000000000003E-2</v>
      </c>
      <c r="AI59" s="257">
        <v>7.0000000000000007E-2</v>
      </c>
      <c r="AJ59" s="256">
        <v>7.3999999999999996E-2</v>
      </c>
      <c r="AK59" s="256">
        <v>7.6999999999999999E-2</v>
      </c>
      <c r="AL59" s="256">
        <v>0.08</v>
      </c>
      <c r="AM59" s="256">
        <v>8.3000000000000004E-2</v>
      </c>
      <c r="AN59" s="256">
        <v>8.4000000000000005E-2</v>
      </c>
      <c r="AO59" s="256">
        <v>8.5000000000000006E-2</v>
      </c>
      <c r="AP59" s="256">
        <v>8.5999999999999993E-2</v>
      </c>
      <c r="AQ59" s="256">
        <v>8.6999999999999994E-2</v>
      </c>
      <c r="AR59" s="256">
        <v>8.7999999999999995E-2</v>
      </c>
      <c r="AS59" s="256">
        <v>8.8999999999999996E-2</v>
      </c>
      <c r="AT59" s="256">
        <v>8.8999999999999996E-2</v>
      </c>
      <c r="AU59" s="256">
        <v>0.09</v>
      </c>
      <c r="AV59" s="256">
        <v>9.0999999999999998E-2</v>
      </c>
      <c r="AW59" s="256">
        <v>9.1999999999999998E-2</v>
      </c>
      <c r="AX59" s="256">
        <v>9.2999999999999999E-2</v>
      </c>
      <c r="AY59" s="256">
        <v>9.4E-2</v>
      </c>
      <c r="AZ59" s="256">
        <v>9.4E-2</v>
      </c>
      <c r="BA59" s="256">
        <v>9.5000000000000001E-2</v>
      </c>
      <c r="BB59" s="256">
        <v>9.6000000000000002E-2</v>
      </c>
      <c r="BC59" s="256">
        <v>9.7000000000000003E-2</v>
      </c>
      <c r="BD59" s="258"/>
      <c r="BE59" s="256"/>
      <c r="BF59" s="191"/>
      <c r="BG59" s="20"/>
      <c r="BH59" s="1"/>
      <c r="BI59" s="1"/>
      <c r="BJ59" s="1"/>
      <c r="BK59" s="1"/>
      <c r="BL59" s="1"/>
      <c r="BM59" s="1"/>
      <c r="BN59" s="1"/>
      <c r="BO59" s="1"/>
      <c r="BP59" s="1"/>
      <c r="BQ59" s="1"/>
      <c r="BR59" s="1"/>
      <c r="BS59" s="1"/>
      <c r="BT59" s="1"/>
      <c r="BU59" s="1"/>
      <c r="BV59" s="1"/>
      <c r="BW59" s="1"/>
      <c r="BX59" s="1"/>
      <c r="BY59" s="1"/>
      <c r="BZ59" s="1"/>
      <c r="CA59" s="1"/>
      <c r="CB59" s="1"/>
    </row>
    <row r="60" spans="1:80" ht="14.25" customHeight="1">
      <c r="A60" s="30"/>
      <c r="B60" s="30"/>
      <c r="C60" s="30"/>
      <c r="D60" s="30"/>
      <c r="E60" s="30"/>
      <c r="F60" s="30"/>
      <c r="G60" s="22"/>
      <c r="H60" s="256"/>
      <c r="I60" s="259"/>
      <c r="J60" s="259"/>
      <c r="K60" s="256"/>
      <c r="L60" s="256"/>
      <c r="M60" s="256"/>
      <c r="N60" s="256"/>
      <c r="O60" s="256"/>
      <c r="P60" s="256"/>
      <c r="Q60" s="256"/>
      <c r="R60" s="256"/>
      <c r="S60" s="256"/>
      <c r="T60" s="256"/>
      <c r="U60" s="256"/>
      <c r="V60" s="256"/>
      <c r="W60" s="256"/>
      <c r="X60" s="256"/>
      <c r="Y60" s="256"/>
      <c r="Z60" s="256"/>
      <c r="AA60" s="256"/>
      <c r="AB60" s="256"/>
      <c r="AC60" s="191"/>
      <c r="AD60" s="191"/>
      <c r="AE60" s="191"/>
      <c r="AF60" s="191"/>
      <c r="AG60" s="191"/>
      <c r="AH60" s="191"/>
      <c r="AI60" s="260"/>
      <c r="AJ60" s="191"/>
      <c r="AK60" s="191"/>
      <c r="AL60" s="191"/>
      <c r="AM60" s="191"/>
      <c r="AN60" s="191"/>
      <c r="AO60" s="191"/>
      <c r="AP60" s="191"/>
      <c r="AQ60" s="191"/>
      <c r="AR60" s="191"/>
      <c r="AS60" s="191"/>
      <c r="AT60" s="191"/>
      <c r="AU60" s="191"/>
      <c r="AV60" s="191"/>
      <c r="AW60" s="191"/>
      <c r="AX60" s="191"/>
      <c r="AY60" s="191"/>
      <c r="AZ60" s="191"/>
      <c r="BA60" s="191"/>
      <c r="BB60" s="191"/>
      <c r="BC60" s="191"/>
      <c r="BD60" s="261"/>
      <c r="BE60" s="191"/>
      <c r="BF60" s="191"/>
      <c r="BG60" s="20"/>
      <c r="BH60" s="1"/>
      <c r="BI60" s="1"/>
      <c r="BJ60" s="1"/>
      <c r="BK60" s="1"/>
      <c r="BL60" s="1"/>
      <c r="BM60" s="1"/>
      <c r="BN60" s="1"/>
      <c r="BO60" s="1"/>
      <c r="BP60" s="1"/>
      <c r="BQ60" s="1"/>
      <c r="BR60" s="1"/>
      <c r="BS60" s="1"/>
      <c r="BT60" s="1"/>
      <c r="BU60" s="1"/>
      <c r="BV60" s="1"/>
      <c r="BW60" s="1"/>
      <c r="BX60" s="1"/>
      <c r="BY60" s="1"/>
      <c r="BZ60" s="1"/>
      <c r="CA60" s="1"/>
      <c r="CB60" s="1"/>
    </row>
    <row r="61" spans="1:80" ht="14.25" customHeight="1">
      <c r="A61" s="30"/>
      <c r="B61" s="30"/>
      <c r="C61" s="30"/>
      <c r="D61" s="30"/>
      <c r="E61" s="30"/>
      <c r="F61" s="30"/>
      <c r="G61" s="30"/>
      <c r="H61" s="191"/>
      <c r="I61" s="255"/>
      <c r="J61" s="255"/>
      <c r="K61" s="191"/>
      <c r="L61" s="191"/>
      <c r="M61" s="191"/>
      <c r="N61" s="191"/>
      <c r="O61" s="191"/>
      <c r="P61" s="191"/>
      <c r="Q61" s="191"/>
      <c r="R61" s="191"/>
      <c r="S61" s="191"/>
      <c r="T61" s="191"/>
      <c r="U61" s="191"/>
      <c r="V61" s="191"/>
      <c r="W61" s="191"/>
      <c r="X61" s="191"/>
      <c r="Y61" s="191"/>
      <c r="Z61" s="191"/>
      <c r="AA61" s="191"/>
      <c r="AB61" s="191"/>
      <c r="AC61" s="191"/>
      <c r="AD61" s="191"/>
      <c r="AE61" s="191"/>
      <c r="AF61" s="191"/>
      <c r="AG61" s="191"/>
      <c r="AH61" s="191"/>
      <c r="AI61" s="260"/>
      <c r="AJ61" s="191"/>
      <c r="AK61" s="191"/>
      <c r="AL61" s="191"/>
      <c r="AM61" s="191"/>
      <c r="AN61" s="191"/>
      <c r="AO61" s="191"/>
      <c r="AP61" s="191"/>
      <c r="AQ61" s="191"/>
      <c r="AR61" s="191"/>
      <c r="AS61" s="191"/>
      <c r="AT61" s="191"/>
      <c r="AU61" s="191"/>
      <c r="AV61" s="191"/>
      <c r="AW61" s="191"/>
      <c r="AX61" s="191"/>
      <c r="AY61" s="191"/>
      <c r="AZ61" s="191"/>
      <c r="BA61" s="191"/>
      <c r="BB61" s="191"/>
      <c r="BC61" s="191"/>
      <c r="BD61" s="261"/>
      <c r="BE61" s="191"/>
      <c r="BF61" s="191"/>
      <c r="BG61" s="20"/>
      <c r="BH61" s="1"/>
      <c r="BI61" s="1"/>
      <c r="BJ61" s="1"/>
      <c r="BK61" s="1"/>
      <c r="BL61" s="1"/>
      <c r="BM61" s="1"/>
      <c r="BN61" s="1"/>
      <c r="BO61" s="1"/>
      <c r="BP61" s="1"/>
      <c r="BQ61" s="1"/>
      <c r="BR61" s="1"/>
      <c r="BS61" s="1"/>
      <c r="BT61" s="1"/>
      <c r="BU61" s="1"/>
      <c r="BV61" s="1"/>
      <c r="BW61" s="1"/>
      <c r="BX61" s="1"/>
      <c r="BY61" s="1"/>
      <c r="BZ61" s="1"/>
      <c r="CA61" s="1"/>
      <c r="CB61" s="1"/>
    </row>
    <row r="62" spans="1:80" ht="14.25" customHeight="1">
      <c r="A62" s="262" t="s">
        <v>212</v>
      </c>
      <c r="B62" s="225"/>
      <c r="C62" s="246" t="s">
        <v>434</v>
      </c>
      <c r="D62" s="220" t="s">
        <v>214</v>
      </c>
      <c r="E62" s="220" t="s">
        <v>215</v>
      </c>
      <c r="F62" s="225"/>
      <c r="G62" s="263">
        <v>0.14699999999999999</v>
      </c>
      <c r="H62" s="263">
        <v>0.17150000000000001</v>
      </c>
      <c r="I62" s="263">
        <v>0.1862</v>
      </c>
      <c r="J62" s="263">
        <v>0.20300000000000001</v>
      </c>
      <c r="K62" s="263">
        <v>0.2049</v>
      </c>
      <c r="L62" s="263">
        <v>0.20680000000000001</v>
      </c>
      <c r="M62" s="263">
        <v>0.20880000000000001</v>
      </c>
      <c r="N62" s="263">
        <v>0.2107</v>
      </c>
      <c r="O62" s="263">
        <v>0.21260000000000001</v>
      </c>
      <c r="P62" s="263">
        <v>0.2165</v>
      </c>
      <c r="Q62" s="263">
        <v>0.22040000000000001</v>
      </c>
      <c r="R62" s="263">
        <v>0.22420000000000001</v>
      </c>
      <c r="S62" s="263">
        <v>0.2281</v>
      </c>
      <c r="T62" s="263">
        <v>0.23200000000000001</v>
      </c>
      <c r="U62" s="263">
        <v>0.23200000000000001</v>
      </c>
      <c r="V62" s="263">
        <v>0.23200000000000001</v>
      </c>
      <c r="W62" s="263">
        <v>0.23200000000000001</v>
      </c>
      <c r="X62" s="263">
        <v>0.23200000000000001</v>
      </c>
      <c r="Y62" s="263">
        <v>0.23200000000000001</v>
      </c>
      <c r="Z62" s="263">
        <v>0.23200000000000001</v>
      </c>
      <c r="AA62" s="263">
        <v>0.23200000000000001</v>
      </c>
      <c r="AB62" s="263">
        <v>0.23200000000000001</v>
      </c>
      <c r="AC62" s="263">
        <v>0.23200000000000001</v>
      </c>
      <c r="AD62" s="263">
        <v>0.23200000000000001</v>
      </c>
      <c r="AE62" s="263">
        <v>0.23200000000000001</v>
      </c>
      <c r="AF62" s="263">
        <v>0.23200000000000001</v>
      </c>
      <c r="AG62" s="263">
        <v>0.23200000000000001</v>
      </c>
      <c r="AH62" s="263">
        <v>0.23200000000000001</v>
      </c>
      <c r="AI62" s="264">
        <v>0.23200000000000001</v>
      </c>
      <c r="AJ62" s="263">
        <v>0.23200000000000001</v>
      </c>
      <c r="AK62" s="263">
        <v>0.23200000000000001</v>
      </c>
      <c r="AL62" s="263">
        <v>0.23200000000000001</v>
      </c>
      <c r="AM62" s="263">
        <v>0.23200000000000001</v>
      </c>
      <c r="AN62" s="263">
        <v>0.23200000000000001</v>
      </c>
      <c r="AO62" s="263">
        <v>0.23200000000000001</v>
      </c>
      <c r="AP62" s="263">
        <v>0.23200000000000001</v>
      </c>
      <c r="AQ62" s="263">
        <v>0.23200000000000001</v>
      </c>
      <c r="AR62" s="263">
        <v>0.23200000000000001</v>
      </c>
      <c r="AS62" s="263">
        <v>0.23200000000000001</v>
      </c>
      <c r="AT62" s="263">
        <v>0.23200000000000001</v>
      </c>
      <c r="AU62" s="263">
        <v>0.23200000000000001</v>
      </c>
      <c r="AV62" s="263">
        <v>0.23200000000000001</v>
      </c>
      <c r="AW62" s="263">
        <v>0.23200000000000001</v>
      </c>
      <c r="AX62" s="263">
        <v>0.23200000000000001</v>
      </c>
      <c r="AY62" s="263">
        <v>0.23200000000000001</v>
      </c>
      <c r="AZ62" s="263">
        <v>0.23200000000000001</v>
      </c>
      <c r="BA62" s="263">
        <v>0.23200000000000001</v>
      </c>
      <c r="BB62" s="263">
        <v>0.23200000000000001</v>
      </c>
      <c r="BC62" s="263">
        <v>0.23200000000000001</v>
      </c>
      <c r="BD62" s="265"/>
      <c r="BE62" s="263"/>
      <c r="BF62" s="225" t="s">
        <v>350</v>
      </c>
      <c r="BG62" s="20"/>
      <c r="BH62" s="1"/>
      <c r="BI62" s="1"/>
      <c r="BJ62" s="1"/>
      <c r="BK62" s="1"/>
      <c r="BL62" s="1"/>
      <c r="BM62" s="1"/>
      <c r="BN62" s="1"/>
      <c r="BO62" s="1"/>
      <c r="BP62" s="1"/>
      <c r="BQ62" s="1"/>
      <c r="BR62" s="1"/>
      <c r="BS62" s="1"/>
      <c r="BT62" s="1"/>
      <c r="BU62" s="1"/>
      <c r="BV62" s="1"/>
      <c r="BW62" s="1"/>
      <c r="BX62" s="1"/>
      <c r="BY62" s="1"/>
      <c r="BZ62" s="1"/>
      <c r="CA62" s="1"/>
      <c r="CB62" s="1"/>
    </row>
    <row r="63" spans="1:80" ht="14.25" customHeight="1">
      <c r="A63" s="30"/>
      <c r="B63" s="30"/>
      <c r="C63" s="219" t="s">
        <v>219</v>
      </c>
      <c r="D63" s="219" t="s">
        <v>220</v>
      </c>
      <c r="E63" s="30" t="s">
        <v>435</v>
      </c>
      <c r="F63" s="30"/>
      <c r="G63" s="241">
        <v>0</v>
      </c>
      <c r="H63" s="241">
        <v>1.67E-2</v>
      </c>
      <c r="I63" s="241">
        <v>3.3300000000000003E-2</v>
      </c>
      <c r="J63" s="241">
        <v>0.05</v>
      </c>
      <c r="K63" s="241">
        <v>0.09</v>
      </c>
      <c r="L63" s="241">
        <v>0.13</v>
      </c>
      <c r="M63" s="241">
        <v>0.17</v>
      </c>
      <c r="N63" s="241">
        <v>0.21</v>
      </c>
      <c r="O63" s="241">
        <v>0.25</v>
      </c>
      <c r="P63" s="241">
        <v>0.28999999999999998</v>
      </c>
      <c r="Q63" s="241">
        <v>0.33</v>
      </c>
      <c r="R63" s="241">
        <v>0.37</v>
      </c>
      <c r="S63" s="241">
        <v>0.41</v>
      </c>
      <c r="T63" s="241">
        <v>0.45</v>
      </c>
      <c r="U63" s="241">
        <v>0.5</v>
      </c>
      <c r="V63" s="241">
        <v>0.55000000000000004</v>
      </c>
      <c r="W63" s="241">
        <v>0.6</v>
      </c>
      <c r="X63" s="241">
        <v>0.65</v>
      </c>
      <c r="Y63" s="241">
        <v>0.7</v>
      </c>
      <c r="Z63" s="241">
        <v>0.73</v>
      </c>
      <c r="AA63" s="241">
        <v>0.76</v>
      </c>
      <c r="AB63" s="241">
        <v>0.79</v>
      </c>
      <c r="AC63" s="241">
        <v>0.82</v>
      </c>
      <c r="AD63" s="241">
        <v>0.85</v>
      </c>
      <c r="AE63" s="241">
        <v>0.87</v>
      </c>
      <c r="AF63" s="241">
        <v>0.89</v>
      </c>
      <c r="AG63" s="241">
        <v>0.91</v>
      </c>
      <c r="AH63" s="241">
        <v>0.93</v>
      </c>
      <c r="AI63" s="242">
        <v>0.95</v>
      </c>
      <c r="AJ63" s="241">
        <v>0.95</v>
      </c>
      <c r="AK63" s="241">
        <v>0.95</v>
      </c>
      <c r="AL63" s="241">
        <v>0.95</v>
      </c>
      <c r="AM63" s="241">
        <v>0.95</v>
      </c>
      <c r="AN63" s="241">
        <v>0.95</v>
      </c>
      <c r="AO63" s="241">
        <v>0.95</v>
      </c>
      <c r="AP63" s="241">
        <v>0.95</v>
      </c>
      <c r="AQ63" s="241">
        <v>0.95</v>
      </c>
      <c r="AR63" s="241">
        <v>0.95</v>
      </c>
      <c r="AS63" s="241">
        <v>0.95</v>
      </c>
      <c r="AT63" s="241">
        <v>0.95</v>
      </c>
      <c r="AU63" s="241">
        <v>0.95</v>
      </c>
      <c r="AV63" s="241">
        <v>0.95</v>
      </c>
      <c r="AW63" s="241">
        <v>0.95</v>
      </c>
      <c r="AX63" s="241">
        <v>0.95</v>
      </c>
      <c r="AY63" s="241">
        <v>0.95</v>
      </c>
      <c r="AZ63" s="241">
        <v>0.95</v>
      </c>
      <c r="BA63" s="241">
        <v>0.95</v>
      </c>
      <c r="BB63" s="241">
        <v>0.95</v>
      </c>
      <c r="BC63" s="241">
        <v>0.95</v>
      </c>
      <c r="BD63" s="243"/>
      <c r="BE63" s="241"/>
      <c r="BF63" s="30" t="s">
        <v>355</v>
      </c>
      <c r="BG63" s="20"/>
      <c r="BH63" s="1"/>
      <c r="BI63" s="1"/>
      <c r="BJ63" s="1"/>
      <c r="BK63" s="1"/>
      <c r="BL63" s="1"/>
      <c r="BM63" s="1"/>
      <c r="BN63" s="1"/>
      <c r="BO63" s="1"/>
      <c r="BP63" s="1"/>
      <c r="BQ63" s="1"/>
      <c r="BR63" s="1"/>
      <c r="BS63" s="1"/>
      <c r="BT63" s="1"/>
      <c r="BU63" s="1"/>
      <c r="BV63" s="1"/>
      <c r="BW63" s="1"/>
      <c r="BX63" s="1"/>
      <c r="BY63" s="1"/>
      <c r="BZ63" s="1"/>
      <c r="CA63" s="1"/>
      <c r="CB63" s="1"/>
    </row>
    <row r="64" spans="1:80" ht="14.25" customHeight="1">
      <c r="A64" s="30"/>
      <c r="B64" s="30"/>
      <c r="C64" s="219" t="s">
        <v>353</v>
      </c>
      <c r="D64" s="219" t="s">
        <v>58</v>
      </c>
      <c r="E64" s="30" t="s">
        <v>436</v>
      </c>
      <c r="F64" s="30"/>
      <c r="G64" s="241">
        <v>0</v>
      </c>
      <c r="H64" s="241">
        <v>6.7000000000000002E-3</v>
      </c>
      <c r="I64" s="241">
        <v>1.3299999999999999E-2</v>
      </c>
      <c r="J64" s="241">
        <v>0.02</v>
      </c>
      <c r="K64" s="241">
        <v>4.5999999999999999E-2</v>
      </c>
      <c r="L64" s="241">
        <v>7.1999999999999995E-2</v>
      </c>
      <c r="M64" s="241">
        <v>9.8000000000000004E-2</v>
      </c>
      <c r="N64" s="241">
        <v>0.124</v>
      </c>
      <c r="O64" s="241">
        <v>0.15</v>
      </c>
      <c r="P64" s="241">
        <v>0.18</v>
      </c>
      <c r="Q64" s="241">
        <v>0.21</v>
      </c>
      <c r="R64" s="241">
        <v>0.24</v>
      </c>
      <c r="S64" s="241">
        <v>0.27</v>
      </c>
      <c r="T64" s="241">
        <v>0.3</v>
      </c>
      <c r="U64" s="241">
        <v>0.32600000000000001</v>
      </c>
      <c r="V64" s="241">
        <v>0.35199999999999998</v>
      </c>
      <c r="W64" s="241">
        <v>0.378</v>
      </c>
      <c r="X64" s="241">
        <v>0.40400000000000003</v>
      </c>
      <c r="Y64" s="241">
        <v>0.43</v>
      </c>
      <c r="Z64" s="241">
        <v>0.44800000000000001</v>
      </c>
      <c r="AA64" s="241">
        <v>0.46600000000000003</v>
      </c>
      <c r="AB64" s="241">
        <v>0.48399999999999999</v>
      </c>
      <c r="AC64" s="241">
        <v>0.502</v>
      </c>
      <c r="AD64" s="241">
        <v>0.52</v>
      </c>
      <c r="AE64" s="241">
        <v>0.53600000000000003</v>
      </c>
      <c r="AF64" s="241">
        <v>0.55200000000000005</v>
      </c>
      <c r="AG64" s="241">
        <v>0.56799999999999995</v>
      </c>
      <c r="AH64" s="241">
        <v>0.58399999999999996</v>
      </c>
      <c r="AI64" s="242">
        <v>0.6</v>
      </c>
      <c r="AJ64" s="241">
        <v>0.60199999999999998</v>
      </c>
      <c r="AK64" s="241">
        <v>0.60399999999999998</v>
      </c>
      <c r="AL64" s="241">
        <v>0.60599999999999998</v>
      </c>
      <c r="AM64" s="241">
        <v>0.60799999999999998</v>
      </c>
      <c r="AN64" s="241">
        <v>0.61</v>
      </c>
      <c r="AO64" s="241">
        <v>0.61199999999999999</v>
      </c>
      <c r="AP64" s="241">
        <v>0.61399999999999999</v>
      </c>
      <c r="AQ64" s="241">
        <v>0.61599999999999999</v>
      </c>
      <c r="AR64" s="241">
        <v>0.61799999999999999</v>
      </c>
      <c r="AS64" s="241">
        <v>0.62</v>
      </c>
      <c r="AT64" s="241">
        <v>0.622</v>
      </c>
      <c r="AU64" s="241">
        <v>0.624</v>
      </c>
      <c r="AV64" s="241">
        <v>0.626</v>
      </c>
      <c r="AW64" s="241">
        <v>0.628</v>
      </c>
      <c r="AX64" s="241">
        <v>0.63</v>
      </c>
      <c r="AY64" s="241">
        <v>0.63200000000000001</v>
      </c>
      <c r="AZ64" s="241">
        <v>0.63400000000000001</v>
      </c>
      <c r="BA64" s="241">
        <v>0.63600000000000001</v>
      </c>
      <c r="BB64" s="241">
        <v>0.63800000000000001</v>
      </c>
      <c r="BC64" s="241">
        <v>0.64</v>
      </c>
      <c r="BD64" s="243"/>
      <c r="BE64" s="241"/>
      <c r="BF64" s="30" t="s">
        <v>437</v>
      </c>
      <c r="BG64" s="20"/>
      <c r="BH64" s="1"/>
      <c r="BI64" s="1"/>
      <c r="BJ64" s="1"/>
      <c r="BK64" s="1"/>
      <c r="BL64" s="1"/>
      <c r="BM64" s="1"/>
      <c r="BN64" s="1"/>
      <c r="BO64" s="1"/>
      <c r="BP64" s="1"/>
      <c r="BQ64" s="1"/>
      <c r="BR64" s="1"/>
      <c r="BS64" s="1"/>
      <c r="BT64" s="1"/>
      <c r="BU64" s="1"/>
      <c r="BV64" s="1"/>
      <c r="BW64" s="1"/>
      <c r="BX64" s="1"/>
      <c r="BY64" s="1"/>
      <c r="BZ64" s="1"/>
      <c r="CA64" s="1"/>
      <c r="CB64" s="1"/>
    </row>
    <row r="65" spans="1:115" ht="14.25" customHeight="1">
      <c r="A65" s="30"/>
      <c r="B65" s="30"/>
      <c r="C65" s="30"/>
      <c r="D65" s="30"/>
      <c r="E65" s="30"/>
      <c r="F65" s="30"/>
      <c r="G65" s="30"/>
      <c r="H65" s="30"/>
      <c r="I65" s="255"/>
      <c r="J65" s="255"/>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226"/>
      <c r="AJ65" s="31"/>
      <c r="AK65" s="30"/>
      <c r="AL65" s="30"/>
      <c r="AM65" s="30"/>
      <c r="AN65" s="30"/>
      <c r="AO65" s="30"/>
      <c r="AP65" s="30"/>
      <c r="AQ65" s="30"/>
      <c r="AR65" s="30"/>
      <c r="AS65" s="30"/>
      <c r="AT65" s="30"/>
      <c r="AU65" s="30"/>
      <c r="AV65" s="30"/>
      <c r="AW65" s="30"/>
      <c r="AX65" s="30"/>
      <c r="AY65" s="30"/>
      <c r="AZ65" s="30"/>
      <c r="BA65" s="30"/>
      <c r="BB65" s="30"/>
      <c r="BC65" s="30"/>
      <c r="BD65" s="227"/>
      <c r="BE65" s="30"/>
      <c r="BF65" s="30"/>
      <c r="BG65" s="266"/>
      <c r="BH65" s="81"/>
      <c r="BI65" s="81"/>
      <c r="BJ65" s="81"/>
      <c r="BK65" s="81"/>
      <c r="BL65" s="81"/>
      <c r="BM65" s="81"/>
      <c r="BN65" s="81" t="s">
        <v>331</v>
      </c>
      <c r="BO65" s="81">
        <f>0.44</f>
        <v>0.44</v>
      </c>
      <c r="BP65" s="81"/>
      <c r="BQ65" s="81"/>
      <c r="BR65" s="81"/>
      <c r="BS65" s="81"/>
      <c r="BT65" s="81"/>
      <c r="BU65" s="81"/>
      <c r="BV65" s="81"/>
      <c r="BW65" s="81"/>
      <c r="BX65" s="81"/>
      <c r="BY65" s="81"/>
      <c r="BZ65" s="81"/>
      <c r="CA65" s="81"/>
      <c r="CB65" s="1"/>
      <c r="CC65" s="1"/>
      <c r="CD65" s="1"/>
      <c r="CE65" s="1"/>
      <c r="CF65" s="1"/>
      <c r="CG65" s="1"/>
      <c r="CH65" s="1"/>
      <c r="CI65" s="1"/>
    </row>
    <row r="66" spans="1:115" ht="14.25" customHeight="1">
      <c r="A66" s="262" t="s">
        <v>225</v>
      </c>
      <c r="B66" s="225"/>
      <c r="C66" s="220"/>
      <c r="D66" s="220"/>
      <c r="E66" s="220"/>
      <c r="F66" s="225"/>
      <c r="G66" s="225"/>
      <c r="H66" s="225"/>
      <c r="I66" s="267"/>
      <c r="J66" s="267"/>
      <c r="K66" s="225"/>
      <c r="L66" s="225"/>
      <c r="M66" s="225"/>
      <c r="N66" s="225"/>
      <c r="O66" s="225"/>
      <c r="P66" s="225"/>
      <c r="Q66" s="225"/>
      <c r="R66" s="225"/>
      <c r="S66" s="225"/>
      <c r="T66" s="225"/>
      <c r="U66" s="225"/>
      <c r="V66" s="225"/>
      <c r="W66" s="225"/>
      <c r="X66" s="225"/>
      <c r="Y66" s="225"/>
      <c r="Z66" s="225"/>
      <c r="AA66" s="225"/>
      <c r="AB66" s="225"/>
      <c r="AC66" s="225"/>
      <c r="AD66" s="225"/>
      <c r="AE66" s="225"/>
      <c r="AF66" s="225"/>
      <c r="AG66" s="225"/>
      <c r="AH66" s="225"/>
      <c r="AI66" s="268"/>
      <c r="AJ66" s="269"/>
      <c r="AK66" s="225"/>
      <c r="AL66" s="225"/>
      <c r="AM66" s="225"/>
      <c r="AN66" s="225"/>
      <c r="AO66" s="225"/>
      <c r="AP66" s="225"/>
      <c r="AQ66" s="225"/>
      <c r="AR66" s="225"/>
      <c r="AS66" s="225"/>
      <c r="AT66" s="225"/>
      <c r="AU66" s="225"/>
      <c r="AV66" s="225"/>
      <c r="AW66" s="225"/>
      <c r="AX66" s="225"/>
      <c r="AY66" s="225"/>
      <c r="AZ66" s="225"/>
      <c r="BA66" s="225"/>
      <c r="BB66" s="225"/>
      <c r="BC66" s="225"/>
      <c r="BD66" s="270"/>
      <c r="BE66" s="225"/>
      <c r="BF66" s="225"/>
      <c r="BG66" s="1"/>
      <c r="BH66" s="1"/>
      <c r="BI66" s="1"/>
      <c r="BJ66" s="1"/>
      <c r="BK66" s="1"/>
      <c r="BL66" s="1"/>
      <c r="BM66" s="1"/>
      <c r="BN66" s="1" t="s">
        <v>429</v>
      </c>
      <c r="BO66" s="1">
        <v>0.47</v>
      </c>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row>
    <row r="67" spans="1:115" ht="14.25" customHeight="1">
      <c r="A67" s="30"/>
      <c r="B67" s="215"/>
      <c r="C67" s="219" t="s">
        <v>213</v>
      </c>
      <c r="D67" s="219" t="s">
        <v>214</v>
      </c>
      <c r="E67" s="219" t="s">
        <v>215</v>
      </c>
      <c r="F67" s="30"/>
      <c r="G67" s="256">
        <v>0</v>
      </c>
      <c r="H67" s="22">
        <v>2.0000000000000001E-4</v>
      </c>
      <c r="I67" s="259">
        <v>4.0000000000000002E-4</v>
      </c>
      <c r="J67" s="256">
        <v>5.9999999999999995E-4</v>
      </c>
      <c r="K67" s="256">
        <v>8.0000000000000004E-4</v>
      </c>
      <c r="L67" s="256">
        <v>1.1000000000000001E-3</v>
      </c>
      <c r="M67" s="256">
        <v>1.4E-3</v>
      </c>
      <c r="N67" s="256">
        <v>1.6999999999999999E-3</v>
      </c>
      <c r="O67" s="256">
        <v>2E-3</v>
      </c>
      <c r="P67" s="256">
        <v>2.3E-3</v>
      </c>
      <c r="Q67" s="256">
        <v>2.7000000000000001E-3</v>
      </c>
      <c r="R67" s="256">
        <v>3.0999999999999999E-3</v>
      </c>
      <c r="S67" s="256">
        <v>3.3999999999999998E-3</v>
      </c>
      <c r="T67" s="256">
        <v>3.8E-3</v>
      </c>
      <c r="U67" s="256">
        <v>4.1999999999999997E-3</v>
      </c>
      <c r="V67" s="256">
        <v>4.4999999999999997E-3</v>
      </c>
      <c r="W67" s="256">
        <v>4.8999999999999998E-3</v>
      </c>
      <c r="X67" s="256">
        <v>5.3E-3</v>
      </c>
      <c r="Y67" s="256">
        <v>5.7000000000000002E-3</v>
      </c>
      <c r="Z67" s="256">
        <v>6.1999999999999998E-3</v>
      </c>
      <c r="AA67" s="256">
        <v>6.7000000000000002E-3</v>
      </c>
      <c r="AB67" s="256">
        <v>7.1999999999999998E-3</v>
      </c>
      <c r="AC67" s="256">
        <v>7.6E-3</v>
      </c>
      <c r="AD67" s="256">
        <v>8.0999999999999996E-3</v>
      </c>
      <c r="AE67" s="256">
        <v>8.6999999999999994E-3</v>
      </c>
      <c r="AF67" s="256">
        <v>9.1999999999999998E-3</v>
      </c>
      <c r="AG67" s="256">
        <v>9.7999999999999997E-3</v>
      </c>
      <c r="AH67" s="256">
        <v>1.04E-2</v>
      </c>
      <c r="AI67" s="257">
        <v>1.09E-2</v>
      </c>
      <c r="AJ67" s="271">
        <v>1.0999999999999999E-2</v>
      </c>
      <c r="AK67" s="256">
        <v>1.2E-2</v>
      </c>
      <c r="AL67" s="256">
        <v>1.2999999999999999E-2</v>
      </c>
      <c r="AM67" s="256">
        <v>1.2999999999999999E-2</v>
      </c>
      <c r="AN67" s="256">
        <v>1.38E-2</v>
      </c>
      <c r="AO67" s="256">
        <v>1.4E-2</v>
      </c>
      <c r="AP67" s="256">
        <v>1.4999999999999999E-2</v>
      </c>
      <c r="AQ67" s="256">
        <v>1.6E-2</v>
      </c>
      <c r="AR67" s="256">
        <v>1.6E-2</v>
      </c>
      <c r="AS67" s="256">
        <v>1.7000000000000001E-2</v>
      </c>
      <c r="AT67" s="256">
        <v>1.7000000000000001E-2</v>
      </c>
      <c r="AU67" s="256">
        <v>1.7000000000000001E-2</v>
      </c>
      <c r="AV67" s="256">
        <v>1.7999999999999999E-2</v>
      </c>
      <c r="AW67" s="256">
        <v>1.7999999999999999E-2</v>
      </c>
      <c r="AX67" s="256">
        <v>1.84E-2</v>
      </c>
      <c r="AY67" s="256">
        <v>1.7999999999999999E-2</v>
      </c>
      <c r="AZ67" s="256">
        <v>1.9E-2</v>
      </c>
      <c r="BA67" s="256">
        <v>1.9E-2</v>
      </c>
      <c r="BB67" s="256">
        <v>1.9E-2</v>
      </c>
      <c r="BC67" s="256">
        <v>1.8800000000000001E-2</v>
      </c>
      <c r="BD67" s="258"/>
      <c r="BE67" s="256"/>
      <c r="BF67" s="30" t="s">
        <v>231</v>
      </c>
      <c r="BG67" s="272" t="s">
        <v>386</v>
      </c>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row>
    <row r="68" spans="1:115" ht="14.25" customHeight="1">
      <c r="A68" s="90"/>
      <c r="B68" s="27" t="s">
        <v>226</v>
      </c>
      <c r="C68" s="1" t="s">
        <v>214</v>
      </c>
      <c r="D68" s="1" t="s">
        <v>215</v>
      </c>
      <c r="E68" s="1"/>
      <c r="F68" s="35"/>
      <c r="G68" s="65">
        <v>0.04</v>
      </c>
      <c r="H68" s="65">
        <f t="shared" ref="H68:I68" si="0">G68+($J68-$G68)/($L$1-$I$1)</f>
        <v>4.3333333333333335E-2</v>
      </c>
      <c r="I68" s="65">
        <f t="shared" si="0"/>
        <v>4.6666666666666669E-2</v>
      </c>
      <c r="J68" s="65">
        <v>0.05</v>
      </c>
      <c r="K68" s="65">
        <f t="shared" ref="K68:N68" si="1">J68+($O68-$J68)/($Q$1-$L$1)</f>
        <v>5.2000000000000005E-2</v>
      </c>
      <c r="L68" s="65">
        <f t="shared" si="1"/>
        <v>5.4000000000000006E-2</v>
      </c>
      <c r="M68" s="65">
        <f t="shared" si="1"/>
        <v>5.6000000000000008E-2</v>
      </c>
      <c r="N68" s="65">
        <f t="shared" si="1"/>
        <v>5.800000000000001E-2</v>
      </c>
      <c r="O68" s="65">
        <v>0.06</v>
      </c>
      <c r="P68" s="65">
        <f t="shared" ref="P68:S68" si="2">O68+($T68-$O68)/($V$1-$Q$1)</f>
        <v>6.1800000000000001E-2</v>
      </c>
      <c r="Q68" s="65">
        <f t="shared" si="2"/>
        <v>6.3600000000000004E-2</v>
      </c>
      <c r="R68" s="65">
        <f t="shared" si="2"/>
        <v>6.54E-2</v>
      </c>
      <c r="S68" s="65">
        <f t="shared" si="2"/>
        <v>6.7199999999999996E-2</v>
      </c>
      <c r="T68" s="65">
        <v>6.9000000000000006E-2</v>
      </c>
      <c r="U68" s="65">
        <f t="shared" ref="U68:BC68" si="3">T68</f>
        <v>6.9000000000000006E-2</v>
      </c>
      <c r="V68" s="65">
        <f t="shared" si="3"/>
        <v>6.9000000000000006E-2</v>
      </c>
      <c r="W68" s="65">
        <f t="shared" si="3"/>
        <v>6.9000000000000006E-2</v>
      </c>
      <c r="X68" s="65">
        <f t="shared" si="3"/>
        <v>6.9000000000000006E-2</v>
      </c>
      <c r="Y68" s="65">
        <f t="shared" si="3"/>
        <v>6.9000000000000006E-2</v>
      </c>
      <c r="Z68" s="65">
        <f t="shared" si="3"/>
        <v>6.9000000000000006E-2</v>
      </c>
      <c r="AA68" s="65">
        <f t="shared" si="3"/>
        <v>6.9000000000000006E-2</v>
      </c>
      <c r="AB68" s="65">
        <f t="shared" si="3"/>
        <v>6.9000000000000006E-2</v>
      </c>
      <c r="AC68" s="65">
        <f t="shared" si="3"/>
        <v>6.9000000000000006E-2</v>
      </c>
      <c r="AD68" s="65">
        <f t="shared" si="3"/>
        <v>6.9000000000000006E-2</v>
      </c>
      <c r="AE68" s="65">
        <f t="shared" si="3"/>
        <v>6.9000000000000006E-2</v>
      </c>
      <c r="AF68" s="65">
        <f t="shared" si="3"/>
        <v>6.9000000000000006E-2</v>
      </c>
      <c r="AG68" s="65">
        <f t="shared" si="3"/>
        <v>6.9000000000000006E-2</v>
      </c>
      <c r="AH68" s="65">
        <f t="shared" si="3"/>
        <v>6.9000000000000006E-2</v>
      </c>
      <c r="AI68" s="65">
        <f t="shared" si="3"/>
        <v>6.9000000000000006E-2</v>
      </c>
      <c r="AJ68" s="65">
        <f t="shared" si="3"/>
        <v>6.9000000000000006E-2</v>
      </c>
      <c r="AK68" s="65">
        <f t="shared" si="3"/>
        <v>6.9000000000000006E-2</v>
      </c>
      <c r="AL68" s="65">
        <f t="shared" si="3"/>
        <v>6.9000000000000006E-2</v>
      </c>
      <c r="AM68" s="65">
        <f t="shared" si="3"/>
        <v>6.9000000000000006E-2</v>
      </c>
      <c r="AN68" s="65">
        <f t="shared" si="3"/>
        <v>6.9000000000000006E-2</v>
      </c>
      <c r="AO68" s="65">
        <f t="shared" si="3"/>
        <v>6.9000000000000006E-2</v>
      </c>
      <c r="AP68" s="65">
        <f t="shared" si="3"/>
        <v>6.9000000000000006E-2</v>
      </c>
      <c r="AQ68" s="65">
        <f t="shared" si="3"/>
        <v>6.9000000000000006E-2</v>
      </c>
      <c r="AR68" s="65">
        <f t="shared" si="3"/>
        <v>6.9000000000000006E-2</v>
      </c>
      <c r="AS68" s="65">
        <f t="shared" si="3"/>
        <v>6.9000000000000006E-2</v>
      </c>
      <c r="AT68" s="65">
        <f t="shared" si="3"/>
        <v>6.9000000000000006E-2</v>
      </c>
      <c r="AU68" s="65">
        <f t="shared" si="3"/>
        <v>6.9000000000000006E-2</v>
      </c>
      <c r="AV68" s="65">
        <f t="shared" si="3"/>
        <v>6.9000000000000006E-2</v>
      </c>
      <c r="AW68" s="65">
        <f t="shared" si="3"/>
        <v>6.9000000000000006E-2</v>
      </c>
      <c r="AX68" s="65">
        <f t="shared" si="3"/>
        <v>6.9000000000000006E-2</v>
      </c>
      <c r="AY68" s="65">
        <f t="shared" si="3"/>
        <v>6.9000000000000006E-2</v>
      </c>
      <c r="AZ68" s="65">
        <f t="shared" si="3"/>
        <v>6.9000000000000006E-2</v>
      </c>
      <c r="BA68" s="65">
        <f t="shared" si="3"/>
        <v>6.9000000000000006E-2</v>
      </c>
      <c r="BB68" s="65">
        <f t="shared" si="3"/>
        <v>6.9000000000000006E-2</v>
      </c>
      <c r="BC68" s="65">
        <f t="shared" si="3"/>
        <v>6.9000000000000006E-2</v>
      </c>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t="s">
        <v>227</v>
      </c>
      <c r="CE68" s="1">
        <v>13621</v>
      </c>
      <c r="CF68" s="65" t="e">
        <f>CE68/$CG$58</f>
        <v>#DIV/0!</v>
      </c>
      <c r="CG68" s="1" t="s">
        <v>228</v>
      </c>
      <c r="CH68" s="1"/>
      <c r="CI68" s="91" t="e">
        <f>CF68*CJ69/CI69</f>
        <v>#DIV/0!</v>
      </c>
      <c r="CJ68" s="1" t="s">
        <v>227</v>
      </c>
      <c r="CK68" s="56" t="e">
        <f>$CM$58*CI68</f>
        <v>#DIV/0!</v>
      </c>
      <c r="CL68" s="1"/>
      <c r="CM68" s="1" t="s">
        <v>227</v>
      </c>
      <c r="CN68" s="56" t="e">
        <f>CK68*(77/110)</f>
        <v>#DIV/0!</v>
      </c>
      <c r="CO68" s="1">
        <v>10.1</v>
      </c>
      <c r="CP68" s="1"/>
      <c r="CQ68" s="1"/>
      <c r="CR68" s="1"/>
      <c r="CS68" s="1"/>
      <c r="CT68" s="1"/>
      <c r="CU68" s="1"/>
      <c r="CV68" s="1"/>
      <c r="CW68" s="1"/>
      <c r="CX68" s="1"/>
      <c r="CY68" s="1"/>
      <c r="CZ68" s="1"/>
      <c r="DA68" s="1"/>
      <c r="DB68" s="1"/>
      <c r="DC68" s="1"/>
      <c r="DD68" s="1"/>
      <c r="DE68" s="1"/>
      <c r="DF68" s="1"/>
      <c r="DG68" s="1"/>
      <c r="DH68" s="1"/>
      <c r="DI68" s="1"/>
      <c r="DJ68" s="1"/>
      <c r="DK68" s="1"/>
    </row>
    <row r="69" spans="1:115" ht="14.25" customHeight="1">
      <c r="A69" s="30"/>
      <c r="B69" s="30"/>
      <c r="C69" s="219" t="s">
        <v>359</v>
      </c>
      <c r="D69" s="219"/>
      <c r="E69" s="219" t="s">
        <v>230</v>
      </c>
      <c r="F69" s="30"/>
      <c r="G69" s="219">
        <v>140</v>
      </c>
      <c r="H69" s="219">
        <v>140</v>
      </c>
      <c r="I69" s="228">
        <v>140</v>
      </c>
      <c r="J69" s="228">
        <v>140</v>
      </c>
      <c r="K69" s="219">
        <v>140</v>
      </c>
      <c r="L69" s="219">
        <v>140</v>
      </c>
      <c r="M69" s="219">
        <v>140</v>
      </c>
      <c r="N69" s="219">
        <v>140</v>
      </c>
      <c r="O69" s="219">
        <v>140</v>
      </c>
      <c r="P69" s="219">
        <v>600</v>
      </c>
      <c r="Q69" s="219">
        <v>600</v>
      </c>
      <c r="R69" s="219">
        <v>600</v>
      </c>
      <c r="S69" s="219">
        <v>600</v>
      </c>
      <c r="T69" s="219">
        <v>600</v>
      </c>
      <c r="U69" s="219">
        <v>600</v>
      </c>
      <c r="V69" s="219">
        <v>600</v>
      </c>
      <c r="W69" s="219">
        <v>600</v>
      </c>
      <c r="X69" s="219">
        <v>600</v>
      </c>
      <c r="Y69" s="219">
        <v>600</v>
      </c>
      <c r="Z69" s="219">
        <v>600</v>
      </c>
      <c r="AA69" s="219">
        <v>600</v>
      </c>
      <c r="AB69" s="219">
        <v>600</v>
      </c>
      <c r="AC69" s="219">
        <v>600</v>
      </c>
      <c r="AD69" s="219">
        <v>600</v>
      </c>
      <c r="AE69" s="219">
        <v>600</v>
      </c>
      <c r="AF69" s="219">
        <v>600</v>
      </c>
      <c r="AG69" s="219">
        <v>600</v>
      </c>
      <c r="AH69" s="219">
        <v>600</v>
      </c>
      <c r="AI69" s="229">
        <v>600</v>
      </c>
      <c r="AJ69" s="219">
        <v>600</v>
      </c>
      <c r="AK69" s="219">
        <v>600</v>
      </c>
      <c r="AL69" s="219">
        <v>600</v>
      </c>
      <c r="AM69" s="219">
        <v>600</v>
      </c>
      <c r="AN69" s="219">
        <v>600</v>
      </c>
      <c r="AO69" s="219">
        <v>600</v>
      </c>
      <c r="AP69" s="219">
        <v>600</v>
      </c>
      <c r="AQ69" s="219">
        <v>600</v>
      </c>
      <c r="AR69" s="219">
        <v>600</v>
      </c>
      <c r="AS69" s="219">
        <v>600</v>
      </c>
      <c r="AT69" s="219">
        <v>600</v>
      </c>
      <c r="AU69" s="219">
        <v>600</v>
      </c>
      <c r="AV69" s="219">
        <v>600</v>
      </c>
      <c r="AW69" s="219">
        <v>600</v>
      </c>
      <c r="AX69" s="219">
        <v>600</v>
      </c>
      <c r="AY69" s="219">
        <v>600</v>
      </c>
      <c r="AZ69" s="219">
        <v>600</v>
      </c>
      <c r="BA69" s="219">
        <v>600</v>
      </c>
      <c r="BB69" s="219">
        <v>600</v>
      </c>
      <c r="BC69" s="219">
        <v>600</v>
      </c>
      <c r="BD69" s="230"/>
      <c r="BE69" s="219"/>
      <c r="BF69" s="30" t="s">
        <v>364</v>
      </c>
      <c r="BG69" s="20"/>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row>
    <row r="70" spans="1:115" ht="14.25" customHeight="1">
      <c r="A70" s="30"/>
      <c r="B70" s="30"/>
      <c r="C70" s="219" t="s">
        <v>362</v>
      </c>
      <c r="D70" s="219" t="s">
        <v>35</v>
      </c>
      <c r="E70" s="219" t="s">
        <v>12</v>
      </c>
      <c r="F70" s="30"/>
      <c r="G70" s="22">
        <v>0</v>
      </c>
      <c r="H70" s="22">
        <v>0</v>
      </c>
      <c r="I70" s="259">
        <v>0</v>
      </c>
      <c r="J70" s="259">
        <v>0</v>
      </c>
      <c r="K70" s="22">
        <v>0</v>
      </c>
      <c r="L70" s="22">
        <v>0</v>
      </c>
      <c r="M70" s="22">
        <v>0</v>
      </c>
      <c r="N70" s="22">
        <v>0</v>
      </c>
      <c r="O70" s="22">
        <v>4.1999999999999997E-3</v>
      </c>
      <c r="P70" s="22">
        <v>4.1999999999999997E-3</v>
      </c>
      <c r="Q70" s="22">
        <v>4.1999999999999997E-3</v>
      </c>
      <c r="R70" s="22">
        <v>4.1999999999999997E-3</v>
      </c>
      <c r="S70" s="22">
        <v>8.3999999999999995E-3</v>
      </c>
      <c r="T70" s="22">
        <v>8.3999999999999995E-3</v>
      </c>
      <c r="U70" s="22">
        <v>8.3999999999999995E-3</v>
      </c>
      <c r="V70" s="22">
        <v>8.3999999999999995E-3</v>
      </c>
      <c r="W70" s="22">
        <v>1.6799999999999999E-2</v>
      </c>
      <c r="X70" s="22">
        <v>1.6799999999999999E-2</v>
      </c>
      <c r="Y70" s="22">
        <v>1.6799999999999999E-2</v>
      </c>
      <c r="Z70" s="22">
        <v>1.6799999999999999E-2</v>
      </c>
      <c r="AA70" s="22">
        <v>3.5000000000000003E-2</v>
      </c>
      <c r="AB70" s="22">
        <v>3.5000000000000003E-2</v>
      </c>
      <c r="AC70" s="22">
        <v>3.5000000000000003E-2</v>
      </c>
      <c r="AD70" s="22">
        <v>3.5000000000000003E-2</v>
      </c>
      <c r="AE70" s="22">
        <v>6.3E-2</v>
      </c>
      <c r="AF70" s="22">
        <v>6.3E-2</v>
      </c>
      <c r="AG70" s="22">
        <v>6.3E-2</v>
      </c>
      <c r="AH70" s="22">
        <v>6.3E-2</v>
      </c>
      <c r="AI70" s="273">
        <v>0.126</v>
      </c>
      <c r="AJ70" s="22">
        <v>0.126</v>
      </c>
      <c r="AK70" s="22">
        <v>0.126</v>
      </c>
      <c r="AL70" s="22">
        <v>0.126</v>
      </c>
      <c r="AM70" s="22">
        <v>0.126</v>
      </c>
      <c r="AN70" s="22">
        <v>0.126</v>
      </c>
      <c r="AO70" s="22">
        <v>0.126</v>
      </c>
      <c r="AP70" s="22">
        <v>0.126</v>
      </c>
      <c r="AQ70" s="22">
        <v>0.126</v>
      </c>
      <c r="AR70" s="22">
        <v>0.126</v>
      </c>
      <c r="AS70" s="22">
        <v>0.153</v>
      </c>
      <c r="AT70" s="22">
        <v>0.153</v>
      </c>
      <c r="AU70" s="22">
        <v>0.153</v>
      </c>
      <c r="AV70" s="22">
        <v>0.153</v>
      </c>
      <c r="AW70" s="22">
        <v>0.153</v>
      </c>
      <c r="AX70" s="22">
        <v>0.153</v>
      </c>
      <c r="AY70" s="22">
        <v>0.153</v>
      </c>
      <c r="AZ70" s="22">
        <v>0.153</v>
      </c>
      <c r="BA70" s="22">
        <v>0.153</v>
      </c>
      <c r="BB70" s="22">
        <v>0.153</v>
      </c>
      <c r="BC70" s="22">
        <v>0.153</v>
      </c>
      <c r="BD70" s="274"/>
      <c r="BE70" s="22"/>
      <c r="BF70" s="30" t="s">
        <v>438</v>
      </c>
      <c r="BG70" s="20"/>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row>
    <row r="71" spans="1:115" ht="14.25" customHeight="1">
      <c r="A71" s="30"/>
      <c r="B71" s="30"/>
      <c r="C71" s="219" t="s">
        <v>219</v>
      </c>
      <c r="D71" s="245" t="s">
        <v>220</v>
      </c>
      <c r="E71" s="219" t="s">
        <v>366</v>
      </c>
      <c r="F71" s="30"/>
      <c r="G71" s="256">
        <v>0</v>
      </c>
      <c r="H71" s="22">
        <v>6.7000000000000002E-3</v>
      </c>
      <c r="I71" s="259">
        <v>1.3299999999999999E-2</v>
      </c>
      <c r="J71" s="256">
        <v>0.02</v>
      </c>
      <c r="K71" s="256">
        <v>2.5999999999999999E-2</v>
      </c>
      <c r="L71" s="256">
        <v>3.2000000000000001E-2</v>
      </c>
      <c r="M71" s="256">
        <v>3.7999999999999999E-2</v>
      </c>
      <c r="N71" s="256">
        <v>4.3999999999999997E-2</v>
      </c>
      <c r="O71" s="256">
        <v>0.05</v>
      </c>
      <c r="P71" s="256">
        <v>0.06</v>
      </c>
      <c r="Q71" s="256">
        <v>7.0000000000000007E-2</v>
      </c>
      <c r="R71" s="256">
        <v>0.08</v>
      </c>
      <c r="S71" s="256">
        <v>0.09</v>
      </c>
      <c r="T71" s="256">
        <v>0.1</v>
      </c>
      <c r="U71" s="256">
        <v>0.11600000000000001</v>
      </c>
      <c r="V71" s="256">
        <v>0.13200000000000001</v>
      </c>
      <c r="W71" s="256">
        <v>0.14799999999999999</v>
      </c>
      <c r="X71" s="256">
        <v>0.16400000000000001</v>
      </c>
      <c r="Y71" s="256">
        <v>0.18</v>
      </c>
      <c r="Z71" s="256">
        <v>0.192</v>
      </c>
      <c r="AA71" s="256">
        <v>0.20399999999999999</v>
      </c>
      <c r="AB71" s="256">
        <v>0.216</v>
      </c>
      <c r="AC71" s="256">
        <v>0.22800000000000001</v>
      </c>
      <c r="AD71" s="256">
        <v>0.24</v>
      </c>
      <c r="AE71" s="256">
        <v>0.248</v>
      </c>
      <c r="AF71" s="256">
        <v>0.25600000000000001</v>
      </c>
      <c r="AG71" s="256">
        <v>0.26400000000000001</v>
      </c>
      <c r="AH71" s="256">
        <v>0.27200000000000002</v>
      </c>
      <c r="AI71" s="257">
        <v>0.28000000000000003</v>
      </c>
      <c r="AJ71" s="271">
        <v>0.28599999999999998</v>
      </c>
      <c r="AK71" s="256">
        <v>0.29199999999999998</v>
      </c>
      <c r="AL71" s="256">
        <v>0.29799999999999999</v>
      </c>
      <c r="AM71" s="256">
        <v>0.30399999999999999</v>
      </c>
      <c r="AN71" s="256">
        <v>0.31</v>
      </c>
      <c r="AO71" s="256">
        <v>0.313</v>
      </c>
      <c r="AP71" s="256">
        <v>0.316</v>
      </c>
      <c r="AQ71" s="256">
        <v>0.31900000000000001</v>
      </c>
      <c r="AR71" s="256">
        <v>0.32200000000000001</v>
      </c>
      <c r="AS71" s="256">
        <v>0.32500000000000001</v>
      </c>
      <c r="AT71" s="256">
        <v>0.32800000000000001</v>
      </c>
      <c r="AU71" s="256">
        <v>0.33100000000000002</v>
      </c>
      <c r="AV71" s="256">
        <v>0.33400000000000002</v>
      </c>
      <c r="AW71" s="256">
        <v>0.33700000000000002</v>
      </c>
      <c r="AX71" s="256">
        <v>0.34</v>
      </c>
      <c r="AY71" s="256">
        <v>0.34200000000000003</v>
      </c>
      <c r="AZ71" s="256">
        <v>0.34399999999999997</v>
      </c>
      <c r="BA71" s="256">
        <v>0.34599999999999997</v>
      </c>
      <c r="BB71" s="256">
        <v>0.34799999999999998</v>
      </c>
      <c r="BC71" s="256">
        <v>0.35</v>
      </c>
      <c r="BD71" s="258"/>
      <c r="BE71" s="256"/>
      <c r="BF71" s="191"/>
      <c r="BG71" s="20"/>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row>
    <row r="72" spans="1:115" ht="14.25" customHeight="1">
      <c r="A72" s="30"/>
      <c r="B72" s="30"/>
      <c r="C72" s="219" t="s">
        <v>368</v>
      </c>
      <c r="D72" s="245" t="s">
        <v>61</v>
      </c>
      <c r="E72" s="219" t="s">
        <v>370</v>
      </c>
      <c r="F72" s="30"/>
      <c r="G72" s="256">
        <v>0</v>
      </c>
      <c r="H72" s="22">
        <v>3.3E-3</v>
      </c>
      <c r="I72" s="259">
        <v>6.7000000000000002E-3</v>
      </c>
      <c r="J72" s="256">
        <v>0.01</v>
      </c>
      <c r="K72" s="256">
        <v>1.44E-2</v>
      </c>
      <c r="L72" s="256">
        <v>1.8800000000000001E-2</v>
      </c>
      <c r="M72" s="256">
        <v>2.3199999999999998E-2</v>
      </c>
      <c r="N72" s="256">
        <v>2.76E-2</v>
      </c>
      <c r="O72" s="256">
        <v>3.2000000000000001E-2</v>
      </c>
      <c r="P72" s="256">
        <v>3.7600000000000001E-2</v>
      </c>
      <c r="Q72" s="256">
        <v>4.3200000000000002E-2</v>
      </c>
      <c r="R72" s="256">
        <v>4.8800000000000003E-2</v>
      </c>
      <c r="S72" s="256">
        <v>5.4399999999999997E-2</v>
      </c>
      <c r="T72" s="256">
        <v>0.06</v>
      </c>
      <c r="U72" s="256">
        <v>6.6000000000000003E-2</v>
      </c>
      <c r="V72" s="256">
        <v>7.1999999999999995E-2</v>
      </c>
      <c r="W72" s="256">
        <v>7.8E-2</v>
      </c>
      <c r="X72" s="256">
        <v>8.4000000000000005E-2</v>
      </c>
      <c r="Y72" s="256">
        <v>0.09</v>
      </c>
      <c r="Z72" s="256">
        <v>9.8000000000000004E-2</v>
      </c>
      <c r="AA72" s="256">
        <v>0.106</v>
      </c>
      <c r="AB72" s="256">
        <v>0.114</v>
      </c>
      <c r="AC72" s="256">
        <v>0.122</v>
      </c>
      <c r="AD72" s="256">
        <v>0.13</v>
      </c>
      <c r="AE72" s="256">
        <v>0.14000000000000001</v>
      </c>
      <c r="AF72" s="256">
        <v>0.15</v>
      </c>
      <c r="AG72" s="256">
        <v>0.16</v>
      </c>
      <c r="AH72" s="256">
        <v>0.17</v>
      </c>
      <c r="AI72" s="257">
        <v>0.18</v>
      </c>
      <c r="AJ72" s="271">
        <v>0.192</v>
      </c>
      <c r="AK72" s="256">
        <v>0.20399999999999999</v>
      </c>
      <c r="AL72" s="256">
        <v>0.216</v>
      </c>
      <c r="AM72" s="256">
        <v>0.22800000000000001</v>
      </c>
      <c r="AN72" s="256">
        <v>0.24</v>
      </c>
      <c r="AO72" s="256">
        <v>0.252</v>
      </c>
      <c r="AP72" s="256">
        <v>0.26400000000000001</v>
      </c>
      <c r="AQ72" s="256">
        <v>0.27600000000000002</v>
      </c>
      <c r="AR72" s="256">
        <v>0.28799999999999998</v>
      </c>
      <c r="AS72" s="256">
        <v>0.3</v>
      </c>
      <c r="AT72" s="256">
        <v>0.308</v>
      </c>
      <c r="AU72" s="256">
        <v>0.316</v>
      </c>
      <c r="AV72" s="256">
        <v>0.32400000000000001</v>
      </c>
      <c r="AW72" s="256">
        <v>0.33200000000000002</v>
      </c>
      <c r="AX72" s="256">
        <v>0.34</v>
      </c>
      <c r="AY72" s="256">
        <v>0.34200000000000003</v>
      </c>
      <c r="AZ72" s="256">
        <v>0.34399999999999997</v>
      </c>
      <c r="BA72" s="256">
        <v>0.34599999999999997</v>
      </c>
      <c r="BB72" s="256">
        <v>0.34799999999999998</v>
      </c>
      <c r="BC72" s="256">
        <v>0.35</v>
      </c>
      <c r="BD72" s="258"/>
      <c r="BE72" s="256"/>
      <c r="BF72" s="191"/>
      <c r="BG72" s="20"/>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row>
    <row r="73" spans="1:115" ht="14.25" customHeight="1">
      <c r="A73" s="30"/>
      <c r="B73" s="30"/>
      <c r="C73" s="219" t="s">
        <v>371</v>
      </c>
      <c r="D73" s="245" t="s">
        <v>372</v>
      </c>
      <c r="E73" s="219" t="s">
        <v>374</v>
      </c>
      <c r="F73" s="30"/>
      <c r="G73" s="256">
        <v>0</v>
      </c>
      <c r="H73" s="22">
        <v>1.6999999999999999E-3</v>
      </c>
      <c r="I73" s="259">
        <v>3.3E-3</v>
      </c>
      <c r="J73" s="256">
        <v>5.0000000000000001E-3</v>
      </c>
      <c r="K73" s="256">
        <v>8.0000000000000002E-3</v>
      </c>
      <c r="L73" s="256">
        <v>1.0999999999999999E-2</v>
      </c>
      <c r="M73" s="256">
        <v>1.4E-2</v>
      </c>
      <c r="N73" s="256">
        <v>1.7000000000000001E-2</v>
      </c>
      <c r="O73" s="256">
        <v>0.02</v>
      </c>
      <c r="P73" s="256">
        <v>2.4E-2</v>
      </c>
      <c r="Q73" s="256">
        <v>2.8000000000000001E-2</v>
      </c>
      <c r="R73" s="256">
        <v>3.2000000000000001E-2</v>
      </c>
      <c r="S73" s="256">
        <v>3.5999999999999997E-2</v>
      </c>
      <c r="T73" s="256">
        <v>0.04</v>
      </c>
      <c r="U73" s="256">
        <v>4.3999999999999997E-2</v>
      </c>
      <c r="V73" s="256">
        <v>4.8000000000000001E-2</v>
      </c>
      <c r="W73" s="256">
        <v>5.1999999999999998E-2</v>
      </c>
      <c r="X73" s="256">
        <v>5.6000000000000001E-2</v>
      </c>
      <c r="Y73" s="256">
        <v>0.06</v>
      </c>
      <c r="Z73" s="256">
        <v>6.5000000000000002E-2</v>
      </c>
      <c r="AA73" s="256">
        <v>7.0000000000000007E-2</v>
      </c>
      <c r="AB73" s="256">
        <v>7.4999999999999997E-2</v>
      </c>
      <c r="AC73" s="256">
        <v>0.08</v>
      </c>
      <c r="AD73" s="256">
        <v>8.5000000000000006E-2</v>
      </c>
      <c r="AE73" s="256">
        <v>0.09</v>
      </c>
      <c r="AF73" s="256">
        <v>9.5000000000000001E-2</v>
      </c>
      <c r="AG73" s="256">
        <v>0.1</v>
      </c>
      <c r="AH73" s="256">
        <v>0.105</v>
      </c>
      <c r="AI73" s="257">
        <v>0.11</v>
      </c>
      <c r="AJ73" s="271">
        <v>0.115</v>
      </c>
      <c r="AK73" s="256">
        <v>0.12</v>
      </c>
      <c r="AL73" s="256">
        <v>0.125</v>
      </c>
      <c r="AM73" s="256">
        <v>0.13</v>
      </c>
      <c r="AN73" s="256">
        <v>0.13500000000000001</v>
      </c>
      <c r="AO73" s="256">
        <v>0.13800000000000001</v>
      </c>
      <c r="AP73" s="256">
        <v>0.14099999999999999</v>
      </c>
      <c r="AQ73" s="256">
        <v>0.14399999999999999</v>
      </c>
      <c r="AR73" s="256">
        <v>0.14699999999999999</v>
      </c>
      <c r="AS73" s="256">
        <v>0.15</v>
      </c>
      <c r="AT73" s="256">
        <v>0.152</v>
      </c>
      <c r="AU73" s="256">
        <v>0.153</v>
      </c>
      <c r="AV73" s="256">
        <v>0.155</v>
      </c>
      <c r="AW73" s="256">
        <v>0.156</v>
      </c>
      <c r="AX73" s="256">
        <v>0.158</v>
      </c>
      <c r="AY73" s="256">
        <v>0.158</v>
      </c>
      <c r="AZ73" s="256">
        <v>0.159</v>
      </c>
      <c r="BA73" s="256">
        <v>0.159</v>
      </c>
      <c r="BB73" s="256">
        <v>0.16</v>
      </c>
      <c r="BC73" s="256">
        <v>0.16</v>
      </c>
      <c r="BD73" s="258"/>
      <c r="BE73" s="256"/>
      <c r="BF73" s="191"/>
      <c r="BG73" s="20"/>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row>
    <row r="74" spans="1:115" ht="14.25" customHeight="1">
      <c r="A74" s="30"/>
      <c r="B74" s="30"/>
      <c r="C74" s="219" t="s">
        <v>371</v>
      </c>
      <c r="D74" s="245" t="s">
        <v>61</v>
      </c>
      <c r="E74" s="219" t="s">
        <v>374</v>
      </c>
      <c r="F74" s="30"/>
      <c r="G74" s="256">
        <v>0</v>
      </c>
      <c r="H74" s="22">
        <v>1.6999999999999999E-3</v>
      </c>
      <c r="I74" s="259">
        <v>3.3E-3</v>
      </c>
      <c r="J74" s="256">
        <v>5.0000000000000001E-3</v>
      </c>
      <c r="K74" s="256">
        <v>8.0000000000000002E-3</v>
      </c>
      <c r="L74" s="256">
        <v>1.0999999999999999E-2</v>
      </c>
      <c r="M74" s="256">
        <v>1.4E-2</v>
      </c>
      <c r="N74" s="256">
        <v>1.7000000000000001E-2</v>
      </c>
      <c r="O74" s="256">
        <v>0.02</v>
      </c>
      <c r="P74" s="256">
        <v>2.4E-2</v>
      </c>
      <c r="Q74" s="256">
        <v>2.8000000000000001E-2</v>
      </c>
      <c r="R74" s="256">
        <v>3.2000000000000001E-2</v>
      </c>
      <c r="S74" s="256">
        <v>3.5999999999999997E-2</v>
      </c>
      <c r="T74" s="256">
        <v>0.04</v>
      </c>
      <c r="U74" s="256">
        <v>4.3999999999999997E-2</v>
      </c>
      <c r="V74" s="256">
        <v>4.8000000000000001E-2</v>
      </c>
      <c r="W74" s="256">
        <v>5.1999999999999998E-2</v>
      </c>
      <c r="X74" s="256">
        <v>5.6000000000000001E-2</v>
      </c>
      <c r="Y74" s="256">
        <v>0.06</v>
      </c>
      <c r="Z74" s="256">
        <v>6.5000000000000002E-2</v>
      </c>
      <c r="AA74" s="256">
        <v>7.0000000000000007E-2</v>
      </c>
      <c r="AB74" s="256">
        <v>7.4999999999999997E-2</v>
      </c>
      <c r="AC74" s="256">
        <v>0.08</v>
      </c>
      <c r="AD74" s="256">
        <v>8.5000000000000006E-2</v>
      </c>
      <c r="AE74" s="256">
        <v>0.09</v>
      </c>
      <c r="AF74" s="256">
        <v>9.5000000000000001E-2</v>
      </c>
      <c r="AG74" s="256">
        <v>0.1</v>
      </c>
      <c r="AH74" s="256">
        <v>0.105</v>
      </c>
      <c r="AI74" s="257">
        <v>0.11</v>
      </c>
      <c r="AJ74" s="271">
        <v>0.115</v>
      </c>
      <c r="AK74" s="256">
        <v>0.12</v>
      </c>
      <c r="AL74" s="256">
        <v>0.125</v>
      </c>
      <c r="AM74" s="256">
        <v>0.13</v>
      </c>
      <c r="AN74" s="256">
        <v>0.13500000000000001</v>
      </c>
      <c r="AO74" s="256">
        <v>0.13800000000000001</v>
      </c>
      <c r="AP74" s="256">
        <v>0.14099999999999999</v>
      </c>
      <c r="AQ74" s="256">
        <v>0.14399999999999999</v>
      </c>
      <c r="AR74" s="256">
        <v>0.14699999999999999</v>
      </c>
      <c r="AS74" s="256">
        <v>0.15</v>
      </c>
      <c r="AT74" s="256">
        <v>0.152</v>
      </c>
      <c r="AU74" s="256">
        <v>0.153</v>
      </c>
      <c r="AV74" s="256">
        <v>0.155</v>
      </c>
      <c r="AW74" s="256">
        <v>0.156</v>
      </c>
      <c r="AX74" s="256">
        <v>0.158</v>
      </c>
      <c r="AY74" s="256">
        <v>0.158</v>
      </c>
      <c r="AZ74" s="256">
        <v>0.159</v>
      </c>
      <c r="BA74" s="256">
        <v>0.159</v>
      </c>
      <c r="BB74" s="256">
        <v>0.16</v>
      </c>
      <c r="BC74" s="256">
        <v>0.16</v>
      </c>
      <c r="BD74" s="258"/>
      <c r="BE74" s="256"/>
      <c r="BF74" s="30"/>
      <c r="BG74" s="272"/>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row>
    <row r="75" spans="1:115" ht="14.25" customHeight="1">
      <c r="A75" s="30"/>
      <c r="B75" s="30"/>
      <c r="C75" s="219" t="s">
        <v>371</v>
      </c>
      <c r="D75" s="245" t="s">
        <v>58</v>
      </c>
      <c r="E75" s="219" t="s">
        <v>374</v>
      </c>
      <c r="F75" s="30"/>
      <c r="G75" s="256">
        <v>0</v>
      </c>
      <c r="H75" s="22">
        <v>1.6999999999999999E-3</v>
      </c>
      <c r="I75" s="259">
        <v>3.3E-3</v>
      </c>
      <c r="J75" s="256">
        <v>5.0000000000000001E-3</v>
      </c>
      <c r="K75" s="275">
        <v>8.0000000000000002E-3</v>
      </c>
      <c r="L75" s="275">
        <v>1.0999999999999999E-2</v>
      </c>
      <c r="M75" s="275">
        <v>1.4E-2</v>
      </c>
      <c r="N75" s="275">
        <v>1.7000000000000001E-2</v>
      </c>
      <c r="O75" s="275">
        <v>0.02</v>
      </c>
      <c r="P75" s="275">
        <v>2.4E-2</v>
      </c>
      <c r="Q75" s="275">
        <v>2.8000000000000001E-2</v>
      </c>
      <c r="R75" s="275">
        <v>3.2000000000000001E-2</v>
      </c>
      <c r="S75" s="275">
        <v>3.5999999999999997E-2</v>
      </c>
      <c r="T75" s="275">
        <v>0.04</v>
      </c>
      <c r="U75" s="275">
        <v>4.3999999999999997E-2</v>
      </c>
      <c r="V75" s="275">
        <v>4.8000000000000001E-2</v>
      </c>
      <c r="W75" s="275">
        <v>5.1999999999999998E-2</v>
      </c>
      <c r="X75" s="275">
        <v>5.6000000000000001E-2</v>
      </c>
      <c r="Y75" s="275">
        <v>0.06</v>
      </c>
      <c r="Z75" s="275">
        <v>6.5000000000000002E-2</v>
      </c>
      <c r="AA75" s="275">
        <v>7.0000000000000007E-2</v>
      </c>
      <c r="AB75" s="275">
        <v>7.4999999999999997E-2</v>
      </c>
      <c r="AC75" s="275">
        <v>0.08</v>
      </c>
      <c r="AD75" s="275">
        <v>8.5000000000000006E-2</v>
      </c>
      <c r="AE75" s="275">
        <v>0.09</v>
      </c>
      <c r="AF75" s="275">
        <v>9.5000000000000001E-2</v>
      </c>
      <c r="AG75" s="275">
        <v>0.1</v>
      </c>
      <c r="AH75" s="275">
        <v>0.105</v>
      </c>
      <c r="AI75" s="276">
        <v>0.11</v>
      </c>
      <c r="AJ75" s="277">
        <v>0.115</v>
      </c>
      <c r="AK75" s="275">
        <v>0.12</v>
      </c>
      <c r="AL75" s="275">
        <v>0.125</v>
      </c>
      <c r="AM75" s="275">
        <v>0.13</v>
      </c>
      <c r="AN75" s="275">
        <v>0.13500000000000001</v>
      </c>
      <c r="AO75" s="275">
        <v>0.13800000000000001</v>
      </c>
      <c r="AP75" s="275">
        <v>0.14099999999999999</v>
      </c>
      <c r="AQ75" s="275">
        <v>0.14399999999999999</v>
      </c>
      <c r="AR75" s="275">
        <v>0.14699999999999999</v>
      </c>
      <c r="AS75" s="275">
        <v>0.15</v>
      </c>
      <c r="AT75" s="275">
        <v>0.152</v>
      </c>
      <c r="AU75" s="275">
        <v>0.153</v>
      </c>
      <c r="AV75" s="275">
        <v>0.155</v>
      </c>
      <c r="AW75" s="275">
        <v>0.156</v>
      </c>
      <c r="AX75" s="275">
        <v>0.158</v>
      </c>
      <c r="AY75" s="275">
        <v>0.158</v>
      </c>
      <c r="AZ75" s="275">
        <v>0.159</v>
      </c>
      <c r="BA75" s="275">
        <v>0.159</v>
      </c>
      <c r="BB75" s="275">
        <v>0.16</v>
      </c>
      <c r="BC75" s="275">
        <v>0.16</v>
      </c>
      <c r="BD75" s="278"/>
      <c r="BE75" s="275"/>
      <c r="BF75" s="233"/>
      <c r="BG75" s="272" t="s">
        <v>391</v>
      </c>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row>
    <row r="76" spans="1:115" ht="14.25" customHeight="1">
      <c r="A76" s="30"/>
      <c r="B76" s="30"/>
      <c r="C76" s="219" t="s">
        <v>371</v>
      </c>
      <c r="D76" s="245" t="s">
        <v>377</v>
      </c>
      <c r="E76" s="219" t="s">
        <v>374</v>
      </c>
      <c r="F76" s="30"/>
      <c r="G76" s="256">
        <v>0</v>
      </c>
      <c r="H76" s="22">
        <v>1.6999999999999999E-3</v>
      </c>
      <c r="I76" s="259">
        <v>3.3E-3</v>
      </c>
      <c r="J76" s="256">
        <v>5.0000000000000001E-3</v>
      </c>
      <c r="K76" s="275">
        <v>8.0000000000000002E-3</v>
      </c>
      <c r="L76" s="275">
        <v>1.0999999999999999E-2</v>
      </c>
      <c r="M76" s="275">
        <v>1.4E-2</v>
      </c>
      <c r="N76" s="275">
        <v>1.7000000000000001E-2</v>
      </c>
      <c r="O76" s="275">
        <v>0.02</v>
      </c>
      <c r="P76" s="275">
        <v>2.4E-2</v>
      </c>
      <c r="Q76" s="275">
        <v>2.8000000000000001E-2</v>
      </c>
      <c r="R76" s="275">
        <v>3.2000000000000001E-2</v>
      </c>
      <c r="S76" s="275">
        <v>3.5999999999999997E-2</v>
      </c>
      <c r="T76" s="275">
        <v>0.04</v>
      </c>
      <c r="U76" s="275">
        <v>4.3999999999999997E-2</v>
      </c>
      <c r="V76" s="256">
        <v>4.8000000000000001E-2</v>
      </c>
      <c r="W76" s="256">
        <v>5.1999999999999998E-2</v>
      </c>
      <c r="X76" s="256">
        <v>5.6000000000000001E-2</v>
      </c>
      <c r="Y76" s="256">
        <v>0.06</v>
      </c>
      <c r="Z76" s="256">
        <v>6.5000000000000002E-2</v>
      </c>
      <c r="AA76" s="256">
        <v>7.0000000000000007E-2</v>
      </c>
      <c r="AB76" s="256">
        <v>7.4999999999999997E-2</v>
      </c>
      <c r="AC76" s="256">
        <v>0.08</v>
      </c>
      <c r="AD76" s="256">
        <v>8.5000000000000006E-2</v>
      </c>
      <c r="AE76" s="256">
        <v>0.09</v>
      </c>
      <c r="AF76" s="256">
        <v>9.5000000000000001E-2</v>
      </c>
      <c r="AG76" s="256">
        <v>0.1</v>
      </c>
      <c r="AH76" s="256">
        <v>0.105</v>
      </c>
      <c r="AI76" s="257">
        <v>0.11</v>
      </c>
      <c r="AJ76" s="271">
        <v>0.115</v>
      </c>
      <c r="AK76" s="256">
        <v>0.12</v>
      </c>
      <c r="AL76" s="256">
        <v>0.125</v>
      </c>
      <c r="AM76" s="256">
        <v>0.13</v>
      </c>
      <c r="AN76" s="256">
        <v>0.13500000000000001</v>
      </c>
      <c r="AO76" s="256">
        <v>0.13800000000000001</v>
      </c>
      <c r="AP76" s="256">
        <v>0.14099999999999999</v>
      </c>
      <c r="AQ76" s="256">
        <v>0.14399999999999999</v>
      </c>
      <c r="AR76" s="256">
        <v>0.14699999999999999</v>
      </c>
      <c r="AS76" s="256">
        <v>0.15</v>
      </c>
      <c r="AT76" s="256">
        <v>0.152</v>
      </c>
      <c r="AU76" s="256">
        <v>0.153</v>
      </c>
      <c r="AV76" s="256">
        <v>0.155</v>
      </c>
      <c r="AW76" s="256">
        <v>0.156</v>
      </c>
      <c r="AX76" s="256">
        <v>0.158</v>
      </c>
      <c r="AY76" s="256">
        <v>0.158</v>
      </c>
      <c r="AZ76" s="256">
        <v>0.159</v>
      </c>
      <c r="BA76" s="256">
        <v>0.159</v>
      </c>
      <c r="BB76" s="256">
        <v>0.16</v>
      </c>
      <c r="BC76" s="256">
        <v>0.16</v>
      </c>
      <c r="BD76" s="258"/>
      <c r="BE76" s="256"/>
      <c r="BF76" s="30"/>
      <c r="BG76" s="20"/>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row>
    <row r="77" spans="1:115" ht="14.25" customHeight="1">
      <c r="A77" s="30"/>
      <c r="B77" s="233"/>
      <c r="C77" s="219" t="s">
        <v>371</v>
      </c>
      <c r="D77" s="245" t="s">
        <v>128</v>
      </c>
      <c r="E77" s="219" t="s">
        <v>374</v>
      </c>
      <c r="F77" s="233"/>
      <c r="G77" s="275">
        <v>0</v>
      </c>
      <c r="H77" s="22">
        <v>1.6999999999999999E-3</v>
      </c>
      <c r="I77" s="259">
        <v>3.3E-3</v>
      </c>
      <c r="J77" s="256">
        <v>5.0000000000000001E-3</v>
      </c>
      <c r="K77" s="275">
        <v>8.0000000000000002E-3</v>
      </c>
      <c r="L77" s="275">
        <v>1.0999999999999999E-2</v>
      </c>
      <c r="M77" s="275">
        <v>1.4E-2</v>
      </c>
      <c r="N77" s="275">
        <v>1.7000000000000001E-2</v>
      </c>
      <c r="O77" s="275">
        <v>0.02</v>
      </c>
      <c r="P77" s="275">
        <v>2.4E-2</v>
      </c>
      <c r="Q77" s="275">
        <v>2.8000000000000001E-2</v>
      </c>
      <c r="R77" s="275">
        <v>3.2000000000000001E-2</v>
      </c>
      <c r="S77" s="275">
        <v>3.5999999999999997E-2</v>
      </c>
      <c r="T77" s="275">
        <v>0.04</v>
      </c>
      <c r="U77" s="275">
        <v>4.3999999999999997E-2</v>
      </c>
      <c r="V77" s="275">
        <v>4.8000000000000001E-2</v>
      </c>
      <c r="W77" s="275">
        <v>5.1999999999999998E-2</v>
      </c>
      <c r="X77" s="275">
        <v>5.6000000000000001E-2</v>
      </c>
      <c r="Y77" s="275">
        <v>0.06</v>
      </c>
      <c r="Z77" s="275">
        <v>6.5000000000000002E-2</v>
      </c>
      <c r="AA77" s="275">
        <v>7.0000000000000007E-2</v>
      </c>
      <c r="AB77" s="275">
        <v>7.4999999999999997E-2</v>
      </c>
      <c r="AC77" s="275">
        <v>0.08</v>
      </c>
      <c r="AD77" s="275">
        <v>8.5000000000000006E-2</v>
      </c>
      <c r="AE77" s="275">
        <v>0.09</v>
      </c>
      <c r="AF77" s="275">
        <v>9.5000000000000001E-2</v>
      </c>
      <c r="AG77" s="275">
        <v>0.1</v>
      </c>
      <c r="AH77" s="275">
        <v>0.105</v>
      </c>
      <c r="AI77" s="276">
        <v>0.11</v>
      </c>
      <c r="AJ77" s="277">
        <v>0.115</v>
      </c>
      <c r="AK77" s="275">
        <v>0.12</v>
      </c>
      <c r="AL77" s="275">
        <v>0.125</v>
      </c>
      <c r="AM77" s="275">
        <v>0.13</v>
      </c>
      <c r="AN77" s="275">
        <v>0.13500000000000001</v>
      </c>
      <c r="AO77" s="275">
        <v>0.14000000000000001</v>
      </c>
      <c r="AP77" s="275">
        <v>0.14399999999999999</v>
      </c>
      <c r="AQ77" s="275">
        <v>0.14899999999999999</v>
      </c>
      <c r="AR77" s="275">
        <v>0.153</v>
      </c>
      <c r="AS77" s="275">
        <v>0.158</v>
      </c>
      <c r="AT77" s="275">
        <v>0.16</v>
      </c>
      <c r="AU77" s="275">
        <v>0.161</v>
      </c>
      <c r="AV77" s="275">
        <v>0.16300000000000001</v>
      </c>
      <c r="AW77" s="256">
        <v>0.16400000000000001</v>
      </c>
      <c r="AX77" s="256">
        <v>0.16600000000000001</v>
      </c>
      <c r="AY77" s="256">
        <v>0.16700000000000001</v>
      </c>
      <c r="AZ77" s="256">
        <v>0.16800000000000001</v>
      </c>
      <c r="BA77" s="256">
        <v>0.16800000000000001</v>
      </c>
      <c r="BB77" s="256">
        <v>0.16900000000000001</v>
      </c>
      <c r="BC77" s="256">
        <v>0.17</v>
      </c>
      <c r="BD77" s="258"/>
      <c r="BE77" s="256"/>
      <c r="BF77" s="30"/>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row>
    <row r="78" spans="1:115" ht="14.25" customHeight="1">
      <c r="A78" s="30"/>
      <c r="B78" s="30"/>
      <c r="C78" s="219" t="s">
        <v>381</v>
      </c>
      <c r="D78" s="245" t="s">
        <v>382</v>
      </c>
      <c r="E78" s="219" t="s">
        <v>374</v>
      </c>
      <c r="F78" s="30"/>
      <c r="G78" s="256">
        <v>0</v>
      </c>
      <c r="H78" s="22">
        <v>3.3E-3</v>
      </c>
      <c r="I78" s="259">
        <v>6.7000000000000002E-3</v>
      </c>
      <c r="J78" s="256">
        <v>0.01</v>
      </c>
      <c r="K78" s="256">
        <v>1.7999999999999999E-2</v>
      </c>
      <c r="L78" s="256">
        <v>2.5999999999999999E-2</v>
      </c>
      <c r="M78" s="256">
        <v>3.4000000000000002E-2</v>
      </c>
      <c r="N78" s="256">
        <v>4.2000000000000003E-2</v>
      </c>
      <c r="O78" s="256">
        <v>0.05</v>
      </c>
      <c r="P78" s="256">
        <v>5.8000000000000003E-2</v>
      </c>
      <c r="Q78" s="256">
        <v>6.6000000000000003E-2</v>
      </c>
      <c r="R78" s="256">
        <v>7.3999999999999996E-2</v>
      </c>
      <c r="S78" s="256">
        <v>8.2000000000000003E-2</v>
      </c>
      <c r="T78" s="256">
        <v>0.09</v>
      </c>
      <c r="U78" s="256">
        <v>9.8000000000000004E-2</v>
      </c>
      <c r="V78" s="256">
        <v>0.106</v>
      </c>
      <c r="W78" s="256">
        <v>0.114</v>
      </c>
      <c r="X78" s="256">
        <v>0.122</v>
      </c>
      <c r="Y78" s="256">
        <v>0.13</v>
      </c>
      <c r="Z78" s="256">
        <v>0.13800000000000001</v>
      </c>
      <c r="AA78" s="256">
        <v>0.14599999999999999</v>
      </c>
      <c r="AB78" s="256">
        <v>0.154</v>
      </c>
      <c r="AC78" s="256">
        <v>0.16200000000000001</v>
      </c>
      <c r="AD78" s="256">
        <v>0.17</v>
      </c>
      <c r="AE78" s="256">
        <v>0.17599999999999999</v>
      </c>
      <c r="AF78" s="256">
        <v>0.182</v>
      </c>
      <c r="AG78" s="256">
        <v>0.188</v>
      </c>
      <c r="AH78" s="256">
        <v>0.19400000000000001</v>
      </c>
      <c r="AI78" s="257">
        <v>0.2</v>
      </c>
      <c r="AJ78" s="271">
        <v>0.20599999999999999</v>
      </c>
      <c r="AK78" s="256">
        <v>0.21199999999999999</v>
      </c>
      <c r="AL78" s="256">
        <v>0.218</v>
      </c>
      <c r="AM78" s="256">
        <v>0.224</v>
      </c>
      <c r="AN78" s="256">
        <v>0.23</v>
      </c>
      <c r="AO78" s="256">
        <v>0.23400000000000001</v>
      </c>
      <c r="AP78" s="256">
        <v>0.23799999999999999</v>
      </c>
      <c r="AQ78" s="256">
        <v>0.24199999999999999</v>
      </c>
      <c r="AR78" s="256">
        <v>0.246</v>
      </c>
      <c r="AS78" s="256">
        <v>0.25</v>
      </c>
      <c r="AT78" s="256">
        <v>0.254</v>
      </c>
      <c r="AU78" s="256">
        <v>0.25800000000000001</v>
      </c>
      <c r="AV78" s="256">
        <v>0.26200000000000001</v>
      </c>
      <c r="AW78" s="256">
        <v>0.26600000000000001</v>
      </c>
      <c r="AX78" s="256">
        <v>0.27</v>
      </c>
      <c r="AY78" s="256">
        <v>0.27200000000000002</v>
      </c>
      <c r="AZ78" s="256">
        <v>0.27400000000000002</v>
      </c>
      <c r="BA78" s="256">
        <v>0.27600000000000002</v>
      </c>
      <c r="BB78" s="256">
        <v>0.27800000000000002</v>
      </c>
      <c r="BC78" s="256">
        <v>0.28000000000000003</v>
      </c>
      <c r="BD78" s="258"/>
      <c r="BE78" s="256"/>
      <c r="BF78" s="191"/>
      <c r="BG78" s="20"/>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row>
    <row r="79" spans="1:115" ht="14.25" customHeight="1">
      <c r="A79" s="279"/>
      <c r="B79" s="279"/>
      <c r="C79" s="279"/>
      <c r="D79" s="279"/>
      <c r="E79" s="279"/>
      <c r="F79" s="279"/>
      <c r="G79" s="279"/>
      <c r="H79" s="200"/>
      <c r="I79" s="280"/>
      <c r="J79" s="28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81"/>
      <c r="AJ79" s="282"/>
      <c r="AK79" s="200"/>
      <c r="AL79" s="200"/>
      <c r="AM79" s="200"/>
      <c r="AN79" s="200"/>
      <c r="AO79" s="200"/>
      <c r="AP79" s="200"/>
      <c r="AQ79" s="200"/>
      <c r="AR79" s="200"/>
      <c r="AS79" s="200"/>
      <c r="AT79" s="200"/>
      <c r="AU79" s="200"/>
      <c r="AV79" s="200"/>
      <c r="AW79" s="200"/>
      <c r="AX79" s="200"/>
      <c r="AY79" s="200"/>
      <c r="AZ79" s="200"/>
      <c r="BA79" s="200"/>
      <c r="BB79" s="200"/>
      <c r="BC79" s="200"/>
      <c r="BD79" s="283"/>
      <c r="BE79" s="200"/>
      <c r="BF79" s="200"/>
      <c r="BG79" s="20"/>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row>
    <row r="80" spans="1:115" ht="14.25" customHeight="1">
      <c r="A80" s="284" t="s">
        <v>232</v>
      </c>
      <c r="B80" s="30"/>
      <c r="C80" s="30"/>
      <c r="D80" s="30"/>
      <c r="E80" s="30"/>
      <c r="F80" s="30"/>
      <c r="G80" s="30"/>
      <c r="H80" s="191"/>
      <c r="I80" s="255"/>
      <c r="J80" s="255"/>
      <c r="K80" s="191"/>
      <c r="L80" s="191"/>
      <c r="M80" s="191"/>
      <c r="N80" s="191"/>
      <c r="O80" s="191"/>
      <c r="P80" s="191"/>
      <c r="Q80" s="191"/>
      <c r="R80" s="191"/>
      <c r="S80" s="191"/>
      <c r="T80" s="191"/>
      <c r="U80" s="191"/>
      <c r="V80" s="191"/>
      <c r="W80" s="191"/>
      <c r="X80" s="191"/>
      <c r="Y80" s="191"/>
      <c r="Z80" s="191"/>
      <c r="AA80" s="191"/>
      <c r="AB80" s="191"/>
      <c r="AC80" s="191"/>
      <c r="AD80" s="191"/>
      <c r="AE80" s="191"/>
      <c r="AF80" s="191"/>
      <c r="AG80" s="191"/>
      <c r="AH80" s="191"/>
      <c r="AI80" s="260"/>
      <c r="AJ80" s="285"/>
      <c r="AK80" s="191"/>
      <c r="AL80" s="191"/>
      <c r="AM80" s="191"/>
      <c r="AN80" s="191"/>
      <c r="AO80" s="191"/>
      <c r="AP80" s="191"/>
      <c r="AQ80" s="191"/>
      <c r="AR80" s="191"/>
      <c r="AS80" s="191"/>
      <c r="AT80" s="191"/>
      <c r="AU80" s="191"/>
      <c r="AV80" s="191"/>
      <c r="AW80" s="191"/>
      <c r="AX80" s="191"/>
      <c r="AY80" s="191"/>
      <c r="AZ80" s="191"/>
      <c r="BA80" s="191"/>
      <c r="BB80" s="191"/>
      <c r="BC80" s="191"/>
      <c r="BD80" s="261"/>
      <c r="BE80" s="191"/>
      <c r="BF80" s="191"/>
      <c r="BG80" s="20"/>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row>
    <row r="81" spans="1:115" ht="14.25" customHeight="1">
      <c r="A81" s="30"/>
      <c r="B81" s="219" t="s">
        <v>383</v>
      </c>
      <c r="C81" s="219" t="s">
        <v>214</v>
      </c>
      <c r="D81" s="219" t="s">
        <v>215</v>
      </c>
      <c r="E81" s="30"/>
      <c r="F81" s="30"/>
      <c r="G81" s="256">
        <v>0</v>
      </c>
      <c r="H81" s="22">
        <v>3.5999999999999999E-3</v>
      </c>
      <c r="I81" s="259">
        <v>7.3000000000000001E-3</v>
      </c>
      <c r="J81" s="256">
        <v>1.09E-2</v>
      </c>
      <c r="K81" s="256">
        <v>1.72E-2</v>
      </c>
      <c r="L81" s="256">
        <v>2.3400000000000001E-2</v>
      </c>
      <c r="M81" s="256">
        <v>2.9700000000000001E-2</v>
      </c>
      <c r="N81" s="256">
        <v>3.5999999999999997E-2</v>
      </c>
      <c r="O81" s="256">
        <v>4.2200000000000001E-2</v>
      </c>
      <c r="P81" s="256">
        <v>4.8300000000000003E-2</v>
      </c>
      <c r="Q81" s="256">
        <v>5.4300000000000001E-2</v>
      </c>
      <c r="R81" s="256">
        <v>6.0400000000000002E-2</v>
      </c>
      <c r="S81" s="256">
        <v>6.6400000000000001E-2</v>
      </c>
      <c r="T81" s="256">
        <v>7.2499999999999995E-2</v>
      </c>
      <c r="U81" s="256">
        <v>7.6799999999999993E-2</v>
      </c>
      <c r="V81" s="256">
        <v>8.1100000000000005E-2</v>
      </c>
      <c r="W81" s="256">
        <v>8.5400000000000004E-2</v>
      </c>
      <c r="X81" s="256">
        <v>8.9700000000000002E-2</v>
      </c>
      <c r="Y81" s="256">
        <v>9.4100000000000003E-2</v>
      </c>
      <c r="Z81" s="256">
        <v>9.69E-2</v>
      </c>
      <c r="AA81" s="256">
        <v>9.9699999999999997E-2</v>
      </c>
      <c r="AB81" s="256">
        <v>0.10249999999999999</v>
      </c>
      <c r="AC81" s="256">
        <v>0.10539999999999999</v>
      </c>
      <c r="AD81" s="256">
        <v>0.1082</v>
      </c>
      <c r="AE81" s="256">
        <v>0.11070000000000001</v>
      </c>
      <c r="AF81" s="256">
        <v>0.1133</v>
      </c>
      <c r="AG81" s="256">
        <v>0.1158</v>
      </c>
      <c r="AH81" s="256">
        <v>0.1183</v>
      </c>
      <c r="AI81" s="257">
        <v>0.1208</v>
      </c>
      <c r="AJ81" s="271">
        <v>0.123</v>
      </c>
      <c r="AK81" s="256">
        <v>0.125</v>
      </c>
      <c r="AL81" s="256">
        <v>0.127</v>
      </c>
      <c r="AM81" s="256">
        <v>0.129</v>
      </c>
      <c r="AN81" s="256">
        <v>0.13059999999999999</v>
      </c>
      <c r="AO81" s="256">
        <v>0.13300000000000001</v>
      </c>
      <c r="AP81" s="256">
        <v>0.13400000000000001</v>
      </c>
      <c r="AQ81" s="256">
        <v>0.13600000000000001</v>
      </c>
      <c r="AR81" s="256">
        <v>0.13800000000000001</v>
      </c>
      <c r="AS81" s="256">
        <v>0.1401</v>
      </c>
      <c r="AT81" s="256">
        <v>0.14099999999999999</v>
      </c>
      <c r="AU81" s="256">
        <v>0.14299999999999999</v>
      </c>
      <c r="AV81" s="256">
        <v>0.14399999999999999</v>
      </c>
      <c r="AW81" s="256">
        <v>0.14599999999999999</v>
      </c>
      <c r="AX81" s="256">
        <v>0.1469</v>
      </c>
      <c r="AY81" s="256">
        <v>0.14799999999999999</v>
      </c>
      <c r="AZ81" s="256">
        <v>0.14899999999999999</v>
      </c>
      <c r="BA81" s="256">
        <v>0.151</v>
      </c>
      <c r="BB81" s="256">
        <v>0.152</v>
      </c>
      <c r="BC81" s="256">
        <v>0.15329999999999999</v>
      </c>
      <c r="BD81" s="258"/>
      <c r="BE81" s="256"/>
      <c r="BF81" s="30" t="s">
        <v>386</v>
      </c>
      <c r="BG81" s="20"/>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row>
    <row r="82" spans="1:115" ht="14.25" customHeight="1">
      <c r="A82" s="30"/>
      <c r="B82" s="219" t="s">
        <v>368</v>
      </c>
      <c r="C82" s="219" t="s">
        <v>372</v>
      </c>
      <c r="D82" s="219" t="s">
        <v>373</v>
      </c>
      <c r="E82" s="30"/>
      <c r="F82" s="30"/>
      <c r="G82" s="256">
        <v>0</v>
      </c>
      <c r="H82" s="111">
        <f t="shared" ref="H82:BC82" si="4">_xlfn.FORECAST.LINEAR(H$1,$BD82:$BE82,$BD$1:$BE$1)</f>
        <v>8.3333333333328596E-3</v>
      </c>
      <c r="I82" s="111">
        <f t="shared" si="4"/>
        <v>1.6666666666665719E-2</v>
      </c>
      <c r="J82" s="111">
        <f t="shared" si="4"/>
        <v>2.4999999999998579E-2</v>
      </c>
      <c r="K82" s="111">
        <f t="shared" si="4"/>
        <v>3.3333333333331439E-2</v>
      </c>
      <c r="L82" s="111">
        <f t="shared" si="4"/>
        <v>4.1666666666664298E-2</v>
      </c>
      <c r="M82" s="111">
        <f t="shared" si="4"/>
        <v>4.9999999999997158E-2</v>
      </c>
      <c r="N82" s="111">
        <f t="shared" si="4"/>
        <v>5.8333333333330017E-2</v>
      </c>
      <c r="O82" s="111">
        <f t="shared" si="4"/>
        <v>6.666666666666643E-2</v>
      </c>
      <c r="P82" s="111">
        <f t="shared" si="4"/>
        <v>7.4999999999999289E-2</v>
      </c>
      <c r="Q82" s="111">
        <f t="shared" si="4"/>
        <v>8.3333333333332149E-2</v>
      </c>
      <c r="R82" s="111">
        <f t="shared" si="4"/>
        <v>9.1666666666665009E-2</v>
      </c>
      <c r="S82" s="111">
        <f t="shared" si="4"/>
        <v>9.9999999999997868E-2</v>
      </c>
      <c r="T82" s="111">
        <f t="shared" si="4"/>
        <v>0.10833333333333073</v>
      </c>
      <c r="U82" s="111">
        <f t="shared" si="4"/>
        <v>0.11666666666666359</v>
      </c>
      <c r="V82" s="111">
        <f t="shared" si="4"/>
        <v>0.125</v>
      </c>
      <c r="W82" s="111">
        <f t="shared" si="4"/>
        <v>0.13333333333333286</v>
      </c>
      <c r="X82" s="111">
        <f t="shared" si="4"/>
        <v>0.14166666666666572</v>
      </c>
      <c r="Y82" s="111">
        <f t="shared" si="4"/>
        <v>0.14999999999999858</v>
      </c>
      <c r="Z82" s="111">
        <f t="shared" si="4"/>
        <v>0.15833333333333144</v>
      </c>
      <c r="AA82" s="111">
        <f t="shared" si="4"/>
        <v>0.1666666666666643</v>
      </c>
      <c r="AB82" s="111">
        <f t="shared" si="4"/>
        <v>0.17499999999999716</v>
      </c>
      <c r="AC82" s="111">
        <f t="shared" si="4"/>
        <v>0.18333333333333002</v>
      </c>
      <c r="AD82" s="111">
        <f t="shared" si="4"/>
        <v>0.19166666666666643</v>
      </c>
      <c r="AE82" s="111">
        <f t="shared" si="4"/>
        <v>0.19999999999999929</v>
      </c>
      <c r="AF82" s="111">
        <f t="shared" si="4"/>
        <v>0.20833333333333215</v>
      </c>
      <c r="AG82" s="111">
        <f t="shared" si="4"/>
        <v>0.21666666666666501</v>
      </c>
      <c r="AH82" s="111">
        <f t="shared" si="4"/>
        <v>0.22499999999999787</v>
      </c>
      <c r="AI82" s="139">
        <f t="shared" si="4"/>
        <v>0.23333333333333073</v>
      </c>
      <c r="AJ82" s="111">
        <f t="shared" si="4"/>
        <v>0.24166666666666359</v>
      </c>
      <c r="AK82" s="111">
        <f t="shared" si="4"/>
        <v>0.25</v>
      </c>
      <c r="AL82" s="111">
        <f t="shared" si="4"/>
        <v>0.25833333333333286</v>
      </c>
      <c r="AM82" s="111">
        <f t="shared" si="4"/>
        <v>0.26666666666666572</v>
      </c>
      <c r="AN82" s="111">
        <f t="shared" si="4"/>
        <v>0.27499999999999858</v>
      </c>
      <c r="AO82" s="111">
        <f t="shared" si="4"/>
        <v>0.28333333333333144</v>
      </c>
      <c r="AP82" s="111">
        <f t="shared" si="4"/>
        <v>0.2916666666666643</v>
      </c>
      <c r="AQ82" s="111">
        <f t="shared" si="4"/>
        <v>0.29999999999999716</v>
      </c>
      <c r="AR82" s="111">
        <f t="shared" si="4"/>
        <v>0.30833333333333002</v>
      </c>
      <c r="AS82" s="111">
        <f t="shared" si="4"/>
        <v>0.31666666666666643</v>
      </c>
      <c r="AT82" s="111">
        <f t="shared" si="4"/>
        <v>0.32499999999999929</v>
      </c>
      <c r="AU82" s="111">
        <f t="shared" si="4"/>
        <v>0.33333333333333215</v>
      </c>
      <c r="AV82" s="111">
        <f t="shared" si="4"/>
        <v>0.34166666666666501</v>
      </c>
      <c r="AW82" s="111">
        <f t="shared" si="4"/>
        <v>0.34999999999999787</v>
      </c>
      <c r="AX82" s="111">
        <f t="shared" si="4"/>
        <v>0.35833333333333073</v>
      </c>
      <c r="AY82" s="111">
        <f t="shared" si="4"/>
        <v>0.36666666666666359</v>
      </c>
      <c r="AZ82" s="111">
        <f t="shared" si="4"/>
        <v>0.375</v>
      </c>
      <c r="BA82" s="111">
        <f t="shared" si="4"/>
        <v>0.38333333333333286</v>
      </c>
      <c r="BB82" s="111">
        <f t="shared" si="4"/>
        <v>0.39166666666666572</v>
      </c>
      <c r="BC82" s="111">
        <f t="shared" si="4"/>
        <v>0.39999999999999858</v>
      </c>
      <c r="BD82" s="258">
        <v>0</v>
      </c>
      <c r="BE82" s="139">
        <v>0.4</v>
      </c>
      <c r="BF82" s="191"/>
      <c r="BG82" s="54"/>
      <c r="BH82" s="54"/>
      <c r="BI82" s="54"/>
      <c r="BJ82" s="54"/>
      <c r="BK82" s="54"/>
      <c r="BL82" s="54"/>
      <c r="BM82" s="54"/>
      <c r="BN82" s="54"/>
      <c r="BO82" s="54"/>
      <c r="BP82" s="54"/>
      <c r="BQ82" s="54"/>
      <c r="BR82" s="54"/>
      <c r="BS82" s="54"/>
      <c r="BT82" s="54"/>
      <c r="BU82" s="54"/>
      <c r="BV82" s="54"/>
      <c r="BW82" s="54"/>
      <c r="BX82" s="54"/>
      <c r="BY82" s="54"/>
      <c r="BZ82" s="54"/>
      <c r="CA82" s="54"/>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row>
    <row r="83" spans="1:115" ht="14.25" customHeight="1">
      <c r="A83" s="30"/>
      <c r="B83" s="219" t="s">
        <v>368</v>
      </c>
      <c r="C83" s="219" t="s">
        <v>61</v>
      </c>
      <c r="D83" s="219" t="s">
        <v>369</v>
      </c>
      <c r="E83" s="30"/>
      <c r="F83" s="1"/>
      <c r="G83" s="256">
        <v>0</v>
      </c>
      <c r="H83" s="111">
        <f t="shared" ref="H83:BC83" si="5">_xlfn.FORECAST.LINEAR(H$1,$BD83:$BE83,$BD$1:$BE$1)</f>
        <v>8.3333333333328596E-3</v>
      </c>
      <c r="I83" s="111">
        <f t="shared" si="5"/>
        <v>1.6666666666665719E-2</v>
      </c>
      <c r="J83" s="111">
        <f t="shared" si="5"/>
        <v>2.4999999999998579E-2</v>
      </c>
      <c r="K83" s="111">
        <f t="shared" si="5"/>
        <v>3.3333333333331439E-2</v>
      </c>
      <c r="L83" s="111">
        <f t="shared" si="5"/>
        <v>4.1666666666664298E-2</v>
      </c>
      <c r="M83" s="111">
        <f t="shared" si="5"/>
        <v>4.9999999999997158E-2</v>
      </c>
      <c r="N83" s="111">
        <f t="shared" si="5"/>
        <v>5.8333333333330017E-2</v>
      </c>
      <c r="O83" s="111">
        <f t="shared" si="5"/>
        <v>6.666666666666643E-2</v>
      </c>
      <c r="P83" s="111">
        <f t="shared" si="5"/>
        <v>7.4999999999999289E-2</v>
      </c>
      <c r="Q83" s="111">
        <f t="shared" si="5"/>
        <v>8.3333333333332149E-2</v>
      </c>
      <c r="R83" s="111">
        <f t="shared" si="5"/>
        <v>9.1666666666665009E-2</v>
      </c>
      <c r="S83" s="111">
        <f t="shared" si="5"/>
        <v>9.9999999999997868E-2</v>
      </c>
      <c r="T83" s="111">
        <f t="shared" si="5"/>
        <v>0.10833333333333073</v>
      </c>
      <c r="U83" s="111">
        <f t="shared" si="5"/>
        <v>0.11666666666666359</v>
      </c>
      <c r="V83" s="111">
        <f t="shared" si="5"/>
        <v>0.125</v>
      </c>
      <c r="W83" s="111">
        <f t="shared" si="5"/>
        <v>0.13333333333333286</v>
      </c>
      <c r="X83" s="111">
        <f t="shared" si="5"/>
        <v>0.14166666666666572</v>
      </c>
      <c r="Y83" s="111">
        <f t="shared" si="5"/>
        <v>0.14999999999999858</v>
      </c>
      <c r="Z83" s="111">
        <f t="shared" si="5"/>
        <v>0.15833333333333144</v>
      </c>
      <c r="AA83" s="111">
        <f t="shared" si="5"/>
        <v>0.1666666666666643</v>
      </c>
      <c r="AB83" s="111">
        <f t="shared" si="5"/>
        <v>0.17499999999999716</v>
      </c>
      <c r="AC83" s="111">
        <f t="shared" si="5"/>
        <v>0.18333333333333002</v>
      </c>
      <c r="AD83" s="111">
        <f t="shared" si="5"/>
        <v>0.19166666666666643</v>
      </c>
      <c r="AE83" s="111">
        <f t="shared" si="5"/>
        <v>0.19999999999999929</v>
      </c>
      <c r="AF83" s="111">
        <f t="shared" si="5"/>
        <v>0.20833333333333215</v>
      </c>
      <c r="AG83" s="111">
        <f t="shared" si="5"/>
        <v>0.21666666666666501</v>
      </c>
      <c r="AH83" s="111">
        <f t="shared" si="5"/>
        <v>0.22499999999999787</v>
      </c>
      <c r="AI83" s="139">
        <f t="shared" si="5"/>
        <v>0.23333333333333073</v>
      </c>
      <c r="AJ83" s="111">
        <f t="shared" si="5"/>
        <v>0.24166666666666359</v>
      </c>
      <c r="AK83" s="111">
        <f t="shared" si="5"/>
        <v>0.25</v>
      </c>
      <c r="AL83" s="111">
        <f t="shared" si="5"/>
        <v>0.25833333333333286</v>
      </c>
      <c r="AM83" s="111">
        <f t="shared" si="5"/>
        <v>0.26666666666666572</v>
      </c>
      <c r="AN83" s="111">
        <f t="shared" si="5"/>
        <v>0.27499999999999858</v>
      </c>
      <c r="AO83" s="111">
        <f t="shared" si="5"/>
        <v>0.28333333333333144</v>
      </c>
      <c r="AP83" s="111">
        <f t="shared" si="5"/>
        <v>0.2916666666666643</v>
      </c>
      <c r="AQ83" s="111">
        <f t="shared" si="5"/>
        <v>0.29999999999999716</v>
      </c>
      <c r="AR83" s="111">
        <f t="shared" si="5"/>
        <v>0.30833333333333002</v>
      </c>
      <c r="AS83" s="111">
        <f t="shared" si="5"/>
        <v>0.31666666666666643</v>
      </c>
      <c r="AT83" s="111">
        <f t="shared" si="5"/>
        <v>0.32499999999999929</v>
      </c>
      <c r="AU83" s="111">
        <f t="shared" si="5"/>
        <v>0.33333333333333215</v>
      </c>
      <c r="AV83" s="111">
        <f t="shared" si="5"/>
        <v>0.34166666666666501</v>
      </c>
      <c r="AW83" s="111">
        <f t="shared" si="5"/>
        <v>0.34999999999999787</v>
      </c>
      <c r="AX83" s="111">
        <f t="shared" si="5"/>
        <v>0.35833333333333073</v>
      </c>
      <c r="AY83" s="111">
        <f t="shared" si="5"/>
        <v>0.36666666666666359</v>
      </c>
      <c r="AZ83" s="111">
        <f t="shared" si="5"/>
        <v>0.375</v>
      </c>
      <c r="BA83" s="111">
        <f t="shared" si="5"/>
        <v>0.38333333333333286</v>
      </c>
      <c r="BB83" s="111">
        <f t="shared" si="5"/>
        <v>0.39166666666666572</v>
      </c>
      <c r="BC83" s="111">
        <f t="shared" si="5"/>
        <v>0.39999999999999858</v>
      </c>
      <c r="BD83" s="258">
        <v>0</v>
      </c>
      <c r="BE83" s="139">
        <v>0.4</v>
      </c>
      <c r="BF83" s="191"/>
      <c r="BG83" s="20"/>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row>
    <row r="84" spans="1:115" ht="14.25" customHeight="1">
      <c r="A84" s="30"/>
      <c r="B84" s="219" t="s">
        <v>387</v>
      </c>
      <c r="C84" s="219" t="s">
        <v>58</v>
      </c>
      <c r="D84" s="219" t="s">
        <v>376</v>
      </c>
      <c r="E84" s="30"/>
      <c r="F84" s="30"/>
      <c r="G84" s="256">
        <v>0</v>
      </c>
      <c r="H84" s="111">
        <f t="shared" ref="H84:BC84" si="6">_xlfn.FORECAST.LINEAR(H$1,$BD84:$BE84,$BD$1:$BE$1)</f>
        <v>6.2499999999996447E-3</v>
      </c>
      <c r="I84" s="111">
        <f t="shared" si="6"/>
        <v>1.2499999999999289E-2</v>
      </c>
      <c r="J84" s="111">
        <f t="shared" si="6"/>
        <v>1.8749999999998934E-2</v>
      </c>
      <c r="K84" s="111">
        <f t="shared" si="6"/>
        <v>2.5000000000000355E-2</v>
      </c>
      <c r="L84" s="111">
        <f t="shared" si="6"/>
        <v>3.125E-2</v>
      </c>
      <c r="M84" s="111">
        <f t="shared" si="6"/>
        <v>3.7499999999999645E-2</v>
      </c>
      <c r="N84" s="111">
        <f t="shared" si="6"/>
        <v>4.3749999999999289E-2</v>
      </c>
      <c r="O84" s="111">
        <f t="shared" si="6"/>
        <v>4.9999999999998934E-2</v>
      </c>
      <c r="P84" s="111">
        <f t="shared" si="6"/>
        <v>5.6250000000000355E-2</v>
      </c>
      <c r="Q84" s="111">
        <f t="shared" si="6"/>
        <v>6.25E-2</v>
      </c>
      <c r="R84" s="111">
        <f t="shared" si="6"/>
        <v>6.8749999999999645E-2</v>
      </c>
      <c r="S84" s="111">
        <f t="shared" si="6"/>
        <v>7.4999999999999289E-2</v>
      </c>
      <c r="T84" s="111">
        <f t="shared" si="6"/>
        <v>8.1249999999998934E-2</v>
      </c>
      <c r="U84" s="111">
        <f t="shared" si="6"/>
        <v>8.7500000000000355E-2</v>
      </c>
      <c r="V84" s="111">
        <f t="shared" si="6"/>
        <v>9.375E-2</v>
      </c>
      <c r="W84" s="111">
        <f t="shared" si="6"/>
        <v>9.9999999999999645E-2</v>
      </c>
      <c r="X84" s="111">
        <f t="shared" si="6"/>
        <v>0.10624999999999929</v>
      </c>
      <c r="Y84" s="111">
        <f t="shared" si="6"/>
        <v>0.11249999999999893</v>
      </c>
      <c r="Z84" s="111">
        <f t="shared" si="6"/>
        <v>0.11875000000000036</v>
      </c>
      <c r="AA84" s="111">
        <f t="shared" si="6"/>
        <v>0.125</v>
      </c>
      <c r="AB84" s="111">
        <f t="shared" si="6"/>
        <v>0.13124999999999964</v>
      </c>
      <c r="AC84" s="111">
        <f t="shared" si="6"/>
        <v>0.13749999999999929</v>
      </c>
      <c r="AD84" s="111">
        <f t="shared" si="6"/>
        <v>0.14374999999999893</v>
      </c>
      <c r="AE84" s="111">
        <f t="shared" si="6"/>
        <v>0.15000000000000036</v>
      </c>
      <c r="AF84" s="111">
        <f t="shared" si="6"/>
        <v>0.15625</v>
      </c>
      <c r="AG84" s="111">
        <f t="shared" si="6"/>
        <v>0.16249999999999964</v>
      </c>
      <c r="AH84" s="111">
        <f t="shared" si="6"/>
        <v>0.16874999999999929</v>
      </c>
      <c r="AI84" s="139">
        <f t="shared" si="6"/>
        <v>0.17499999999999893</v>
      </c>
      <c r="AJ84" s="111">
        <f t="shared" si="6"/>
        <v>0.18125000000000036</v>
      </c>
      <c r="AK84" s="111">
        <f t="shared" si="6"/>
        <v>0.1875</v>
      </c>
      <c r="AL84" s="111">
        <f t="shared" si="6"/>
        <v>0.19374999999999964</v>
      </c>
      <c r="AM84" s="111">
        <f t="shared" si="6"/>
        <v>0.19999999999999929</v>
      </c>
      <c r="AN84" s="111">
        <f t="shared" si="6"/>
        <v>0.20624999999999893</v>
      </c>
      <c r="AO84" s="111">
        <f t="shared" si="6"/>
        <v>0.21250000000000036</v>
      </c>
      <c r="AP84" s="111">
        <f t="shared" si="6"/>
        <v>0.21875</v>
      </c>
      <c r="AQ84" s="111">
        <f t="shared" si="6"/>
        <v>0.22499999999999964</v>
      </c>
      <c r="AR84" s="111">
        <f t="shared" si="6"/>
        <v>0.23124999999999929</v>
      </c>
      <c r="AS84" s="111">
        <f t="shared" si="6"/>
        <v>0.23749999999999893</v>
      </c>
      <c r="AT84" s="111">
        <f t="shared" si="6"/>
        <v>0.24375000000000036</v>
      </c>
      <c r="AU84" s="111">
        <f t="shared" si="6"/>
        <v>0.25</v>
      </c>
      <c r="AV84" s="111">
        <f t="shared" si="6"/>
        <v>0.25624999999999964</v>
      </c>
      <c r="AW84" s="111">
        <f t="shared" si="6"/>
        <v>0.26249999999999929</v>
      </c>
      <c r="AX84" s="111">
        <f t="shared" si="6"/>
        <v>0.26874999999999893</v>
      </c>
      <c r="AY84" s="111">
        <f t="shared" si="6"/>
        <v>0.27500000000000036</v>
      </c>
      <c r="AZ84" s="111">
        <f t="shared" si="6"/>
        <v>0.28125</v>
      </c>
      <c r="BA84" s="111">
        <f t="shared" si="6"/>
        <v>0.28749999999999964</v>
      </c>
      <c r="BB84" s="111">
        <f t="shared" si="6"/>
        <v>0.29374999999999929</v>
      </c>
      <c r="BC84" s="111">
        <f t="shared" si="6"/>
        <v>0.29999999999999893</v>
      </c>
      <c r="BD84" s="258">
        <v>0</v>
      </c>
      <c r="BE84" s="139">
        <v>0.3</v>
      </c>
      <c r="BF84" s="191"/>
      <c r="BG84" s="20" t="s">
        <v>394</v>
      </c>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row>
    <row r="85" spans="1:115" ht="14.25" customHeight="1">
      <c r="A85" s="30"/>
      <c r="B85" s="219" t="s">
        <v>388</v>
      </c>
      <c r="C85" s="219" t="s">
        <v>389</v>
      </c>
      <c r="D85" s="219" t="s">
        <v>390</v>
      </c>
      <c r="E85" s="30"/>
      <c r="F85" s="30"/>
      <c r="G85" s="256">
        <v>0</v>
      </c>
      <c r="H85" s="111">
        <f t="shared" ref="H85:BC85" si="7">_xlfn.FORECAST.LINEAR(H$1,$BD85:$BE85,$BD$1:$BE$1)</f>
        <v>6.2499999999996447E-3</v>
      </c>
      <c r="I85" s="111">
        <f t="shared" si="7"/>
        <v>1.2499999999999289E-2</v>
      </c>
      <c r="J85" s="111">
        <f t="shared" si="7"/>
        <v>1.8749999999998934E-2</v>
      </c>
      <c r="K85" s="111">
        <f t="shared" si="7"/>
        <v>2.5000000000000355E-2</v>
      </c>
      <c r="L85" s="111">
        <f t="shared" si="7"/>
        <v>3.125E-2</v>
      </c>
      <c r="M85" s="111">
        <f t="shared" si="7"/>
        <v>3.7499999999999645E-2</v>
      </c>
      <c r="N85" s="111">
        <f t="shared" si="7"/>
        <v>4.3749999999999289E-2</v>
      </c>
      <c r="O85" s="111">
        <f t="shared" si="7"/>
        <v>4.9999999999998934E-2</v>
      </c>
      <c r="P85" s="111">
        <f t="shared" si="7"/>
        <v>5.6250000000000355E-2</v>
      </c>
      <c r="Q85" s="111">
        <f t="shared" si="7"/>
        <v>6.25E-2</v>
      </c>
      <c r="R85" s="111">
        <f t="shared" si="7"/>
        <v>6.8749999999999645E-2</v>
      </c>
      <c r="S85" s="111">
        <f t="shared" si="7"/>
        <v>7.4999999999999289E-2</v>
      </c>
      <c r="T85" s="111">
        <f t="shared" si="7"/>
        <v>8.1249999999998934E-2</v>
      </c>
      <c r="U85" s="111">
        <f t="shared" si="7"/>
        <v>8.7500000000000355E-2</v>
      </c>
      <c r="V85" s="111">
        <f t="shared" si="7"/>
        <v>9.375E-2</v>
      </c>
      <c r="W85" s="111">
        <f t="shared" si="7"/>
        <v>9.9999999999999645E-2</v>
      </c>
      <c r="X85" s="111">
        <f t="shared" si="7"/>
        <v>0.10624999999999929</v>
      </c>
      <c r="Y85" s="111">
        <f t="shared" si="7"/>
        <v>0.11249999999999893</v>
      </c>
      <c r="Z85" s="111">
        <f t="shared" si="7"/>
        <v>0.11875000000000036</v>
      </c>
      <c r="AA85" s="111">
        <f t="shared" si="7"/>
        <v>0.125</v>
      </c>
      <c r="AB85" s="111">
        <f t="shared" si="7"/>
        <v>0.13124999999999964</v>
      </c>
      <c r="AC85" s="111">
        <f t="shared" si="7"/>
        <v>0.13749999999999929</v>
      </c>
      <c r="AD85" s="111">
        <f t="shared" si="7"/>
        <v>0.14374999999999893</v>
      </c>
      <c r="AE85" s="111">
        <f t="shared" si="7"/>
        <v>0.15000000000000036</v>
      </c>
      <c r="AF85" s="111">
        <f t="shared" si="7"/>
        <v>0.15625</v>
      </c>
      <c r="AG85" s="111">
        <f t="shared" si="7"/>
        <v>0.16249999999999964</v>
      </c>
      <c r="AH85" s="111">
        <f t="shared" si="7"/>
        <v>0.16874999999999929</v>
      </c>
      <c r="AI85" s="139">
        <f t="shared" si="7"/>
        <v>0.17499999999999893</v>
      </c>
      <c r="AJ85" s="111">
        <f t="shared" si="7"/>
        <v>0.18125000000000036</v>
      </c>
      <c r="AK85" s="111">
        <f t="shared" si="7"/>
        <v>0.1875</v>
      </c>
      <c r="AL85" s="111">
        <f t="shared" si="7"/>
        <v>0.19374999999999964</v>
      </c>
      <c r="AM85" s="111">
        <f t="shared" si="7"/>
        <v>0.19999999999999929</v>
      </c>
      <c r="AN85" s="111">
        <f t="shared" si="7"/>
        <v>0.20624999999999893</v>
      </c>
      <c r="AO85" s="111">
        <f t="shared" si="7"/>
        <v>0.21250000000000036</v>
      </c>
      <c r="AP85" s="111">
        <f t="shared" si="7"/>
        <v>0.21875</v>
      </c>
      <c r="AQ85" s="111">
        <f t="shared" si="7"/>
        <v>0.22499999999999964</v>
      </c>
      <c r="AR85" s="111">
        <f t="shared" si="7"/>
        <v>0.23124999999999929</v>
      </c>
      <c r="AS85" s="111">
        <f t="shared" si="7"/>
        <v>0.23749999999999893</v>
      </c>
      <c r="AT85" s="111">
        <f t="shared" si="7"/>
        <v>0.24375000000000036</v>
      </c>
      <c r="AU85" s="111">
        <f t="shared" si="7"/>
        <v>0.25</v>
      </c>
      <c r="AV85" s="111">
        <f t="shared" si="7"/>
        <v>0.25624999999999964</v>
      </c>
      <c r="AW85" s="111">
        <f t="shared" si="7"/>
        <v>0.26249999999999929</v>
      </c>
      <c r="AX85" s="111">
        <f t="shared" si="7"/>
        <v>0.26874999999999893</v>
      </c>
      <c r="AY85" s="111">
        <f t="shared" si="7"/>
        <v>0.27500000000000036</v>
      </c>
      <c r="AZ85" s="111">
        <f t="shared" si="7"/>
        <v>0.28125</v>
      </c>
      <c r="BA85" s="111">
        <f t="shared" si="7"/>
        <v>0.28749999999999964</v>
      </c>
      <c r="BB85" s="111">
        <f t="shared" si="7"/>
        <v>0.29374999999999929</v>
      </c>
      <c r="BC85" s="111">
        <f t="shared" si="7"/>
        <v>0.29999999999999893</v>
      </c>
      <c r="BD85" s="258">
        <v>0</v>
      </c>
      <c r="BE85" s="139">
        <v>0.3</v>
      </c>
      <c r="BF85" s="30"/>
      <c r="BG85" s="20"/>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row>
    <row r="86" spans="1:115" ht="14.25" customHeight="1">
      <c r="A86" s="1"/>
      <c r="B86" s="1"/>
      <c r="C86" s="27" t="s">
        <v>234</v>
      </c>
      <c r="D86" s="1"/>
      <c r="E86" s="1"/>
      <c r="F86" s="1" t="s">
        <v>235</v>
      </c>
      <c r="G86" s="1"/>
      <c r="H86" s="35"/>
      <c r="I86" s="65">
        <v>0</v>
      </c>
      <c r="J86" s="65">
        <v>2.957142857142857E-3</v>
      </c>
      <c r="K86" s="65">
        <v>5.9964285714285718E-3</v>
      </c>
      <c r="L86" s="65">
        <v>8.9535714285714288E-3</v>
      </c>
      <c r="M86" s="65">
        <v>1.4292857142857142E-2</v>
      </c>
      <c r="N86" s="65">
        <v>1.9550000000000001E-2</v>
      </c>
      <c r="O86" s="65">
        <v>2.4807142857142857E-2</v>
      </c>
      <c r="P86" s="65">
        <v>3.0064285714285714E-2</v>
      </c>
      <c r="Q86" s="65">
        <v>3.540357142857143E-2</v>
      </c>
      <c r="R86" s="65">
        <v>4.1235714285714285E-2</v>
      </c>
      <c r="S86" s="65">
        <v>4.706785714285714E-2</v>
      </c>
      <c r="T86" s="65">
        <v>5.2899999999999996E-2</v>
      </c>
      <c r="U86" s="65">
        <v>5.8814285714285715E-2</v>
      </c>
      <c r="V86" s="65">
        <v>6.4646428571428577E-2</v>
      </c>
      <c r="W86" s="65">
        <v>6.9410714285714284E-2</v>
      </c>
      <c r="X86" s="65">
        <v>7.4175000000000005E-2</v>
      </c>
      <c r="Y86" s="65">
        <v>7.8939285714285726E-2</v>
      </c>
      <c r="Z86" s="65">
        <v>8.3703571428571433E-2</v>
      </c>
      <c r="AA86" s="65">
        <v>8.846785714285714E-2</v>
      </c>
      <c r="AB86" s="65">
        <v>9.175357142857142E-2</v>
      </c>
      <c r="AC86" s="65">
        <v>9.5121428571428565E-2</v>
      </c>
      <c r="AD86" s="65">
        <v>9.840714285714286E-2</v>
      </c>
      <c r="AE86" s="65">
        <v>0.10177499999999999</v>
      </c>
      <c r="AF86" s="65">
        <v>0.10514285714285715</v>
      </c>
      <c r="AG86" s="65">
        <v>0.10719642857142857</v>
      </c>
      <c r="AH86" s="65">
        <v>0.10925000000000001</v>
      </c>
      <c r="AI86" s="65">
        <v>0.11130357142857143</v>
      </c>
      <c r="AJ86" s="65">
        <v>0.11335714285714286</v>
      </c>
      <c r="AK86" s="65">
        <f t="shared" ref="AK86:BE86" si="8">AJ86</f>
        <v>0.11335714285714286</v>
      </c>
      <c r="AL86" s="65">
        <f t="shared" si="8"/>
        <v>0.11335714285714286</v>
      </c>
      <c r="AM86" s="65">
        <f t="shared" si="8"/>
        <v>0.11335714285714286</v>
      </c>
      <c r="AN86" s="65">
        <f t="shared" si="8"/>
        <v>0.11335714285714286</v>
      </c>
      <c r="AO86" s="65">
        <f t="shared" si="8"/>
        <v>0.11335714285714286</v>
      </c>
      <c r="AP86" s="65">
        <f t="shared" si="8"/>
        <v>0.11335714285714286</v>
      </c>
      <c r="AQ86" s="65">
        <f t="shared" si="8"/>
        <v>0.11335714285714286</v>
      </c>
      <c r="AR86" s="65">
        <f t="shared" si="8"/>
        <v>0.11335714285714286</v>
      </c>
      <c r="AS86" s="65">
        <f t="shared" si="8"/>
        <v>0.11335714285714286</v>
      </c>
      <c r="AT86" s="65">
        <f t="shared" si="8"/>
        <v>0.11335714285714286</v>
      </c>
      <c r="AU86" s="65">
        <f t="shared" si="8"/>
        <v>0.11335714285714286</v>
      </c>
      <c r="AV86" s="65">
        <f t="shared" si="8"/>
        <v>0.11335714285714286</v>
      </c>
      <c r="AW86" s="65">
        <f t="shared" si="8"/>
        <v>0.11335714285714286</v>
      </c>
      <c r="AX86" s="65">
        <f t="shared" si="8"/>
        <v>0.11335714285714286</v>
      </c>
      <c r="AY86" s="65">
        <f t="shared" si="8"/>
        <v>0.11335714285714286</v>
      </c>
      <c r="AZ86" s="65">
        <f t="shared" si="8"/>
        <v>0.11335714285714286</v>
      </c>
      <c r="BA86" s="65">
        <f t="shared" si="8"/>
        <v>0.11335714285714286</v>
      </c>
      <c r="BB86" s="65">
        <f t="shared" si="8"/>
        <v>0.11335714285714286</v>
      </c>
      <c r="BC86" s="65">
        <f t="shared" si="8"/>
        <v>0.11335714285714286</v>
      </c>
      <c r="BD86" s="65">
        <f t="shared" si="8"/>
        <v>0.11335714285714286</v>
      </c>
      <c r="BE86" s="65">
        <f t="shared" si="8"/>
        <v>0.11335714285714286</v>
      </c>
      <c r="BF86" s="1"/>
      <c r="BG86" s="1"/>
      <c r="BH86" s="1"/>
      <c r="BI86" s="1"/>
      <c r="BJ86" s="1"/>
      <c r="BK86" s="1"/>
      <c r="BL86" s="1" t="s">
        <v>236</v>
      </c>
      <c r="BM86" s="1"/>
      <c r="BN86" s="1"/>
      <c r="BO86" s="1"/>
      <c r="BP86" s="1"/>
      <c r="BQ86" s="1"/>
      <c r="BR86" s="1"/>
      <c r="BS86" s="1"/>
      <c r="BT86" s="1"/>
      <c r="BU86" s="1"/>
      <c r="BV86" s="1"/>
      <c r="BW86" s="1"/>
      <c r="BX86" s="1"/>
      <c r="BY86" s="1"/>
      <c r="BZ86" s="1"/>
      <c r="CA86" s="1"/>
      <c r="CB86" s="1"/>
      <c r="CC86" s="1"/>
      <c r="CD86" s="1"/>
      <c r="CE86" s="1"/>
      <c r="CF86" s="1" t="s">
        <v>237</v>
      </c>
      <c r="CG86" s="1">
        <v>1370</v>
      </c>
      <c r="CH86" s="65" t="e">
        <f>CG86/$CG$58</f>
        <v>#DIV/0!</v>
      </c>
      <c r="CI86" s="1"/>
      <c r="CJ86" s="1"/>
      <c r="CK86" s="91">
        <f>1-CJ82-CJ84</f>
        <v>1</v>
      </c>
      <c r="CL86" s="1" t="s">
        <v>237</v>
      </c>
      <c r="CM86" s="56">
        <f>CG86*0.005807</f>
        <v>7.9555899999999999</v>
      </c>
      <c r="CN86" s="1"/>
      <c r="CO86" s="1" t="s">
        <v>237</v>
      </c>
      <c r="CP86" s="56">
        <f>CM86*(77/110)</f>
        <v>5.5689129999999993</v>
      </c>
      <c r="CQ86" s="1">
        <v>6.3</v>
      </c>
      <c r="CR86" s="1"/>
      <c r="CS86" s="1"/>
      <c r="CT86" s="1"/>
      <c r="CU86" s="1"/>
      <c r="CV86" s="1"/>
      <c r="CW86" s="1"/>
      <c r="CX86" s="1"/>
      <c r="CY86" s="1"/>
      <c r="CZ86" s="1"/>
      <c r="DA86" s="1"/>
      <c r="DB86" s="1"/>
      <c r="DC86" s="1"/>
      <c r="DD86" s="1"/>
      <c r="DE86" s="1"/>
      <c r="DF86" s="1"/>
      <c r="DG86" s="1"/>
      <c r="DH86" s="1"/>
      <c r="DI86" s="1"/>
      <c r="DJ86" s="1"/>
      <c r="DK86" s="1"/>
    </row>
    <row r="87" spans="1:115" ht="14.25" customHeight="1">
      <c r="A87" s="30"/>
      <c r="B87" s="30"/>
      <c r="C87" s="30"/>
      <c r="D87" s="30"/>
      <c r="E87" s="30"/>
      <c r="F87" s="30"/>
      <c r="G87" s="256"/>
      <c r="H87" s="22"/>
      <c r="I87" s="259"/>
      <c r="J87" s="256"/>
      <c r="K87" s="256"/>
      <c r="L87" s="256"/>
      <c r="M87" s="256"/>
      <c r="N87" s="256"/>
      <c r="O87" s="256"/>
      <c r="P87" s="256"/>
      <c r="Q87" s="256"/>
      <c r="R87" s="256"/>
      <c r="S87" s="256"/>
      <c r="T87" s="256"/>
      <c r="U87" s="256"/>
      <c r="V87" s="256"/>
      <c r="W87" s="286"/>
      <c r="X87" s="256"/>
      <c r="Y87" s="256"/>
      <c r="Z87" s="256"/>
      <c r="AA87" s="256"/>
      <c r="AB87" s="256"/>
      <c r="AC87" s="256"/>
      <c r="AD87" s="256"/>
      <c r="AE87" s="256"/>
      <c r="AF87" s="256"/>
      <c r="AG87" s="256"/>
      <c r="AH87" s="256"/>
      <c r="AI87" s="257"/>
      <c r="AJ87" s="271"/>
      <c r="AK87" s="256"/>
      <c r="AL87" s="256"/>
      <c r="AM87" s="256"/>
      <c r="AN87" s="256"/>
      <c r="AO87" s="256"/>
      <c r="AP87" s="256"/>
      <c r="AQ87" s="256"/>
      <c r="AR87" s="256"/>
      <c r="AS87" s="256"/>
      <c r="AT87" s="256"/>
      <c r="AU87" s="256"/>
      <c r="AV87" s="256"/>
      <c r="AW87" s="256"/>
      <c r="AX87" s="256"/>
      <c r="AY87" s="256"/>
      <c r="AZ87" s="256"/>
      <c r="BA87" s="256"/>
      <c r="BB87" s="256"/>
      <c r="BC87" s="256"/>
      <c r="BD87" s="258"/>
      <c r="BE87" s="256"/>
      <c r="BF87" s="30"/>
      <c r="BG87" s="287"/>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row>
    <row r="88" spans="1:115" ht="14.25" customHeight="1">
      <c r="A88" s="30"/>
      <c r="B88" s="30"/>
      <c r="C88" s="288"/>
      <c r="D88" s="30"/>
      <c r="E88" s="288"/>
      <c r="F88" s="30"/>
      <c r="G88" s="30"/>
      <c r="H88" s="30"/>
      <c r="I88" s="255"/>
      <c r="J88" s="255"/>
      <c r="K88" s="30"/>
      <c r="L88" s="30"/>
      <c r="M88" s="30"/>
      <c r="N88" s="30"/>
      <c r="O88" s="30"/>
      <c r="P88" s="30"/>
      <c r="Q88" s="30"/>
      <c r="R88" s="30"/>
      <c r="S88" s="30"/>
      <c r="T88" s="30"/>
      <c r="U88" s="30"/>
      <c r="V88" s="30"/>
      <c r="W88" s="30"/>
      <c r="X88" s="30"/>
      <c r="Y88" s="191"/>
      <c r="Z88" s="30"/>
      <c r="AA88" s="30"/>
      <c r="AB88" s="30"/>
      <c r="AC88" s="30"/>
      <c r="AD88" s="30"/>
      <c r="AE88" s="30"/>
      <c r="AF88" s="30"/>
      <c r="AG88" s="30"/>
      <c r="AH88" s="30"/>
      <c r="AI88" s="226"/>
      <c r="AJ88" s="31"/>
      <c r="AK88" s="30"/>
      <c r="AL88" s="30"/>
      <c r="AM88" s="30"/>
      <c r="AN88" s="30"/>
      <c r="AO88" s="30"/>
      <c r="AP88" s="30"/>
      <c r="AQ88" s="30"/>
      <c r="AR88" s="30"/>
      <c r="AS88" s="30"/>
      <c r="AT88" s="30"/>
      <c r="AU88" s="30"/>
      <c r="AV88" s="30"/>
      <c r="AW88" s="30"/>
      <c r="AX88" s="30"/>
      <c r="AY88" s="30"/>
      <c r="AZ88" s="30"/>
      <c r="BA88" s="30"/>
      <c r="BB88" s="30"/>
      <c r="BC88" s="30"/>
      <c r="BD88" s="227"/>
      <c r="BE88" s="30"/>
      <c r="BF88" s="30"/>
      <c r="BG88" s="20"/>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row>
    <row r="89" spans="1:115" ht="14.25" customHeight="1">
      <c r="A89" s="262" t="s">
        <v>238</v>
      </c>
      <c r="B89" s="225"/>
      <c r="C89" s="220" t="s">
        <v>226</v>
      </c>
      <c r="D89" s="220" t="s">
        <v>214</v>
      </c>
      <c r="E89" s="220" t="s">
        <v>215</v>
      </c>
      <c r="F89" s="225"/>
      <c r="G89" s="263">
        <v>0.14000000000000001</v>
      </c>
      <c r="H89" s="289">
        <v>0.1633</v>
      </c>
      <c r="I89" s="290">
        <v>0.1867</v>
      </c>
      <c r="J89" s="263">
        <v>0.21</v>
      </c>
      <c r="K89" s="263">
        <v>0.21199999999999999</v>
      </c>
      <c r="L89" s="263">
        <v>0.214</v>
      </c>
      <c r="M89" s="263">
        <v>0.216</v>
      </c>
      <c r="N89" s="263">
        <v>0.218</v>
      </c>
      <c r="O89" s="263">
        <v>0.22</v>
      </c>
      <c r="P89" s="263">
        <v>0.224</v>
      </c>
      <c r="Q89" s="263">
        <v>0.22800000000000001</v>
      </c>
      <c r="R89" s="263">
        <v>0.23200000000000001</v>
      </c>
      <c r="S89" s="263">
        <v>0.23599999999999999</v>
      </c>
      <c r="T89" s="263">
        <v>0.24</v>
      </c>
      <c r="U89" s="263">
        <v>0.24</v>
      </c>
      <c r="V89" s="263">
        <v>0.24</v>
      </c>
      <c r="W89" s="263">
        <v>0.24</v>
      </c>
      <c r="X89" s="263">
        <v>0.24</v>
      </c>
      <c r="Y89" s="263">
        <v>0.24</v>
      </c>
      <c r="Z89" s="263">
        <v>0.24</v>
      </c>
      <c r="AA89" s="263">
        <v>0.24</v>
      </c>
      <c r="AB89" s="263">
        <v>0.24</v>
      </c>
      <c r="AC89" s="263">
        <v>0.24</v>
      </c>
      <c r="AD89" s="263">
        <v>0.24</v>
      </c>
      <c r="AE89" s="263">
        <v>0.24</v>
      </c>
      <c r="AF89" s="263">
        <v>0.24</v>
      </c>
      <c r="AG89" s="263">
        <v>0.24</v>
      </c>
      <c r="AH89" s="263">
        <v>0.24</v>
      </c>
      <c r="AI89" s="264">
        <v>0.24</v>
      </c>
      <c r="AJ89" s="291">
        <v>0.24</v>
      </c>
      <c r="AK89" s="263">
        <v>0.24</v>
      </c>
      <c r="AL89" s="263">
        <v>0.24</v>
      </c>
      <c r="AM89" s="263">
        <v>0.24</v>
      </c>
      <c r="AN89" s="263">
        <v>0.24</v>
      </c>
      <c r="AO89" s="263">
        <v>0.24</v>
      </c>
      <c r="AP89" s="263">
        <v>0.24</v>
      </c>
      <c r="AQ89" s="263">
        <v>0.24</v>
      </c>
      <c r="AR89" s="263">
        <v>0.24</v>
      </c>
      <c r="AS89" s="263">
        <v>0.24</v>
      </c>
      <c r="AT89" s="263">
        <v>0.24</v>
      </c>
      <c r="AU89" s="263">
        <v>0.24</v>
      </c>
      <c r="AV89" s="263">
        <v>0.24</v>
      </c>
      <c r="AW89" s="263">
        <v>0.24</v>
      </c>
      <c r="AX89" s="263">
        <v>0.24</v>
      </c>
      <c r="AY89" s="263">
        <v>0.24</v>
      </c>
      <c r="AZ89" s="263">
        <v>0.24</v>
      </c>
      <c r="BA89" s="263">
        <v>0.24</v>
      </c>
      <c r="BB89" s="263">
        <v>0.24</v>
      </c>
      <c r="BC89" s="263">
        <v>0.24</v>
      </c>
      <c r="BD89" s="258"/>
      <c r="BE89" s="256"/>
      <c r="BF89" s="30" t="s">
        <v>391</v>
      </c>
      <c r="BG89" s="20"/>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row>
    <row r="90" spans="1:115" ht="14.25" customHeight="1">
      <c r="A90" s="30"/>
      <c r="B90" s="30"/>
      <c r="C90" s="30"/>
      <c r="D90" s="30"/>
      <c r="E90" s="30"/>
      <c r="F90" s="30"/>
      <c r="G90" s="30"/>
      <c r="H90" s="30"/>
      <c r="I90" s="255"/>
      <c r="J90" s="255"/>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226"/>
      <c r="AJ90" s="31"/>
      <c r="AK90" s="30"/>
      <c r="AL90" s="30"/>
      <c r="AM90" s="30"/>
      <c r="AN90" s="30"/>
      <c r="AO90" s="30"/>
      <c r="AP90" s="30"/>
      <c r="AQ90" s="30"/>
      <c r="AR90" s="30"/>
      <c r="AS90" s="30"/>
      <c r="AT90" s="30"/>
      <c r="AU90" s="30"/>
      <c r="AV90" s="30"/>
      <c r="AW90" s="30"/>
      <c r="AX90" s="30"/>
      <c r="AY90" s="30"/>
      <c r="AZ90" s="30"/>
      <c r="BA90" s="30"/>
      <c r="BB90" s="30"/>
      <c r="BC90" s="30"/>
      <c r="BD90" s="227"/>
      <c r="BE90" s="30"/>
      <c r="BF90" s="30"/>
      <c r="BG90" s="20"/>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row>
    <row r="91" spans="1:115" ht="14.25" customHeight="1">
      <c r="A91" s="262" t="s">
        <v>240</v>
      </c>
      <c r="B91" s="225"/>
      <c r="C91" s="225"/>
      <c r="D91" s="225"/>
      <c r="E91" s="225"/>
      <c r="F91" s="225"/>
      <c r="G91" s="225"/>
      <c r="H91" s="225"/>
      <c r="I91" s="267"/>
      <c r="J91" s="267"/>
      <c r="K91" s="225"/>
      <c r="L91" s="225"/>
      <c r="M91" s="225"/>
      <c r="N91" s="225"/>
      <c r="O91" s="225"/>
      <c r="P91" s="225"/>
      <c r="Q91" s="225"/>
      <c r="R91" s="225"/>
      <c r="S91" s="225"/>
      <c r="T91" s="225"/>
      <c r="U91" s="225"/>
      <c r="V91" s="225"/>
      <c r="W91" s="225"/>
      <c r="X91" s="225"/>
      <c r="Y91" s="225"/>
      <c r="Z91" s="225"/>
      <c r="AA91" s="225"/>
      <c r="AB91" s="225"/>
      <c r="AC91" s="225"/>
      <c r="AD91" s="225"/>
      <c r="AE91" s="225"/>
      <c r="AF91" s="225"/>
      <c r="AG91" s="225"/>
      <c r="AH91" s="225"/>
      <c r="AI91" s="268"/>
      <c r="AJ91" s="269"/>
      <c r="AK91" s="225"/>
      <c r="AL91" s="225"/>
      <c r="AM91" s="225"/>
      <c r="AN91" s="225"/>
      <c r="AO91" s="225"/>
      <c r="AP91" s="225"/>
      <c r="AQ91" s="225"/>
      <c r="AR91" s="225"/>
      <c r="AS91" s="225"/>
      <c r="AT91" s="225"/>
      <c r="AU91" s="225"/>
      <c r="AV91" s="225"/>
      <c r="AW91" s="30"/>
      <c r="AX91" s="30"/>
      <c r="AY91" s="30"/>
      <c r="AZ91" s="30"/>
      <c r="BA91" s="30"/>
      <c r="BB91" s="30"/>
      <c r="BC91" s="30"/>
      <c r="BD91" s="227"/>
      <c r="BE91" s="30"/>
      <c r="BF91" s="30"/>
      <c r="BG91" s="20"/>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row>
    <row r="92" spans="1:115" ht="14.25" customHeight="1">
      <c r="A92" s="292"/>
      <c r="B92" s="30"/>
      <c r="C92" s="219" t="s">
        <v>226</v>
      </c>
      <c r="D92" s="219" t="s">
        <v>214</v>
      </c>
      <c r="E92" s="219" t="s">
        <v>215</v>
      </c>
      <c r="F92" s="30"/>
      <c r="G92" s="256">
        <v>0</v>
      </c>
      <c r="H92" s="22">
        <v>8.0000000000000004E-4</v>
      </c>
      <c r="I92" s="259">
        <v>1.6000000000000001E-3</v>
      </c>
      <c r="J92" s="256">
        <v>2.3999999999999998E-3</v>
      </c>
      <c r="K92" s="256">
        <v>4.7000000000000002E-3</v>
      </c>
      <c r="L92" s="256">
        <v>7.0000000000000001E-3</v>
      </c>
      <c r="M92" s="256">
        <v>9.2999999999999992E-3</v>
      </c>
      <c r="N92" s="256">
        <v>1.1599999999999999E-2</v>
      </c>
      <c r="O92" s="256">
        <v>1.3899999999999999E-2</v>
      </c>
      <c r="P92" s="256">
        <v>1.5900000000000001E-2</v>
      </c>
      <c r="Q92" s="256">
        <v>1.7999999999999999E-2</v>
      </c>
      <c r="R92" s="256">
        <v>2.01E-2</v>
      </c>
      <c r="S92" s="256">
        <v>2.2200000000000001E-2</v>
      </c>
      <c r="T92" s="256">
        <v>2.4199999999999999E-2</v>
      </c>
      <c r="U92" s="256">
        <v>2.6100000000000002E-2</v>
      </c>
      <c r="V92" s="256">
        <v>2.8000000000000001E-2</v>
      </c>
      <c r="W92" s="256">
        <v>2.9899999999999999E-2</v>
      </c>
      <c r="X92" s="256">
        <v>3.1800000000000002E-2</v>
      </c>
      <c r="Y92" s="256">
        <v>3.3700000000000001E-2</v>
      </c>
      <c r="Z92" s="256">
        <v>3.5299999999999998E-2</v>
      </c>
      <c r="AA92" s="256">
        <v>3.6900000000000002E-2</v>
      </c>
      <c r="AB92" s="256">
        <v>3.8399999999999997E-2</v>
      </c>
      <c r="AC92" s="256">
        <v>0.04</v>
      </c>
      <c r="AD92" s="256">
        <v>4.1599999999999998E-2</v>
      </c>
      <c r="AE92" s="256">
        <v>4.2799999999999998E-2</v>
      </c>
      <c r="AF92" s="256">
        <v>4.3999999999999997E-2</v>
      </c>
      <c r="AG92" s="256">
        <v>4.5199999999999997E-2</v>
      </c>
      <c r="AH92" s="256">
        <v>4.6399999999999997E-2</v>
      </c>
      <c r="AI92" s="257">
        <v>0.05</v>
      </c>
      <c r="AJ92" s="271">
        <v>4.9000000000000002E-2</v>
      </c>
      <c r="AK92" s="256">
        <v>4.9000000000000002E-2</v>
      </c>
      <c r="AL92" s="256">
        <v>0.05</v>
      </c>
      <c r="AM92" s="256">
        <v>5.0999999999999997E-2</v>
      </c>
      <c r="AN92" s="256">
        <v>5.1999999999999998E-2</v>
      </c>
      <c r="AO92" s="256">
        <v>5.2999999999999999E-2</v>
      </c>
      <c r="AP92" s="256">
        <v>5.2999999999999999E-2</v>
      </c>
      <c r="AQ92" s="256">
        <v>5.3999999999999999E-2</v>
      </c>
      <c r="AR92" s="256">
        <v>5.3999999999999999E-2</v>
      </c>
      <c r="AS92" s="256">
        <v>5.5E-2</v>
      </c>
      <c r="AT92" s="256">
        <v>5.5E-2</v>
      </c>
      <c r="AU92" s="256">
        <v>5.5E-2</v>
      </c>
      <c r="AV92" s="256">
        <v>5.5E-2</v>
      </c>
      <c r="AW92" s="256">
        <v>5.6000000000000001E-2</v>
      </c>
      <c r="AX92" s="256">
        <v>5.5899999999999998E-2</v>
      </c>
      <c r="AY92" s="256">
        <v>5.6000000000000001E-2</v>
      </c>
      <c r="AZ92" s="256">
        <v>5.6000000000000001E-2</v>
      </c>
      <c r="BA92" s="256">
        <v>5.6000000000000001E-2</v>
      </c>
      <c r="BB92" s="256">
        <v>5.6000000000000001E-2</v>
      </c>
      <c r="BC92" s="256">
        <v>5.6300000000000003E-2</v>
      </c>
      <c r="BD92" s="258"/>
      <c r="BE92" s="256"/>
      <c r="BF92" s="30"/>
      <c r="BG92" s="20"/>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row>
    <row r="93" spans="1:115" ht="14.25" customHeight="1">
      <c r="A93" s="292"/>
      <c r="B93" s="30"/>
      <c r="C93" s="219" t="s">
        <v>368</v>
      </c>
      <c r="D93" s="219" t="s">
        <v>61</v>
      </c>
      <c r="E93" s="219" t="s">
        <v>370</v>
      </c>
      <c r="F93" s="30"/>
      <c r="G93" s="256">
        <v>0</v>
      </c>
      <c r="H93" s="22">
        <v>3.3E-3</v>
      </c>
      <c r="I93" s="259">
        <v>6.7000000000000002E-3</v>
      </c>
      <c r="J93" s="256">
        <v>0.01</v>
      </c>
      <c r="K93" s="256">
        <v>1.6E-2</v>
      </c>
      <c r="L93" s="256">
        <v>2.1999999999999999E-2</v>
      </c>
      <c r="M93" s="256">
        <v>2.8000000000000001E-2</v>
      </c>
      <c r="N93" s="256">
        <v>3.4000000000000002E-2</v>
      </c>
      <c r="O93" s="256">
        <v>0.04</v>
      </c>
      <c r="P93" s="256">
        <v>4.5999999999999999E-2</v>
      </c>
      <c r="Q93" s="256">
        <v>5.1999999999999998E-2</v>
      </c>
      <c r="R93" s="256">
        <v>5.8000000000000003E-2</v>
      </c>
      <c r="S93" s="256">
        <v>6.4000000000000001E-2</v>
      </c>
      <c r="T93" s="256">
        <v>7.0000000000000007E-2</v>
      </c>
      <c r="U93" s="256">
        <v>7.4999999999999997E-2</v>
      </c>
      <c r="V93" s="256">
        <v>0.08</v>
      </c>
      <c r="W93" s="256">
        <v>8.5000000000000006E-2</v>
      </c>
      <c r="X93" s="256">
        <v>0.09</v>
      </c>
      <c r="Y93" s="256">
        <v>9.5000000000000001E-2</v>
      </c>
      <c r="Z93" s="256">
        <v>0.1</v>
      </c>
      <c r="AA93" s="256">
        <v>0.105</v>
      </c>
      <c r="AB93" s="256">
        <v>0.11</v>
      </c>
      <c r="AC93" s="256">
        <v>0.115</v>
      </c>
      <c r="AD93" s="256">
        <v>0.12</v>
      </c>
      <c r="AE93" s="256">
        <v>0.124</v>
      </c>
      <c r="AF93" s="256">
        <v>0.128</v>
      </c>
      <c r="AG93" s="256">
        <v>0.13200000000000001</v>
      </c>
      <c r="AH93" s="256">
        <v>0.13600000000000001</v>
      </c>
      <c r="AI93" s="257">
        <v>0.14000000000000001</v>
      </c>
      <c r="AJ93" s="271">
        <v>0.14299999999999999</v>
      </c>
      <c r="AK93" s="256">
        <v>0.14599999999999999</v>
      </c>
      <c r="AL93" s="256">
        <v>0.14899999999999999</v>
      </c>
      <c r="AM93" s="256">
        <v>0.152</v>
      </c>
      <c r="AN93" s="256">
        <v>0.155</v>
      </c>
      <c r="AO93" s="256">
        <v>0.157</v>
      </c>
      <c r="AP93" s="256">
        <v>0.159</v>
      </c>
      <c r="AQ93" s="256">
        <v>0.161</v>
      </c>
      <c r="AR93" s="256">
        <v>0.16300000000000001</v>
      </c>
      <c r="AS93" s="256">
        <v>0.16500000000000001</v>
      </c>
      <c r="AT93" s="256">
        <v>0.16600000000000001</v>
      </c>
      <c r="AU93" s="256">
        <v>0.16700000000000001</v>
      </c>
      <c r="AV93" s="256">
        <v>0.16800000000000001</v>
      </c>
      <c r="AW93" s="256">
        <v>0.16900000000000001</v>
      </c>
      <c r="AX93" s="256">
        <v>0.17</v>
      </c>
      <c r="AY93" s="256">
        <v>0.17</v>
      </c>
      <c r="AZ93" s="256">
        <v>0.17</v>
      </c>
      <c r="BA93" s="256">
        <v>0.17</v>
      </c>
      <c r="BB93" s="256">
        <v>0.17</v>
      </c>
      <c r="BC93" s="256">
        <v>0.17</v>
      </c>
      <c r="BD93" s="258"/>
      <c r="BE93" s="256"/>
      <c r="BF93" s="30"/>
      <c r="BG93" s="20"/>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row>
    <row r="94" spans="1:115" ht="14.25" customHeight="1">
      <c r="A94" s="31"/>
      <c r="B94" s="30"/>
      <c r="C94" s="293" t="s">
        <v>392</v>
      </c>
      <c r="D94" s="293" t="s">
        <v>58</v>
      </c>
      <c r="E94" s="293" t="s">
        <v>366</v>
      </c>
      <c r="F94" s="30"/>
      <c r="G94" s="256">
        <v>0</v>
      </c>
      <c r="H94" s="22">
        <v>2.3E-3</v>
      </c>
      <c r="I94" s="259">
        <v>4.7000000000000002E-3</v>
      </c>
      <c r="J94" s="256">
        <v>7.0000000000000001E-3</v>
      </c>
      <c r="K94" s="256">
        <v>2.1600000000000001E-2</v>
      </c>
      <c r="L94" s="256">
        <v>3.6200000000000003E-2</v>
      </c>
      <c r="M94" s="256">
        <v>5.0799999999999998E-2</v>
      </c>
      <c r="N94" s="256">
        <v>6.54E-2</v>
      </c>
      <c r="O94" s="256">
        <v>0.08</v>
      </c>
      <c r="P94" s="256">
        <v>9.1999999999999998E-2</v>
      </c>
      <c r="Q94" s="256">
        <v>0.104</v>
      </c>
      <c r="R94" s="256">
        <v>0.11600000000000001</v>
      </c>
      <c r="S94" s="256">
        <v>0.128</v>
      </c>
      <c r="T94" s="256">
        <v>0.14000000000000001</v>
      </c>
      <c r="U94" s="256">
        <v>0.152</v>
      </c>
      <c r="V94" s="256">
        <v>0.16400000000000001</v>
      </c>
      <c r="W94" s="256">
        <v>0.17599999999999999</v>
      </c>
      <c r="X94" s="256">
        <v>0.188</v>
      </c>
      <c r="Y94" s="256">
        <v>0.2</v>
      </c>
      <c r="Z94" s="256">
        <v>0.20799999999999999</v>
      </c>
      <c r="AA94" s="256">
        <v>0.216</v>
      </c>
      <c r="AB94" s="256">
        <v>0.224</v>
      </c>
      <c r="AC94" s="256">
        <v>0.23200000000000001</v>
      </c>
      <c r="AD94" s="256">
        <v>0.24</v>
      </c>
      <c r="AE94" s="256">
        <v>0.246</v>
      </c>
      <c r="AF94" s="256">
        <v>0.252</v>
      </c>
      <c r="AG94" s="256">
        <v>0.25800000000000001</v>
      </c>
      <c r="AH94" s="256">
        <v>0.26400000000000001</v>
      </c>
      <c r="AI94" s="257">
        <v>0.27</v>
      </c>
      <c r="AJ94" s="271">
        <v>0.27400000000000002</v>
      </c>
      <c r="AK94" s="256">
        <v>0.27800000000000002</v>
      </c>
      <c r="AL94" s="256">
        <v>0.28199999999999997</v>
      </c>
      <c r="AM94" s="256">
        <v>0.28599999999999998</v>
      </c>
      <c r="AN94" s="256">
        <v>0.28999999999999998</v>
      </c>
      <c r="AO94" s="256">
        <v>0.29199999999999998</v>
      </c>
      <c r="AP94" s="256">
        <v>0.29399999999999998</v>
      </c>
      <c r="AQ94" s="256">
        <v>0.29599999999999999</v>
      </c>
      <c r="AR94" s="256">
        <v>0.29799999999999999</v>
      </c>
      <c r="AS94" s="256">
        <v>0.3</v>
      </c>
      <c r="AT94" s="256">
        <v>0.30099999999999999</v>
      </c>
      <c r="AU94" s="256">
        <v>0.30199999999999999</v>
      </c>
      <c r="AV94" s="256">
        <v>0.30299999999999999</v>
      </c>
      <c r="AW94" s="256">
        <v>0.30399999999999999</v>
      </c>
      <c r="AX94" s="256">
        <v>0.30499999999999999</v>
      </c>
      <c r="AY94" s="256">
        <v>0.30599999999999999</v>
      </c>
      <c r="AZ94" s="256">
        <v>0.307</v>
      </c>
      <c r="BA94" s="256">
        <v>0.308</v>
      </c>
      <c r="BB94" s="256">
        <v>0.309</v>
      </c>
      <c r="BC94" s="256">
        <v>0.31</v>
      </c>
      <c r="BD94" s="258"/>
      <c r="BE94" s="256"/>
      <c r="BF94" s="30"/>
      <c r="BG94" s="20"/>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row>
    <row r="95" spans="1:115" ht="14.25" customHeight="1">
      <c r="A95" s="31"/>
      <c r="B95" s="30"/>
      <c r="C95" s="30"/>
      <c r="D95" s="30"/>
      <c r="E95" s="30"/>
      <c r="F95" s="30"/>
      <c r="G95" s="30"/>
      <c r="H95" s="30"/>
      <c r="I95" s="255"/>
      <c r="J95" s="255"/>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226"/>
      <c r="AJ95" s="31"/>
      <c r="AK95" s="30"/>
      <c r="AL95" s="30"/>
      <c r="AM95" s="30"/>
      <c r="AN95" s="30"/>
      <c r="AO95" s="30"/>
      <c r="AP95" s="30"/>
      <c r="AQ95" s="30"/>
      <c r="AR95" s="30"/>
      <c r="AS95" s="30"/>
      <c r="AT95" s="30"/>
      <c r="AU95" s="30"/>
      <c r="AV95" s="30"/>
      <c r="AW95" s="30"/>
      <c r="AX95" s="30"/>
      <c r="AY95" s="30"/>
      <c r="AZ95" s="30"/>
      <c r="BA95" s="30"/>
      <c r="BB95" s="30"/>
      <c r="BC95" s="30"/>
      <c r="BD95" s="227"/>
      <c r="BE95" s="30"/>
      <c r="BF95" s="30"/>
      <c r="BG95" s="20"/>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row>
    <row r="96" spans="1:115" ht="14.25" customHeight="1">
      <c r="A96" s="262" t="s">
        <v>393</v>
      </c>
      <c r="B96" s="225"/>
      <c r="C96" s="225" t="s">
        <v>226</v>
      </c>
      <c r="D96" s="225" t="s">
        <v>214</v>
      </c>
      <c r="E96" s="225"/>
      <c r="F96" s="225"/>
      <c r="G96" s="256">
        <v>0</v>
      </c>
      <c r="H96" s="22">
        <v>5.1000000000000004E-3</v>
      </c>
      <c r="I96" s="259">
        <v>1.01E-2</v>
      </c>
      <c r="J96" s="256">
        <v>1.52E-2</v>
      </c>
      <c r="K96" s="256">
        <v>2.1399999999999999E-2</v>
      </c>
      <c r="L96" s="256">
        <v>2.76E-2</v>
      </c>
      <c r="M96" s="256">
        <v>3.3799999999999997E-2</v>
      </c>
      <c r="N96" s="256">
        <v>0.04</v>
      </c>
      <c r="O96" s="256">
        <v>4.6199999999999998E-2</v>
      </c>
      <c r="P96" s="256">
        <v>5.2400000000000002E-2</v>
      </c>
      <c r="Q96" s="256">
        <v>5.8599999999999999E-2</v>
      </c>
      <c r="R96" s="256">
        <v>6.4799999999999996E-2</v>
      </c>
      <c r="S96" s="256">
        <v>7.0999999999999994E-2</v>
      </c>
      <c r="T96" s="256">
        <v>7.7200000000000005E-2</v>
      </c>
      <c r="U96" s="256">
        <v>8.1900000000000001E-2</v>
      </c>
      <c r="V96" s="256">
        <v>8.6499999999999994E-2</v>
      </c>
      <c r="W96" s="256">
        <v>9.11E-2</v>
      </c>
      <c r="X96" s="256">
        <v>9.5799999999999996E-2</v>
      </c>
      <c r="Y96" s="256">
        <v>0.1004</v>
      </c>
      <c r="Z96" s="256">
        <v>0.10349999999999999</v>
      </c>
      <c r="AA96" s="256">
        <v>0.1066</v>
      </c>
      <c r="AB96" s="256">
        <v>0.1096</v>
      </c>
      <c r="AC96" s="256">
        <v>0.11269999999999999</v>
      </c>
      <c r="AD96" s="256">
        <v>0.1158</v>
      </c>
      <c r="AE96" s="256">
        <v>0.11890000000000001</v>
      </c>
      <c r="AF96" s="256">
        <v>0.12189999999999999</v>
      </c>
      <c r="AG96" s="256">
        <v>0.125</v>
      </c>
      <c r="AH96" s="256">
        <v>0.128</v>
      </c>
      <c r="AI96" s="257">
        <v>0.13109999999999999</v>
      </c>
      <c r="AJ96" s="271">
        <v>0.13300000000000001</v>
      </c>
      <c r="AK96" s="256">
        <v>0.13600000000000001</v>
      </c>
      <c r="AL96" s="256">
        <v>0.13800000000000001</v>
      </c>
      <c r="AM96" s="256">
        <v>0.14000000000000001</v>
      </c>
      <c r="AN96" s="256">
        <v>0.1426</v>
      </c>
      <c r="AO96" s="256">
        <v>0.14499999999999999</v>
      </c>
      <c r="AP96" s="256">
        <v>0.14699999999999999</v>
      </c>
      <c r="AQ96" s="256">
        <v>0.14899999999999999</v>
      </c>
      <c r="AR96" s="256">
        <v>0.152</v>
      </c>
      <c r="AS96" s="256">
        <v>0.154</v>
      </c>
      <c r="AT96" s="256">
        <v>0.156</v>
      </c>
      <c r="AU96" s="256">
        <v>0.157</v>
      </c>
      <c r="AV96" s="256">
        <v>0.159</v>
      </c>
      <c r="AW96" s="256">
        <v>0.16</v>
      </c>
      <c r="AX96" s="256">
        <v>0.16170000000000001</v>
      </c>
      <c r="AY96" s="256">
        <v>0.16300000000000001</v>
      </c>
      <c r="AZ96" s="256">
        <v>0.16500000000000001</v>
      </c>
      <c r="BA96" s="256">
        <v>0.16600000000000001</v>
      </c>
      <c r="BB96" s="256">
        <v>0.16800000000000001</v>
      </c>
      <c r="BC96" s="256">
        <v>0.16900000000000001</v>
      </c>
      <c r="BD96" s="258"/>
      <c r="BE96" s="256"/>
      <c r="BF96" s="30"/>
      <c r="BG96" s="20"/>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row>
    <row r="97" spans="1:115" ht="14.25" customHeight="1">
      <c r="A97" s="292"/>
      <c r="B97" s="30"/>
      <c r="C97" s="30" t="s">
        <v>368</v>
      </c>
      <c r="D97" s="30" t="s">
        <v>372</v>
      </c>
      <c r="E97" s="30"/>
      <c r="F97" s="30"/>
      <c r="G97" s="256">
        <v>0</v>
      </c>
      <c r="H97" s="22">
        <v>6.7000000000000002E-3</v>
      </c>
      <c r="I97" s="259">
        <v>1.3299999999999999E-2</v>
      </c>
      <c r="J97" s="256">
        <v>0.02</v>
      </c>
      <c r="K97" s="256">
        <v>2.8000000000000001E-2</v>
      </c>
      <c r="L97" s="256">
        <v>3.5999999999999997E-2</v>
      </c>
      <c r="M97" s="256">
        <v>4.3999999999999997E-2</v>
      </c>
      <c r="N97" s="256">
        <v>5.1999999999999998E-2</v>
      </c>
      <c r="O97" s="256">
        <v>0.06</v>
      </c>
      <c r="P97" s="256">
        <v>6.8000000000000005E-2</v>
      </c>
      <c r="Q97" s="256">
        <v>7.5999999999999998E-2</v>
      </c>
      <c r="R97" s="256">
        <v>8.4000000000000005E-2</v>
      </c>
      <c r="S97" s="256">
        <v>9.1999999999999998E-2</v>
      </c>
      <c r="T97" s="256">
        <v>0.1</v>
      </c>
      <c r="U97" s="256">
        <v>0.106</v>
      </c>
      <c r="V97" s="256">
        <v>0.112</v>
      </c>
      <c r="W97" s="256">
        <v>0.11799999999999999</v>
      </c>
      <c r="X97" s="256">
        <v>0.124</v>
      </c>
      <c r="Y97" s="256">
        <v>0.13</v>
      </c>
      <c r="Z97" s="256">
        <v>0.13400000000000001</v>
      </c>
      <c r="AA97" s="256">
        <v>0.13800000000000001</v>
      </c>
      <c r="AB97" s="256">
        <v>0.14199999999999999</v>
      </c>
      <c r="AC97" s="256">
        <v>0.14599999999999999</v>
      </c>
      <c r="AD97" s="256">
        <v>0.15</v>
      </c>
      <c r="AE97" s="256">
        <v>0.154</v>
      </c>
      <c r="AF97" s="256">
        <v>0.158</v>
      </c>
      <c r="AG97" s="256">
        <v>0.16200000000000001</v>
      </c>
      <c r="AH97" s="256">
        <v>0.16600000000000001</v>
      </c>
      <c r="AI97" s="257">
        <v>0.17</v>
      </c>
      <c r="AJ97" s="271">
        <v>0.17299999999999999</v>
      </c>
      <c r="AK97" s="256">
        <v>0.17599999999999999</v>
      </c>
      <c r="AL97" s="256">
        <v>0.17899999999999999</v>
      </c>
      <c r="AM97" s="256">
        <v>0.182</v>
      </c>
      <c r="AN97" s="256">
        <v>0.185</v>
      </c>
      <c r="AO97" s="256">
        <v>0.188</v>
      </c>
      <c r="AP97" s="256">
        <v>0.191</v>
      </c>
      <c r="AQ97" s="256">
        <v>0.19400000000000001</v>
      </c>
      <c r="AR97" s="256">
        <v>0.19700000000000001</v>
      </c>
      <c r="AS97" s="256">
        <v>0.2</v>
      </c>
      <c r="AT97" s="256">
        <v>0.20200000000000001</v>
      </c>
      <c r="AU97" s="256">
        <v>0.20399999999999999</v>
      </c>
      <c r="AV97" s="256">
        <v>0.20599999999999999</v>
      </c>
      <c r="AW97" s="256">
        <v>0.20799999999999999</v>
      </c>
      <c r="AX97" s="256">
        <v>0.21</v>
      </c>
      <c r="AY97" s="256">
        <v>0.21199999999999999</v>
      </c>
      <c r="AZ97" s="256">
        <v>0.214</v>
      </c>
      <c r="BA97" s="256">
        <v>0.216</v>
      </c>
      <c r="BB97" s="256">
        <v>0.218</v>
      </c>
      <c r="BC97" s="256">
        <v>0.22</v>
      </c>
      <c r="BD97" s="258"/>
      <c r="BE97" s="256"/>
      <c r="BF97" s="30"/>
      <c r="BG97" s="20"/>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row>
    <row r="98" spans="1:115" ht="14.25" customHeight="1">
      <c r="A98" s="292"/>
      <c r="B98" s="30"/>
      <c r="C98" s="30" t="s">
        <v>439</v>
      </c>
      <c r="D98" s="30" t="s">
        <v>58</v>
      </c>
      <c r="E98" s="30"/>
      <c r="F98" s="30"/>
      <c r="G98" s="256">
        <v>0</v>
      </c>
      <c r="H98" s="22">
        <v>1E-3</v>
      </c>
      <c r="I98" s="259">
        <v>2E-3</v>
      </c>
      <c r="J98" s="256">
        <v>3.0000000000000001E-3</v>
      </c>
      <c r="K98" s="256">
        <v>1.14E-2</v>
      </c>
      <c r="L98" s="256">
        <v>1.9800000000000002E-2</v>
      </c>
      <c r="M98" s="256">
        <v>2.8199999999999999E-2</v>
      </c>
      <c r="N98" s="256">
        <v>3.6600000000000001E-2</v>
      </c>
      <c r="O98" s="256">
        <v>4.4999999999999998E-2</v>
      </c>
      <c r="P98" s="256">
        <v>5.2999999999999999E-2</v>
      </c>
      <c r="Q98" s="256">
        <v>6.0999999999999999E-2</v>
      </c>
      <c r="R98" s="256">
        <v>6.9000000000000006E-2</v>
      </c>
      <c r="S98" s="256">
        <v>7.6999999999999999E-2</v>
      </c>
      <c r="T98" s="256">
        <v>8.5000000000000006E-2</v>
      </c>
      <c r="U98" s="256">
        <v>0.09</v>
      </c>
      <c r="V98" s="256">
        <v>9.5000000000000001E-2</v>
      </c>
      <c r="W98" s="256">
        <v>0.1</v>
      </c>
      <c r="X98" s="256">
        <v>0.105</v>
      </c>
      <c r="Y98" s="256">
        <v>0.11</v>
      </c>
      <c r="Z98" s="256">
        <v>0.113</v>
      </c>
      <c r="AA98" s="256">
        <v>0.11600000000000001</v>
      </c>
      <c r="AB98" s="256">
        <v>0.11899999999999999</v>
      </c>
      <c r="AC98" s="256">
        <v>0.122</v>
      </c>
      <c r="AD98" s="256">
        <v>0.125</v>
      </c>
      <c r="AE98" s="256">
        <v>0.1268</v>
      </c>
      <c r="AF98" s="256">
        <v>0.12859999999999999</v>
      </c>
      <c r="AG98" s="256">
        <v>0.13039999999999999</v>
      </c>
      <c r="AH98" s="256">
        <v>0.13220000000000001</v>
      </c>
      <c r="AI98" s="257">
        <v>0.13</v>
      </c>
      <c r="AJ98" s="271">
        <v>0.13600000000000001</v>
      </c>
      <c r="AK98" s="256">
        <v>0.13700000000000001</v>
      </c>
      <c r="AL98" s="256">
        <v>0.13900000000000001</v>
      </c>
      <c r="AM98" s="256">
        <v>0.14000000000000001</v>
      </c>
      <c r="AN98" s="256">
        <v>0.14199999999999999</v>
      </c>
      <c r="AO98" s="256">
        <v>0.14299999999999999</v>
      </c>
      <c r="AP98" s="256">
        <v>0.14499999999999999</v>
      </c>
      <c r="AQ98" s="256">
        <v>0.14599999999999999</v>
      </c>
      <c r="AR98" s="256">
        <v>0.14799999999999999</v>
      </c>
      <c r="AS98" s="256">
        <v>0.14899999999999999</v>
      </c>
      <c r="AT98" s="256">
        <v>0.15</v>
      </c>
      <c r="AU98" s="256">
        <v>0.151</v>
      </c>
      <c r="AV98" s="256">
        <v>0.153</v>
      </c>
      <c r="AW98" s="256">
        <v>0.154</v>
      </c>
      <c r="AX98" s="256">
        <v>0.155</v>
      </c>
      <c r="AY98" s="256">
        <v>0.156</v>
      </c>
      <c r="AZ98" s="256">
        <v>0.157</v>
      </c>
      <c r="BA98" s="256">
        <v>0.158</v>
      </c>
      <c r="BB98" s="256">
        <v>0.159</v>
      </c>
      <c r="BC98" s="256">
        <v>0.16</v>
      </c>
      <c r="BD98" s="258"/>
      <c r="BE98" s="256"/>
      <c r="BF98" s="30" t="s">
        <v>394</v>
      </c>
      <c r="BG98" s="20"/>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row>
    <row r="99" spans="1:115" ht="14.25" customHeight="1">
      <c r="A99" s="97" t="s">
        <v>253</v>
      </c>
      <c r="B99" s="1"/>
      <c r="C99" s="1"/>
      <c r="D99" s="1"/>
      <c r="E99" s="1"/>
      <c r="F99" s="1"/>
      <c r="G99" s="1"/>
      <c r="H99" s="1"/>
      <c r="I99" s="294"/>
      <c r="J99" s="294"/>
      <c r="K99" s="1"/>
      <c r="L99" s="1"/>
      <c r="M99" s="1"/>
      <c r="N99" s="1"/>
      <c r="O99" s="1"/>
      <c r="P99" s="1"/>
      <c r="Q99" s="1"/>
      <c r="R99" s="1"/>
      <c r="S99" s="1"/>
      <c r="T99" s="1"/>
      <c r="U99" s="1"/>
      <c r="V99" s="1"/>
      <c r="W99" s="1"/>
      <c r="X99" s="1"/>
      <c r="Y99" s="1"/>
      <c r="Z99" s="1"/>
      <c r="AA99" s="1"/>
      <c r="AB99" s="1"/>
      <c r="AC99" s="1"/>
      <c r="AD99" s="1"/>
      <c r="AE99" s="1"/>
      <c r="AF99" s="1"/>
      <c r="AG99" s="1"/>
      <c r="AH99" s="1"/>
      <c r="AI99" s="3"/>
      <c r="AJ99" s="1"/>
      <c r="AK99" s="295"/>
      <c r="AL99" s="1"/>
      <c r="AM99" s="1"/>
      <c r="AN99" s="1"/>
      <c r="AO99" s="1"/>
      <c r="AP99" s="1"/>
      <c r="AQ99" s="1"/>
      <c r="AR99" s="1"/>
      <c r="AS99" s="1"/>
      <c r="AT99" s="1"/>
      <c r="AU99" s="1"/>
      <c r="AV99" s="1"/>
      <c r="AW99" s="1"/>
      <c r="AX99" s="1"/>
      <c r="AY99" s="1"/>
      <c r="AZ99" s="1"/>
      <c r="BA99" s="1"/>
      <c r="BB99" s="1"/>
      <c r="BC99" s="1"/>
      <c r="BD99" s="296"/>
      <c r="BE99" s="1"/>
      <c r="BF99" s="1"/>
      <c r="BG99" s="20"/>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row>
    <row r="100" spans="1:115" ht="14.25" customHeight="1">
      <c r="A100" s="97" t="s">
        <v>254</v>
      </c>
      <c r="B100" s="1"/>
      <c r="C100" s="97"/>
      <c r="D100" s="1"/>
      <c r="E100" s="1"/>
      <c r="F100" s="1"/>
      <c r="G100" s="1"/>
      <c r="H100" s="1"/>
      <c r="I100" s="294"/>
      <c r="J100" s="294"/>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3"/>
      <c r="AJ100" s="1"/>
      <c r="AK100" s="295"/>
      <c r="AL100" s="1"/>
      <c r="AM100" s="1"/>
      <c r="AN100" s="1"/>
      <c r="AO100" s="1"/>
      <c r="AP100" s="1"/>
      <c r="AQ100" s="1"/>
      <c r="AR100" s="1"/>
      <c r="AS100" s="1"/>
      <c r="AT100" s="1"/>
      <c r="AU100" s="1"/>
      <c r="AV100" s="1"/>
      <c r="AW100" s="1"/>
      <c r="AX100" s="1"/>
      <c r="AY100" s="1"/>
      <c r="AZ100" s="1"/>
      <c r="BA100" s="1"/>
      <c r="BB100" s="1"/>
      <c r="BC100" s="1"/>
      <c r="BD100" s="296"/>
      <c r="BE100" s="1"/>
      <c r="BF100" s="1"/>
      <c r="BG100" s="20"/>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row>
    <row r="101" spans="1:115" ht="14.25" customHeight="1">
      <c r="A101" s="97" t="s">
        <v>255</v>
      </c>
      <c r="B101" s="1"/>
      <c r="C101" s="97"/>
      <c r="D101" s="1"/>
      <c r="E101" s="1"/>
      <c r="F101" s="1"/>
      <c r="G101" s="1"/>
      <c r="H101" s="54"/>
      <c r="I101" s="294"/>
      <c r="J101" s="294"/>
      <c r="K101" s="1"/>
      <c r="L101" s="1"/>
      <c r="M101" s="1"/>
      <c r="N101" s="1"/>
      <c r="O101" s="25"/>
      <c r="P101" s="1"/>
      <c r="Q101" s="1"/>
      <c r="R101" s="1"/>
      <c r="S101" s="1"/>
      <c r="T101" s="1"/>
      <c r="U101" s="1"/>
      <c r="V101" s="1"/>
      <c r="W101" s="1"/>
      <c r="X101" s="1"/>
      <c r="Y101" s="1"/>
      <c r="Z101" s="1"/>
      <c r="AA101" s="1"/>
      <c r="AB101" s="1"/>
      <c r="AC101" s="1"/>
      <c r="AD101" s="1"/>
      <c r="AE101" s="1"/>
      <c r="AF101" s="1"/>
      <c r="AG101" s="1"/>
      <c r="AH101" s="1"/>
      <c r="AI101" s="3"/>
      <c r="AJ101" s="1"/>
      <c r="AK101" s="295"/>
      <c r="AL101" s="1"/>
      <c r="AM101" s="1"/>
      <c r="AN101" s="1"/>
      <c r="AO101" s="1"/>
      <c r="AP101" s="1"/>
      <c r="AQ101" s="1"/>
      <c r="AR101" s="1"/>
      <c r="AS101" s="1"/>
      <c r="AT101" s="1"/>
      <c r="AU101" s="1"/>
      <c r="AV101" s="1"/>
      <c r="AW101" s="1"/>
      <c r="AX101" s="1"/>
      <c r="AY101" s="1"/>
      <c r="AZ101" s="1"/>
      <c r="BA101" s="1"/>
      <c r="BB101" s="1"/>
      <c r="BC101" s="1"/>
      <c r="BD101" s="296"/>
      <c r="BE101" s="1"/>
      <c r="BF101" s="1"/>
      <c r="BG101" s="20"/>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row>
    <row r="102" spans="1:115" ht="14.25" customHeight="1">
      <c r="A102" s="97" t="s">
        <v>256</v>
      </c>
      <c r="B102" s="1"/>
      <c r="C102" s="1"/>
      <c r="D102" s="1"/>
      <c r="E102" s="1"/>
      <c r="F102" s="1"/>
      <c r="G102" s="1"/>
      <c r="H102" s="54"/>
      <c r="I102" s="294"/>
      <c r="J102" s="294"/>
      <c r="K102" s="1"/>
      <c r="L102" s="1"/>
      <c r="M102" s="1"/>
      <c r="N102" s="1"/>
      <c r="O102" s="25"/>
      <c r="P102" s="1"/>
      <c r="Q102" s="1"/>
      <c r="R102" s="1"/>
      <c r="S102" s="1"/>
      <c r="T102" s="1"/>
      <c r="U102" s="1"/>
      <c r="V102" s="1"/>
      <c r="W102" s="1"/>
      <c r="X102" s="1"/>
      <c r="Y102" s="1"/>
      <c r="Z102" s="1"/>
      <c r="AA102" s="1"/>
      <c r="AB102" s="1"/>
      <c r="AC102" s="1"/>
      <c r="AD102" s="1"/>
      <c r="AE102" s="1"/>
      <c r="AF102" s="1"/>
      <c r="AG102" s="1"/>
      <c r="AH102" s="1"/>
      <c r="AI102" s="3"/>
      <c r="AJ102" s="1"/>
      <c r="AK102" s="295"/>
      <c r="AL102" s="1"/>
      <c r="AM102" s="1"/>
      <c r="AN102" s="1"/>
      <c r="AO102" s="1"/>
      <c r="AP102" s="1"/>
      <c r="AQ102" s="1"/>
      <c r="AR102" s="1"/>
      <c r="AS102" s="1"/>
      <c r="AT102" s="1"/>
      <c r="AU102" s="1"/>
      <c r="AV102" s="1"/>
      <c r="AW102" s="1"/>
      <c r="AX102" s="1"/>
      <c r="AY102" s="1"/>
      <c r="AZ102" s="1"/>
      <c r="BA102" s="1"/>
      <c r="BB102" s="1"/>
      <c r="BC102" s="1"/>
      <c r="BD102" s="296"/>
      <c r="BE102" s="1"/>
      <c r="BF102" s="1"/>
      <c r="BG102" s="20"/>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row>
    <row r="103" spans="1:115" ht="14.25" customHeight="1">
      <c r="A103" s="97" t="s">
        <v>257</v>
      </c>
      <c r="B103" s="1"/>
      <c r="C103" s="1"/>
      <c r="D103" s="1"/>
      <c r="E103" s="1"/>
      <c r="F103" s="1"/>
      <c r="G103" s="1"/>
      <c r="H103" s="1"/>
      <c r="I103" s="294"/>
      <c r="J103" s="294"/>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3"/>
      <c r="AJ103" s="1"/>
      <c r="AK103" s="295"/>
      <c r="AL103" s="1"/>
      <c r="AM103" s="1"/>
      <c r="AN103" s="1"/>
      <c r="AO103" s="1"/>
      <c r="AP103" s="1"/>
      <c r="AQ103" s="1"/>
      <c r="AR103" s="1"/>
      <c r="AS103" s="1"/>
      <c r="AT103" s="1"/>
      <c r="AU103" s="1"/>
      <c r="AV103" s="1"/>
      <c r="AW103" s="1"/>
      <c r="AX103" s="1"/>
      <c r="AY103" s="1"/>
      <c r="AZ103" s="1"/>
      <c r="BA103" s="1"/>
      <c r="BB103" s="1"/>
      <c r="BC103" s="1"/>
      <c r="BD103" s="296"/>
      <c r="BE103" s="1"/>
      <c r="BF103" s="1"/>
      <c r="BG103" s="20"/>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row>
    <row r="104" spans="1:115" ht="14.25" customHeight="1">
      <c r="A104" s="97"/>
      <c r="B104" s="1"/>
      <c r="C104" s="1"/>
      <c r="D104" s="1"/>
      <c r="E104" s="1"/>
      <c r="F104" s="1"/>
      <c r="G104" s="1"/>
      <c r="H104" s="1"/>
      <c r="I104" s="294"/>
      <c r="J104" s="294"/>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3"/>
      <c r="AJ104" s="1"/>
      <c r="AK104" s="295"/>
      <c r="AL104" s="1"/>
      <c r="AM104" s="1"/>
      <c r="AN104" s="1"/>
      <c r="AO104" s="1"/>
      <c r="AP104" s="1"/>
      <c r="AQ104" s="1"/>
      <c r="AR104" s="1"/>
      <c r="AS104" s="1"/>
      <c r="AT104" s="1"/>
      <c r="AU104" s="1"/>
      <c r="AV104" s="1"/>
      <c r="AW104" s="1"/>
      <c r="AX104" s="1"/>
      <c r="AY104" s="1"/>
      <c r="AZ104" s="1"/>
      <c r="BA104" s="1"/>
      <c r="BB104" s="1"/>
      <c r="BC104" s="1"/>
      <c r="BD104" s="296"/>
      <c r="BE104" s="1"/>
      <c r="BF104" s="1"/>
      <c r="BG104" s="20"/>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row>
    <row r="105" spans="1:115" ht="14.25" customHeight="1">
      <c r="A105" s="97"/>
      <c r="B105" s="1"/>
      <c r="C105" s="1"/>
      <c r="D105" s="1"/>
      <c r="E105" s="1"/>
      <c r="F105" s="1"/>
      <c r="G105" s="1"/>
      <c r="H105" s="1"/>
      <c r="I105" s="294"/>
      <c r="J105" s="294"/>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3"/>
      <c r="AJ105" s="1"/>
      <c r="AK105" s="295"/>
      <c r="AL105" s="1"/>
      <c r="AM105" s="1"/>
      <c r="AN105" s="1"/>
      <c r="AO105" s="1"/>
      <c r="AP105" s="1"/>
      <c r="AQ105" s="1"/>
      <c r="AR105" s="1"/>
      <c r="AS105" s="1"/>
      <c r="AT105" s="1"/>
      <c r="AU105" s="1"/>
      <c r="AV105" s="1"/>
      <c r="AW105" s="1"/>
      <c r="AX105" s="1"/>
      <c r="AY105" s="1"/>
      <c r="AZ105" s="1"/>
      <c r="BA105" s="1"/>
      <c r="BB105" s="1"/>
      <c r="BC105" s="1"/>
      <c r="BD105" s="296"/>
      <c r="BE105" s="1"/>
      <c r="BF105" s="1"/>
      <c r="BG105" s="20"/>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row>
    <row r="106" spans="1:115" ht="14.25" customHeight="1">
      <c r="A106" s="97"/>
      <c r="B106" s="1"/>
      <c r="C106" s="1"/>
      <c r="D106" s="1"/>
      <c r="E106" s="1"/>
      <c r="F106" s="1"/>
      <c r="G106" s="1"/>
      <c r="H106" s="1"/>
      <c r="I106" s="294"/>
      <c r="J106" s="294"/>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3"/>
      <c r="AJ106" s="1"/>
      <c r="AK106" s="295"/>
      <c r="AL106" s="1"/>
      <c r="AM106" s="1"/>
      <c r="AN106" s="1"/>
      <c r="AO106" s="1"/>
      <c r="AP106" s="1"/>
      <c r="AQ106" s="1"/>
      <c r="AR106" s="1"/>
      <c r="AS106" s="1"/>
      <c r="AT106" s="1"/>
      <c r="AU106" s="1"/>
      <c r="AV106" s="1"/>
      <c r="AW106" s="1"/>
      <c r="AX106" s="1"/>
      <c r="AY106" s="1"/>
      <c r="AZ106" s="1"/>
      <c r="BA106" s="1"/>
      <c r="BB106" s="1"/>
      <c r="BC106" s="1"/>
      <c r="BD106" s="296"/>
      <c r="BE106" s="1"/>
      <c r="BF106" s="1"/>
      <c r="BG106" s="20"/>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row>
    <row r="107" spans="1:115" ht="14.25" customHeight="1">
      <c r="A107" s="97"/>
      <c r="B107" s="1"/>
      <c r="C107" s="1"/>
      <c r="D107" s="1"/>
      <c r="E107" s="1"/>
      <c r="F107" s="1"/>
      <c r="G107" s="1"/>
      <c r="H107" s="297"/>
      <c r="I107" s="294"/>
      <c r="J107" s="294"/>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3"/>
      <c r="AJ107" s="1"/>
      <c r="AK107" s="295"/>
      <c r="AL107" s="1"/>
      <c r="AM107" s="1"/>
      <c r="AN107" s="1"/>
      <c r="AO107" s="1"/>
      <c r="AP107" s="1"/>
      <c r="AQ107" s="1"/>
      <c r="AR107" s="1"/>
      <c r="AS107" s="1"/>
      <c r="AT107" s="1"/>
      <c r="AU107" s="1"/>
      <c r="AV107" s="1"/>
      <c r="AW107" s="1"/>
      <c r="AX107" s="1"/>
      <c r="AY107" s="1"/>
      <c r="AZ107" s="1"/>
      <c r="BA107" s="1"/>
      <c r="BB107" s="1"/>
      <c r="BC107" s="1"/>
      <c r="BD107" s="296"/>
      <c r="BE107" s="1"/>
      <c r="BF107" s="1"/>
      <c r="BG107" s="20"/>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row>
    <row r="108" spans="1:115" ht="14.25" customHeight="1">
      <c r="A108" s="1"/>
      <c r="B108" s="1"/>
      <c r="C108" s="1"/>
      <c r="D108" s="1"/>
      <c r="E108" s="1"/>
      <c r="F108" s="1"/>
      <c r="G108" s="1"/>
      <c r="H108" s="1"/>
      <c r="I108" s="294"/>
      <c r="J108" s="294"/>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3"/>
      <c r="AJ108" s="1"/>
      <c r="AK108" s="295"/>
      <c r="AL108" s="1"/>
      <c r="AM108" s="1"/>
      <c r="AN108" s="1"/>
      <c r="AO108" s="1"/>
      <c r="AP108" s="1"/>
      <c r="AQ108" s="1"/>
      <c r="AR108" s="1"/>
      <c r="AS108" s="1"/>
      <c r="AT108" s="1"/>
      <c r="AU108" s="1"/>
      <c r="AV108" s="1"/>
      <c r="AW108" s="1"/>
      <c r="AX108" s="1"/>
      <c r="AY108" s="1"/>
      <c r="AZ108" s="1"/>
      <c r="BA108" s="1"/>
      <c r="BB108" s="1"/>
      <c r="BC108" s="1"/>
      <c r="BD108" s="296"/>
      <c r="BE108" s="1"/>
      <c r="BF108" s="1"/>
      <c r="BG108" s="20"/>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row>
    <row r="109" spans="1:115" ht="14.25" customHeight="1">
      <c r="A109" s="1"/>
      <c r="B109" s="1"/>
      <c r="C109" s="97"/>
      <c r="D109" s="1"/>
      <c r="E109" s="1"/>
      <c r="F109" s="1"/>
      <c r="G109" s="1"/>
      <c r="H109" s="1"/>
      <c r="I109" s="294"/>
      <c r="J109" s="294"/>
      <c r="K109" s="25"/>
      <c r="L109" s="25"/>
      <c r="M109" s="25"/>
      <c r="N109" s="25"/>
      <c r="O109" s="25"/>
      <c r="P109" s="25"/>
      <c r="Q109" s="25"/>
      <c r="R109" s="25"/>
      <c r="S109" s="25"/>
      <c r="T109" s="1"/>
      <c r="U109" s="1"/>
      <c r="V109" s="1"/>
      <c r="W109" s="1"/>
      <c r="X109" s="1"/>
      <c r="Y109" s="1"/>
      <c r="Z109" s="1"/>
      <c r="AA109" s="1"/>
      <c r="AB109" s="1"/>
      <c r="AC109" s="1"/>
      <c r="AD109" s="1"/>
      <c r="AE109" s="1"/>
      <c r="AF109" s="1"/>
      <c r="AG109" s="1"/>
      <c r="AH109" s="1"/>
      <c r="AI109" s="3"/>
      <c r="AJ109" s="1"/>
      <c r="AK109" s="295"/>
      <c r="AL109" s="1"/>
      <c r="AM109" s="1"/>
      <c r="AN109" s="1"/>
      <c r="AO109" s="1"/>
      <c r="AP109" s="1"/>
      <c r="AQ109" s="1"/>
      <c r="AR109" s="1"/>
      <c r="AS109" s="1"/>
      <c r="AT109" s="1"/>
      <c r="AU109" s="1"/>
      <c r="AV109" s="1"/>
      <c r="AW109" s="1"/>
      <c r="AX109" s="1"/>
      <c r="AY109" s="1"/>
      <c r="AZ109" s="1"/>
      <c r="BA109" s="1"/>
      <c r="BB109" s="1"/>
      <c r="BC109" s="1"/>
      <c r="BD109" s="296"/>
      <c r="BE109" s="1"/>
      <c r="BF109" s="1"/>
      <c r="BG109" s="20"/>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row>
    <row r="110" spans="1:115" ht="14.25" customHeight="1">
      <c r="A110" s="1"/>
      <c r="B110" s="1"/>
      <c r="C110" s="1"/>
      <c r="D110" s="1"/>
      <c r="E110" s="1"/>
      <c r="F110" s="1"/>
      <c r="G110" s="1"/>
      <c r="H110" s="1"/>
      <c r="I110" s="294"/>
      <c r="J110" s="294"/>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3"/>
      <c r="AJ110" s="1"/>
      <c r="AK110" s="295"/>
      <c r="AL110" s="1"/>
      <c r="AM110" s="1"/>
      <c r="AN110" s="1"/>
      <c r="AO110" s="1"/>
      <c r="AP110" s="1"/>
      <c r="AQ110" s="1"/>
      <c r="AR110" s="1"/>
      <c r="AS110" s="1"/>
      <c r="AT110" s="1"/>
      <c r="AU110" s="1"/>
      <c r="AV110" s="1"/>
      <c r="AW110" s="1"/>
      <c r="AX110" s="1"/>
      <c r="AY110" s="1"/>
      <c r="AZ110" s="1"/>
      <c r="BA110" s="1"/>
      <c r="BB110" s="1"/>
      <c r="BC110" s="1"/>
      <c r="BD110" s="296"/>
      <c r="BE110" s="1"/>
      <c r="BF110" s="1"/>
      <c r="BG110" s="20"/>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row>
    <row r="111" spans="1:115" ht="14.25" customHeight="1">
      <c r="A111" s="1"/>
      <c r="B111" s="1"/>
      <c r="C111" s="1"/>
      <c r="D111" s="1"/>
      <c r="E111" s="1"/>
      <c r="F111" s="1"/>
      <c r="G111" s="1"/>
      <c r="H111" s="1"/>
      <c r="I111" s="294"/>
      <c r="J111" s="294"/>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3"/>
      <c r="AJ111" s="1"/>
      <c r="AK111" s="295"/>
      <c r="AL111" s="1"/>
      <c r="AM111" s="1"/>
      <c r="AN111" s="1"/>
      <c r="AO111" s="1"/>
      <c r="AP111" s="1"/>
      <c r="AQ111" s="1"/>
      <c r="AR111" s="1"/>
      <c r="AS111" s="1"/>
      <c r="AT111" s="1"/>
      <c r="AU111" s="1"/>
      <c r="AV111" s="1"/>
      <c r="AW111" s="1"/>
      <c r="AX111" s="1"/>
      <c r="AY111" s="1"/>
      <c r="AZ111" s="1"/>
      <c r="BA111" s="1"/>
      <c r="BB111" s="1"/>
      <c r="BC111" s="1"/>
      <c r="BD111" s="296"/>
      <c r="BE111" s="1"/>
      <c r="BF111" s="1"/>
      <c r="BG111" s="20"/>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row>
    <row r="112" spans="1:115" ht="14.25" customHeight="1">
      <c r="A112" s="1"/>
      <c r="B112" s="1"/>
      <c r="C112" s="97"/>
      <c r="D112" s="1"/>
      <c r="E112" s="1"/>
      <c r="F112" s="1"/>
      <c r="G112" s="1"/>
      <c r="H112" s="1"/>
      <c r="I112" s="294"/>
      <c r="J112" s="294"/>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3"/>
      <c r="AJ112" s="1"/>
      <c r="AK112" s="295"/>
      <c r="AL112" s="1"/>
      <c r="AM112" s="1"/>
      <c r="AN112" s="1"/>
      <c r="AO112" s="1"/>
      <c r="AP112" s="1"/>
      <c r="AQ112" s="1"/>
      <c r="AR112" s="1"/>
      <c r="AS112" s="1"/>
      <c r="AT112" s="1"/>
      <c r="AU112" s="1"/>
      <c r="AV112" s="1"/>
      <c r="AW112" s="1"/>
      <c r="AX112" s="1"/>
      <c r="AY112" s="1"/>
      <c r="AZ112" s="1"/>
      <c r="BA112" s="1"/>
      <c r="BB112" s="1"/>
      <c r="BC112" s="1"/>
      <c r="BD112" s="296"/>
      <c r="BE112" s="1"/>
      <c r="BF112" s="1"/>
      <c r="BG112" s="20"/>
      <c r="BH112" s="1">
        <v>2038</v>
      </c>
      <c r="BI112" s="1">
        <v>2039</v>
      </c>
      <c r="BJ112" s="1">
        <v>2040</v>
      </c>
      <c r="BK112" s="1">
        <v>2041</v>
      </c>
      <c r="BL112" s="1">
        <v>2042</v>
      </c>
      <c r="BM112" s="1">
        <v>2043</v>
      </c>
      <c r="BN112" s="1">
        <v>2044</v>
      </c>
      <c r="BO112" s="1">
        <v>2045</v>
      </c>
      <c r="BP112" s="1">
        <v>2046</v>
      </c>
      <c r="BQ112" s="1">
        <v>2047</v>
      </c>
      <c r="BR112" s="1">
        <v>2048</v>
      </c>
      <c r="BS112" s="1">
        <v>2049</v>
      </c>
      <c r="BT112" s="1">
        <v>2050</v>
      </c>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row>
    <row r="113" spans="1:115" ht="14.25" customHeight="1">
      <c r="A113" s="1"/>
      <c r="B113" s="1"/>
      <c r="C113" s="97"/>
      <c r="D113" s="1"/>
      <c r="E113" s="1"/>
      <c r="F113" s="1"/>
      <c r="G113" s="1"/>
      <c r="H113" s="1"/>
      <c r="I113" s="294"/>
      <c r="J113" s="294"/>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3"/>
      <c r="AJ113" s="1"/>
      <c r="AK113" s="295"/>
      <c r="AL113" s="1"/>
      <c r="AM113" s="1"/>
      <c r="AN113" s="1"/>
      <c r="AO113" s="1"/>
      <c r="AP113" s="1"/>
      <c r="AQ113" s="1"/>
      <c r="AR113" s="1"/>
      <c r="AS113" s="1"/>
      <c r="AT113" s="1"/>
      <c r="AU113" s="1"/>
      <c r="AV113" s="1"/>
      <c r="AW113" s="1"/>
      <c r="AX113" s="1"/>
      <c r="AY113" s="1"/>
      <c r="AZ113" s="1"/>
      <c r="BA113" s="1"/>
      <c r="BB113" s="1"/>
      <c r="BC113" s="1"/>
      <c r="BD113" s="296"/>
      <c r="BE113" s="1"/>
      <c r="BF113" s="1"/>
      <c r="BG113" s="20"/>
      <c r="BH113" s="1">
        <f>AJ113*BH114</f>
        <v>0</v>
      </c>
      <c r="BI113" s="1">
        <f t="shared" ref="BI113:BT113" si="9">BH113*BI114</f>
        <v>0</v>
      </c>
      <c r="BJ113" s="1">
        <f t="shared" si="9"/>
        <v>0</v>
      </c>
      <c r="BK113" s="1">
        <f t="shared" si="9"/>
        <v>0</v>
      </c>
      <c r="BL113" s="1">
        <f t="shared" si="9"/>
        <v>0</v>
      </c>
      <c r="BM113" s="1">
        <f t="shared" si="9"/>
        <v>0</v>
      </c>
      <c r="BN113" s="1">
        <f t="shared" si="9"/>
        <v>0</v>
      </c>
      <c r="BO113" s="1">
        <f t="shared" si="9"/>
        <v>0</v>
      </c>
      <c r="BP113" s="1">
        <f t="shared" si="9"/>
        <v>0</v>
      </c>
      <c r="BQ113" s="1">
        <f t="shared" si="9"/>
        <v>0</v>
      </c>
      <c r="BR113" s="1">
        <f t="shared" si="9"/>
        <v>0</v>
      </c>
      <c r="BS113" s="1">
        <f t="shared" si="9"/>
        <v>0</v>
      </c>
      <c r="BT113" s="1">
        <f t="shared" si="9"/>
        <v>0</v>
      </c>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row>
    <row r="114" spans="1:115" ht="14.25" customHeight="1">
      <c r="A114" s="1"/>
      <c r="B114" s="1"/>
      <c r="C114" s="97"/>
      <c r="D114" s="1"/>
      <c r="E114" s="1"/>
      <c r="F114" s="1"/>
      <c r="G114" s="1"/>
      <c r="H114" s="1"/>
      <c r="I114" s="294"/>
      <c r="J114" s="294"/>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3"/>
      <c r="AJ114" s="1"/>
      <c r="AK114" s="295"/>
      <c r="AL114" s="1"/>
      <c r="AM114" s="1"/>
      <c r="AN114" s="1"/>
      <c r="AO114" s="1"/>
      <c r="AP114" s="1"/>
      <c r="AQ114" s="1"/>
      <c r="AR114" s="1"/>
      <c r="AS114" s="1"/>
      <c r="AT114" s="1"/>
      <c r="AU114" s="1"/>
      <c r="AV114" s="1"/>
      <c r="AW114" s="1"/>
      <c r="AX114" s="1"/>
      <c r="AY114" s="1"/>
      <c r="AZ114" s="1"/>
      <c r="BA114" s="1"/>
      <c r="BB114" s="1"/>
      <c r="BC114" s="1"/>
      <c r="BD114" s="296"/>
      <c r="BE114" s="1"/>
      <c r="BF114" s="1"/>
      <c r="BG114" s="20"/>
      <c r="BH114" s="1">
        <f>AJ114</f>
        <v>0</v>
      </c>
      <c r="BI114" s="1">
        <f t="shared" ref="BI114:BT114" si="10">BH114</f>
        <v>0</v>
      </c>
      <c r="BJ114" s="1">
        <f t="shared" si="10"/>
        <v>0</v>
      </c>
      <c r="BK114" s="1">
        <f t="shared" si="10"/>
        <v>0</v>
      </c>
      <c r="BL114" s="1">
        <f t="shared" si="10"/>
        <v>0</v>
      </c>
      <c r="BM114" s="1">
        <f t="shared" si="10"/>
        <v>0</v>
      </c>
      <c r="BN114" s="1">
        <f t="shared" si="10"/>
        <v>0</v>
      </c>
      <c r="BO114" s="1">
        <f t="shared" si="10"/>
        <v>0</v>
      </c>
      <c r="BP114" s="1">
        <f t="shared" si="10"/>
        <v>0</v>
      </c>
      <c r="BQ114" s="1">
        <f t="shared" si="10"/>
        <v>0</v>
      </c>
      <c r="BR114" s="1">
        <f t="shared" si="10"/>
        <v>0</v>
      </c>
      <c r="BS114" s="1">
        <f t="shared" si="10"/>
        <v>0</v>
      </c>
      <c r="BT114" s="1">
        <f t="shared" si="10"/>
        <v>0</v>
      </c>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row>
    <row r="115" spans="1:115" ht="14.25" customHeight="1">
      <c r="A115" s="1"/>
      <c r="B115" s="1"/>
      <c r="C115" s="1"/>
      <c r="D115" s="1"/>
      <c r="E115" s="1"/>
      <c r="F115" s="1"/>
      <c r="G115" s="1"/>
      <c r="H115" s="1"/>
      <c r="I115" s="294"/>
      <c r="J115" s="294"/>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3"/>
      <c r="AJ115" s="1"/>
      <c r="AK115" s="295"/>
      <c r="AL115" s="1"/>
      <c r="AM115" s="1"/>
      <c r="AN115" s="1"/>
      <c r="AO115" s="1"/>
      <c r="AP115" s="1"/>
      <c r="AQ115" s="1"/>
      <c r="AR115" s="1"/>
      <c r="AS115" s="1"/>
      <c r="AT115" s="1"/>
      <c r="AU115" s="1"/>
      <c r="AV115" s="1"/>
      <c r="AW115" s="1"/>
      <c r="AX115" s="1"/>
      <c r="AY115" s="1"/>
      <c r="AZ115" s="1"/>
      <c r="BA115" s="1"/>
      <c r="BB115" s="1"/>
      <c r="BC115" s="1"/>
      <c r="BD115" s="296"/>
      <c r="BE115" s="1"/>
      <c r="BF115" s="1"/>
      <c r="BG115" s="20"/>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row>
    <row r="116" spans="1:115" ht="14.25" customHeight="1">
      <c r="A116" s="1"/>
      <c r="B116" s="1"/>
      <c r="C116" s="1"/>
      <c r="D116" s="1"/>
      <c r="E116" s="1"/>
      <c r="F116" s="1"/>
      <c r="G116" s="1"/>
      <c r="H116" s="1"/>
      <c r="I116" s="294"/>
      <c r="J116" s="294"/>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3"/>
      <c r="AJ116" s="1"/>
      <c r="AK116" s="295"/>
      <c r="AL116" s="1"/>
      <c r="AM116" s="1"/>
      <c r="AN116" s="1"/>
      <c r="AO116" s="1"/>
      <c r="AP116" s="1"/>
      <c r="AQ116" s="1"/>
      <c r="AR116" s="1"/>
      <c r="AS116" s="1"/>
      <c r="AT116" s="1"/>
      <c r="AU116" s="1"/>
      <c r="AV116" s="1"/>
      <c r="AW116" s="1"/>
      <c r="AX116" s="1"/>
      <c r="AY116" s="1"/>
      <c r="AZ116" s="1"/>
      <c r="BA116" s="1"/>
      <c r="BB116" s="1"/>
      <c r="BC116" s="1"/>
      <c r="BD116" s="296"/>
      <c r="BE116" s="1"/>
      <c r="BF116" s="1"/>
      <c r="BG116" s="20"/>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row>
    <row r="117" spans="1:115" ht="14.25" customHeight="1">
      <c r="A117" s="1"/>
      <c r="B117" s="1"/>
      <c r="C117" s="1"/>
      <c r="D117" s="1"/>
      <c r="E117" s="1"/>
      <c r="F117" s="1"/>
      <c r="G117" s="1"/>
      <c r="H117" s="1"/>
      <c r="I117" s="294"/>
      <c r="J117" s="294"/>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3"/>
      <c r="AJ117" s="1"/>
      <c r="AK117" s="295"/>
      <c r="AL117" s="1"/>
      <c r="AM117" s="1"/>
      <c r="AN117" s="1"/>
      <c r="AO117" s="1"/>
      <c r="AP117" s="1"/>
      <c r="AQ117" s="1"/>
      <c r="AR117" s="1"/>
      <c r="AS117" s="1"/>
      <c r="AT117" s="1"/>
      <c r="AU117" s="1"/>
      <c r="AV117" s="1"/>
      <c r="AW117" s="1"/>
      <c r="AX117" s="1"/>
      <c r="AY117" s="1"/>
      <c r="AZ117" s="1"/>
      <c r="BA117" s="1"/>
      <c r="BB117" s="1"/>
      <c r="BC117" s="1"/>
      <c r="BD117" s="296"/>
      <c r="BE117" s="1"/>
      <c r="BF117" s="1"/>
      <c r="BG117" s="20"/>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row>
    <row r="118" spans="1:115" ht="14.25" customHeight="1">
      <c r="A118" s="1"/>
      <c r="B118" s="1"/>
      <c r="C118" s="1"/>
      <c r="D118" s="1"/>
      <c r="E118" s="1"/>
      <c r="F118" s="1"/>
      <c r="G118" s="1"/>
      <c r="H118" s="1"/>
      <c r="I118" s="294"/>
      <c r="J118" s="294"/>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3"/>
      <c r="AJ118" s="1"/>
      <c r="AK118" s="295"/>
      <c r="AL118" s="1"/>
      <c r="AM118" s="1"/>
      <c r="AN118" s="1"/>
      <c r="AO118" s="1"/>
      <c r="AP118" s="1"/>
      <c r="AQ118" s="1"/>
      <c r="AR118" s="1"/>
      <c r="AS118" s="1"/>
      <c r="AT118" s="1"/>
      <c r="AU118" s="1"/>
      <c r="AV118" s="1"/>
      <c r="AW118" s="1"/>
      <c r="AX118" s="1"/>
      <c r="AY118" s="1"/>
      <c r="AZ118" s="1"/>
      <c r="BA118" s="1"/>
      <c r="BB118" s="1"/>
      <c r="BC118" s="1"/>
      <c r="BD118" s="296"/>
      <c r="BE118" s="1"/>
      <c r="BF118" s="1"/>
      <c r="BG118" s="20"/>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row>
    <row r="119" spans="1:115" ht="14.25" customHeight="1">
      <c r="A119" s="1"/>
      <c r="B119" s="1"/>
      <c r="C119" s="1"/>
      <c r="D119" s="1"/>
      <c r="E119" s="1"/>
      <c r="F119" s="1"/>
      <c r="G119" s="1"/>
      <c r="H119" s="1"/>
      <c r="I119" s="294"/>
      <c r="J119" s="294"/>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3"/>
      <c r="AJ119" s="1"/>
      <c r="AK119" s="295"/>
      <c r="AL119" s="1"/>
      <c r="AM119" s="1"/>
      <c r="AN119" s="1"/>
      <c r="AO119" s="1"/>
      <c r="AP119" s="1"/>
      <c r="AQ119" s="1"/>
      <c r="AR119" s="1"/>
      <c r="AS119" s="1"/>
      <c r="AT119" s="1"/>
      <c r="AU119" s="1"/>
      <c r="AV119" s="1"/>
      <c r="AW119" s="1"/>
      <c r="AX119" s="1"/>
      <c r="AY119" s="1"/>
      <c r="AZ119" s="1"/>
      <c r="BA119" s="1"/>
      <c r="BB119" s="1"/>
      <c r="BC119" s="1"/>
      <c r="BD119" s="296"/>
      <c r="BE119" s="1"/>
      <c r="BF119" s="1"/>
      <c r="BG119" s="20"/>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row>
    <row r="120" spans="1:115" ht="14.25" customHeight="1">
      <c r="A120" s="1"/>
      <c r="B120" s="1"/>
      <c r="C120" s="1"/>
      <c r="D120" s="1"/>
      <c r="E120" s="1"/>
      <c r="F120" s="1"/>
      <c r="G120" s="1"/>
      <c r="H120" s="1"/>
      <c r="I120" s="294"/>
      <c r="J120" s="294"/>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3"/>
      <c r="AJ120" s="1"/>
      <c r="AK120" s="295"/>
      <c r="AL120" s="1"/>
      <c r="AM120" s="1"/>
      <c r="AN120" s="1"/>
      <c r="AO120" s="1"/>
      <c r="AP120" s="1"/>
      <c r="AQ120" s="1"/>
      <c r="AR120" s="1"/>
      <c r="AS120" s="1"/>
      <c r="AT120" s="1"/>
      <c r="AU120" s="1"/>
      <c r="AV120" s="1"/>
      <c r="AW120" s="1"/>
      <c r="AX120" s="1"/>
      <c r="AY120" s="1"/>
      <c r="AZ120" s="1"/>
      <c r="BA120" s="1"/>
      <c r="BB120" s="1"/>
      <c r="BC120" s="1"/>
      <c r="BD120" s="296"/>
      <c r="BE120" s="1"/>
      <c r="BF120" s="1"/>
      <c r="BG120" s="20"/>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row>
    <row r="121" spans="1:115" ht="14.25" customHeight="1">
      <c r="A121" s="1"/>
      <c r="B121" s="1"/>
      <c r="C121" s="1"/>
      <c r="D121" s="1"/>
      <c r="E121" s="1"/>
      <c r="F121" s="1"/>
      <c r="G121" s="1"/>
      <c r="H121" s="1"/>
      <c r="I121" s="294"/>
      <c r="J121" s="294"/>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3"/>
      <c r="AJ121" s="1"/>
      <c r="AK121" s="295"/>
      <c r="AL121" s="1"/>
      <c r="AM121" s="1"/>
      <c r="AN121" s="1"/>
      <c r="AO121" s="1"/>
      <c r="AP121" s="1"/>
      <c r="AQ121" s="1"/>
      <c r="AR121" s="1"/>
      <c r="AS121" s="1"/>
      <c r="AT121" s="1"/>
      <c r="AU121" s="1"/>
      <c r="AV121" s="1"/>
      <c r="AW121" s="1"/>
      <c r="AX121" s="1"/>
      <c r="AY121" s="1"/>
      <c r="AZ121" s="1"/>
      <c r="BA121" s="1"/>
      <c r="BB121" s="1"/>
      <c r="BC121" s="1"/>
      <c r="BD121" s="296"/>
      <c r="BE121" s="1"/>
      <c r="BF121" s="1"/>
      <c r="BG121" s="20"/>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row>
    <row r="122" spans="1:115" ht="14.25" customHeight="1">
      <c r="A122" s="1"/>
      <c r="B122" s="1"/>
      <c r="C122" s="1"/>
      <c r="D122" s="1"/>
      <c r="E122" s="1"/>
      <c r="F122" s="1"/>
      <c r="G122" s="1"/>
      <c r="H122" s="1"/>
      <c r="I122" s="294"/>
      <c r="J122" s="294"/>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3"/>
      <c r="AJ122" s="1"/>
      <c r="AK122" s="295"/>
      <c r="AL122" s="1"/>
      <c r="AM122" s="1"/>
      <c r="AN122" s="1"/>
      <c r="AO122" s="1"/>
      <c r="AP122" s="1"/>
      <c r="AQ122" s="1"/>
      <c r="AR122" s="1"/>
      <c r="AS122" s="1"/>
      <c r="AT122" s="1"/>
      <c r="AU122" s="1"/>
      <c r="AV122" s="1"/>
      <c r="AW122" s="1"/>
      <c r="AX122" s="1"/>
      <c r="AY122" s="1"/>
      <c r="AZ122" s="1"/>
      <c r="BA122" s="1"/>
      <c r="BB122" s="1"/>
      <c r="BC122" s="1"/>
      <c r="BD122" s="296"/>
      <c r="BE122" s="1"/>
      <c r="BF122" s="1"/>
      <c r="BG122" s="20"/>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row>
    <row r="123" spans="1:115" ht="14.25" customHeight="1">
      <c r="A123" s="1"/>
      <c r="B123" s="1"/>
      <c r="C123" s="1"/>
      <c r="D123" s="1"/>
      <c r="E123" s="1"/>
      <c r="F123" s="1"/>
      <c r="G123" s="1"/>
      <c r="H123" s="1"/>
      <c r="I123" s="294"/>
      <c r="J123" s="294"/>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3"/>
      <c r="AJ123" s="1"/>
      <c r="AK123" s="295"/>
      <c r="AL123" s="1"/>
      <c r="AM123" s="1"/>
      <c r="AN123" s="1"/>
      <c r="AO123" s="1"/>
      <c r="AP123" s="1"/>
      <c r="AQ123" s="1"/>
      <c r="AR123" s="1"/>
      <c r="AS123" s="1"/>
      <c r="AT123" s="1"/>
      <c r="AU123" s="1"/>
      <c r="AV123" s="1"/>
      <c r="AW123" s="1"/>
      <c r="AX123" s="1"/>
      <c r="AY123" s="1"/>
      <c r="AZ123" s="1"/>
      <c r="BA123" s="1"/>
      <c r="BB123" s="1"/>
      <c r="BC123" s="1"/>
      <c r="BD123" s="296"/>
      <c r="BE123" s="1"/>
      <c r="BF123" s="1"/>
      <c r="BG123" s="20"/>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row>
    <row r="124" spans="1:115" ht="14.25" customHeight="1">
      <c r="A124" s="1"/>
      <c r="B124" s="1"/>
      <c r="C124" s="1"/>
      <c r="D124" s="1"/>
      <c r="E124" s="1"/>
      <c r="F124" s="1"/>
      <c r="G124" s="1"/>
      <c r="H124" s="1"/>
      <c r="I124" s="294"/>
      <c r="J124" s="294"/>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3"/>
      <c r="AJ124" s="1"/>
      <c r="AK124" s="295"/>
      <c r="AL124" s="1"/>
      <c r="AM124" s="1"/>
      <c r="AN124" s="1"/>
      <c r="AO124" s="1"/>
      <c r="AP124" s="1"/>
      <c r="AQ124" s="1"/>
      <c r="AR124" s="1"/>
      <c r="AS124" s="1"/>
      <c r="AT124" s="1"/>
      <c r="AU124" s="1"/>
      <c r="AV124" s="1"/>
      <c r="AW124" s="1"/>
      <c r="AX124" s="1"/>
      <c r="AY124" s="1"/>
      <c r="AZ124" s="1"/>
      <c r="BA124" s="1"/>
      <c r="BB124" s="1"/>
      <c r="BC124" s="1"/>
      <c r="BD124" s="296"/>
      <c r="BE124" s="1"/>
      <c r="BF124" s="1"/>
      <c r="BG124" s="20"/>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row>
    <row r="125" spans="1:115" ht="14.25" customHeight="1">
      <c r="A125" s="1"/>
      <c r="B125" s="1"/>
      <c r="C125" s="1"/>
      <c r="D125" s="1"/>
      <c r="E125" s="1"/>
      <c r="F125" s="1"/>
      <c r="G125" s="1"/>
      <c r="H125" s="1"/>
      <c r="I125" s="294"/>
      <c r="J125" s="294"/>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3"/>
      <c r="AJ125" s="1"/>
      <c r="AK125" s="295"/>
      <c r="AL125" s="1"/>
      <c r="AM125" s="1"/>
      <c r="AN125" s="1"/>
      <c r="AO125" s="1"/>
      <c r="AP125" s="1"/>
      <c r="AQ125" s="1"/>
      <c r="AR125" s="1"/>
      <c r="AS125" s="1"/>
      <c r="AT125" s="1"/>
      <c r="AU125" s="1"/>
      <c r="AV125" s="1"/>
      <c r="AW125" s="1"/>
      <c r="AX125" s="1"/>
      <c r="AY125" s="1"/>
      <c r="AZ125" s="1"/>
      <c r="BA125" s="1"/>
      <c r="BB125" s="1"/>
      <c r="BC125" s="1"/>
      <c r="BD125" s="296"/>
      <c r="BE125" s="1"/>
      <c r="BF125" s="1"/>
      <c r="BG125" s="20"/>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row>
    <row r="126" spans="1:115" ht="14.25" customHeight="1">
      <c r="A126" s="1"/>
      <c r="B126" s="1"/>
      <c r="C126" s="1"/>
      <c r="D126" s="1"/>
      <c r="E126" s="1"/>
      <c r="F126" s="1"/>
      <c r="G126" s="1"/>
      <c r="H126" s="1"/>
      <c r="I126" s="294"/>
      <c r="J126" s="294"/>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3"/>
      <c r="AJ126" s="1"/>
      <c r="AK126" s="295"/>
      <c r="AL126" s="1"/>
      <c r="AM126" s="1"/>
      <c r="AN126" s="1"/>
      <c r="AO126" s="1"/>
      <c r="AP126" s="1"/>
      <c r="AQ126" s="1"/>
      <c r="AR126" s="1"/>
      <c r="AS126" s="1"/>
      <c r="AT126" s="1"/>
      <c r="AU126" s="1"/>
      <c r="AV126" s="1"/>
      <c r="AW126" s="1"/>
      <c r="AX126" s="1"/>
      <c r="AY126" s="1"/>
      <c r="AZ126" s="1"/>
      <c r="BA126" s="1"/>
      <c r="BB126" s="1"/>
      <c r="BC126" s="1"/>
      <c r="BD126" s="296"/>
      <c r="BE126" s="1"/>
      <c r="BF126" s="1"/>
      <c r="BG126" s="20"/>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row>
    <row r="127" spans="1:115" ht="14.25" customHeight="1">
      <c r="A127" s="1"/>
      <c r="B127" s="1"/>
      <c r="C127" s="1"/>
      <c r="D127" s="1"/>
      <c r="E127" s="1"/>
      <c r="F127" s="1"/>
      <c r="G127" s="1"/>
      <c r="H127" s="1"/>
      <c r="I127" s="294"/>
      <c r="J127" s="294"/>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3"/>
      <c r="AJ127" s="1"/>
      <c r="AK127" s="295"/>
      <c r="AL127" s="1"/>
      <c r="AM127" s="1"/>
      <c r="AN127" s="1"/>
      <c r="AO127" s="1"/>
      <c r="AP127" s="1"/>
      <c r="AQ127" s="1"/>
      <c r="AR127" s="1"/>
      <c r="AS127" s="1"/>
      <c r="AT127" s="1"/>
      <c r="AU127" s="1"/>
      <c r="AV127" s="1"/>
      <c r="AW127" s="1"/>
      <c r="AX127" s="1"/>
      <c r="AY127" s="1"/>
      <c r="AZ127" s="1"/>
      <c r="BA127" s="1"/>
      <c r="BB127" s="1"/>
      <c r="BC127" s="1"/>
      <c r="BD127" s="296"/>
      <c r="BE127" s="1"/>
      <c r="BF127" s="1"/>
      <c r="BG127" s="20"/>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row>
    <row r="128" spans="1:115" ht="14.25" customHeight="1">
      <c r="A128" s="1"/>
      <c r="B128" s="1"/>
      <c r="C128" s="1"/>
      <c r="D128" s="1"/>
      <c r="E128" s="1"/>
      <c r="F128" s="1"/>
      <c r="G128" s="1"/>
      <c r="H128" s="1"/>
      <c r="I128" s="294"/>
      <c r="J128" s="294"/>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3"/>
      <c r="AJ128" s="1"/>
      <c r="AK128" s="295"/>
      <c r="AL128" s="1"/>
      <c r="AM128" s="1"/>
      <c r="AN128" s="1"/>
      <c r="AO128" s="1"/>
      <c r="AP128" s="1"/>
      <c r="AQ128" s="1"/>
      <c r="AR128" s="1"/>
      <c r="AS128" s="1"/>
      <c r="AT128" s="1"/>
      <c r="AU128" s="1"/>
      <c r="AV128" s="1"/>
      <c r="AW128" s="1"/>
      <c r="AX128" s="1"/>
      <c r="AY128" s="1"/>
      <c r="AZ128" s="1"/>
      <c r="BA128" s="1"/>
      <c r="BB128" s="1"/>
      <c r="BC128" s="1"/>
      <c r="BD128" s="296"/>
      <c r="BE128" s="1"/>
      <c r="BF128" s="1"/>
      <c r="BG128" s="20"/>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row>
    <row r="129" spans="1:115" ht="14.25" customHeight="1">
      <c r="A129" s="1"/>
      <c r="B129" s="1"/>
      <c r="C129" s="1"/>
      <c r="D129" s="1"/>
      <c r="E129" s="1"/>
      <c r="F129" s="1"/>
      <c r="G129" s="1"/>
      <c r="H129" s="1"/>
      <c r="I129" s="294"/>
      <c r="J129" s="294"/>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3"/>
      <c r="AJ129" s="1"/>
      <c r="AK129" s="295"/>
      <c r="AL129" s="1"/>
      <c r="AM129" s="1"/>
      <c r="AN129" s="1"/>
      <c r="AO129" s="1"/>
      <c r="AP129" s="1"/>
      <c r="AQ129" s="1"/>
      <c r="AR129" s="1"/>
      <c r="AS129" s="1"/>
      <c r="AT129" s="1"/>
      <c r="AU129" s="1"/>
      <c r="AV129" s="1"/>
      <c r="AW129" s="1"/>
      <c r="AX129" s="1"/>
      <c r="AY129" s="1"/>
      <c r="AZ129" s="1"/>
      <c r="BA129" s="1"/>
      <c r="BB129" s="1"/>
      <c r="BC129" s="1"/>
      <c r="BD129" s="296"/>
      <c r="BE129" s="1"/>
      <c r="BF129" s="1"/>
      <c r="BG129" s="20"/>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row>
    <row r="130" spans="1:115" ht="14.25" customHeight="1">
      <c r="A130" s="1"/>
      <c r="B130" s="1"/>
      <c r="C130" s="1"/>
      <c r="D130" s="1"/>
      <c r="E130" s="1"/>
      <c r="F130" s="1"/>
      <c r="G130" s="1"/>
      <c r="H130" s="1"/>
      <c r="I130" s="294"/>
      <c r="J130" s="294"/>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3"/>
      <c r="AJ130" s="1"/>
      <c r="AK130" s="295"/>
      <c r="AL130" s="1"/>
      <c r="AM130" s="1"/>
      <c r="AN130" s="1"/>
      <c r="AO130" s="1"/>
      <c r="AP130" s="1"/>
      <c r="AQ130" s="1"/>
      <c r="AR130" s="1"/>
      <c r="AS130" s="1"/>
      <c r="AT130" s="1"/>
      <c r="AU130" s="1"/>
      <c r="AV130" s="1"/>
      <c r="AW130" s="1"/>
      <c r="AX130" s="1"/>
      <c r="AY130" s="1"/>
      <c r="AZ130" s="1"/>
      <c r="BA130" s="1"/>
      <c r="BB130" s="1"/>
      <c r="BC130" s="1"/>
      <c r="BD130" s="296"/>
      <c r="BE130" s="1"/>
      <c r="BF130" s="1"/>
      <c r="BG130" s="20"/>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row>
    <row r="131" spans="1:115" ht="14.25" customHeight="1">
      <c r="A131" s="1"/>
      <c r="B131" s="1"/>
      <c r="C131" s="1"/>
      <c r="D131" s="1"/>
      <c r="E131" s="1"/>
      <c r="F131" s="1"/>
      <c r="G131" s="1"/>
      <c r="H131" s="1"/>
      <c r="I131" s="294"/>
      <c r="J131" s="294"/>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3"/>
      <c r="AJ131" s="1"/>
      <c r="AK131" s="295"/>
      <c r="AL131" s="1"/>
      <c r="AM131" s="1"/>
      <c r="AN131" s="1"/>
      <c r="AO131" s="1"/>
      <c r="AP131" s="1"/>
      <c r="AQ131" s="1"/>
      <c r="AR131" s="1"/>
      <c r="AS131" s="1"/>
      <c r="AT131" s="1"/>
      <c r="AU131" s="1"/>
      <c r="AV131" s="1"/>
      <c r="AW131" s="1"/>
      <c r="AX131" s="1"/>
      <c r="AY131" s="1"/>
      <c r="AZ131" s="1"/>
      <c r="BA131" s="1"/>
      <c r="BB131" s="1"/>
      <c r="BC131" s="1"/>
      <c r="BD131" s="296"/>
      <c r="BE131" s="1"/>
      <c r="BF131" s="1"/>
      <c r="BG131" s="20"/>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row>
    <row r="132" spans="1:115" ht="14.25" customHeight="1">
      <c r="A132" s="1"/>
      <c r="B132" s="1"/>
      <c r="C132" s="1"/>
      <c r="D132" s="1"/>
      <c r="E132" s="1"/>
      <c r="F132" s="1"/>
      <c r="G132" s="1"/>
      <c r="H132" s="1"/>
      <c r="I132" s="294"/>
      <c r="J132" s="294"/>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3"/>
      <c r="AJ132" s="1"/>
      <c r="AK132" s="295"/>
      <c r="AL132" s="1"/>
      <c r="AM132" s="1"/>
      <c r="AN132" s="1"/>
      <c r="AO132" s="1"/>
      <c r="AP132" s="1"/>
      <c r="AQ132" s="1"/>
      <c r="AR132" s="1"/>
      <c r="AS132" s="1"/>
      <c r="AT132" s="1"/>
      <c r="AU132" s="1"/>
      <c r="AV132" s="1"/>
      <c r="AW132" s="1"/>
      <c r="AX132" s="1"/>
      <c r="AY132" s="1"/>
      <c r="AZ132" s="1"/>
      <c r="BA132" s="1"/>
      <c r="BB132" s="1"/>
      <c r="BC132" s="1"/>
      <c r="BD132" s="296"/>
      <c r="BE132" s="1"/>
      <c r="BF132" s="1"/>
      <c r="BG132" s="20"/>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row>
    <row r="133" spans="1:115" ht="14.25" customHeight="1">
      <c r="A133" s="1"/>
      <c r="B133" s="1"/>
      <c r="C133" s="1"/>
      <c r="D133" s="1"/>
      <c r="E133" s="1"/>
      <c r="F133" s="1"/>
      <c r="G133" s="1"/>
      <c r="H133" s="1"/>
      <c r="I133" s="294"/>
      <c r="J133" s="294"/>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3"/>
      <c r="AJ133" s="1"/>
      <c r="AK133" s="295"/>
      <c r="AL133" s="1"/>
      <c r="AM133" s="1"/>
      <c r="AN133" s="1"/>
      <c r="AO133" s="1"/>
      <c r="AP133" s="1"/>
      <c r="AQ133" s="1"/>
      <c r="AR133" s="1"/>
      <c r="AS133" s="1"/>
      <c r="AT133" s="1"/>
      <c r="AU133" s="1"/>
      <c r="AV133" s="1"/>
      <c r="AW133" s="1"/>
      <c r="AX133" s="1"/>
      <c r="AY133" s="1"/>
      <c r="AZ133" s="1"/>
      <c r="BA133" s="1"/>
      <c r="BB133" s="1"/>
      <c r="BC133" s="1"/>
      <c r="BD133" s="296"/>
      <c r="BE133" s="1"/>
      <c r="BF133" s="1"/>
      <c r="BG133" s="20"/>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row>
    <row r="134" spans="1:115" ht="14.25" customHeight="1">
      <c r="A134" s="1"/>
      <c r="B134" s="1"/>
      <c r="C134" s="1"/>
      <c r="D134" s="1"/>
      <c r="E134" s="1"/>
      <c r="F134" s="1"/>
      <c r="G134" s="1"/>
      <c r="H134" s="1"/>
      <c r="I134" s="294"/>
      <c r="J134" s="294"/>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3"/>
      <c r="AJ134" s="1"/>
      <c r="AK134" s="295"/>
      <c r="AL134" s="1"/>
      <c r="AM134" s="1"/>
      <c r="AN134" s="1"/>
      <c r="AO134" s="1"/>
      <c r="AP134" s="1"/>
      <c r="AQ134" s="1"/>
      <c r="AR134" s="1"/>
      <c r="AS134" s="1"/>
      <c r="AT134" s="1"/>
      <c r="AU134" s="1"/>
      <c r="AV134" s="1"/>
      <c r="AW134" s="1"/>
      <c r="AX134" s="1"/>
      <c r="AY134" s="1"/>
      <c r="AZ134" s="1"/>
      <c r="BA134" s="1"/>
      <c r="BB134" s="1"/>
      <c r="BC134" s="1"/>
      <c r="BD134" s="296"/>
      <c r="BE134" s="1"/>
      <c r="BF134" s="1"/>
      <c r="BG134" s="20"/>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row>
    <row r="135" spans="1:115" ht="14.25" customHeight="1">
      <c r="A135" s="1"/>
      <c r="B135" s="1"/>
      <c r="C135" s="1"/>
      <c r="D135" s="1"/>
      <c r="E135" s="1"/>
      <c r="F135" s="1"/>
      <c r="G135" s="1"/>
      <c r="H135" s="1"/>
      <c r="I135" s="294"/>
      <c r="J135" s="294"/>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3"/>
      <c r="AJ135" s="1"/>
      <c r="AK135" s="295"/>
      <c r="AL135" s="1"/>
      <c r="AM135" s="1"/>
      <c r="AN135" s="1"/>
      <c r="AO135" s="1"/>
      <c r="AP135" s="1"/>
      <c r="AQ135" s="1"/>
      <c r="AR135" s="1"/>
      <c r="AS135" s="1"/>
      <c r="AT135" s="1"/>
      <c r="AU135" s="1"/>
      <c r="AV135" s="1"/>
      <c r="AW135" s="1"/>
      <c r="AX135" s="1"/>
      <c r="AY135" s="1"/>
      <c r="AZ135" s="1"/>
      <c r="BA135" s="1"/>
      <c r="BB135" s="1"/>
      <c r="BC135" s="1"/>
      <c r="BD135" s="296"/>
      <c r="BE135" s="1"/>
      <c r="BF135" s="1"/>
      <c r="BG135" s="20"/>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row>
    <row r="136" spans="1:115" ht="14.25" customHeight="1">
      <c r="A136" s="1"/>
      <c r="B136" s="1"/>
      <c r="C136" s="1"/>
      <c r="D136" s="1"/>
      <c r="E136" s="1"/>
      <c r="F136" s="1"/>
      <c r="G136" s="1"/>
      <c r="H136" s="1"/>
      <c r="I136" s="294"/>
      <c r="J136" s="294"/>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3"/>
      <c r="AJ136" s="1"/>
      <c r="AK136" s="295"/>
      <c r="AL136" s="1"/>
      <c r="AM136" s="1"/>
      <c r="AN136" s="1"/>
      <c r="AO136" s="1"/>
      <c r="AP136" s="1"/>
      <c r="AQ136" s="1"/>
      <c r="AR136" s="1"/>
      <c r="AS136" s="1"/>
      <c r="AT136" s="1"/>
      <c r="AU136" s="1"/>
      <c r="AV136" s="1"/>
      <c r="AW136" s="1"/>
      <c r="AX136" s="1"/>
      <c r="AY136" s="1"/>
      <c r="AZ136" s="1"/>
      <c r="BA136" s="1"/>
      <c r="BB136" s="1"/>
      <c r="BC136" s="1"/>
      <c r="BD136" s="296"/>
      <c r="BE136" s="1"/>
      <c r="BF136" s="1"/>
      <c r="BG136" s="20"/>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row>
    <row r="137" spans="1:115" ht="14.25" customHeight="1">
      <c r="A137" s="1"/>
      <c r="B137" s="1"/>
      <c r="C137" s="1"/>
      <c r="D137" s="1"/>
      <c r="E137" s="1"/>
      <c r="F137" s="1"/>
      <c r="G137" s="1"/>
      <c r="H137" s="1"/>
      <c r="I137" s="294"/>
      <c r="J137" s="294"/>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3"/>
      <c r="AJ137" s="1"/>
      <c r="AK137" s="295"/>
      <c r="AL137" s="1"/>
      <c r="AM137" s="1"/>
      <c r="AN137" s="1"/>
      <c r="AO137" s="1"/>
      <c r="AP137" s="1"/>
      <c r="AQ137" s="1"/>
      <c r="AR137" s="1"/>
      <c r="AS137" s="1"/>
      <c r="AT137" s="1"/>
      <c r="AU137" s="1"/>
      <c r="AV137" s="1"/>
      <c r="AW137" s="1"/>
      <c r="AX137" s="1"/>
      <c r="AY137" s="1"/>
      <c r="AZ137" s="1"/>
      <c r="BA137" s="1"/>
      <c r="BB137" s="1"/>
      <c r="BC137" s="1"/>
      <c r="BD137" s="296"/>
      <c r="BE137" s="1"/>
      <c r="BF137" s="1"/>
      <c r="BG137" s="20"/>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row>
    <row r="138" spans="1:115" ht="14.25" customHeight="1">
      <c r="A138" s="1"/>
      <c r="B138" s="1"/>
      <c r="C138" s="1"/>
      <c r="D138" s="1"/>
      <c r="E138" s="1"/>
      <c r="F138" s="1"/>
      <c r="G138" s="1"/>
      <c r="H138" s="1"/>
      <c r="I138" s="294"/>
      <c r="J138" s="294"/>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3"/>
      <c r="AJ138" s="1"/>
      <c r="AK138" s="295"/>
      <c r="AL138" s="1"/>
      <c r="AM138" s="1"/>
      <c r="AN138" s="1"/>
      <c r="AO138" s="1"/>
      <c r="AP138" s="1"/>
      <c r="AQ138" s="1"/>
      <c r="AR138" s="1"/>
      <c r="AS138" s="1"/>
      <c r="AT138" s="1"/>
      <c r="AU138" s="1"/>
      <c r="AV138" s="1"/>
      <c r="AW138" s="1"/>
      <c r="AX138" s="1"/>
      <c r="AY138" s="1"/>
      <c r="AZ138" s="1"/>
      <c r="BA138" s="1"/>
      <c r="BB138" s="1"/>
      <c r="BC138" s="1"/>
      <c r="BD138" s="296"/>
      <c r="BE138" s="1"/>
      <c r="BF138" s="1"/>
      <c r="BG138" s="20"/>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row>
    <row r="139" spans="1:115" ht="14.25" customHeight="1">
      <c r="A139" s="1"/>
      <c r="B139" s="1"/>
      <c r="C139" s="1"/>
      <c r="D139" s="1"/>
      <c r="E139" s="1"/>
      <c r="F139" s="1"/>
      <c r="G139" s="1"/>
      <c r="H139" s="1"/>
      <c r="I139" s="294"/>
      <c r="J139" s="294"/>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3"/>
      <c r="AJ139" s="1"/>
      <c r="AK139" s="295"/>
      <c r="AL139" s="1"/>
      <c r="AM139" s="1"/>
      <c r="AN139" s="1"/>
      <c r="AO139" s="1"/>
      <c r="AP139" s="1"/>
      <c r="AQ139" s="1"/>
      <c r="AR139" s="1"/>
      <c r="AS139" s="1"/>
      <c r="AT139" s="1"/>
      <c r="AU139" s="1"/>
      <c r="AV139" s="1"/>
      <c r="AW139" s="1"/>
      <c r="AX139" s="1"/>
      <c r="AY139" s="1"/>
      <c r="AZ139" s="1"/>
      <c r="BA139" s="1"/>
      <c r="BB139" s="1"/>
      <c r="BC139" s="1"/>
      <c r="BD139" s="296"/>
      <c r="BE139" s="1"/>
      <c r="BF139" s="1"/>
      <c r="BG139" s="20"/>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row>
    <row r="140" spans="1:115" ht="14.25" customHeight="1">
      <c r="A140" s="1"/>
      <c r="B140" s="1"/>
      <c r="C140" s="1"/>
      <c r="D140" s="1"/>
      <c r="E140" s="1"/>
      <c r="F140" s="1"/>
      <c r="G140" s="1"/>
      <c r="H140" s="1"/>
      <c r="I140" s="294"/>
      <c r="J140" s="294"/>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3"/>
      <c r="AJ140" s="1"/>
      <c r="AK140" s="295"/>
      <c r="AL140" s="1"/>
      <c r="AM140" s="1"/>
      <c r="AN140" s="1"/>
      <c r="AO140" s="1"/>
      <c r="AP140" s="1"/>
      <c r="AQ140" s="1"/>
      <c r="AR140" s="1"/>
      <c r="AS140" s="1"/>
      <c r="AT140" s="1"/>
      <c r="AU140" s="1"/>
      <c r="AV140" s="1"/>
      <c r="AW140" s="1"/>
      <c r="AX140" s="1"/>
      <c r="AY140" s="1"/>
      <c r="AZ140" s="1"/>
      <c r="BA140" s="1"/>
      <c r="BB140" s="1"/>
      <c r="BC140" s="1"/>
      <c r="BD140" s="296"/>
      <c r="BE140" s="1"/>
      <c r="BF140" s="1"/>
      <c r="BG140" s="20"/>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row>
    <row r="141" spans="1:115" ht="14.25" customHeight="1">
      <c r="A141" s="1"/>
      <c r="B141" s="1"/>
      <c r="C141" s="1"/>
      <c r="D141" s="1"/>
      <c r="E141" s="1"/>
      <c r="F141" s="1"/>
      <c r="G141" s="1"/>
      <c r="H141" s="1"/>
      <c r="I141" s="294"/>
      <c r="J141" s="294"/>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3"/>
      <c r="AJ141" s="1"/>
      <c r="AK141" s="295"/>
      <c r="AL141" s="1"/>
      <c r="AM141" s="1"/>
      <c r="AN141" s="1"/>
      <c r="AO141" s="1"/>
      <c r="AP141" s="1"/>
      <c r="AQ141" s="1"/>
      <c r="AR141" s="1"/>
      <c r="AS141" s="1"/>
      <c r="AT141" s="1"/>
      <c r="AU141" s="1"/>
      <c r="AV141" s="1"/>
      <c r="AW141" s="1"/>
      <c r="AX141" s="1"/>
      <c r="AY141" s="1"/>
      <c r="AZ141" s="1"/>
      <c r="BA141" s="1"/>
      <c r="BB141" s="1"/>
      <c r="BC141" s="1"/>
      <c r="BD141" s="296"/>
      <c r="BE141" s="1"/>
      <c r="BF141" s="1"/>
      <c r="BG141" s="20"/>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row>
    <row r="142" spans="1:115" ht="14.25" customHeight="1">
      <c r="A142" s="1"/>
      <c r="B142" s="1"/>
      <c r="C142" s="1"/>
      <c r="D142" s="1"/>
      <c r="E142" s="1"/>
      <c r="F142" s="1"/>
      <c r="G142" s="1"/>
      <c r="H142" s="1"/>
      <c r="I142" s="294"/>
      <c r="J142" s="294"/>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3"/>
      <c r="AJ142" s="1"/>
      <c r="AK142" s="295"/>
      <c r="AL142" s="1"/>
      <c r="AM142" s="1"/>
      <c r="AN142" s="1"/>
      <c r="AO142" s="1"/>
      <c r="AP142" s="1"/>
      <c r="AQ142" s="1"/>
      <c r="AR142" s="1"/>
      <c r="AS142" s="1"/>
      <c r="AT142" s="1"/>
      <c r="AU142" s="1"/>
      <c r="AV142" s="1"/>
      <c r="AW142" s="1"/>
      <c r="AX142" s="1"/>
      <c r="AY142" s="1"/>
      <c r="AZ142" s="1"/>
      <c r="BA142" s="1"/>
      <c r="BB142" s="1"/>
      <c r="BC142" s="1"/>
      <c r="BD142" s="296"/>
      <c r="BE142" s="1"/>
      <c r="BF142" s="1"/>
      <c r="BG142" s="20"/>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row>
    <row r="143" spans="1:115" ht="14.25" customHeight="1">
      <c r="A143" s="1"/>
      <c r="B143" s="1"/>
      <c r="C143" s="1"/>
      <c r="D143" s="1"/>
      <c r="E143" s="1"/>
      <c r="F143" s="1"/>
      <c r="G143" s="1"/>
      <c r="H143" s="1"/>
      <c r="I143" s="294"/>
      <c r="J143" s="294"/>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3"/>
      <c r="AJ143" s="1"/>
      <c r="AK143" s="295"/>
      <c r="AL143" s="1"/>
      <c r="AM143" s="1"/>
      <c r="AN143" s="1"/>
      <c r="AO143" s="1"/>
      <c r="AP143" s="1"/>
      <c r="AQ143" s="1"/>
      <c r="AR143" s="1"/>
      <c r="AS143" s="1"/>
      <c r="AT143" s="1"/>
      <c r="AU143" s="1"/>
      <c r="AV143" s="1"/>
      <c r="AW143" s="1"/>
      <c r="AX143" s="1"/>
      <c r="AY143" s="1"/>
      <c r="AZ143" s="1"/>
      <c r="BA143" s="1"/>
      <c r="BB143" s="1"/>
      <c r="BC143" s="1"/>
      <c r="BD143" s="296"/>
      <c r="BE143" s="1"/>
      <c r="BF143" s="1"/>
      <c r="BG143" s="20"/>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row>
    <row r="144" spans="1:115" ht="14.25" customHeight="1">
      <c r="A144" s="1"/>
      <c r="B144" s="1"/>
      <c r="C144" s="1"/>
      <c r="D144" s="1"/>
      <c r="E144" s="1"/>
      <c r="F144" s="1"/>
      <c r="G144" s="1"/>
      <c r="H144" s="1"/>
      <c r="I144" s="294"/>
      <c r="J144" s="294"/>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3"/>
      <c r="AJ144" s="1"/>
      <c r="AK144" s="295"/>
      <c r="AL144" s="1"/>
      <c r="AM144" s="1"/>
      <c r="AN144" s="1"/>
      <c r="AO144" s="1"/>
      <c r="AP144" s="1"/>
      <c r="AQ144" s="1"/>
      <c r="AR144" s="1"/>
      <c r="AS144" s="1"/>
      <c r="AT144" s="1"/>
      <c r="AU144" s="1"/>
      <c r="AV144" s="1"/>
      <c r="AW144" s="1"/>
      <c r="AX144" s="1"/>
      <c r="AY144" s="1"/>
      <c r="AZ144" s="1"/>
      <c r="BA144" s="1"/>
      <c r="BB144" s="1"/>
      <c r="BC144" s="1"/>
      <c r="BD144" s="296"/>
      <c r="BE144" s="1"/>
      <c r="BF144" s="1"/>
      <c r="BG144" s="20"/>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row>
    <row r="145" spans="1:115" ht="14.25" customHeight="1">
      <c r="A145" s="1"/>
      <c r="B145" s="1"/>
      <c r="C145" s="1"/>
      <c r="D145" s="1"/>
      <c r="E145" s="1"/>
      <c r="F145" s="1"/>
      <c r="G145" s="1"/>
      <c r="H145" s="1"/>
      <c r="I145" s="294"/>
      <c r="J145" s="294"/>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3"/>
      <c r="AJ145" s="1"/>
      <c r="AK145" s="295"/>
      <c r="AL145" s="1"/>
      <c r="AM145" s="1"/>
      <c r="AN145" s="1"/>
      <c r="AO145" s="1"/>
      <c r="AP145" s="1"/>
      <c r="AQ145" s="1"/>
      <c r="AR145" s="1"/>
      <c r="AS145" s="1"/>
      <c r="AT145" s="1"/>
      <c r="AU145" s="1"/>
      <c r="AV145" s="1"/>
      <c r="AW145" s="1"/>
      <c r="AX145" s="1"/>
      <c r="AY145" s="1"/>
      <c r="AZ145" s="1"/>
      <c r="BA145" s="1"/>
      <c r="BB145" s="1"/>
      <c r="BC145" s="1"/>
      <c r="BD145" s="296"/>
      <c r="BE145" s="1"/>
      <c r="BF145" s="1"/>
      <c r="BG145" s="20"/>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row>
    <row r="146" spans="1:115" ht="14.25" customHeight="1">
      <c r="A146" s="1"/>
      <c r="B146" s="1"/>
      <c r="C146" s="1"/>
      <c r="D146" s="1"/>
      <c r="E146" s="1"/>
      <c r="F146" s="1"/>
      <c r="G146" s="1"/>
      <c r="H146" s="1"/>
      <c r="I146" s="294"/>
      <c r="J146" s="294"/>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3"/>
      <c r="AJ146" s="1"/>
      <c r="AK146" s="295"/>
      <c r="AL146" s="1"/>
      <c r="AM146" s="1"/>
      <c r="AN146" s="1"/>
      <c r="AO146" s="1"/>
      <c r="AP146" s="1"/>
      <c r="AQ146" s="1"/>
      <c r="AR146" s="1"/>
      <c r="AS146" s="1"/>
      <c r="AT146" s="1"/>
      <c r="AU146" s="1"/>
      <c r="AV146" s="1"/>
      <c r="AW146" s="1"/>
      <c r="AX146" s="1"/>
      <c r="AY146" s="1"/>
      <c r="AZ146" s="1"/>
      <c r="BA146" s="1"/>
      <c r="BB146" s="1"/>
      <c r="BC146" s="1"/>
      <c r="BD146" s="296"/>
      <c r="BE146" s="1"/>
      <c r="BF146" s="1"/>
      <c r="BG146" s="20"/>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row>
    <row r="147" spans="1:115" ht="14.25" customHeight="1">
      <c r="A147" s="1"/>
      <c r="B147" s="1"/>
      <c r="C147" s="1"/>
      <c r="D147" s="1"/>
      <c r="E147" s="1"/>
      <c r="F147" s="1"/>
      <c r="G147" s="1"/>
      <c r="H147" s="1"/>
      <c r="I147" s="294"/>
      <c r="J147" s="294"/>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3"/>
      <c r="AJ147" s="1"/>
      <c r="AK147" s="295"/>
      <c r="AL147" s="1"/>
      <c r="AM147" s="1"/>
      <c r="AN147" s="1"/>
      <c r="AO147" s="1"/>
      <c r="AP147" s="1"/>
      <c r="AQ147" s="1"/>
      <c r="AR147" s="1"/>
      <c r="AS147" s="1"/>
      <c r="AT147" s="1"/>
      <c r="AU147" s="1"/>
      <c r="AV147" s="1"/>
      <c r="AW147" s="1"/>
      <c r="AX147" s="1"/>
      <c r="AY147" s="1"/>
      <c r="AZ147" s="1"/>
      <c r="BA147" s="1"/>
      <c r="BB147" s="1"/>
      <c r="BC147" s="1"/>
      <c r="BD147" s="296"/>
      <c r="BE147" s="1"/>
      <c r="BF147" s="1"/>
      <c r="BG147" s="20"/>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row>
    <row r="148" spans="1:115" ht="14.25" customHeight="1">
      <c r="A148" s="1"/>
      <c r="B148" s="1"/>
      <c r="C148" s="1"/>
      <c r="D148" s="1"/>
      <c r="E148" s="1"/>
      <c r="F148" s="1"/>
      <c r="G148" s="1"/>
      <c r="H148" s="1"/>
      <c r="I148" s="294"/>
      <c r="J148" s="294"/>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3"/>
      <c r="AJ148" s="1"/>
      <c r="AK148" s="295"/>
      <c r="AL148" s="1"/>
      <c r="AM148" s="1"/>
      <c r="AN148" s="1"/>
      <c r="AO148" s="1"/>
      <c r="AP148" s="1"/>
      <c r="AQ148" s="1"/>
      <c r="AR148" s="1"/>
      <c r="AS148" s="1"/>
      <c r="AT148" s="1"/>
      <c r="AU148" s="1"/>
      <c r="AV148" s="1"/>
      <c r="AW148" s="1"/>
      <c r="AX148" s="1"/>
      <c r="AY148" s="1"/>
      <c r="AZ148" s="1"/>
      <c r="BA148" s="1"/>
      <c r="BB148" s="1"/>
      <c r="BC148" s="1"/>
      <c r="BD148" s="296"/>
      <c r="BE148" s="1"/>
      <c r="BF148" s="1"/>
      <c r="BG148" s="20"/>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row>
    <row r="149" spans="1:115" ht="14.25" customHeight="1">
      <c r="A149" s="1"/>
      <c r="B149" s="1"/>
      <c r="C149" s="1"/>
      <c r="D149" s="1"/>
      <c r="E149" s="1"/>
      <c r="F149" s="1"/>
      <c r="G149" s="1"/>
      <c r="H149" s="1"/>
      <c r="I149" s="294"/>
      <c r="J149" s="294"/>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3"/>
      <c r="AJ149" s="1"/>
      <c r="AK149" s="295"/>
      <c r="AL149" s="1"/>
      <c r="AM149" s="1"/>
      <c r="AN149" s="1"/>
      <c r="AO149" s="1"/>
      <c r="AP149" s="1"/>
      <c r="AQ149" s="1"/>
      <c r="AR149" s="1"/>
      <c r="AS149" s="1"/>
      <c r="AT149" s="1"/>
      <c r="AU149" s="1"/>
      <c r="AV149" s="1"/>
      <c r="AW149" s="1"/>
      <c r="AX149" s="1"/>
      <c r="AY149" s="1"/>
      <c r="AZ149" s="1"/>
      <c r="BA149" s="1"/>
      <c r="BB149" s="1"/>
      <c r="BC149" s="1"/>
      <c r="BD149" s="296"/>
      <c r="BE149" s="1"/>
      <c r="BF149" s="1"/>
      <c r="BG149" s="20"/>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row>
    <row r="150" spans="1:115" ht="14.25" customHeight="1">
      <c r="A150" s="1"/>
      <c r="B150" s="1"/>
      <c r="C150" s="1"/>
      <c r="D150" s="1"/>
      <c r="E150" s="1"/>
      <c r="F150" s="1"/>
      <c r="G150" s="1"/>
      <c r="H150" s="1"/>
      <c r="I150" s="294"/>
      <c r="J150" s="294"/>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3"/>
      <c r="AJ150" s="1"/>
      <c r="AK150" s="295"/>
      <c r="AL150" s="1"/>
      <c r="AM150" s="1"/>
      <c r="AN150" s="1"/>
      <c r="AO150" s="1"/>
      <c r="AP150" s="1"/>
      <c r="AQ150" s="1"/>
      <c r="AR150" s="1"/>
      <c r="AS150" s="1"/>
      <c r="AT150" s="1"/>
      <c r="AU150" s="1"/>
      <c r="AV150" s="1"/>
      <c r="AW150" s="1"/>
      <c r="AX150" s="1"/>
      <c r="AY150" s="1"/>
      <c r="AZ150" s="1"/>
      <c r="BA150" s="1"/>
      <c r="BB150" s="1"/>
      <c r="BC150" s="1"/>
      <c r="BD150" s="296"/>
      <c r="BE150" s="1"/>
      <c r="BF150" s="1"/>
      <c r="BG150" s="20"/>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row>
    <row r="151" spans="1:115" ht="14.25" customHeight="1">
      <c r="A151" s="1"/>
      <c r="B151" s="1"/>
      <c r="C151" s="1"/>
      <c r="D151" s="1"/>
      <c r="E151" s="1"/>
      <c r="F151" s="1"/>
      <c r="G151" s="1"/>
      <c r="H151" s="1"/>
      <c r="I151" s="294"/>
      <c r="J151" s="294"/>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3"/>
      <c r="AJ151" s="1"/>
      <c r="AK151" s="295"/>
      <c r="AL151" s="1"/>
      <c r="AM151" s="1"/>
      <c r="AN151" s="1"/>
      <c r="AO151" s="1"/>
      <c r="AP151" s="1"/>
      <c r="AQ151" s="1"/>
      <c r="AR151" s="1"/>
      <c r="AS151" s="1"/>
      <c r="AT151" s="1"/>
      <c r="AU151" s="1"/>
      <c r="AV151" s="1"/>
      <c r="AW151" s="1"/>
      <c r="AX151" s="1"/>
      <c r="AY151" s="1"/>
      <c r="AZ151" s="1"/>
      <c r="BA151" s="1"/>
      <c r="BB151" s="1"/>
      <c r="BC151" s="1"/>
      <c r="BD151" s="296"/>
      <c r="BE151" s="1"/>
      <c r="BF151" s="1"/>
      <c r="BG151" s="20"/>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row>
    <row r="152" spans="1:115" ht="14.25" customHeight="1">
      <c r="A152" s="1"/>
      <c r="B152" s="1"/>
      <c r="C152" s="1"/>
      <c r="D152" s="1"/>
      <c r="E152" s="1"/>
      <c r="F152" s="1"/>
      <c r="G152" s="1"/>
      <c r="H152" s="1"/>
      <c r="I152" s="294"/>
      <c r="J152" s="294"/>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3"/>
      <c r="AJ152" s="1"/>
      <c r="AK152" s="295"/>
      <c r="AL152" s="1"/>
      <c r="AM152" s="1"/>
      <c r="AN152" s="1"/>
      <c r="AO152" s="1"/>
      <c r="AP152" s="1"/>
      <c r="AQ152" s="1"/>
      <c r="AR152" s="1"/>
      <c r="AS152" s="1"/>
      <c r="AT152" s="1"/>
      <c r="AU152" s="1"/>
      <c r="AV152" s="1"/>
      <c r="AW152" s="1"/>
      <c r="AX152" s="1"/>
      <c r="AY152" s="1"/>
      <c r="AZ152" s="1"/>
      <c r="BA152" s="1"/>
      <c r="BB152" s="1"/>
      <c r="BC152" s="1"/>
      <c r="BD152" s="296"/>
      <c r="BE152" s="1"/>
      <c r="BF152" s="1"/>
      <c r="BG152" s="20"/>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row>
    <row r="153" spans="1:115" ht="14.25" customHeight="1">
      <c r="A153" s="1"/>
      <c r="B153" s="1"/>
      <c r="C153" s="1"/>
      <c r="D153" s="1"/>
      <c r="E153" s="1"/>
      <c r="F153" s="1"/>
      <c r="G153" s="1"/>
      <c r="H153" s="1"/>
      <c r="I153" s="294"/>
      <c r="J153" s="294"/>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3"/>
      <c r="AJ153" s="1"/>
      <c r="AK153" s="295"/>
      <c r="AL153" s="1"/>
      <c r="AM153" s="1"/>
      <c r="AN153" s="1"/>
      <c r="AO153" s="1"/>
      <c r="AP153" s="1"/>
      <c r="AQ153" s="1"/>
      <c r="AR153" s="1"/>
      <c r="AS153" s="1"/>
      <c r="AT153" s="1"/>
      <c r="AU153" s="1"/>
      <c r="AV153" s="1"/>
      <c r="AW153" s="1"/>
      <c r="AX153" s="1"/>
      <c r="AY153" s="1"/>
      <c r="AZ153" s="1"/>
      <c r="BA153" s="1"/>
      <c r="BB153" s="1"/>
      <c r="BC153" s="1"/>
      <c r="BD153" s="296"/>
      <c r="BE153" s="1"/>
      <c r="BF153" s="1"/>
      <c r="BG153" s="20"/>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row>
    <row r="154" spans="1:115" ht="14.25" customHeight="1">
      <c r="A154" s="1"/>
      <c r="B154" s="1"/>
      <c r="C154" s="1"/>
      <c r="D154" s="1"/>
      <c r="E154" s="1"/>
      <c r="F154" s="1"/>
      <c r="G154" s="1"/>
      <c r="H154" s="1"/>
      <c r="I154" s="294"/>
      <c r="J154" s="294"/>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3"/>
      <c r="AJ154" s="1"/>
      <c r="AK154" s="295"/>
      <c r="AL154" s="1"/>
      <c r="AM154" s="1"/>
      <c r="AN154" s="1"/>
      <c r="AO154" s="1"/>
      <c r="AP154" s="1"/>
      <c r="AQ154" s="1"/>
      <c r="AR154" s="1"/>
      <c r="AS154" s="1"/>
      <c r="AT154" s="1"/>
      <c r="AU154" s="1"/>
      <c r="AV154" s="1"/>
      <c r="AW154" s="1"/>
      <c r="AX154" s="1"/>
      <c r="AY154" s="1"/>
      <c r="AZ154" s="1"/>
      <c r="BA154" s="1"/>
      <c r="BB154" s="1"/>
      <c r="BC154" s="1"/>
      <c r="BD154" s="296"/>
      <c r="BE154" s="1"/>
      <c r="BF154" s="1"/>
      <c r="BG154" s="20"/>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row>
    <row r="155" spans="1:115" ht="14.25" customHeight="1">
      <c r="A155" s="1"/>
      <c r="B155" s="1"/>
      <c r="C155" s="1"/>
      <c r="D155" s="1"/>
      <c r="E155" s="1"/>
      <c r="F155" s="1"/>
      <c r="G155" s="1"/>
      <c r="H155" s="1"/>
      <c r="I155" s="294"/>
      <c r="J155" s="294"/>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3"/>
      <c r="AJ155" s="1"/>
      <c r="AK155" s="295"/>
      <c r="AL155" s="1"/>
      <c r="AM155" s="1"/>
      <c r="AN155" s="1"/>
      <c r="AO155" s="1"/>
      <c r="AP155" s="1"/>
      <c r="AQ155" s="1"/>
      <c r="AR155" s="1"/>
      <c r="AS155" s="1"/>
      <c r="AT155" s="1"/>
      <c r="AU155" s="1"/>
      <c r="AV155" s="1"/>
      <c r="AW155" s="1"/>
      <c r="AX155" s="1"/>
      <c r="AY155" s="1"/>
      <c r="AZ155" s="1"/>
      <c r="BA155" s="1"/>
      <c r="BB155" s="1"/>
      <c r="BC155" s="1"/>
      <c r="BD155" s="296"/>
      <c r="BE155" s="1"/>
      <c r="BF155" s="1"/>
      <c r="BG155" s="20"/>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row>
    <row r="156" spans="1:115" ht="14.25" customHeight="1">
      <c r="A156" s="1"/>
      <c r="B156" s="1"/>
      <c r="C156" s="1"/>
      <c r="D156" s="1"/>
      <c r="E156" s="1"/>
      <c r="F156" s="1"/>
      <c r="G156" s="1"/>
      <c r="H156" s="1"/>
      <c r="I156" s="294"/>
      <c r="J156" s="294"/>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3"/>
      <c r="AJ156" s="1"/>
      <c r="AK156" s="295"/>
      <c r="AL156" s="1"/>
      <c r="AM156" s="1"/>
      <c r="AN156" s="1"/>
      <c r="AO156" s="1"/>
      <c r="AP156" s="1"/>
      <c r="AQ156" s="1"/>
      <c r="AR156" s="1"/>
      <c r="AS156" s="1"/>
      <c r="AT156" s="1"/>
      <c r="AU156" s="1"/>
      <c r="AV156" s="1"/>
      <c r="AW156" s="1"/>
      <c r="AX156" s="1"/>
      <c r="AY156" s="1"/>
      <c r="AZ156" s="1"/>
      <c r="BA156" s="1"/>
      <c r="BB156" s="1"/>
      <c r="BC156" s="1"/>
      <c r="BD156" s="296"/>
      <c r="BE156" s="1"/>
      <c r="BF156" s="1"/>
      <c r="BG156" s="20"/>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row>
    <row r="157" spans="1:115" ht="14.25" customHeight="1">
      <c r="A157" s="1"/>
      <c r="B157" s="1"/>
      <c r="C157" s="1"/>
      <c r="D157" s="1"/>
      <c r="E157" s="1"/>
      <c r="F157" s="1"/>
      <c r="G157" s="1"/>
      <c r="H157" s="1"/>
      <c r="I157" s="294"/>
      <c r="J157" s="294"/>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3"/>
      <c r="AJ157" s="1"/>
      <c r="AK157" s="295"/>
      <c r="AL157" s="1"/>
      <c r="AM157" s="1"/>
      <c r="AN157" s="1"/>
      <c r="AO157" s="1"/>
      <c r="AP157" s="1"/>
      <c r="AQ157" s="1"/>
      <c r="AR157" s="1"/>
      <c r="AS157" s="1"/>
      <c r="AT157" s="1"/>
      <c r="AU157" s="1"/>
      <c r="AV157" s="1"/>
      <c r="AW157" s="1"/>
      <c r="AX157" s="1"/>
      <c r="AY157" s="1"/>
      <c r="AZ157" s="1"/>
      <c r="BA157" s="1"/>
      <c r="BB157" s="1"/>
      <c r="BC157" s="1"/>
      <c r="BD157" s="296"/>
      <c r="BE157" s="1"/>
      <c r="BF157" s="1"/>
      <c r="BG157" s="20"/>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row>
    <row r="158" spans="1:115" ht="14.25" customHeight="1">
      <c r="A158" s="1"/>
      <c r="B158" s="1"/>
      <c r="C158" s="1"/>
      <c r="D158" s="1"/>
      <c r="E158" s="1"/>
      <c r="F158" s="1"/>
      <c r="G158" s="1"/>
      <c r="H158" s="1"/>
      <c r="I158" s="294"/>
      <c r="J158" s="294"/>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3"/>
      <c r="AJ158" s="1"/>
      <c r="AK158" s="295"/>
      <c r="AL158" s="1"/>
      <c r="AM158" s="1"/>
      <c r="AN158" s="1"/>
      <c r="AO158" s="1"/>
      <c r="AP158" s="1"/>
      <c r="AQ158" s="1"/>
      <c r="AR158" s="1"/>
      <c r="AS158" s="1"/>
      <c r="AT158" s="1"/>
      <c r="AU158" s="1"/>
      <c r="AV158" s="1"/>
      <c r="AW158" s="1"/>
      <c r="AX158" s="1"/>
      <c r="AY158" s="1"/>
      <c r="AZ158" s="1"/>
      <c r="BA158" s="1"/>
      <c r="BB158" s="1"/>
      <c r="BC158" s="1"/>
      <c r="BD158" s="296"/>
      <c r="BE158" s="1"/>
      <c r="BF158" s="1"/>
      <c r="BG158" s="20"/>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row>
    <row r="159" spans="1:115" ht="14.25" customHeight="1">
      <c r="A159" s="1"/>
      <c r="B159" s="1"/>
      <c r="C159" s="1"/>
      <c r="D159" s="1"/>
      <c r="E159" s="1"/>
      <c r="F159" s="1"/>
      <c r="G159" s="1"/>
      <c r="H159" s="1"/>
      <c r="I159" s="294"/>
      <c r="J159" s="294"/>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3"/>
      <c r="AJ159" s="1"/>
      <c r="AK159" s="295"/>
      <c r="AL159" s="1"/>
      <c r="AM159" s="1"/>
      <c r="AN159" s="1"/>
      <c r="AO159" s="1"/>
      <c r="AP159" s="1"/>
      <c r="AQ159" s="1"/>
      <c r="AR159" s="1"/>
      <c r="AS159" s="1"/>
      <c r="AT159" s="1"/>
      <c r="AU159" s="1"/>
      <c r="AV159" s="1"/>
      <c r="AW159" s="1"/>
      <c r="AX159" s="1"/>
      <c r="AY159" s="1"/>
      <c r="AZ159" s="1"/>
      <c r="BA159" s="1"/>
      <c r="BB159" s="1"/>
      <c r="BC159" s="1"/>
      <c r="BD159" s="296"/>
      <c r="BE159" s="1"/>
      <c r="BF159" s="1"/>
      <c r="BG159" s="20"/>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row>
    <row r="160" spans="1:115" ht="14.25" customHeight="1">
      <c r="A160" s="1"/>
      <c r="B160" s="1"/>
      <c r="C160" s="1"/>
      <c r="D160" s="1"/>
      <c r="E160" s="1"/>
      <c r="F160" s="1"/>
      <c r="G160" s="1"/>
      <c r="H160" s="1"/>
      <c r="I160" s="294"/>
      <c r="J160" s="294"/>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3"/>
      <c r="AJ160" s="1"/>
      <c r="AK160" s="295"/>
      <c r="AL160" s="1"/>
      <c r="AM160" s="1"/>
      <c r="AN160" s="1"/>
      <c r="AO160" s="1"/>
      <c r="AP160" s="1"/>
      <c r="AQ160" s="1"/>
      <c r="AR160" s="1"/>
      <c r="AS160" s="1"/>
      <c r="AT160" s="1"/>
      <c r="AU160" s="1"/>
      <c r="AV160" s="1"/>
      <c r="AW160" s="1"/>
      <c r="AX160" s="1"/>
      <c r="AY160" s="1"/>
      <c r="AZ160" s="1"/>
      <c r="BA160" s="1"/>
      <c r="BB160" s="1"/>
      <c r="BC160" s="1"/>
      <c r="BD160" s="296"/>
      <c r="BE160" s="1"/>
      <c r="BF160" s="1"/>
      <c r="BG160" s="20"/>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row>
    <row r="161" spans="1:115" ht="14.25" customHeight="1">
      <c r="A161" s="1"/>
      <c r="B161" s="1"/>
      <c r="C161" s="1"/>
      <c r="D161" s="1"/>
      <c r="E161" s="1"/>
      <c r="F161" s="1"/>
      <c r="G161" s="1"/>
      <c r="H161" s="1"/>
      <c r="I161" s="294"/>
      <c r="J161" s="294"/>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3"/>
      <c r="AJ161" s="1"/>
      <c r="AK161" s="295"/>
      <c r="AL161" s="1"/>
      <c r="AM161" s="1"/>
      <c r="AN161" s="1"/>
      <c r="AO161" s="1"/>
      <c r="AP161" s="1"/>
      <c r="AQ161" s="1"/>
      <c r="AR161" s="1"/>
      <c r="AS161" s="1"/>
      <c r="AT161" s="1"/>
      <c r="AU161" s="1"/>
      <c r="AV161" s="1"/>
      <c r="AW161" s="1"/>
      <c r="AX161" s="1"/>
      <c r="AY161" s="1"/>
      <c r="AZ161" s="1"/>
      <c r="BA161" s="1"/>
      <c r="BB161" s="1"/>
      <c r="BC161" s="1"/>
      <c r="BD161" s="296"/>
      <c r="BE161" s="1"/>
      <c r="BF161" s="1"/>
      <c r="BG161" s="20"/>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row>
    <row r="162" spans="1:115" ht="14.25" customHeight="1">
      <c r="A162" s="1"/>
      <c r="B162" s="1"/>
      <c r="C162" s="1"/>
      <c r="D162" s="1"/>
      <c r="E162" s="1"/>
      <c r="F162" s="1"/>
      <c r="G162" s="1"/>
      <c r="H162" s="1"/>
      <c r="I162" s="294"/>
      <c r="J162" s="294"/>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3"/>
      <c r="AJ162" s="1"/>
      <c r="AK162" s="295"/>
      <c r="AL162" s="1"/>
      <c r="AM162" s="1"/>
      <c r="AN162" s="1"/>
      <c r="AO162" s="1"/>
      <c r="AP162" s="1"/>
      <c r="AQ162" s="1"/>
      <c r="AR162" s="1"/>
      <c r="AS162" s="1"/>
      <c r="AT162" s="1"/>
      <c r="AU162" s="1"/>
      <c r="AV162" s="1"/>
      <c r="AW162" s="1"/>
      <c r="AX162" s="1"/>
      <c r="AY162" s="1"/>
      <c r="AZ162" s="1"/>
      <c r="BA162" s="1"/>
      <c r="BB162" s="1"/>
      <c r="BC162" s="1"/>
      <c r="BD162" s="296"/>
      <c r="BE162" s="1"/>
      <c r="BF162" s="1"/>
      <c r="BG162" s="20"/>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row>
    <row r="163" spans="1:115" ht="14.25" customHeight="1">
      <c r="A163" s="1"/>
      <c r="B163" s="1"/>
      <c r="C163" s="1"/>
      <c r="D163" s="1"/>
      <c r="E163" s="1"/>
      <c r="F163" s="1"/>
      <c r="G163" s="1"/>
      <c r="H163" s="1"/>
      <c r="I163" s="294"/>
      <c r="J163" s="294"/>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3"/>
      <c r="AJ163" s="1"/>
      <c r="AK163" s="295"/>
      <c r="AL163" s="1"/>
      <c r="AM163" s="1"/>
      <c r="AN163" s="1"/>
      <c r="AO163" s="1"/>
      <c r="AP163" s="1"/>
      <c r="AQ163" s="1"/>
      <c r="AR163" s="1"/>
      <c r="AS163" s="1"/>
      <c r="AT163" s="1"/>
      <c r="AU163" s="1"/>
      <c r="AV163" s="1"/>
      <c r="AW163" s="1"/>
      <c r="AX163" s="1"/>
      <c r="AY163" s="1"/>
      <c r="AZ163" s="1"/>
      <c r="BA163" s="1"/>
      <c r="BB163" s="1"/>
      <c r="BC163" s="1"/>
      <c r="BD163" s="296"/>
      <c r="BE163" s="1"/>
      <c r="BF163" s="1"/>
      <c r="BG163" s="20"/>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row>
    <row r="164" spans="1:115" ht="14.25" customHeight="1">
      <c r="A164" s="1"/>
      <c r="B164" s="1"/>
      <c r="C164" s="1"/>
      <c r="D164" s="1"/>
      <c r="E164" s="1"/>
      <c r="F164" s="1"/>
      <c r="G164" s="1"/>
      <c r="H164" s="1"/>
      <c r="I164" s="294"/>
      <c r="J164" s="294"/>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3"/>
      <c r="AJ164" s="1"/>
      <c r="AK164" s="295"/>
      <c r="AL164" s="1"/>
      <c r="AM164" s="1"/>
      <c r="AN164" s="1"/>
      <c r="AO164" s="1"/>
      <c r="AP164" s="1"/>
      <c r="AQ164" s="1"/>
      <c r="AR164" s="1"/>
      <c r="AS164" s="1"/>
      <c r="AT164" s="1"/>
      <c r="AU164" s="1"/>
      <c r="AV164" s="1"/>
      <c r="AW164" s="1"/>
      <c r="AX164" s="1"/>
      <c r="AY164" s="1"/>
      <c r="AZ164" s="1"/>
      <c r="BA164" s="1"/>
      <c r="BB164" s="1"/>
      <c r="BC164" s="1"/>
      <c r="BD164" s="296"/>
      <c r="BE164" s="1"/>
      <c r="BF164" s="1"/>
      <c r="BG164" s="20"/>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row>
    <row r="165" spans="1:115" ht="14.25" customHeight="1">
      <c r="A165" s="1"/>
      <c r="B165" s="1"/>
      <c r="C165" s="1"/>
      <c r="D165" s="1"/>
      <c r="E165" s="1"/>
      <c r="F165" s="1"/>
      <c r="G165" s="1"/>
      <c r="H165" s="1"/>
      <c r="I165" s="294"/>
      <c r="J165" s="294"/>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3"/>
      <c r="AJ165" s="1"/>
      <c r="AK165" s="295"/>
      <c r="AL165" s="1"/>
      <c r="AM165" s="1"/>
      <c r="AN165" s="1"/>
      <c r="AO165" s="1"/>
      <c r="AP165" s="1"/>
      <c r="AQ165" s="1"/>
      <c r="AR165" s="1"/>
      <c r="AS165" s="1"/>
      <c r="AT165" s="1"/>
      <c r="AU165" s="1"/>
      <c r="AV165" s="1"/>
      <c r="AW165" s="1"/>
      <c r="AX165" s="1"/>
      <c r="AY165" s="1"/>
      <c r="AZ165" s="1"/>
      <c r="BA165" s="1"/>
      <c r="BB165" s="1"/>
      <c r="BC165" s="1"/>
      <c r="BD165" s="296"/>
      <c r="BE165" s="1"/>
      <c r="BF165" s="1"/>
      <c r="BG165" s="20"/>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row>
    <row r="166" spans="1:115" ht="14.25" customHeight="1">
      <c r="A166" s="1"/>
      <c r="B166" s="1"/>
      <c r="C166" s="1"/>
      <c r="D166" s="1"/>
      <c r="E166" s="1"/>
      <c r="F166" s="1"/>
      <c r="G166" s="1"/>
      <c r="H166" s="1"/>
      <c r="I166" s="294"/>
      <c r="J166" s="294"/>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3"/>
      <c r="AJ166" s="1"/>
      <c r="AK166" s="295"/>
      <c r="AL166" s="1"/>
      <c r="AM166" s="1"/>
      <c r="AN166" s="1"/>
      <c r="AO166" s="1"/>
      <c r="AP166" s="1"/>
      <c r="AQ166" s="1"/>
      <c r="AR166" s="1"/>
      <c r="AS166" s="1"/>
      <c r="AT166" s="1"/>
      <c r="AU166" s="1"/>
      <c r="AV166" s="1"/>
      <c r="AW166" s="1"/>
      <c r="AX166" s="1"/>
      <c r="AY166" s="1"/>
      <c r="AZ166" s="1"/>
      <c r="BA166" s="1"/>
      <c r="BB166" s="1"/>
      <c r="BC166" s="1"/>
      <c r="BD166" s="296"/>
      <c r="BE166" s="1"/>
      <c r="BF166" s="1"/>
      <c r="BG166" s="20"/>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row>
    <row r="167" spans="1:115" ht="14.25" customHeight="1">
      <c r="A167" s="1"/>
      <c r="B167" s="1"/>
      <c r="C167" s="1"/>
      <c r="D167" s="1"/>
      <c r="E167" s="1"/>
      <c r="F167" s="1"/>
      <c r="G167" s="1"/>
      <c r="H167" s="1"/>
      <c r="I167" s="294"/>
      <c r="J167" s="294"/>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3"/>
      <c r="AJ167" s="1"/>
      <c r="AK167" s="295"/>
      <c r="AL167" s="1"/>
      <c r="AM167" s="1"/>
      <c r="AN167" s="1"/>
      <c r="AO167" s="1"/>
      <c r="AP167" s="1"/>
      <c r="AQ167" s="1"/>
      <c r="AR167" s="1"/>
      <c r="AS167" s="1"/>
      <c r="AT167" s="1"/>
      <c r="AU167" s="1"/>
      <c r="AV167" s="1"/>
      <c r="AW167" s="1"/>
      <c r="AX167" s="1"/>
      <c r="AY167" s="1"/>
      <c r="AZ167" s="1"/>
      <c r="BA167" s="1"/>
      <c r="BB167" s="1"/>
      <c r="BC167" s="1"/>
      <c r="BD167" s="296"/>
      <c r="BE167" s="1"/>
      <c r="BF167" s="1"/>
      <c r="BG167" s="20"/>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row>
    <row r="168" spans="1:115" ht="14.25" customHeight="1">
      <c r="A168" s="1"/>
      <c r="B168" s="1"/>
      <c r="C168" s="1"/>
      <c r="D168" s="1"/>
      <c r="E168" s="1"/>
      <c r="F168" s="1"/>
      <c r="G168" s="1"/>
      <c r="H168" s="1"/>
      <c r="I168" s="294"/>
      <c r="J168" s="294"/>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3"/>
      <c r="AJ168" s="1"/>
      <c r="AK168" s="295"/>
      <c r="AL168" s="1"/>
      <c r="AM168" s="1"/>
      <c r="AN168" s="1"/>
      <c r="AO168" s="1"/>
      <c r="AP168" s="1"/>
      <c r="AQ168" s="1"/>
      <c r="AR168" s="1"/>
      <c r="AS168" s="1"/>
      <c r="AT168" s="1"/>
      <c r="AU168" s="1"/>
      <c r="AV168" s="1"/>
      <c r="AW168" s="1"/>
      <c r="AX168" s="1"/>
      <c r="AY168" s="1"/>
      <c r="AZ168" s="1"/>
      <c r="BA168" s="1"/>
      <c r="BB168" s="1"/>
      <c r="BC168" s="1"/>
      <c r="BD168" s="296"/>
      <c r="BE168" s="1"/>
      <c r="BF168" s="1"/>
      <c r="BG168" s="20"/>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row>
    <row r="169" spans="1:115" ht="14.25" customHeight="1">
      <c r="A169" s="1"/>
      <c r="B169" s="1"/>
      <c r="C169" s="1"/>
      <c r="D169" s="1"/>
      <c r="E169" s="1"/>
      <c r="F169" s="1"/>
      <c r="G169" s="1"/>
      <c r="H169" s="1"/>
      <c r="I169" s="294"/>
      <c r="J169" s="294"/>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3"/>
      <c r="AJ169" s="1"/>
      <c r="AK169" s="295"/>
      <c r="AL169" s="1"/>
      <c r="AM169" s="1"/>
      <c r="AN169" s="1"/>
      <c r="AO169" s="1"/>
      <c r="AP169" s="1"/>
      <c r="AQ169" s="1"/>
      <c r="AR169" s="1"/>
      <c r="AS169" s="1"/>
      <c r="AT169" s="1"/>
      <c r="AU169" s="1"/>
      <c r="AV169" s="1"/>
      <c r="AW169" s="1"/>
      <c r="AX169" s="1"/>
      <c r="AY169" s="1"/>
      <c r="AZ169" s="1"/>
      <c r="BA169" s="1"/>
      <c r="BB169" s="1"/>
      <c r="BC169" s="1"/>
      <c r="BD169" s="296"/>
      <c r="BE169" s="1"/>
      <c r="BF169" s="1"/>
      <c r="BG169" s="20"/>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row>
    <row r="170" spans="1:115" ht="14.25" customHeight="1">
      <c r="A170" s="1"/>
      <c r="B170" s="1"/>
      <c r="C170" s="1"/>
      <c r="D170" s="1"/>
      <c r="E170" s="1"/>
      <c r="F170" s="1"/>
      <c r="G170" s="1"/>
      <c r="H170" s="1"/>
      <c r="I170" s="294"/>
      <c r="J170" s="294"/>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3"/>
      <c r="AJ170" s="1"/>
      <c r="AK170" s="295"/>
      <c r="AL170" s="1"/>
      <c r="AM170" s="1"/>
      <c r="AN170" s="1"/>
      <c r="AO170" s="1"/>
      <c r="AP170" s="1"/>
      <c r="AQ170" s="1"/>
      <c r="AR170" s="1"/>
      <c r="AS170" s="1"/>
      <c r="AT170" s="1"/>
      <c r="AU170" s="1"/>
      <c r="AV170" s="1"/>
      <c r="AW170" s="1"/>
      <c r="AX170" s="1"/>
      <c r="AY170" s="1"/>
      <c r="AZ170" s="1"/>
      <c r="BA170" s="1"/>
      <c r="BB170" s="1"/>
      <c r="BC170" s="1"/>
      <c r="BD170" s="296"/>
      <c r="BE170" s="1"/>
      <c r="BF170" s="1"/>
      <c r="BG170" s="20"/>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row>
    <row r="171" spans="1:115" ht="14.25" customHeight="1">
      <c r="A171" s="1"/>
      <c r="B171" s="1"/>
      <c r="C171" s="1"/>
      <c r="D171" s="1"/>
      <c r="E171" s="1"/>
      <c r="F171" s="1"/>
      <c r="G171" s="1"/>
      <c r="H171" s="1"/>
      <c r="I171" s="294"/>
      <c r="J171" s="294"/>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3"/>
      <c r="AJ171" s="1"/>
      <c r="AK171" s="295"/>
      <c r="AL171" s="1"/>
      <c r="AM171" s="1"/>
      <c r="AN171" s="1"/>
      <c r="AO171" s="1"/>
      <c r="AP171" s="1"/>
      <c r="AQ171" s="1"/>
      <c r="AR171" s="1"/>
      <c r="AS171" s="1"/>
      <c r="AT171" s="1"/>
      <c r="AU171" s="1"/>
      <c r="AV171" s="1"/>
      <c r="AW171" s="1"/>
      <c r="AX171" s="1"/>
      <c r="AY171" s="1"/>
      <c r="AZ171" s="1"/>
      <c r="BA171" s="1"/>
      <c r="BB171" s="1"/>
      <c r="BC171" s="1"/>
      <c r="BD171" s="296"/>
      <c r="BE171" s="1"/>
      <c r="BF171" s="1"/>
      <c r="BG171" s="20"/>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row>
    <row r="172" spans="1:115" ht="14.25" customHeight="1">
      <c r="A172" s="1"/>
      <c r="B172" s="1"/>
      <c r="C172" s="1"/>
      <c r="D172" s="1"/>
      <c r="E172" s="1"/>
      <c r="F172" s="1"/>
      <c r="G172" s="1"/>
      <c r="H172" s="1"/>
      <c r="I172" s="294"/>
      <c r="J172" s="294"/>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3"/>
      <c r="AJ172" s="1"/>
      <c r="AK172" s="295"/>
      <c r="AL172" s="1"/>
      <c r="AM172" s="1"/>
      <c r="AN172" s="1"/>
      <c r="AO172" s="1"/>
      <c r="AP172" s="1"/>
      <c r="AQ172" s="1"/>
      <c r="AR172" s="1"/>
      <c r="AS172" s="1"/>
      <c r="AT172" s="1"/>
      <c r="AU172" s="1"/>
      <c r="AV172" s="1"/>
      <c r="AW172" s="1"/>
      <c r="AX172" s="1"/>
      <c r="AY172" s="1"/>
      <c r="AZ172" s="1"/>
      <c r="BA172" s="1"/>
      <c r="BB172" s="1"/>
      <c r="BC172" s="1"/>
      <c r="BD172" s="296"/>
      <c r="BE172" s="1"/>
      <c r="BF172" s="1"/>
      <c r="BG172" s="20"/>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row>
    <row r="173" spans="1:115" ht="14.25" customHeight="1">
      <c r="A173" s="1"/>
      <c r="B173" s="1"/>
      <c r="C173" s="1"/>
      <c r="D173" s="1"/>
      <c r="E173" s="1"/>
      <c r="F173" s="1"/>
      <c r="G173" s="1"/>
      <c r="H173" s="1"/>
      <c r="I173" s="294"/>
      <c r="J173" s="294"/>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3"/>
      <c r="AJ173" s="1"/>
      <c r="AK173" s="295"/>
      <c r="AL173" s="1"/>
      <c r="AM173" s="1"/>
      <c r="AN173" s="1"/>
      <c r="AO173" s="1"/>
      <c r="AP173" s="1"/>
      <c r="AQ173" s="1"/>
      <c r="AR173" s="1"/>
      <c r="AS173" s="1"/>
      <c r="AT173" s="1"/>
      <c r="AU173" s="1"/>
      <c r="AV173" s="1"/>
      <c r="AW173" s="1"/>
      <c r="AX173" s="1"/>
      <c r="AY173" s="1"/>
      <c r="AZ173" s="1"/>
      <c r="BA173" s="1"/>
      <c r="BB173" s="1"/>
      <c r="BC173" s="1"/>
      <c r="BD173" s="296"/>
      <c r="BE173" s="1"/>
      <c r="BF173" s="1"/>
      <c r="BG173" s="20"/>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row>
    <row r="174" spans="1:115" ht="14.25" customHeight="1">
      <c r="A174" s="1"/>
      <c r="B174" s="1"/>
      <c r="C174" s="1"/>
      <c r="D174" s="1"/>
      <c r="E174" s="1"/>
      <c r="F174" s="1"/>
      <c r="G174" s="1"/>
      <c r="H174" s="1"/>
      <c r="I174" s="294"/>
      <c r="J174" s="294"/>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3"/>
      <c r="AJ174" s="1"/>
      <c r="AK174" s="295"/>
      <c r="AL174" s="1"/>
      <c r="AM174" s="1"/>
      <c r="AN174" s="1"/>
      <c r="AO174" s="1"/>
      <c r="AP174" s="1"/>
      <c r="AQ174" s="1"/>
      <c r="AR174" s="1"/>
      <c r="AS174" s="1"/>
      <c r="AT174" s="1"/>
      <c r="AU174" s="1"/>
      <c r="AV174" s="1"/>
      <c r="AW174" s="1"/>
      <c r="AX174" s="1"/>
      <c r="AY174" s="1"/>
      <c r="AZ174" s="1"/>
      <c r="BA174" s="1"/>
      <c r="BB174" s="1"/>
      <c r="BC174" s="1"/>
      <c r="BD174" s="296"/>
      <c r="BE174" s="1"/>
      <c r="BF174" s="1"/>
      <c r="BG174" s="20"/>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row>
    <row r="175" spans="1:115" ht="14.25" customHeight="1">
      <c r="A175" s="1"/>
      <c r="B175" s="1"/>
      <c r="C175" s="1"/>
      <c r="D175" s="1"/>
      <c r="E175" s="1"/>
      <c r="F175" s="1"/>
      <c r="G175" s="1"/>
      <c r="H175" s="1"/>
      <c r="I175" s="294"/>
      <c r="J175" s="294"/>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3"/>
      <c r="AJ175" s="1"/>
      <c r="AK175" s="295"/>
      <c r="AL175" s="1"/>
      <c r="AM175" s="1"/>
      <c r="AN175" s="1"/>
      <c r="AO175" s="1"/>
      <c r="AP175" s="1"/>
      <c r="AQ175" s="1"/>
      <c r="AR175" s="1"/>
      <c r="AS175" s="1"/>
      <c r="AT175" s="1"/>
      <c r="AU175" s="1"/>
      <c r="AV175" s="1"/>
      <c r="AW175" s="1"/>
      <c r="AX175" s="1"/>
      <c r="AY175" s="1"/>
      <c r="AZ175" s="1"/>
      <c r="BA175" s="1"/>
      <c r="BB175" s="1"/>
      <c r="BC175" s="1"/>
      <c r="BD175" s="296"/>
      <c r="BE175" s="1"/>
      <c r="BF175" s="1"/>
      <c r="BG175" s="20"/>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row>
    <row r="176" spans="1:115" ht="14.25" customHeight="1">
      <c r="A176" s="1"/>
      <c r="B176" s="1"/>
      <c r="C176" s="1"/>
      <c r="D176" s="1"/>
      <c r="E176" s="1"/>
      <c r="F176" s="1"/>
      <c r="G176" s="1"/>
      <c r="H176" s="1"/>
      <c r="I176" s="294"/>
      <c r="J176" s="294"/>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3"/>
      <c r="AJ176" s="1"/>
      <c r="AK176" s="295"/>
      <c r="AL176" s="1"/>
      <c r="AM176" s="1"/>
      <c r="AN176" s="1"/>
      <c r="AO176" s="1"/>
      <c r="AP176" s="1"/>
      <c r="AQ176" s="1"/>
      <c r="AR176" s="1"/>
      <c r="AS176" s="1"/>
      <c r="AT176" s="1"/>
      <c r="AU176" s="1"/>
      <c r="AV176" s="1"/>
      <c r="AW176" s="1"/>
      <c r="AX176" s="1"/>
      <c r="AY176" s="1"/>
      <c r="AZ176" s="1"/>
      <c r="BA176" s="1"/>
      <c r="BB176" s="1"/>
      <c r="BC176" s="1"/>
      <c r="BD176" s="296"/>
      <c r="BE176" s="1"/>
      <c r="BF176" s="1"/>
      <c r="BG176" s="20"/>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row>
    <row r="177" spans="1:115" ht="14.25" customHeight="1">
      <c r="A177" s="1"/>
      <c r="B177" s="1"/>
      <c r="C177" s="1"/>
      <c r="D177" s="1"/>
      <c r="E177" s="1"/>
      <c r="F177" s="1"/>
      <c r="G177" s="1"/>
      <c r="H177" s="1"/>
      <c r="I177" s="294"/>
      <c r="J177" s="294"/>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3"/>
      <c r="AJ177" s="1"/>
      <c r="AK177" s="295"/>
      <c r="AL177" s="1"/>
      <c r="AM177" s="1"/>
      <c r="AN177" s="1"/>
      <c r="AO177" s="1"/>
      <c r="AP177" s="1"/>
      <c r="AQ177" s="1"/>
      <c r="AR177" s="1"/>
      <c r="AS177" s="1"/>
      <c r="AT177" s="1"/>
      <c r="AU177" s="1"/>
      <c r="AV177" s="1"/>
      <c r="AW177" s="1"/>
      <c r="AX177" s="1"/>
      <c r="AY177" s="1"/>
      <c r="AZ177" s="1"/>
      <c r="BA177" s="1"/>
      <c r="BB177" s="1"/>
      <c r="BC177" s="1"/>
      <c r="BD177" s="296"/>
      <c r="BE177" s="1"/>
      <c r="BF177" s="1"/>
      <c r="BG177" s="20"/>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row>
    <row r="178" spans="1:115" ht="14.25" customHeight="1">
      <c r="A178" s="1"/>
      <c r="B178" s="1"/>
      <c r="C178" s="1"/>
      <c r="D178" s="1"/>
      <c r="E178" s="1"/>
      <c r="F178" s="1"/>
      <c r="G178" s="1"/>
      <c r="H178" s="1"/>
      <c r="I178" s="294"/>
      <c r="J178" s="294"/>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3"/>
      <c r="AJ178" s="1"/>
      <c r="AK178" s="295"/>
      <c r="AL178" s="1"/>
      <c r="AM178" s="1"/>
      <c r="AN178" s="1"/>
      <c r="AO178" s="1"/>
      <c r="AP178" s="1"/>
      <c r="AQ178" s="1"/>
      <c r="AR178" s="1"/>
      <c r="AS178" s="1"/>
      <c r="AT178" s="1"/>
      <c r="AU178" s="1"/>
      <c r="AV178" s="1"/>
      <c r="AW178" s="1"/>
      <c r="AX178" s="1"/>
      <c r="AY178" s="1"/>
      <c r="AZ178" s="1"/>
      <c r="BA178" s="1"/>
      <c r="BB178" s="1"/>
      <c r="BC178" s="1"/>
      <c r="BD178" s="296"/>
      <c r="BE178" s="1"/>
      <c r="BF178" s="1"/>
      <c r="BG178" s="20"/>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row>
    <row r="179" spans="1:115" ht="14.25" customHeight="1">
      <c r="A179" s="1"/>
      <c r="B179" s="1"/>
      <c r="C179" s="1"/>
      <c r="D179" s="1"/>
      <c r="E179" s="1"/>
      <c r="F179" s="1"/>
      <c r="G179" s="1"/>
      <c r="H179" s="1"/>
      <c r="I179" s="294"/>
      <c r="J179" s="294"/>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3"/>
      <c r="AJ179" s="1"/>
      <c r="AK179" s="295"/>
      <c r="AL179" s="1"/>
      <c r="AM179" s="1"/>
      <c r="AN179" s="1"/>
      <c r="AO179" s="1"/>
      <c r="AP179" s="1"/>
      <c r="AQ179" s="1"/>
      <c r="AR179" s="1"/>
      <c r="AS179" s="1"/>
      <c r="AT179" s="1"/>
      <c r="AU179" s="1"/>
      <c r="AV179" s="1"/>
      <c r="AW179" s="1"/>
      <c r="AX179" s="1"/>
      <c r="AY179" s="1"/>
      <c r="AZ179" s="1"/>
      <c r="BA179" s="1"/>
      <c r="BB179" s="1"/>
      <c r="BC179" s="1"/>
      <c r="BD179" s="296"/>
      <c r="BE179" s="1"/>
      <c r="BF179" s="1"/>
      <c r="BG179" s="20"/>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row>
    <row r="180" spans="1:115" ht="14.25" customHeight="1">
      <c r="A180" s="1"/>
      <c r="B180" s="1"/>
      <c r="C180" s="1"/>
      <c r="D180" s="1"/>
      <c r="E180" s="1"/>
      <c r="F180" s="1"/>
      <c r="G180" s="1"/>
      <c r="H180" s="1"/>
      <c r="I180" s="294"/>
      <c r="J180" s="294"/>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3"/>
      <c r="AJ180" s="1"/>
      <c r="AK180" s="295"/>
      <c r="AL180" s="1"/>
      <c r="AM180" s="1"/>
      <c r="AN180" s="1"/>
      <c r="AO180" s="1"/>
      <c r="AP180" s="1"/>
      <c r="AQ180" s="1"/>
      <c r="AR180" s="1"/>
      <c r="AS180" s="1"/>
      <c r="AT180" s="1"/>
      <c r="AU180" s="1"/>
      <c r="AV180" s="1"/>
      <c r="AW180" s="1"/>
      <c r="AX180" s="1"/>
      <c r="AY180" s="1"/>
      <c r="AZ180" s="1"/>
      <c r="BA180" s="1"/>
      <c r="BB180" s="1"/>
      <c r="BC180" s="1"/>
      <c r="BD180" s="296"/>
      <c r="BE180" s="1"/>
      <c r="BF180" s="1"/>
      <c r="BG180" s="20"/>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row>
    <row r="181" spans="1:115" ht="14.25" customHeight="1">
      <c r="A181" s="1"/>
      <c r="B181" s="1"/>
      <c r="C181" s="1"/>
      <c r="D181" s="1"/>
      <c r="E181" s="1"/>
      <c r="F181" s="1"/>
      <c r="G181" s="1"/>
      <c r="H181" s="1"/>
      <c r="I181" s="294"/>
      <c r="J181" s="294"/>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3"/>
      <c r="AJ181" s="1"/>
      <c r="AK181" s="295"/>
      <c r="AL181" s="1"/>
      <c r="AM181" s="1"/>
      <c r="AN181" s="1"/>
      <c r="AO181" s="1"/>
      <c r="AP181" s="1"/>
      <c r="AQ181" s="1"/>
      <c r="AR181" s="1"/>
      <c r="AS181" s="1"/>
      <c r="AT181" s="1"/>
      <c r="AU181" s="1"/>
      <c r="AV181" s="1"/>
      <c r="AW181" s="1"/>
      <c r="AX181" s="1"/>
      <c r="AY181" s="1"/>
      <c r="AZ181" s="1"/>
      <c r="BA181" s="1"/>
      <c r="BB181" s="1"/>
      <c r="BC181" s="1"/>
      <c r="BD181" s="296"/>
      <c r="BE181" s="1"/>
      <c r="BF181" s="1"/>
      <c r="BG181" s="20"/>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row>
    <row r="182" spans="1:115" ht="14.25" customHeight="1">
      <c r="A182" s="1"/>
      <c r="B182" s="1"/>
      <c r="C182" s="1"/>
      <c r="D182" s="1"/>
      <c r="E182" s="1"/>
      <c r="F182" s="1"/>
      <c r="G182" s="1"/>
      <c r="H182" s="1"/>
      <c r="I182" s="294"/>
      <c r="J182" s="294"/>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3"/>
      <c r="AJ182" s="1"/>
      <c r="AK182" s="295"/>
      <c r="AL182" s="1"/>
      <c r="AM182" s="1"/>
      <c r="AN182" s="1"/>
      <c r="AO182" s="1"/>
      <c r="AP182" s="1"/>
      <c r="AQ182" s="1"/>
      <c r="AR182" s="1"/>
      <c r="AS182" s="1"/>
      <c r="AT182" s="1"/>
      <c r="AU182" s="1"/>
      <c r="AV182" s="1"/>
      <c r="AW182" s="1"/>
      <c r="AX182" s="1"/>
      <c r="AY182" s="1"/>
      <c r="AZ182" s="1"/>
      <c r="BA182" s="1"/>
      <c r="BB182" s="1"/>
      <c r="BC182" s="1"/>
      <c r="BD182" s="296"/>
      <c r="BE182" s="1"/>
      <c r="BF182" s="1"/>
      <c r="BG182" s="20"/>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row>
    <row r="183" spans="1:115" ht="14.25" customHeight="1">
      <c r="A183" s="1"/>
      <c r="B183" s="1"/>
      <c r="C183" s="1"/>
      <c r="D183" s="1"/>
      <c r="E183" s="1"/>
      <c r="F183" s="1"/>
      <c r="G183" s="1"/>
      <c r="H183" s="1"/>
      <c r="I183" s="294"/>
      <c r="J183" s="294"/>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3"/>
      <c r="AJ183" s="1"/>
      <c r="AK183" s="295"/>
      <c r="AL183" s="1"/>
      <c r="AM183" s="1"/>
      <c r="AN183" s="1"/>
      <c r="AO183" s="1"/>
      <c r="AP183" s="1"/>
      <c r="AQ183" s="1"/>
      <c r="AR183" s="1"/>
      <c r="AS183" s="1"/>
      <c r="AT183" s="1"/>
      <c r="AU183" s="1"/>
      <c r="AV183" s="1"/>
      <c r="AW183" s="1"/>
      <c r="AX183" s="1"/>
      <c r="AY183" s="1"/>
      <c r="AZ183" s="1"/>
      <c r="BA183" s="1"/>
      <c r="BB183" s="1"/>
      <c r="BC183" s="1"/>
      <c r="BD183" s="296"/>
      <c r="BE183" s="1"/>
      <c r="BF183" s="1"/>
      <c r="BG183" s="20"/>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row>
    <row r="184" spans="1:115" ht="14.25" customHeight="1">
      <c r="A184" s="1"/>
      <c r="B184" s="1"/>
      <c r="C184" s="1"/>
      <c r="D184" s="1"/>
      <c r="E184" s="1"/>
      <c r="F184" s="1"/>
      <c r="G184" s="1"/>
      <c r="H184" s="1"/>
      <c r="I184" s="294"/>
      <c r="J184" s="294"/>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3"/>
      <c r="AJ184" s="1"/>
      <c r="AK184" s="295"/>
      <c r="AL184" s="1"/>
      <c r="AM184" s="1"/>
      <c r="AN184" s="1"/>
      <c r="AO184" s="1"/>
      <c r="AP184" s="1"/>
      <c r="AQ184" s="1"/>
      <c r="AR184" s="1"/>
      <c r="AS184" s="1"/>
      <c r="AT184" s="1"/>
      <c r="AU184" s="1"/>
      <c r="AV184" s="1"/>
      <c r="AW184" s="1"/>
      <c r="AX184" s="1"/>
      <c r="AY184" s="1"/>
      <c r="AZ184" s="1"/>
      <c r="BA184" s="1"/>
      <c r="BB184" s="1"/>
      <c r="BC184" s="1"/>
      <c r="BD184" s="296"/>
      <c r="BE184" s="1"/>
      <c r="BF184" s="1"/>
      <c r="BG184" s="20"/>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row>
    <row r="185" spans="1:115" ht="14.25" customHeight="1">
      <c r="A185" s="1"/>
      <c r="B185" s="1"/>
      <c r="C185" s="1"/>
      <c r="D185" s="1"/>
      <c r="E185" s="1"/>
      <c r="F185" s="1"/>
      <c r="G185" s="1"/>
      <c r="H185" s="1"/>
      <c r="I185" s="294"/>
      <c r="J185" s="294"/>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3"/>
      <c r="AJ185" s="1"/>
      <c r="AK185" s="295"/>
      <c r="AL185" s="1"/>
      <c r="AM185" s="1"/>
      <c r="AN185" s="1"/>
      <c r="AO185" s="1"/>
      <c r="AP185" s="1"/>
      <c r="AQ185" s="1"/>
      <c r="AR185" s="1"/>
      <c r="AS185" s="1"/>
      <c r="AT185" s="1"/>
      <c r="AU185" s="1"/>
      <c r="AV185" s="1"/>
      <c r="AW185" s="1"/>
      <c r="AX185" s="1"/>
      <c r="AY185" s="1"/>
      <c r="AZ185" s="1"/>
      <c r="BA185" s="1"/>
      <c r="BB185" s="1"/>
      <c r="BC185" s="1"/>
      <c r="BD185" s="296"/>
      <c r="BE185" s="1"/>
      <c r="BF185" s="1"/>
      <c r="BG185" s="20"/>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row>
    <row r="186" spans="1:115" ht="14.25" customHeight="1">
      <c r="A186" s="1"/>
      <c r="B186" s="1"/>
      <c r="C186" s="1"/>
      <c r="D186" s="1"/>
      <c r="E186" s="1"/>
      <c r="F186" s="1"/>
      <c r="G186" s="1"/>
      <c r="H186" s="1"/>
      <c r="I186" s="294"/>
      <c r="J186" s="294"/>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3"/>
      <c r="AJ186" s="1"/>
      <c r="AK186" s="295"/>
      <c r="AL186" s="1"/>
      <c r="AM186" s="1"/>
      <c r="AN186" s="1"/>
      <c r="AO186" s="1"/>
      <c r="AP186" s="1"/>
      <c r="AQ186" s="1"/>
      <c r="AR186" s="1"/>
      <c r="AS186" s="1"/>
      <c r="AT186" s="1"/>
      <c r="AU186" s="1"/>
      <c r="AV186" s="1"/>
      <c r="AW186" s="1"/>
      <c r="AX186" s="1"/>
      <c r="AY186" s="1"/>
      <c r="AZ186" s="1"/>
      <c r="BA186" s="1"/>
      <c r="BB186" s="1"/>
      <c r="BC186" s="1"/>
      <c r="BD186" s="296"/>
      <c r="BE186" s="1"/>
      <c r="BF186" s="1"/>
      <c r="BG186" s="20"/>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row>
    <row r="187" spans="1:115" ht="14.25" customHeight="1">
      <c r="A187" s="1"/>
      <c r="B187" s="1"/>
      <c r="C187" s="1"/>
      <c r="D187" s="1"/>
      <c r="E187" s="1"/>
      <c r="F187" s="1"/>
      <c r="G187" s="1"/>
      <c r="H187" s="1"/>
      <c r="I187" s="294"/>
      <c r="J187" s="294"/>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3"/>
      <c r="AJ187" s="1"/>
      <c r="AK187" s="295"/>
      <c r="AL187" s="1"/>
      <c r="AM187" s="1"/>
      <c r="AN187" s="1"/>
      <c r="AO187" s="1"/>
      <c r="AP187" s="1"/>
      <c r="AQ187" s="1"/>
      <c r="AR187" s="1"/>
      <c r="AS187" s="1"/>
      <c r="AT187" s="1"/>
      <c r="AU187" s="1"/>
      <c r="AV187" s="1"/>
      <c r="AW187" s="1"/>
      <c r="AX187" s="1"/>
      <c r="AY187" s="1"/>
      <c r="AZ187" s="1"/>
      <c r="BA187" s="1"/>
      <c r="BB187" s="1"/>
      <c r="BC187" s="1"/>
      <c r="BD187" s="296"/>
      <c r="BE187" s="1"/>
      <c r="BF187" s="1"/>
      <c r="BG187" s="20"/>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row>
    <row r="188" spans="1:115" ht="14.25" customHeight="1">
      <c r="A188" s="1"/>
      <c r="B188" s="1"/>
      <c r="C188" s="1"/>
      <c r="D188" s="1"/>
      <c r="E188" s="1"/>
      <c r="F188" s="1"/>
      <c r="G188" s="1"/>
      <c r="H188" s="1"/>
      <c r="I188" s="294"/>
      <c r="J188" s="294"/>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3"/>
      <c r="AJ188" s="1"/>
      <c r="AK188" s="295"/>
      <c r="AL188" s="1"/>
      <c r="AM188" s="1"/>
      <c r="AN188" s="1"/>
      <c r="AO188" s="1"/>
      <c r="AP188" s="1"/>
      <c r="AQ188" s="1"/>
      <c r="AR188" s="1"/>
      <c r="AS188" s="1"/>
      <c r="AT188" s="1"/>
      <c r="AU188" s="1"/>
      <c r="AV188" s="1"/>
      <c r="AW188" s="1"/>
      <c r="AX188" s="1"/>
      <c r="AY188" s="1"/>
      <c r="AZ188" s="1"/>
      <c r="BA188" s="1"/>
      <c r="BB188" s="1"/>
      <c r="BC188" s="1"/>
      <c r="BD188" s="296"/>
      <c r="BE188" s="1"/>
      <c r="BF188" s="1"/>
      <c r="BG188" s="20"/>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row>
    <row r="189" spans="1:115" ht="14.25" customHeight="1">
      <c r="A189" s="1"/>
      <c r="B189" s="1"/>
      <c r="C189" s="1"/>
      <c r="D189" s="1"/>
      <c r="E189" s="1"/>
      <c r="F189" s="1"/>
      <c r="G189" s="1"/>
      <c r="H189" s="1"/>
      <c r="I189" s="294"/>
      <c r="J189" s="294"/>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3"/>
      <c r="AJ189" s="1"/>
      <c r="AK189" s="295"/>
      <c r="AL189" s="1"/>
      <c r="AM189" s="1"/>
      <c r="AN189" s="1"/>
      <c r="AO189" s="1"/>
      <c r="AP189" s="1"/>
      <c r="AQ189" s="1"/>
      <c r="AR189" s="1"/>
      <c r="AS189" s="1"/>
      <c r="AT189" s="1"/>
      <c r="AU189" s="1"/>
      <c r="AV189" s="1"/>
      <c r="AW189" s="1"/>
      <c r="AX189" s="1"/>
      <c r="AY189" s="1"/>
      <c r="AZ189" s="1"/>
      <c r="BA189" s="1"/>
      <c r="BB189" s="1"/>
      <c r="BC189" s="1"/>
      <c r="BD189" s="296"/>
      <c r="BE189" s="1"/>
      <c r="BF189" s="1"/>
      <c r="BG189" s="20"/>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row>
    <row r="190" spans="1:115" ht="14.25" customHeight="1">
      <c r="A190" s="1"/>
      <c r="B190" s="1"/>
      <c r="C190" s="1"/>
      <c r="D190" s="1"/>
      <c r="E190" s="1"/>
      <c r="F190" s="1"/>
      <c r="G190" s="1"/>
      <c r="H190" s="1"/>
      <c r="I190" s="294"/>
      <c r="J190" s="294"/>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3"/>
      <c r="AJ190" s="1"/>
      <c r="AK190" s="295"/>
      <c r="AL190" s="1"/>
      <c r="AM190" s="1"/>
      <c r="AN190" s="1"/>
      <c r="AO190" s="1"/>
      <c r="AP190" s="1"/>
      <c r="AQ190" s="1"/>
      <c r="AR190" s="1"/>
      <c r="AS190" s="1"/>
      <c r="AT190" s="1"/>
      <c r="AU190" s="1"/>
      <c r="AV190" s="1"/>
      <c r="AW190" s="1"/>
      <c r="AX190" s="1"/>
      <c r="AY190" s="1"/>
      <c r="AZ190" s="1"/>
      <c r="BA190" s="1"/>
      <c r="BB190" s="1"/>
      <c r="BC190" s="1"/>
      <c r="BD190" s="296"/>
      <c r="BE190" s="1"/>
      <c r="BF190" s="1"/>
      <c r="BG190" s="20"/>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row>
    <row r="191" spans="1:115" ht="14.25" customHeight="1">
      <c r="A191" s="1"/>
      <c r="B191" s="1"/>
      <c r="C191" s="1"/>
      <c r="D191" s="1"/>
      <c r="E191" s="1"/>
      <c r="F191" s="1"/>
      <c r="G191" s="1"/>
      <c r="H191" s="1"/>
      <c r="I191" s="294"/>
      <c r="J191" s="294"/>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3"/>
      <c r="AJ191" s="1"/>
      <c r="AK191" s="295"/>
      <c r="AL191" s="1"/>
      <c r="AM191" s="1"/>
      <c r="AN191" s="1"/>
      <c r="AO191" s="1"/>
      <c r="AP191" s="1"/>
      <c r="AQ191" s="1"/>
      <c r="AR191" s="1"/>
      <c r="AS191" s="1"/>
      <c r="AT191" s="1"/>
      <c r="AU191" s="1"/>
      <c r="AV191" s="1"/>
      <c r="AW191" s="1"/>
      <c r="AX191" s="1"/>
      <c r="AY191" s="1"/>
      <c r="AZ191" s="1"/>
      <c r="BA191" s="1"/>
      <c r="BB191" s="1"/>
      <c r="BC191" s="1"/>
      <c r="BD191" s="296"/>
      <c r="BE191" s="1"/>
      <c r="BF191" s="1"/>
      <c r="BG191" s="20"/>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row>
    <row r="192" spans="1:115" ht="14.25" customHeight="1">
      <c r="A192" s="1"/>
      <c r="B192" s="1"/>
      <c r="C192" s="1"/>
      <c r="D192" s="1"/>
      <c r="E192" s="1"/>
      <c r="F192" s="1"/>
      <c r="G192" s="1"/>
      <c r="H192" s="1"/>
      <c r="I192" s="294"/>
      <c r="J192" s="294"/>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3"/>
      <c r="AJ192" s="1"/>
      <c r="AK192" s="295"/>
      <c r="AL192" s="1"/>
      <c r="AM192" s="1"/>
      <c r="AN192" s="1"/>
      <c r="AO192" s="1"/>
      <c r="AP192" s="1"/>
      <c r="AQ192" s="1"/>
      <c r="AR192" s="1"/>
      <c r="AS192" s="1"/>
      <c r="AT192" s="1"/>
      <c r="AU192" s="1"/>
      <c r="AV192" s="1"/>
      <c r="AW192" s="1"/>
      <c r="AX192" s="1"/>
      <c r="AY192" s="1"/>
      <c r="AZ192" s="1"/>
      <c r="BA192" s="1"/>
      <c r="BB192" s="1"/>
      <c r="BC192" s="1"/>
      <c r="BD192" s="296"/>
      <c r="BE192" s="1"/>
      <c r="BF192" s="1"/>
      <c r="BG192" s="20"/>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row>
    <row r="193" spans="1:115" ht="14.25" customHeight="1">
      <c r="A193" s="1"/>
      <c r="B193" s="1"/>
      <c r="C193" s="1"/>
      <c r="D193" s="1"/>
      <c r="E193" s="1"/>
      <c r="F193" s="1"/>
      <c r="G193" s="1"/>
      <c r="H193" s="1"/>
      <c r="I193" s="294"/>
      <c r="J193" s="294"/>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3"/>
      <c r="AJ193" s="1"/>
      <c r="AK193" s="295"/>
      <c r="AL193" s="1"/>
      <c r="AM193" s="1"/>
      <c r="AN193" s="1"/>
      <c r="AO193" s="1"/>
      <c r="AP193" s="1"/>
      <c r="AQ193" s="1"/>
      <c r="AR193" s="1"/>
      <c r="AS193" s="1"/>
      <c r="AT193" s="1"/>
      <c r="AU193" s="1"/>
      <c r="AV193" s="1"/>
      <c r="AW193" s="1"/>
      <c r="AX193" s="1"/>
      <c r="AY193" s="1"/>
      <c r="AZ193" s="1"/>
      <c r="BA193" s="1"/>
      <c r="BB193" s="1"/>
      <c r="BC193" s="1"/>
      <c r="BD193" s="296"/>
      <c r="BE193" s="1"/>
      <c r="BF193" s="1"/>
      <c r="BG193" s="20"/>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row>
    <row r="194" spans="1:115" ht="14.25" customHeight="1">
      <c r="A194" s="1"/>
      <c r="B194" s="1"/>
      <c r="C194" s="1"/>
      <c r="D194" s="1"/>
      <c r="E194" s="1"/>
      <c r="F194" s="1"/>
      <c r="G194" s="1"/>
      <c r="H194" s="1"/>
      <c r="I194" s="294"/>
      <c r="J194" s="294"/>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3"/>
      <c r="AJ194" s="1"/>
      <c r="AK194" s="295"/>
      <c r="AL194" s="1"/>
      <c r="AM194" s="1"/>
      <c r="AN194" s="1"/>
      <c r="AO194" s="1"/>
      <c r="AP194" s="1"/>
      <c r="AQ194" s="1"/>
      <c r="AR194" s="1"/>
      <c r="AS194" s="1"/>
      <c r="AT194" s="1"/>
      <c r="AU194" s="1"/>
      <c r="AV194" s="1"/>
      <c r="AW194" s="1"/>
      <c r="AX194" s="1"/>
      <c r="AY194" s="1"/>
      <c r="AZ194" s="1"/>
      <c r="BA194" s="1"/>
      <c r="BB194" s="1"/>
      <c r="BC194" s="1"/>
      <c r="BD194" s="296"/>
      <c r="BE194" s="1"/>
      <c r="BF194" s="1"/>
      <c r="BG194" s="20"/>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row>
    <row r="195" spans="1:115" ht="14.25" customHeight="1">
      <c r="A195" s="1"/>
      <c r="B195" s="1"/>
      <c r="C195" s="1"/>
      <c r="D195" s="1"/>
      <c r="E195" s="1"/>
      <c r="F195" s="1"/>
      <c r="G195" s="1"/>
      <c r="H195" s="1"/>
      <c r="I195" s="294"/>
      <c r="J195" s="294"/>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3"/>
      <c r="AJ195" s="1"/>
      <c r="AK195" s="295"/>
      <c r="AL195" s="1"/>
      <c r="AM195" s="1"/>
      <c r="AN195" s="1"/>
      <c r="AO195" s="1"/>
      <c r="AP195" s="1"/>
      <c r="AQ195" s="1"/>
      <c r="AR195" s="1"/>
      <c r="AS195" s="1"/>
      <c r="AT195" s="1"/>
      <c r="AU195" s="1"/>
      <c r="AV195" s="1"/>
      <c r="AW195" s="1"/>
      <c r="AX195" s="1"/>
      <c r="AY195" s="1"/>
      <c r="AZ195" s="1"/>
      <c r="BA195" s="1"/>
      <c r="BB195" s="1"/>
      <c r="BC195" s="1"/>
      <c r="BD195" s="296"/>
      <c r="BE195" s="1"/>
      <c r="BF195" s="1"/>
      <c r="BG195" s="20"/>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row>
    <row r="196" spans="1:115" ht="14.25" customHeight="1">
      <c r="A196" s="1"/>
      <c r="B196" s="1"/>
      <c r="C196" s="1"/>
      <c r="D196" s="1"/>
      <c r="E196" s="1"/>
      <c r="F196" s="1"/>
      <c r="G196" s="1"/>
      <c r="H196" s="1"/>
      <c r="I196" s="294"/>
      <c r="J196" s="294"/>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3"/>
      <c r="AJ196" s="1"/>
      <c r="AK196" s="295"/>
      <c r="AL196" s="1"/>
      <c r="AM196" s="1"/>
      <c r="AN196" s="1"/>
      <c r="AO196" s="1"/>
      <c r="AP196" s="1"/>
      <c r="AQ196" s="1"/>
      <c r="AR196" s="1"/>
      <c r="AS196" s="1"/>
      <c r="AT196" s="1"/>
      <c r="AU196" s="1"/>
      <c r="AV196" s="1"/>
      <c r="AW196" s="1"/>
      <c r="AX196" s="1"/>
      <c r="AY196" s="1"/>
      <c r="AZ196" s="1"/>
      <c r="BA196" s="1"/>
      <c r="BB196" s="1"/>
      <c r="BC196" s="1"/>
      <c r="BD196" s="296"/>
      <c r="BE196" s="1"/>
      <c r="BF196" s="1"/>
      <c r="BG196" s="20"/>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row>
    <row r="197" spans="1:115" ht="14.25" customHeight="1">
      <c r="A197" s="1"/>
      <c r="B197" s="1"/>
      <c r="C197" s="1"/>
      <c r="D197" s="1"/>
      <c r="E197" s="1"/>
      <c r="F197" s="1"/>
      <c r="G197" s="1"/>
      <c r="H197" s="1"/>
      <c r="I197" s="294"/>
      <c r="J197" s="294"/>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3"/>
      <c r="AJ197" s="1"/>
      <c r="AK197" s="295"/>
      <c r="AL197" s="1"/>
      <c r="AM197" s="1"/>
      <c r="AN197" s="1"/>
      <c r="AO197" s="1"/>
      <c r="AP197" s="1"/>
      <c r="AQ197" s="1"/>
      <c r="AR197" s="1"/>
      <c r="AS197" s="1"/>
      <c r="AT197" s="1"/>
      <c r="AU197" s="1"/>
      <c r="AV197" s="1"/>
      <c r="AW197" s="1"/>
      <c r="AX197" s="1"/>
      <c r="AY197" s="1"/>
      <c r="AZ197" s="1"/>
      <c r="BA197" s="1"/>
      <c r="BB197" s="1"/>
      <c r="BC197" s="1"/>
      <c r="BD197" s="296"/>
      <c r="BE197" s="1"/>
      <c r="BF197" s="1"/>
      <c r="BG197" s="20"/>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row>
    <row r="198" spans="1:115" ht="14.25" customHeight="1">
      <c r="A198" s="1"/>
      <c r="B198" s="1"/>
      <c r="C198" s="1"/>
      <c r="D198" s="1"/>
      <c r="E198" s="1"/>
      <c r="F198" s="1"/>
      <c r="G198" s="1"/>
      <c r="H198" s="1"/>
      <c r="I198" s="294"/>
      <c r="J198" s="294"/>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3"/>
      <c r="AJ198" s="1"/>
      <c r="AK198" s="295"/>
      <c r="AL198" s="1"/>
      <c r="AM198" s="1"/>
      <c r="AN198" s="1"/>
      <c r="AO198" s="1"/>
      <c r="AP198" s="1"/>
      <c r="AQ198" s="1"/>
      <c r="AR198" s="1"/>
      <c r="AS198" s="1"/>
      <c r="AT198" s="1"/>
      <c r="AU198" s="1"/>
      <c r="AV198" s="1"/>
      <c r="AW198" s="1"/>
      <c r="AX198" s="1"/>
      <c r="AY198" s="1"/>
      <c r="AZ198" s="1"/>
      <c r="BA198" s="1"/>
      <c r="BB198" s="1"/>
      <c r="BC198" s="1"/>
      <c r="BD198" s="296"/>
      <c r="BE198" s="1"/>
      <c r="BF198" s="1"/>
      <c r="BG198" s="20"/>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row>
    <row r="199" spans="1:115" ht="14.25" customHeight="1">
      <c r="A199" s="1"/>
      <c r="B199" s="1"/>
      <c r="C199" s="1"/>
      <c r="D199" s="1"/>
      <c r="E199" s="1"/>
      <c r="F199" s="1"/>
      <c r="G199" s="1"/>
      <c r="H199" s="1"/>
      <c r="I199" s="294"/>
      <c r="J199" s="294"/>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3"/>
      <c r="AJ199" s="1"/>
      <c r="AK199" s="295"/>
      <c r="AL199" s="1"/>
      <c r="AM199" s="1"/>
      <c r="AN199" s="1"/>
      <c r="AO199" s="1"/>
      <c r="AP199" s="1"/>
      <c r="AQ199" s="1"/>
      <c r="AR199" s="1"/>
      <c r="AS199" s="1"/>
      <c r="AT199" s="1"/>
      <c r="AU199" s="1"/>
      <c r="AV199" s="1"/>
      <c r="AW199" s="1"/>
      <c r="AX199" s="1"/>
      <c r="AY199" s="1"/>
      <c r="AZ199" s="1"/>
      <c r="BA199" s="1"/>
      <c r="BB199" s="1"/>
      <c r="BC199" s="1"/>
      <c r="BD199" s="296"/>
      <c r="BE199" s="1"/>
      <c r="BF199" s="1"/>
      <c r="BG199" s="20"/>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row>
    <row r="200" spans="1:115" ht="14.25" customHeight="1">
      <c r="A200" s="1"/>
      <c r="B200" s="1"/>
      <c r="C200" s="1"/>
      <c r="D200" s="1"/>
      <c r="E200" s="1"/>
      <c r="F200" s="1"/>
      <c r="G200" s="1"/>
      <c r="H200" s="1"/>
      <c r="I200" s="294"/>
      <c r="J200" s="294"/>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3"/>
      <c r="AJ200" s="1"/>
      <c r="AK200" s="295"/>
      <c r="AL200" s="1"/>
      <c r="AM200" s="1"/>
      <c r="AN200" s="1"/>
      <c r="AO200" s="1"/>
      <c r="AP200" s="1"/>
      <c r="AQ200" s="1"/>
      <c r="AR200" s="1"/>
      <c r="AS200" s="1"/>
      <c r="AT200" s="1"/>
      <c r="AU200" s="1"/>
      <c r="AV200" s="1"/>
      <c r="AW200" s="1"/>
      <c r="AX200" s="1"/>
      <c r="AY200" s="1"/>
      <c r="AZ200" s="1"/>
      <c r="BA200" s="1"/>
      <c r="BB200" s="1"/>
      <c r="BC200" s="1"/>
      <c r="BD200" s="296"/>
      <c r="BE200" s="1"/>
      <c r="BF200" s="1"/>
      <c r="BG200" s="20"/>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row>
    <row r="201" spans="1:115" ht="14.25" customHeight="1">
      <c r="A201" s="1"/>
      <c r="B201" s="1"/>
      <c r="C201" s="1"/>
      <c r="D201" s="1"/>
      <c r="E201" s="1"/>
      <c r="F201" s="1"/>
      <c r="G201" s="1"/>
      <c r="H201" s="1"/>
      <c r="I201" s="294"/>
      <c r="J201" s="294"/>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3"/>
      <c r="AJ201" s="1"/>
      <c r="AK201" s="295"/>
      <c r="AL201" s="1"/>
      <c r="AM201" s="1"/>
      <c r="AN201" s="1"/>
      <c r="AO201" s="1"/>
      <c r="AP201" s="1"/>
      <c r="AQ201" s="1"/>
      <c r="AR201" s="1"/>
      <c r="AS201" s="1"/>
      <c r="AT201" s="1"/>
      <c r="AU201" s="1"/>
      <c r="AV201" s="1"/>
      <c r="AW201" s="1"/>
      <c r="AX201" s="1"/>
      <c r="AY201" s="1"/>
      <c r="AZ201" s="1"/>
      <c r="BA201" s="1"/>
      <c r="BB201" s="1"/>
      <c r="BC201" s="1"/>
      <c r="BD201" s="296"/>
      <c r="BE201" s="1"/>
      <c r="BF201" s="1"/>
      <c r="BG201" s="20"/>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row>
    <row r="202" spans="1:115" ht="14.25" customHeight="1">
      <c r="A202" s="1"/>
      <c r="B202" s="1"/>
      <c r="C202" s="1"/>
      <c r="D202" s="1"/>
      <c r="E202" s="1"/>
      <c r="F202" s="1"/>
      <c r="G202" s="1"/>
      <c r="H202" s="1"/>
      <c r="I202" s="294"/>
      <c r="J202" s="294"/>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3"/>
      <c r="AJ202" s="1"/>
      <c r="AK202" s="295"/>
      <c r="AL202" s="1"/>
      <c r="AM202" s="1"/>
      <c r="AN202" s="1"/>
      <c r="AO202" s="1"/>
      <c r="AP202" s="1"/>
      <c r="AQ202" s="1"/>
      <c r="AR202" s="1"/>
      <c r="AS202" s="1"/>
      <c r="AT202" s="1"/>
      <c r="AU202" s="1"/>
      <c r="AV202" s="1"/>
      <c r="AW202" s="1"/>
      <c r="AX202" s="1"/>
      <c r="AY202" s="1"/>
      <c r="AZ202" s="1"/>
      <c r="BA202" s="1"/>
      <c r="BB202" s="1"/>
      <c r="BC202" s="1"/>
      <c r="BD202" s="296"/>
      <c r="BE202" s="1"/>
      <c r="BF202" s="1"/>
      <c r="BG202" s="20"/>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row>
    <row r="203" spans="1:115" ht="14.25" customHeight="1">
      <c r="A203" s="1"/>
      <c r="B203" s="1"/>
      <c r="C203" s="1"/>
      <c r="D203" s="1"/>
      <c r="E203" s="1"/>
      <c r="F203" s="1"/>
      <c r="G203" s="1"/>
      <c r="H203" s="1"/>
      <c r="I203" s="294"/>
      <c r="J203" s="294"/>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3"/>
      <c r="AJ203" s="1"/>
      <c r="AK203" s="295"/>
      <c r="AL203" s="1"/>
      <c r="AM203" s="1"/>
      <c r="AN203" s="1"/>
      <c r="AO203" s="1"/>
      <c r="AP203" s="1"/>
      <c r="AQ203" s="1"/>
      <c r="AR203" s="1"/>
      <c r="AS203" s="1"/>
      <c r="AT203" s="1"/>
      <c r="AU203" s="1"/>
      <c r="AV203" s="1"/>
      <c r="AW203" s="1"/>
      <c r="AX203" s="1"/>
      <c r="AY203" s="1"/>
      <c r="AZ203" s="1"/>
      <c r="BA203" s="1"/>
      <c r="BB203" s="1"/>
      <c r="BC203" s="1"/>
      <c r="BD203" s="296"/>
      <c r="BE203" s="1"/>
      <c r="BF203" s="1"/>
      <c r="BG203" s="20"/>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row>
    <row r="204" spans="1:115" ht="14.25" customHeight="1">
      <c r="A204" s="1"/>
      <c r="B204" s="1"/>
      <c r="C204" s="1"/>
      <c r="D204" s="1"/>
      <c r="E204" s="1"/>
      <c r="F204" s="1"/>
      <c r="G204" s="1"/>
      <c r="H204" s="1"/>
      <c r="I204" s="294"/>
      <c r="J204" s="294"/>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3"/>
      <c r="AJ204" s="1"/>
      <c r="AK204" s="295"/>
      <c r="AL204" s="1"/>
      <c r="AM204" s="1"/>
      <c r="AN204" s="1"/>
      <c r="AO204" s="1"/>
      <c r="AP204" s="1"/>
      <c r="AQ204" s="1"/>
      <c r="AR204" s="1"/>
      <c r="AS204" s="1"/>
      <c r="AT204" s="1"/>
      <c r="AU204" s="1"/>
      <c r="AV204" s="1"/>
      <c r="AW204" s="1"/>
      <c r="AX204" s="1"/>
      <c r="AY204" s="1"/>
      <c r="AZ204" s="1"/>
      <c r="BA204" s="1"/>
      <c r="BB204" s="1"/>
      <c r="BC204" s="1"/>
      <c r="BD204" s="296"/>
      <c r="BE204" s="1"/>
      <c r="BF204" s="1"/>
      <c r="BG204" s="20"/>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row>
    <row r="205" spans="1:115" ht="14.25" customHeight="1">
      <c r="A205" s="1"/>
      <c r="B205" s="1"/>
      <c r="C205" s="1"/>
      <c r="D205" s="1"/>
      <c r="E205" s="1"/>
      <c r="F205" s="1"/>
      <c r="G205" s="1"/>
      <c r="H205" s="1"/>
      <c r="I205" s="294"/>
      <c r="J205" s="294"/>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3"/>
      <c r="AJ205" s="1"/>
      <c r="AK205" s="295"/>
      <c r="AL205" s="1"/>
      <c r="AM205" s="1"/>
      <c r="AN205" s="1"/>
      <c r="AO205" s="1"/>
      <c r="AP205" s="1"/>
      <c r="AQ205" s="1"/>
      <c r="AR205" s="1"/>
      <c r="AS205" s="1"/>
      <c r="AT205" s="1"/>
      <c r="AU205" s="1"/>
      <c r="AV205" s="1"/>
      <c r="AW205" s="1"/>
      <c r="AX205" s="1"/>
      <c r="AY205" s="1"/>
      <c r="AZ205" s="1"/>
      <c r="BA205" s="1"/>
      <c r="BB205" s="1"/>
      <c r="BC205" s="1"/>
      <c r="BD205" s="296"/>
      <c r="BE205" s="1"/>
      <c r="BF205" s="1"/>
      <c r="BG205" s="20"/>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row>
    <row r="206" spans="1:115" ht="14.25" customHeight="1">
      <c r="A206" s="1"/>
      <c r="B206" s="1"/>
      <c r="C206" s="1"/>
      <c r="D206" s="1"/>
      <c r="E206" s="1"/>
      <c r="F206" s="1"/>
      <c r="G206" s="1"/>
      <c r="H206" s="1"/>
      <c r="I206" s="294"/>
      <c r="J206" s="294"/>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3"/>
      <c r="AJ206" s="1"/>
      <c r="AK206" s="295"/>
      <c r="AL206" s="1"/>
      <c r="AM206" s="1"/>
      <c r="AN206" s="1"/>
      <c r="AO206" s="1"/>
      <c r="AP206" s="1"/>
      <c r="AQ206" s="1"/>
      <c r="AR206" s="1"/>
      <c r="AS206" s="1"/>
      <c r="AT206" s="1"/>
      <c r="AU206" s="1"/>
      <c r="AV206" s="1"/>
      <c r="AW206" s="1"/>
      <c r="AX206" s="1"/>
      <c r="AY206" s="1"/>
      <c r="AZ206" s="1"/>
      <c r="BA206" s="1"/>
      <c r="BB206" s="1"/>
      <c r="BC206" s="1"/>
      <c r="BD206" s="296"/>
      <c r="BE206" s="1"/>
      <c r="BF206" s="1"/>
      <c r="BG206" s="20"/>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row>
    <row r="207" spans="1:115" ht="14.25" customHeight="1">
      <c r="A207" s="1"/>
      <c r="B207" s="1"/>
      <c r="C207" s="1"/>
      <c r="D207" s="1"/>
      <c r="E207" s="1"/>
      <c r="F207" s="1"/>
      <c r="G207" s="1"/>
      <c r="H207" s="1"/>
      <c r="I207" s="294"/>
      <c r="J207" s="294"/>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3"/>
      <c r="AJ207" s="1"/>
      <c r="AK207" s="295"/>
      <c r="AL207" s="1"/>
      <c r="AM207" s="1"/>
      <c r="AN207" s="1"/>
      <c r="AO207" s="1"/>
      <c r="AP207" s="1"/>
      <c r="AQ207" s="1"/>
      <c r="AR207" s="1"/>
      <c r="AS207" s="1"/>
      <c r="AT207" s="1"/>
      <c r="AU207" s="1"/>
      <c r="AV207" s="1"/>
      <c r="AW207" s="1"/>
      <c r="AX207" s="1"/>
      <c r="AY207" s="1"/>
      <c r="AZ207" s="1"/>
      <c r="BA207" s="1"/>
      <c r="BB207" s="1"/>
      <c r="BC207" s="1"/>
      <c r="BD207" s="296"/>
      <c r="BE207" s="1"/>
      <c r="BF207" s="1"/>
      <c r="BG207" s="20"/>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row>
    <row r="208" spans="1:115" ht="14.25" customHeight="1">
      <c r="A208" s="1"/>
      <c r="B208" s="1"/>
      <c r="C208" s="1"/>
      <c r="D208" s="1"/>
      <c r="E208" s="1"/>
      <c r="F208" s="1"/>
      <c r="G208" s="1"/>
      <c r="H208" s="1"/>
      <c r="I208" s="294"/>
      <c r="J208" s="294"/>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3"/>
      <c r="AJ208" s="1"/>
      <c r="AK208" s="295"/>
      <c r="AL208" s="1"/>
      <c r="AM208" s="1"/>
      <c r="AN208" s="1"/>
      <c r="AO208" s="1"/>
      <c r="AP208" s="1"/>
      <c r="AQ208" s="1"/>
      <c r="AR208" s="1"/>
      <c r="AS208" s="1"/>
      <c r="AT208" s="1"/>
      <c r="AU208" s="1"/>
      <c r="AV208" s="1"/>
      <c r="AW208" s="1"/>
      <c r="AX208" s="1"/>
      <c r="AY208" s="1"/>
      <c r="AZ208" s="1"/>
      <c r="BA208" s="1"/>
      <c r="BB208" s="1"/>
      <c r="BC208" s="1"/>
      <c r="BD208" s="296"/>
      <c r="BE208" s="1"/>
      <c r="BF208" s="1"/>
      <c r="BG208" s="20"/>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row>
    <row r="209" spans="1:115" ht="14.25" customHeight="1">
      <c r="A209" s="1"/>
      <c r="B209" s="1"/>
      <c r="C209" s="1"/>
      <c r="D209" s="1"/>
      <c r="E209" s="1"/>
      <c r="F209" s="1"/>
      <c r="G209" s="1"/>
      <c r="H209" s="1"/>
      <c r="I209" s="294"/>
      <c r="J209" s="294"/>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3"/>
      <c r="AJ209" s="1"/>
      <c r="AK209" s="295"/>
      <c r="AL209" s="1"/>
      <c r="AM209" s="1"/>
      <c r="AN209" s="1"/>
      <c r="AO209" s="1"/>
      <c r="AP209" s="1"/>
      <c r="AQ209" s="1"/>
      <c r="AR209" s="1"/>
      <c r="AS209" s="1"/>
      <c r="AT209" s="1"/>
      <c r="AU209" s="1"/>
      <c r="AV209" s="1"/>
      <c r="AW209" s="1"/>
      <c r="AX209" s="1"/>
      <c r="AY209" s="1"/>
      <c r="AZ209" s="1"/>
      <c r="BA209" s="1"/>
      <c r="BB209" s="1"/>
      <c r="BC209" s="1"/>
      <c r="BD209" s="296"/>
      <c r="BE209" s="1"/>
      <c r="BF209" s="1"/>
      <c r="BG209" s="20"/>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row>
    <row r="210" spans="1:115" ht="14.25" customHeight="1">
      <c r="A210" s="1"/>
      <c r="B210" s="1"/>
      <c r="C210" s="1"/>
      <c r="D210" s="1"/>
      <c r="E210" s="1"/>
      <c r="F210" s="1"/>
      <c r="G210" s="1"/>
      <c r="H210" s="1"/>
      <c r="I210" s="294"/>
      <c r="J210" s="294"/>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3"/>
      <c r="AJ210" s="1"/>
      <c r="AK210" s="295"/>
      <c r="AL210" s="1"/>
      <c r="AM210" s="1"/>
      <c r="AN210" s="1"/>
      <c r="AO210" s="1"/>
      <c r="AP210" s="1"/>
      <c r="AQ210" s="1"/>
      <c r="AR210" s="1"/>
      <c r="AS210" s="1"/>
      <c r="AT210" s="1"/>
      <c r="AU210" s="1"/>
      <c r="AV210" s="1"/>
      <c r="AW210" s="1"/>
      <c r="AX210" s="1"/>
      <c r="AY210" s="1"/>
      <c r="AZ210" s="1"/>
      <c r="BA210" s="1"/>
      <c r="BB210" s="1"/>
      <c r="BC210" s="1"/>
      <c r="BD210" s="296"/>
      <c r="BE210" s="1"/>
      <c r="BF210" s="1"/>
      <c r="BG210" s="20"/>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row>
    <row r="211" spans="1:115" ht="14.25" customHeight="1">
      <c r="A211" s="1"/>
      <c r="B211" s="1"/>
      <c r="C211" s="1"/>
      <c r="D211" s="1"/>
      <c r="E211" s="1"/>
      <c r="F211" s="1"/>
      <c r="G211" s="1"/>
      <c r="H211" s="1"/>
      <c r="I211" s="294"/>
      <c r="J211" s="294"/>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3"/>
      <c r="AJ211" s="1"/>
      <c r="AK211" s="295"/>
      <c r="AL211" s="1"/>
      <c r="AM211" s="1"/>
      <c r="AN211" s="1"/>
      <c r="AO211" s="1"/>
      <c r="AP211" s="1"/>
      <c r="AQ211" s="1"/>
      <c r="AR211" s="1"/>
      <c r="AS211" s="1"/>
      <c r="AT211" s="1"/>
      <c r="AU211" s="1"/>
      <c r="AV211" s="1"/>
      <c r="AW211" s="1"/>
      <c r="AX211" s="1"/>
      <c r="AY211" s="1"/>
      <c r="AZ211" s="1"/>
      <c r="BA211" s="1"/>
      <c r="BB211" s="1"/>
      <c r="BC211" s="1"/>
      <c r="BD211" s="296"/>
      <c r="BE211" s="1"/>
      <c r="BF211" s="1"/>
      <c r="BG211" s="20"/>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row>
    <row r="212" spans="1:115" ht="14.25" customHeight="1">
      <c r="A212" s="1"/>
      <c r="B212" s="1"/>
      <c r="C212" s="1"/>
      <c r="D212" s="1"/>
      <c r="E212" s="1"/>
      <c r="F212" s="1"/>
      <c r="G212" s="1"/>
      <c r="H212" s="1"/>
      <c r="I212" s="294"/>
      <c r="J212" s="294"/>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3"/>
      <c r="AJ212" s="1"/>
      <c r="AK212" s="295"/>
      <c r="AL212" s="1"/>
      <c r="AM212" s="1"/>
      <c r="AN212" s="1"/>
      <c r="AO212" s="1"/>
      <c r="AP212" s="1"/>
      <c r="AQ212" s="1"/>
      <c r="AR212" s="1"/>
      <c r="AS212" s="1"/>
      <c r="AT212" s="1"/>
      <c r="AU212" s="1"/>
      <c r="AV212" s="1"/>
      <c r="AW212" s="1"/>
      <c r="AX212" s="1"/>
      <c r="AY212" s="1"/>
      <c r="AZ212" s="1"/>
      <c r="BA212" s="1"/>
      <c r="BB212" s="1"/>
      <c r="BC212" s="1"/>
      <c r="BD212" s="296"/>
      <c r="BE212" s="1"/>
      <c r="BF212" s="1"/>
      <c r="BG212" s="20"/>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row>
    <row r="213" spans="1:115" ht="14.25" customHeight="1">
      <c r="A213" s="1"/>
      <c r="B213" s="1"/>
      <c r="C213" s="1"/>
      <c r="D213" s="1"/>
      <c r="E213" s="1"/>
      <c r="F213" s="1"/>
      <c r="G213" s="1"/>
      <c r="H213" s="1"/>
      <c r="I213" s="294"/>
      <c r="J213" s="294"/>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3"/>
      <c r="AJ213" s="1"/>
      <c r="AK213" s="295"/>
      <c r="AL213" s="1"/>
      <c r="AM213" s="1"/>
      <c r="AN213" s="1"/>
      <c r="AO213" s="1"/>
      <c r="AP213" s="1"/>
      <c r="AQ213" s="1"/>
      <c r="AR213" s="1"/>
      <c r="AS213" s="1"/>
      <c r="AT213" s="1"/>
      <c r="AU213" s="1"/>
      <c r="AV213" s="1"/>
      <c r="AW213" s="1"/>
      <c r="AX213" s="1"/>
      <c r="AY213" s="1"/>
      <c r="AZ213" s="1"/>
      <c r="BA213" s="1"/>
      <c r="BB213" s="1"/>
      <c r="BC213" s="1"/>
      <c r="BD213" s="296"/>
      <c r="BE213" s="1"/>
      <c r="BF213" s="1"/>
      <c r="BG213" s="20"/>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row>
    <row r="214" spans="1:115" ht="14.25" customHeight="1">
      <c r="A214" s="1"/>
      <c r="B214" s="1"/>
      <c r="C214" s="1"/>
      <c r="D214" s="1"/>
      <c r="E214" s="1"/>
      <c r="F214" s="1"/>
      <c r="G214" s="1"/>
      <c r="H214" s="1"/>
      <c r="I214" s="294"/>
      <c r="J214" s="294"/>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3"/>
      <c r="AJ214" s="1"/>
      <c r="AK214" s="295"/>
      <c r="AL214" s="1"/>
      <c r="AM214" s="1"/>
      <c r="AN214" s="1"/>
      <c r="AO214" s="1"/>
      <c r="AP214" s="1"/>
      <c r="AQ214" s="1"/>
      <c r="AR214" s="1"/>
      <c r="AS214" s="1"/>
      <c r="AT214" s="1"/>
      <c r="AU214" s="1"/>
      <c r="AV214" s="1"/>
      <c r="AW214" s="1"/>
      <c r="AX214" s="1"/>
      <c r="AY214" s="1"/>
      <c r="AZ214" s="1"/>
      <c r="BA214" s="1"/>
      <c r="BB214" s="1"/>
      <c r="BC214" s="1"/>
      <c r="BD214" s="296"/>
      <c r="BE214" s="1"/>
      <c r="BF214" s="1"/>
      <c r="BG214" s="20"/>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row>
    <row r="215" spans="1:115" ht="14.25" customHeight="1">
      <c r="A215" s="1"/>
      <c r="B215" s="1"/>
      <c r="C215" s="1"/>
      <c r="D215" s="1"/>
      <c r="E215" s="1"/>
      <c r="F215" s="1"/>
      <c r="G215" s="1"/>
      <c r="H215" s="1"/>
      <c r="I215" s="294"/>
      <c r="J215" s="294"/>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3"/>
      <c r="AJ215" s="1"/>
      <c r="AK215" s="295"/>
      <c r="AL215" s="1"/>
      <c r="AM215" s="1"/>
      <c r="AN215" s="1"/>
      <c r="AO215" s="1"/>
      <c r="AP215" s="1"/>
      <c r="AQ215" s="1"/>
      <c r="AR215" s="1"/>
      <c r="AS215" s="1"/>
      <c r="AT215" s="1"/>
      <c r="AU215" s="1"/>
      <c r="AV215" s="1"/>
      <c r="AW215" s="1"/>
      <c r="AX215" s="1"/>
      <c r="AY215" s="1"/>
      <c r="AZ215" s="1"/>
      <c r="BA215" s="1"/>
      <c r="BB215" s="1"/>
      <c r="BC215" s="1"/>
      <c r="BD215" s="296"/>
      <c r="BE215" s="1"/>
      <c r="BF215" s="1"/>
      <c r="BG215" s="20"/>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row>
    <row r="216" spans="1:115" ht="14.25" customHeight="1">
      <c r="A216" s="1"/>
      <c r="B216" s="1"/>
      <c r="C216" s="1"/>
      <c r="D216" s="1"/>
      <c r="E216" s="1"/>
      <c r="F216" s="1"/>
      <c r="G216" s="1"/>
      <c r="H216" s="1"/>
      <c r="I216" s="294"/>
      <c r="J216" s="294"/>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3"/>
      <c r="AJ216" s="1"/>
      <c r="AK216" s="295"/>
      <c r="AL216" s="1"/>
      <c r="AM216" s="1"/>
      <c r="AN216" s="1"/>
      <c r="AO216" s="1"/>
      <c r="AP216" s="1"/>
      <c r="AQ216" s="1"/>
      <c r="AR216" s="1"/>
      <c r="AS216" s="1"/>
      <c r="AT216" s="1"/>
      <c r="AU216" s="1"/>
      <c r="AV216" s="1"/>
      <c r="AW216" s="1"/>
      <c r="AX216" s="1"/>
      <c r="AY216" s="1"/>
      <c r="AZ216" s="1"/>
      <c r="BA216" s="1"/>
      <c r="BB216" s="1"/>
      <c r="BC216" s="1"/>
      <c r="BD216" s="296"/>
      <c r="BE216" s="1"/>
      <c r="BF216" s="1"/>
      <c r="BG216" s="20"/>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row>
    <row r="217" spans="1:115" ht="14.25" customHeight="1">
      <c r="A217" s="1"/>
      <c r="B217" s="1"/>
      <c r="C217" s="1"/>
      <c r="D217" s="1"/>
      <c r="E217" s="1"/>
      <c r="F217" s="1"/>
      <c r="G217" s="1"/>
      <c r="H217" s="1"/>
      <c r="I217" s="294"/>
      <c r="J217" s="294"/>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3"/>
      <c r="AJ217" s="1"/>
      <c r="AK217" s="295"/>
      <c r="AL217" s="1"/>
      <c r="AM217" s="1"/>
      <c r="AN217" s="1"/>
      <c r="AO217" s="1"/>
      <c r="AP217" s="1"/>
      <c r="AQ217" s="1"/>
      <c r="AR217" s="1"/>
      <c r="AS217" s="1"/>
      <c r="AT217" s="1"/>
      <c r="AU217" s="1"/>
      <c r="AV217" s="1"/>
      <c r="AW217" s="1"/>
      <c r="AX217" s="1"/>
      <c r="AY217" s="1"/>
      <c r="AZ217" s="1"/>
      <c r="BA217" s="1"/>
      <c r="BB217" s="1"/>
      <c r="BC217" s="1"/>
      <c r="BD217" s="296"/>
      <c r="BE217" s="1"/>
      <c r="BF217" s="1"/>
      <c r="BG217" s="20"/>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row>
    <row r="218" spans="1:115" ht="14.25" customHeight="1">
      <c r="A218" s="1"/>
      <c r="B218" s="1"/>
      <c r="C218" s="1"/>
      <c r="D218" s="1"/>
      <c r="E218" s="1"/>
      <c r="F218" s="1"/>
      <c r="G218" s="1"/>
      <c r="H218" s="1"/>
      <c r="I218" s="294"/>
      <c r="J218" s="294"/>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3"/>
      <c r="AJ218" s="1"/>
      <c r="AK218" s="295"/>
      <c r="AL218" s="1"/>
      <c r="AM218" s="1"/>
      <c r="AN218" s="1"/>
      <c r="AO218" s="1"/>
      <c r="AP218" s="1"/>
      <c r="AQ218" s="1"/>
      <c r="AR218" s="1"/>
      <c r="AS218" s="1"/>
      <c r="AT218" s="1"/>
      <c r="AU218" s="1"/>
      <c r="AV218" s="1"/>
      <c r="AW218" s="1"/>
      <c r="AX218" s="1"/>
      <c r="AY218" s="1"/>
      <c r="AZ218" s="1"/>
      <c r="BA218" s="1"/>
      <c r="BB218" s="1"/>
      <c r="BC218" s="1"/>
      <c r="BD218" s="296"/>
      <c r="BE218" s="1"/>
      <c r="BF218" s="1"/>
      <c r="BG218" s="20"/>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row>
    <row r="219" spans="1:115" ht="14.25" customHeight="1">
      <c r="A219" s="1"/>
      <c r="B219" s="1"/>
      <c r="C219" s="1"/>
      <c r="D219" s="1"/>
      <c r="E219" s="1"/>
      <c r="F219" s="1"/>
      <c r="G219" s="1"/>
      <c r="H219" s="1"/>
      <c r="I219" s="294"/>
      <c r="J219" s="294"/>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3"/>
      <c r="AJ219" s="1"/>
      <c r="AK219" s="295"/>
      <c r="AL219" s="1"/>
      <c r="AM219" s="1"/>
      <c r="AN219" s="1"/>
      <c r="AO219" s="1"/>
      <c r="AP219" s="1"/>
      <c r="AQ219" s="1"/>
      <c r="AR219" s="1"/>
      <c r="AS219" s="1"/>
      <c r="AT219" s="1"/>
      <c r="AU219" s="1"/>
      <c r="AV219" s="1"/>
      <c r="AW219" s="1"/>
      <c r="AX219" s="1"/>
      <c r="AY219" s="1"/>
      <c r="AZ219" s="1"/>
      <c r="BA219" s="1"/>
      <c r="BB219" s="1"/>
      <c r="BC219" s="1"/>
      <c r="BD219" s="296"/>
      <c r="BE219" s="1"/>
      <c r="BF219" s="1"/>
      <c r="BG219" s="20"/>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row>
    <row r="220" spans="1:115" ht="14.25" customHeight="1">
      <c r="A220" s="1"/>
      <c r="B220" s="1"/>
      <c r="C220" s="1"/>
      <c r="D220" s="1"/>
      <c r="E220" s="1"/>
      <c r="F220" s="1"/>
      <c r="G220" s="1"/>
      <c r="H220" s="1"/>
      <c r="I220" s="294"/>
      <c r="J220" s="294"/>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3"/>
      <c r="AJ220" s="1"/>
      <c r="AK220" s="295"/>
      <c r="AL220" s="1"/>
      <c r="AM220" s="1"/>
      <c r="AN220" s="1"/>
      <c r="AO220" s="1"/>
      <c r="AP220" s="1"/>
      <c r="AQ220" s="1"/>
      <c r="AR220" s="1"/>
      <c r="AS220" s="1"/>
      <c r="AT220" s="1"/>
      <c r="AU220" s="1"/>
      <c r="AV220" s="1"/>
      <c r="AW220" s="1"/>
      <c r="AX220" s="1"/>
      <c r="AY220" s="1"/>
      <c r="AZ220" s="1"/>
      <c r="BA220" s="1"/>
      <c r="BB220" s="1"/>
      <c r="BC220" s="1"/>
      <c r="BD220" s="296"/>
      <c r="BE220" s="1"/>
      <c r="BF220" s="1"/>
      <c r="BG220" s="20"/>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row>
    <row r="221" spans="1:115" ht="14.25" customHeight="1">
      <c r="A221" s="1"/>
      <c r="B221" s="1"/>
      <c r="C221" s="1"/>
      <c r="D221" s="1"/>
      <c r="E221" s="1"/>
      <c r="F221" s="1"/>
      <c r="G221" s="1"/>
      <c r="H221" s="1"/>
      <c r="I221" s="294"/>
      <c r="J221" s="294"/>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3"/>
      <c r="AJ221" s="1"/>
      <c r="AK221" s="295"/>
      <c r="AL221" s="1"/>
      <c r="AM221" s="1"/>
      <c r="AN221" s="1"/>
      <c r="AO221" s="1"/>
      <c r="AP221" s="1"/>
      <c r="AQ221" s="1"/>
      <c r="AR221" s="1"/>
      <c r="AS221" s="1"/>
      <c r="AT221" s="1"/>
      <c r="AU221" s="1"/>
      <c r="AV221" s="1"/>
      <c r="AW221" s="1"/>
      <c r="AX221" s="1"/>
      <c r="AY221" s="1"/>
      <c r="AZ221" s="1"/>
      <c r="BA221" s="1"/>
      <c r="BB221" s="1"/>
      <c r="BC221" s="1"/>
      <c r="BD221" s="296"/>
      <c r="BE221" s="1"/>
      <c r="BF221" s="1"/>
      <c r="BG221" s="20"/>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row>
    <row r="222" spans="1:115" ht="14.25" customHeight="1">
      <c r="A222" s="1"/>
      <c r="B222" s="1"/>
      <c r="C222" s="1"/>
      <c r="D222" s="1"/>
      <c r="E222" s="1"/>
      <c r="F222" s="1"/>
      <c r="G222" s="1"/>
      <c r="H222" s="1"/>
      <c r="I222" s="294"/>
      <c r="J222" s="294"/>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3"/>
      <c r="AJ222" s="1"/>
      <c r="AK222" s="295"/>
      <c r="AL222" s="1"/>
      <c r="AM222" s="1"/>
      <c r="AN222" s="1"/>
      <c r="AO222" s="1"/>
      <c r="AP222" s="1"/>
      <c r="AQ222" s="1"/>
      <c r="AR222" s="1"/>
      <c r="AS222" s="1"/>
      <c r="AT222" s="1"/>
      <c r="AU222" s="1"/>
      <c r="AV222" s="1"/>
      <c r="AW222" s="1"/>
      <c r="AX222" s="1"/>
      <c r="AY222" s="1"/>
      <c r="AZ222" s="1"/>
      <c r="BA222" s="1"/>
      <c r="BB222" s="1"/>
      <c r="BC222" s="1"/>
      <c r="BD222" s="296"/>
      <c r="BE222" s="1"/>
      <c r="BF222" s="1"/>
      <c r="BG222" s="20"/>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row>
    <row r="223" spans="1:115" ht="14.25" customHeight="1">
      <c r="A223" s="1"/>
      <c r="B223" s="1"/>
      <c r="C223" s="1"/>
      <c r="D223" s="1"/>
      <c r="E223" s="1"/>
      <c r="F223" s="1"/>
      <c r="G223" s="1"/>
      <c r="H223" s="1"/>
      <c r="I223" s="294"/>
      <c r="J223" s="294"/>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3"/>
      <c r="AJ223" s="1"/>
      <c r="AK223" s="295"/>
      <c r="AL223" s="1"/>
      <c r="AM223" s="1"/>
      <c r="AN223" s="1"/>
      <c r="AO223" s="1"/>
      <c r="AP223" s="1"/>
      <c r="AQ223" s="1"/>
      <c r="AR223" s="1"/>
      <c r="AS223" s="1"/>
      <c r="AT223" s="1"/>
      <c r="AU223" s="1"/>
      <c r="AV223" s="1"/>
      <c r="AW223" s="1"/>
      <c r="AX223" s="1"/>
      <c r="AY223" s="1"/>
      <c r="AZ223" s="1"/>
      <c r="BA223" s="1"/>
      <c r="BB223" s="1"/>
      <c r="BC223" s="1"/>
      <c r="BD223" s="296"/>
      <c r="BE223" s="1"/>
      <c r="BF223" s="1"/>
      <c r="BG223" s="20"/>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row>
    <row r="224" spans="1:115" ht="14.25" customHeight="1">
      <c r="A224" s="1"/>
      <c r="B224" s="1"/>
      <c r="C224" s="1"/>
      <c r="D224" s="1"/>
      <c r="E224" s="1"/>
      <c r="F224" s="1"/>
      <c r="G224" s="1"/>
      <c r="H224" s="1"/>
      <c r="I224" s="294"/>
      <c r="J224" s="294"/>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3"/>
      <c r="AJ224" s="1"/>
      <c r="AK224" s="295"/>
      <c r="AL224" s="1"/>
      <c r="AM224" s="1"/>
      <c r="AN224" s="1"/>
      <c r="AO224" s="1"/>
      <c r="AP224" s="1"/>
      <c r="AQ224" s="1"/>
      <c r="AR224" s="1"/>
      <c r="AS224" s="1"/>
      <c r="AT224" s="1"/>
      <c r="AU224" s="1"/>
      <c r="AV224" s="1"/>
      <c r="AW224" s="1"/>
      <c r="AX224" s="1"/>
      <c r="AY224" s="1"/>
      <c r="AZ224" s="1"/>
      <c r="BA224" s="1"/>
      <c r="BB224" s="1"/>
      <c r="BC224" s="1"/>
      <c r="BD224" s="296"/>
      <c r="BE224" s="1"/>
      <c r="BF224" s="1"/>
      <c r="BG224" s="20"/>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row>
    <row r="225" spans="1:115" ht="14.25" customHeight="1">
      <c r="A225" s="1"/>
      <c r="B225" s="1"/>
      <c r="C225" s="1"/>
      <c r="D225" s="1"/>
      <c r="E225" s="1"/>
      <c r="F225" s="1"/>
      <c r="G225" s="1"/>
      <c r="H225" s="1"/>
      <c r="I225" s="294"/>
      <c r="J225" s="294"/>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3"/>
      <c r="AJ225" s="1"/>
      <c r="AK225" s="295"/>
      <c r="AL225" s="1"/>
      <c r="AM225" s="1"/>
      <c r="AN225" s="1"/>
      <c r="AO225" s="1"/>
      <c r="AP225" s="1"/>
      <c r="AQ225" s="1"/>
      <c r="AR225" s="1"/>
      <c r="AS225" s="1"/>
      <c r="AT225" s="1"/>
      <c r="AU225" s="1"/>
      <c r="AV225" s="1"/>
      <c r="AW225" s="1"/>
      <c r="AX225" s="1"/>
      <c r="AY225" s="1"/>
      <c r="AZ225" s="1"/>
      <c r="BA225" s="1"/>
      <c r="BB225" s="1"/>
      <c r="BC225" s="1"/>
      <c r="BD225" s="296"/>
      <c r="BE225" s="1"/>
      <c r="BF225" s="1"/>
      <c r="BG225" s="20"/>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row>
    <row r="226" spans="1:115" ht="14.25" customHeight="1">
      <c r="A226" s="1"/>
      <c r="B226" s="1"/>
      <c r="C226" s="1"/>
      <c r="D226" s="1"/>
      <c r="E226" s="1"/>
      <c r="F226" s="1"/>
      <c r="G226" s="1"/>
      <c r="H226" s="1"/>
      <c r="I226" s="294"/>
      <c r="J226" s="294"/>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3"/>
      <c r="AJ226" s="1"/>
      <c r="AK226" s="295"/>
      <c r="AL226" s="1"/>
      <c r="AM226" s="1"/>
      <c r="AN226" s="1"/>
      <c r="AO226" s="1"/>
      <c r="AP226" s="1"/>
      <c r="AQ226" s="1"/>
      <c r="AR226" s="1"/>
      <c r="AS226" s="1"/>
      <c r="AT226" s="1"/>
      <c r="AU226" s="1"/>
      <c r="AV226" s="1"/>
      <c r="AW226" s="1"/>
      <c r="AX226" s="1"/>
      <c r="AY226" s="1"/>
      <c r="AZ226" s="1"/>
      <c r="BA226" s="1"/>
      <c r="BB226" s="1"/>
      <c r="BC226" s="1"/>
      <c r="BD226" s="296"/>
      <c r="BE226" s="1"/>
      <c r="BF226" s="1"/>
      <c r="BG226" s="20"/>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row>
    <row r="227" spans="1:115" ht="14.25" customHeight="1">
      <c r="A227" s="1"/>
      <c r="B227" s="1"/>
      <c r="C227" s="1"/>
      <c r="D227" s="1"/>
      <c r="E227" s="1"/>
      <c r="F227" s="1"/>
      <c r="G227" s="1"/>
      <c r="H227" s="1"/>
      <c r="I227" s="294"/>
      <c r="J227" s="294"/>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3"/>
      <c r="AJ227" s="1"/>
      <c r="AK227" s="295"/>
      <c r="AL227" s="1"/>
      <c r="AM227" s="1"/>
      <c r="AN227" s="1"/>
      <c r="AO227" s="1"/>
      <c r="AP227" s="1"/>
      <c r="AQ227" s="1"/>
      <c r="AR227" s="1"/>
      <c r="AS227" s="1"/>
      <c r="AT227" s="1"/>
      <c r="AU227" s="1"/>
      <c r="AV227" s="1"/>
      <c r="AW227" s="1"/>
      <c r="AX227" s="1"/>
      <c r="AY227" s="1"/>
      <c r="AZ227" s="1"/>
      <c r="BA227" s="1"/>
      <c r="BB227" s="1"/>
      <c r="BC227" s="1"/>
      <c r="BD227" s="296"/>
      <c r="BE227" s="1"/>
      <c r="BF227" s="1"/>
      <c r="BG227" s="20"/>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row>
    <row r="228" spans="1:115" ht="14.25" customHeight="1">
      <c r="A228" s="1"/>
      <c r="B228" s="1"/>
      <c r="C228" s="1"/>
      <c r="D228" s="1"/>
      <c r="E228" s="1"/>
      <c r="F228" s="1"/>
      <c r="G228" s="1"/>
      <c r="H228" s="1"/>
      <c r="I228" s="294"/>
      <c r="J228" s="294"/>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3"/>
      <c r="AJ228" s="1"/>
      <c r="AK228" s="295"/>
      <c r="AL228" s="1"/>
      <c r="AM228" s="1"/>
      <c r="AN228" s="1"/>
      <c r="AO228" s="1"/>
      <c r="AP228" s="1"/>
      <c r="AQ228" s="1"/>
      <c r="AR228" s="1"/>
      <c r="AS228" s="1"/>
      <c r="AT228" s="1"/>
      <c r="AU228" s="1"/>
      <c r="AV228" s="1"/>
      <c r="AW228" s="1"/>
      <c r="AX228" s="1"/>
      <c r="AY228" s="1"/>
      <c r="AZ228" s="1"/>
      <c r="BA228" s="1"/>
      <c r="BB228" s="1"/>
      <c r="BC228" s="1"/>
      <c r="BD228" s="296"/>
      <c r="BE228" s="1"/>
      <c r="BF228" s="1"/>
      <c r="BG228" s="20"/>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row>
    <row r="229" spans="1:115" ht="14.25" customHeight="1">
      <c r="A229" s="1"/>
      <c r="B229" s="1"/>
      <c r="C229" s="1"/>
      <c r="D229" s="1"/>
      <c r="E229" s="1"/>
      <c r="F229" s="1"/>
      <c r="G229" s="1"/>
      <c r="H229" s="1"/>
      <c r="I229" s="294"/>
      <c r="J229" s="294"/>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3"/>
      <c r="AJ229" s="1"/>
      <c r="AK229" s="295"/>
      <c r="AL229" s="1"/>
      <c r="AM229" s="1"/>
      <c r="AN229" s="1"/>
      <c r="AO229" s="1"/>
      <c r="AP229" s="1"/>
      <c r="AQ229" s="1"/>
      <c r="AR229" s="1"/>
      <c r="AS229" s="1"/>
      <c r="AT229" s="1"/>
      <c r="AU229" s="1"/>
      <c r="AV229" s="1"/>
      <c r="AW229" s="1"/>
      <c r="AX229" s="1"/>
      <c r="AY229" s="1"/>
      <c r="AZ229" s="1"/>
      <c r="BA229" s="1"/>
      <c r="BB229" s="1"/>
      <c r="BC229" s="1"/>
      <c r="BD229" s="296"/>
      <c r="BE229" s="1"/>
      <c r="BF229" s="1"/>
      <c r="BG229" s="20"/>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row>
    <row r="230" spans="1:115" ht="14.25" customHeight="1">
      <c r="A230" s="1"/>
      <c r="B230" s="1"/>
      <c r="C230" s="1"/>
      <c r="D230" s="1"/>
      <c r="E230" s="1"/>
      <c r="F230" s="1"/>
      <c r="G230" s="1"/>
      <c r="H230" s="1"/>
      <c r="I230" s="294"/>
      <c r="J230" s="294"/>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3"/>
      <c r="AJ230" s="1"/>
      <c r="AK230" s="295"/>
      <c r="AL230" s="1"/>
      <c r="AM230" s="1"/>
      <c r="AN230" s="1"/>
      <c r="AO230" s="1"/>
      <c r="AP230" s="1"/>
      <c r="AQ230" s="1"/>
      <c r="AR230" s="1"/>
      <c r="AS230" s="1"/>
      <c r="AT230" s="1"/>
      <c r="AU230" s="1"/>
      <c r="AV230" s="1"/>
      <c r="AW230" s="1"/>
      <c r="AX230" s="1"/>
      <c r="AY230" s="1"/>
      <c r="AZ230" s="1"/>
      <c r="BA230" s="1"/>
      <c r="BB230" s="1"/>
      <c r="BC230" s="1"/>
      <c r="BD230" s="296"/>
      <c r="BE230" s="1"/>
      <c r="BF230" s="1"/>
      <c r="BG230" s="20"/>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row>
    <row r="231" spans="1:115" ht="14.25" customHeight="1">
      <c r="A231" s="1"/>
      <c r="B231" s="1"/>
      <c r="C231" s="1"/>
      <c r="D231" s="1"/>
      <c r="E231" s="1"/>
      <c r="F231" s="1"/>
      <c r="G231" s="1"/>
      <c r="H231" s="1"/>
      <c r="I231" s="294"/>
      <c r="J231" s="294"/>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3"/>
      <c r="AJ231" s="1"/>
      <c r="AK231" s="295"/>
      <c r="AL231" s="1"/>
      <c r="AM231" s="1"/>
      <c r="AN231" s="1"/>
      <c r="AO231" s="1"/>
      <c r="AP231" s="1"/>
      <c r="AQ231" s="1"/>
      <c r="AR231" s="1"/>
      <c r="AS231" s="1"/>
      <c r="AT231" s="1"/>
      <c r="AU231" s="1"/>
      <c r="AV231" s="1"/>
      <c r="AW231" s="1"/>
      <c r="AX231" s="1"/>
      <c r="AY231" s="1"/>
      <c r="AZ231" s="1"/>
      <c r="BA231" s="1"/>
      <c r="BB231" s="1"/>
      <c r="BC231" s="1"/>
      <c r="BD231" s="296"/>
      <c r="BE231" s="1"/>
      <c r="BF231" s="1"/>
      <c r="BG231" s="20"/>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row>
    <row r="232" spans="1:115" ht="14.25" customHeight="1">
      <c r="A232" s="1"/>
      <c r="B232" s="1"/>
      <c r="C232" s="1"/>
      <c r="D232" s="1"/>
      <c r="E232" s="1"/>
      <c r="F232" s="1"/>
      <c r="G232" s="1"/>
      <c r="H232" s="1"/>
      <c r="I232" s="294"/>
      <c r="J232" s="294"/>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3"/>
      <c r="AJ232" s="1"/>
      <c r="AK232" s="295"/>
      <c r="AL232" s="1"/>
      <c r="AM232" s="1"/>
      <c r="AN232" s="1"/>
      <c r="AO232" s="1"/>
      <c r="AP232" s="1"/>
      <c r="AQ232" s="1"/>
      <c r="AR232" s="1"/>
      <c r="AS232" s="1"/>
      <c r="AT232" s="1"/>
      <c r="AU232" s="1"/>
      <c r="AV232" s="1"/>
      <c r="AW232" s="1"/>
      <c r="AX232" s="1"/>
      <c r="AY232" s="1"/>
      <c r="AZ232" s="1"/>
      <c r="BA232" s="1"/>
      <c r="BB232" s="1"/>
      <c r="BC232" s="1"/>
      <c r="BD232" s="296"/>
      <c r="BE232" s="1"/>
      <c r="BF232" s="1"/>
      <c r="BG232" s="20"/>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row>
    <row r="233" spans="1:115" ht="14.25" customHeight="1">
      <c r="A233" s="1"/>
      <c r="B233" s="1"/>
      <c r="C233" s="1"/>
      <c r="D233" s="1"/>
      <c r="E233" s="1"/>
      <c r="F233" s="1"/>
      <c r="G233" s="1"/>
      <c r="H233" s="1"/>
      <c r="I233" s="294"/>
      <c r="J233" s="294"/>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3"/>
      <c r="AJ233" s="1"/>
      <c r="AK233" s="295"/>
      <c r="AL233" s="1"/>
      <c r="AM233" s="1"/>
      <c r="AN233" s="1"/>
      <c r="AO233" s="1"/>
      <c r="AP233" s="1"/>
      <c r="AQ233" s="1"/>
      <c r="AR233" s="1"/>
      <c r="AS233" s="1"/>
      <c r="AT233" s="1"/>
      <c r="AU233" s="1"/>
      <c r="AV233" s="1"/>
      <c r="AW233" s="1"/>
      <c r="AX233" s="1"/>
      <c r="AY233" s="1"/>
      <c r="AZ233" s="1"/>
      <c r="BA233" s="1"/>
      <c r="BB233" s="1"/>
      <c r="BC233" s="1"/>
      <c r="BD233" s="296"/>
      <c r="BE233" s="1"/>
      <c r="BF233" s="1"/>
      <c r="BG233" s="20"/>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row>
    <row r="234" spans="1:115" ht="14.25" customHeight="1">
      <c r="A234" s="1"/>
      <c r="B234" s="1"/>
      <c r="C234" s="1"/>
      <c r="D234" s="1"/>
      <c r="E234" s="1"/>
      <c r="F234" s="1"/>
      <c r="G234" s="1"/>
      <c r="H234" s="1"/>
      <c r="I234" s="294"/>
      <c r="J234" s="294"/>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3"/>
      <c r="AJ234" s="1"/>
      <c r="AK234" s="295"/>
      <c r="AL234" s="1"/>
      <c r="AM234" s="1"/>
      <c r="AN234" s="1"/>
      <c r="AO234" s="1"/>
      <c r="AP234" s="1"/>
      <c r="AQ234" s="1"/>
      <c r="AR234" s="1"/>
      <c r="AS234" s="1"/>
      <c r="AT234" s="1"/>
      <c r="AU234" s="1"/>
      <c r="AV234" s="1"/>
      <c r="AW234" s="1"/>
      <c r="AX234" s="1"/>
      <c r="AY234" s="1"/>
      <c r="AZ234" s="1"/>
      <c r="BA234" s="1"/>
      <c r="BB234" s="1"/>
      <c r="BC234" s="1"/>
      <c r="BD234" s="296"/>
      <c r="BE234" s="1"/>
      <c r="BF234" s="1"/>
      <c r="BG234" s="20"/>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row>
    <row r="235" spans="1:115" ht="14.25" customHeight="1">
      <c r="A235" s="1"/>
      <c r="B235" s="1"/>
      <c r="C235" s="1"/>
      <c r="D235" s="1"/>
      <c r="E235" s="1"/>
      <c r="F235" s="1"/>
      <c r="G235" s="1"/>
      <c r="H235" s="1"/>
      <c r="I235" s="294"/>
      <c r="J235" s="294"/>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3"/>
      <c r="AJ235" s="1"/>
      <c r="AK235" s="295"/>
      <c r="AL235" s="1"/>
      <c r="AM235" s="1"/>
      <c r="AN235" s="1"/>
      <c r="AO235" s="1"/>
      <c r="AP235" s="1"/>
      <c r="AQ235" s="1"/>
      <c r="AR235" s="1"/>
      <c r="AS235" s="1"/>
      <c r="AT235" s="1"/>
      <c r="AU235" s="1"/>
      <c r="AV235" s="1"/>
      <c r="AW235" s="1"/>
      <c r="AX235" s="1"/>
      <c r="AY235" s="1"/>
      <c r="AZ235" s="1"/>
      <c r="BA235" s="1"/>
      <c r="BB235" s="1"/>
      <c r="BC235" s="1"/>
      <c r="BD235" s="296"/>
      <c r="BE235" s="1"/>
      <c r="BF235" s="1"/>
      <c r="BG235" s="20"/>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row>
    <row r="236" spans="1:115" ht="14.25" customHeight="1">
      <c r="A236" s="1"/>
      <c r="B236" s="1"/>
      <c r="C236" s="1"/>
      <c r="D236" s="1"/>
      <c r="E236" s="1"/>
      <c r="F236" s="1"/>
      <c r="G236" s="1"/>
      <c r="H236" s="1"/>
      <c r="I236" s="294"/>
      <c r="J236" s="294"/>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3"/>
      <c r="AJ236" s="1"/>
      <c r="AK236" s="295"/>
      <c r="AL236" s="1"/>
      <c r="AM236" s="1"/>
      <c r="AN236" s="1"/>
      <c r="AO236" s="1"/>
      <c r="AP236" s="1"/>
      <c r="AQ236" s="1"/>
      <c r="AR236" s="1"/>
      <c r="AS236" s="1"/>
      <c r="AT236" s="1"/>
      <c r="AU236" s="1"/>
      <c r="AV236" s="1"/>
      <c r="AW236" s="1"/>
      <c r="AX236" s="1"/>
      <c r="AY236" s="1"/>
      <c r="AZ236" s="1"/>
      <c r="BA236" s="1"/>
      <c r="BB236" s="1"/>
      <c r="BC236" s="1"/>
      <c r="BD236" s="296"/>
      <c r="BE236" s="1"/>
      <c r="BF236" s="1"/>
      <c r="BG236" s="20"/>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row>
    <row r="237" spans="1:115" ht="14.25" customHeight="1">
      <c r="A237" s="1"/>
      <c r="B237" s="1"/>
      <c r="C237" s="1"/>
      <c r="D237" s="1"/>
      <c r="E237" s="1"/>
      <c r="F237" s="1"/>
      <c r="G237" s="1"/>
      <c r="H237" s="1"/>
      <c r="I237" s="294"/>
      <c r="J237" s="294"/>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3"/>
      <c r="AJ237" s="1"/>
      <c r="AK237" s="295"/>
      <c r="AL237" s="1"/>
      <c r="AM237" s="1"/>
      <c r="AN237" s="1"/>
      <c r="AO237" s="1"/>
      <c r="AP237" s="1"/>
      <c r="AQ237" s="1"/>
      <c r="AR237" s="1"/>
      <c r="AS237" s="1"/>
      <c r="AT237" s="1"/>
      <c r="AU237" s="1"/>
      <c r="AV237" s="1"/>
      <c r="AW237" s="1"/>
      <c r="AX237" s="1"/>
      <c r="AY237" s="1"/>
      <c r="AZ237" s="1"/>
      <c r="BA237" s="1"/>
      <c r="BB237" s="1"/>
      <c r="BC237" s="1"/>
      <c r="BD237" s="296"/>
      <c r="BE237" s="1"/>
      <c r="BF237" s="1"/>
      <c r="BG237" s="20"/>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row>
    <row r="238" spans="1:115" ht="14.25" customHeight="1">
      <c r="A238" s="1"/>
      <c r="B238" s="1"/>
      <c r="C238" s="1"/>
      <c r="D238" s="1"/>
      <c r="E238" s="1"/>
      <c r="F238" s="1"/>
      <c r="G238" s="1"/>
      <c r="H238" s="1"/>
      <c r="I238" s="294"/>
      <c r="J238" s="294"/>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3"/>
      <c r="AJ238" s="1"/>
      <c r="AK238" s="295"/>
      <c r="AL238" s="1"/>
      <c r="AM238" s="1"/>
      <c r="AN238" s="1"/>
      <c r="AO238" s="1"/>
      <c r="AP238" s="1"/>
      <c r="AQ238" s="1"/>
      <c r="AR238" s="1"/>
      <c r="AS238" s="1"/>
      <c r="AT238" s="1"/>
      <c r="AU238" s="1"/>
      <c r="AV238" s="1"/>
      <c r="AW238" s="1"/>
      <c r="AX238" s="1"/>
      <c r="AY238" s="1"/>
      <c r="AZ238" s="1"/>
      <c r="BA238" s="1"/>
      <c r="BB238" s="1"/>
      <c r="BC238" s="1"/>
      <c r="BD238" s="296"/>
      <c r="BE238" s="1"/>
      <c r="BF238" s="1"/>
      <c r="BG238" s="20"/>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row>
    <row r="239" spans="1:115" ht="14.25" customHeight="1">
      <c r="A239" s="1"/>
      <c r="B239" s="1"/>
      <c r="C239" s="1"/>
      <c r="D239" s="1"/>
      <c r="E239" s="1"/>
      <c r="F239" s="1"/>
      <c r="G239" s="1"/>
      <c r="H239" s="1"/>
      <c r="I239" s="294"/>
      <c r="J239" s="294"/>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3"/>
      <c r="AJ239" s="1"/>
      <c r="AK239" s="295"/>
      <c r="AL239" s="1"/>
      <c r="AM239" s="1"/>
      <c r="AN239" s="1"/>
      <c r="AO239" s="1"/>
      <c r="AP239" s="1"/>
      <c r="AQ239" s="1"/>
      <c r="AR239" s="1"/>
      <c r="AS239" s="1"/>
      <c r="AT239" s="1"/>
      <c r="AU239" s="1"/>
      <c r="AV239" s="1"/>
      <c r="AW239" s="1"/>
      <c r="AX239" s="1"/>
      <c r="AY239" s="1"/>
      <c r="AZ239" s="1"/>
      <c r="BA239" s="1"/>
      <c r="BB239" s="1"/>
      <c r="BC239" s="1"/>
      <c r="BD239" s="296"/>
      <c r="BE239" s="1"/>
      <c r="BF239" s="1"/>
      <c r="BG239" s="20"/>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row>
    <row r="240" spans="1:115" ht="14.25" customHeight="1">
      <c r="A240" s="1"/>
      <c r="B240" s="1"/>
      <c r="C240" s="1"/>
      <c r="D240" s="1"/>
      <c r="E240" s="1"/>
      <c r="F240" s="1"/>
      <c r="G240" s="1"/>
      <c r="H240" s="1"/>
      <c r="I240" s="294"/>
      <c r="J240" s="294"/>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3"/>
      <c r="AJ240" s="1"/>
      <c r="AK240" s="295"/>
      <c r="AL240" s="1"/>
      <c r="AM240" s="1"/>
      <c r="AN240" s="1"/>
      <c r="AO240" s="1"/>
      <c r="AP240" s="1"/>
      <c r="AQ240" s="1"/>
      <c r="AR240" s="1"/>
      <c r="AS240" s="1"/>
      <c r="AT240" s="1"/>
      <c r="AU240" s="1"/>
      <c r="AV240" s="1"/>
      <c r="AW240" s="1"/>
      <c r="AX240" s="1"/>
      <c r="AY240" s="1"/>
      <c r="AZ240" s="1"/>
      <c r="BA240" s="1"/>
      <c r="BB240" s="1"/>
      <c r="BC240" s="1"/>
      <c r="BD240" s="296"/>
      <c r="BE240" s="1"/>
      <c r="BF240" s="1"/>
      <c r="BG240" s="20"/>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row>
    <row r="241" spans="1:115" ht="14.25" customHeight="1">
      <c r="A241" s="1"/>
      <c r="B241" s="1"/>
      <c r="C241" s="1"/>
      <c r="D241" s="1"/>
      <c r="E241" s="1"/>
      <c r="F241" s="1"/>
      <c r="G241" s="1"/>
      <c r="H241" s="1"/>
      <c r="I241" s="294"/>
      <c r="J241" s="294"/>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3"/>
      <c r="AJ241" s="1"/>
      <c r="AK241" s="295"/>
      <c r="AL241" s="1"/>
      <c r="AM241" s="1"/>
      <c r="AN241" s="1"/>
      <c r="AO241" s="1"/>
      <c r="AP241" s="1"/>
      <c r="AQ241" s="1"/>
      <c r="AR241" s="1"/>
      <c r="AS241" s="1"/>
      <c r="AT241" s="1"/>
      <c r="AU241" s="1"/>
      <c r="AV241" s="1"/>
      <c r="AW241" s="1"/>
      <c r="AX241" s="1"/>
      <c r="AY241" s="1"/>
      <c r="AZ241" s="1"/>
      <c r="BA241" s="1"/>
      <c r="BB241" s="1"/>
      <c r="BC241" s="1"/>
      <c r="BD241" s="296"/>
      <c r="BE241" s="1"/>
      <c r="BF241" s="1"/>
      <c r="BG241" s="20"/>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row>
    <row r="242" spans="1:115" ht="14.25" customHeight="1">
      <c r="A242" s="1"/>
      <c r="B242" s="1"/>
      <c r="C242" s="1"/>
      <c r="D242" s="1"/>
      <c r="E242" s="1"/>
      <c r="F242" s="1"/>
      <c r="G242" s="1"/>
      <c r="H242" s="1"/>
      <c r="I242" s="294"/>
      <c r="J242" s="294"/>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3"/>
      <c r="AJ242" s="1"/>
      <c r="AK242" s="295"/>
      <c r="AL242" s="1"/>
      <c r="AM242" s="1"/>
      <c r="AN242" s="1"/>
      <c r="AO242" s="1"/>
      <c r="AP242" s="1"/>
      <c r="AQ242" s="1"/>
      <c r="AR242" s="1"/>
      <c r="AS242" s="1"/>
      <c r="AT242" s="1"/>
      <c r="AU242" s="1"/>
      <c r="AV242" s="1"/>
      <c r="AW242" s="1"/>
      <c r="AX242" s="1"/>
      <c r="AY242" s="1"/>
      <c r="AZ242" s="1"/>
      <c r="BA242" s="1"/>
      <c r="BB242" s="1"/>
      <c r="BC242" s="1"/>
      <c r="BD242" s="296"/>
      <c r="BE242" s="1"/>
      <c r="BF242" s="1"/>
      <c r="BG242" s="20"/>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row>
    <row r="243" spans="1:115" ht="14.25" customHeight="1">
      <c r="A243" s="1"/>
      <c r="B243" s="1"/>
      <c r="C243" s="1"/>
      <c r="D243" s="1"/>
      <c r="E243" s="1"/>
      <c r="F243" s="1"/>
      <c r="G243" s="1"/>
      <c r="H243" s="1"/>
      <c r="I243" s="294"/>
      <c r="J243" s="294"/>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3"/>
      <c r="AJ243" s="1"/>
      <c r="AK243" s="295"/>
      <c r="AL243" s="1"/>
      <c r="AM243" s="1"/>
      <c r="AN243" s="1"/>
      <c r="AO243" s="1"/>
      <c r="AP243" s="1"/>
      <c r="AQ243" s="1"/>
      <c r="AR243" s="1"/>
      <c r="AS243" s="1"/>
      <c r="AT243" s="1"/>
      <c r="AU243" s="1"/>
      <c r="AV243" s="1"/>
      <c r="AW243" s="1"/>
      <c r="AX243" s="1"/>
      <c r="AY243" s="1"/>
      <c r="AZ243" s="1"/>
      <c r="BA243" s="1"/>
      <c r="BB243" s="1"/>
      <c r="BC243" s="1"/>
      <c r="BD243" s="296"/>
      <c r="BE243" s="1"/>
      <c r="BF243" s="1"/>
      <c r="BG243" s="20"/>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row>
    <row r="244" spans="1:115" ht="14.25" customHeight="1">
      <c r="A244" s="1"/>
      <c r="B244" s="1"/>
      <c r="C244" s="1"/>
      <c r="D244" s="1"/>
      <c r="E244" s="1"/>
      <c r="F244" s="1"/>
      <c r="G244" s="1"/>
      <c r="H244" s="1"/>
      <c r="I244" s="294"/>
      <c r="J244" s="294"/>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3"/>
      <c r="AJ244" s="1"/>
      <c r="AK244" s="295"/>
      <c r="AL244" s="1"/>
      <c r="AM244" s="1"/>
      <c r="AN244" s="1"/>
      <c r="AO244" s="1"/>
      <c r="AP244" s="1"/>
      <c r="AQ244" s="1"/>
      <c r="AR244" s="1"/>
      <c r="AS244" s="1"/>
      <c r="AT244" s="1"/>
      <c r="AU244" s="1"/>
      <c r="AV244" s="1"/>
      <c r="AW244" s="1"/>
      <c r="AX244" s="1"/>
      <c r="AY244" s="1"/>
      <c r="AZ244" s="1"/>
      <c r="BA244" s="1"/>
      <c r="BB244" s="1"/>
      <c r="BC244" s="1"/>
      <c r="BD244" s="296"/>
      <c r="BE244" s="1"/>
      <c r="BF244" s="1"/>
      <c r="BG244" s="20"/>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row>
    <row r="245" spans="1:115" ht="14.25" customHeight="1">
      <c r="A245" s="1"/>
      <c r="B245" s="1"/>
      <c r="C245" s="1"/>
      <c r="D245" s="1"/>
      <c r="E245" s="1"/>
      <c r="F245" s="1"/>
      <c r="G245" s="1"/>
      <c r="H245" s="1"/>
      <c r="I245" s="294"/>
      <c r="J245" s="294"/>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3"/>
      <c r="AJ245" s="1"/>
      <c r="AK245" s="295"/>
      <c r="AL245" s="1"/>
      <c r="AM245" s="1"/>
      <c r="AN245" s="1"/>
      <c r="AO245" s="1"/>
      <c r="AP245" s="1"/>
      <c r="AQ245" s="1"/>
      <c r="AR245" s="1"/>
      <c r="AS245" s="1"/>
      <c r="AT245" s="1"/>
      <c r="AU245" s="1"/>
      <c r="AV245" s="1"/>
      <c r="AW245" s="1"/>
      <c r="AX245" s="1"/>
      <c r="AY245" s="1"/>
      <c r="AZ245" s="1"/>
      <c r="BA245" s="1"/>
      <c r="BB245" s="1"/>
      <c r="BC245" s="1"/>
      <c r="BD245" s="296"/>
      <c r="BE245" s="1"/>
      <c r="BF245" s="1"/>
      <c r="BG245" s="20"/>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row>
    <row r="246" spans="1:115" ht="14.25" customHeight="1">
      <c r="A246" s="1"/>
      <c r="B246" s="1"/>
      <c r="C246" s="1"/>
      <c r="D246" s="1"/>
      <c r="E246" s="1"/>
      <c r="F246" s="1"/>
      <c r="G246" s="1"/>
      <c r="H246" s="1"/>
      <c r="I246" s="294"/>
      <c r="J246" s="294"/>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3"/>
      <c r="AJ246" s="1"/>
      <c r="AK246" s="295"/>
      <c r="AL246" s="1"/>
      <c r="AM246" s="1"/>
      <c r="AN246" s="1"/>
      <c r="AO246" s="1"/>
      <c r="AP246" s="1"/>
      <c r="AQ246" s="1"/>
      <c r="AR246" s="1"/>
      <c r="AS246" s="1"/>
      <c r="AT246" s="1"/>
      <c r="AU246" s="1"/>
      <c r="AV246" s="1"/>
      <c r="AW246" s="1"/>
      <c r="AX246" s="1"/>
      <c r="AY246" s="1"/>
      <c r="AZ246" s="1"/>
      <c r="BA246" s="1"/>
      <c r="BB246" s="1"/>
      <c r="BC246" s="1"/>
      <c r="BD246" s="296"/>
      <c r="BE246" s="1"/>
      <c r="BF246" s="1"/>
      <c r="BG246" s="20"/>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row>
    <row r="247" spans="1:115" ht="14.25" customHeight="1">
      <c r="A247" s="1"/>
      <c r="B247" s="1"/>
      <c r="C247" s="1"/>
      <c r="D247" s="1"/>
      <c r="E247" s="1"/>
      <c r="F247" s="1"/>
      <c r="G247" s="1"/>
      <c r="H247" s="1"/>
      <c r="I247" s="294"/>
      <c r="J247" s="294"/>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3"/>
      <c r="AJ247" s="1"/>
      <c r="AK247" s="295"/>
      <c r="AL247" s="1"/>
      <c r="AM247" s="1"/>
      <c r="AN247" s="1"/>
      <c r="AO247" s="1"/>
      <c r="AP247" s="1"/>
      <c r="AQ247" s="1"/>
      <c r="AR247" s="1"/>
      <c r="AS247" s="1"/>
      <c r="AT247" s="1"/>
      <c r="AU247" s="1"/>
      <c r="AV247" s="1"/>
      <c r="AW247" s="1"/>
      <c r="AX247" s="1"/>
      <c r="AY247" s="1"/>
      <c r="AZ247" s="1"/>
      <c r="BA247" s="1"/>
      <c r="BB247" s="1"/>
      <c r="BC247" s="1"/>
      <c r="BD247" s="296"/>
      <c r="BE247" s="1"/>
      <c r="BF247" s="1"/>
      <c r="BG247" s="20"/>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row>
    <row r="248" spans="1:115" ht="14.25" customHeight="1">
      <c r="A248" s="1"/>
      <c r="B248" s="1"/>
      <c r="C248" s="1"/>
      <c r="D248" s="1"/>
      <c r="E248" s="1"/>
      <c r="F248" s="1"/>
      <c r="G248" s="1"/>
      <c r="H248" s="1"/>
      <c r="I248" s="294"/>
      <c r="J248" s="294"/>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3"/>
      <c r="AJ248" s="1"/>
      <c r="AK248" s="295"/>
      <c r="AL248" s="1"/>
      <c r="AM248" s="1"/>
      <c r="AN248" s="1"/>
      <c r="AO248" s="1"/>
      <c r="AP248" s="1"/>
      <c r="AQ248" s="1"/>
      <c r="AR248" s="1"/>
      <c r="AS248" s="1"/>
      <c r="AT248" s="1"/>
      <c r="AU248" s="1"/>
      <c r="AV248" s="1"/>
      <c r="AW248" s="1"/>
      <c r="AX248" s="1"/>
      <c r="AY248" s="1"/>
      <c r="AZ248" s="1"/>
      <c r="BA248" s="1"/>
      <c r="BB248" s="1"/>
      <c r="BC248" s="1"/>
      <c r="BD248" s="296"/>
      <c r="BE248" s="1"/>
      <c r="BF248" s="1"/>
      <c r="BG248" s="20"/>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row>
    <row r="249" spans="1:115" ht="14.25" customHeight="1">
      <c r="A249" s="1"/>
      <c r="B249" s="1"/>
      <c r="C249" s="1"/>
      <c r="D249" s="1"/>
      <c r="E249" s="1"/>
      <c r="F249" s="1"/>
      <c r="G249" s="1"/>
      <c r="H249" s="1"/>
      <c r="I249" s="294"/>
      <c r="J249" s="294"/>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3"/>
      <c r="AJ249" s="1"/>
      <c r="AK249" s="295"/>
      <c r="AL249" s="1"/>
      <c r="AM249" s="1"/>
      <c r="AN249" s="1"/>
      <c r="AO249" s="1"/>
      <c r="AP249" s="1"/>
      <c r="AQ249" s="1"/>
      <c r="AR249" s="1"/>
      <c r="AS249" s="1"/>
      <c r="AT249" s="1"/>
      <c r="AU249" s="1"/>
      <c r="AV249" s="1"/>
      <c r="AW249" s="1"/>
      <c r="AX249" s="1"/>
      <c r="AY249" s="1"/>
      <c r="AZ249" s="1"/>
      <c r="BA249" s="1"/>
      <c r="BB249" s="1"/>
      <c r="BC249" s="1"/>
      <c r="BD249" s="296"/>
      <c r="BE249" s="1"/>
      <c r="BF249" s="1"/>
      <c r="BG249" s="20"/>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row>
    <row r="250" spans="1:115" ht="14.25" customHeight="1">
      <c r="A250" s="1"/>
      <c r="B250" s="1"/>
      <c r="C250" s="1"/>
      <c r="D250" s="1"/>
      <c r="E250" s="1"/>
      <c r="F250" s="1"/>
      <c r="G250" s="1"/>
      <c r="H250" s="1"/>
      <c r="I250" s="294"/>
      <c r="J250" s="294"/>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3"/>
      <c r="AJ250" s="1"/>
      <c r="AK250" s="295"/>
      <c r="AL250" s="1"/>
      <c r="AM250" s="1"/>
      <c r="AN250" s="1"/>
      <c r="AO250" s="1"/>
      <c r="AP250" s="1"/>
      <c r="AQ250" s="1"/>
      <c r="AR250" s="1"/>
      <c r="AS250" s="1"/>
      <c r="AT250" s="1"/>
      <c r="AU250" s="1"/>
      <c r="AV250" s="1"/>
      <c r="AW250" s="1"/>
      <c r="AX250" s="1"/>
      <c r="AY250" s="1"/>
      <c r="AZ250" s="1"/>
      <c r="BA250" s="1"/>
      <c r="BB250" s="1"/>
      <c r="BC250" s="1"/>
      <c r="BD250" s="296"/>
      <c r="BE250" s="1"/>
      <c r="BF250" s="1"/>
      <c r="BG250" s="20"/>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row>
    <row r="251" spans="1:115" ht="14.25" customHeight="1">
      <c r="A251" s="1"/>
      <c r="B251" s="1"/>
      <c r="C251" s="1"/>
      <c r="D251" s="1"/>
      <c r="E251" s="1"/>
      <c r="F251" s="1"/>
      <c r="G251" s="1"/>
      <c r="H251" s="1"/>
      <c r="I251" s="294"/>
      <c r="J251" s="294"/>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3"/>
      <c r="AJ251" s="1"/>
      <c r="AK251" s="295"/>
      <c r="AL251" s="1"/>
      <c r="AM251" s="1"/>
      <c r="AN251" s="1"/>
      <c r="AO251" s="1"/>
      <c r="AP251" s="1"/>
      <c r="AQ251" s="1"/>
      <c r="AR251" s="1"/>
      <c r="AS251" s="1"/>
      <c r="AT251" s="1"/>
      <c r="AU251" s="1"/>
      <c r="AV251" s="1"/>
      <c r="AW251" s="1"/>
      <c r="AX251" s="1"/>
      <c r="AY251" s="1"/>
      <c r="AZ251" s="1"/>
      <c r="BA251" s="1"/>
      <c r="BB251" s="1"/>
      <c r="BC251" s="1"/>
      <c r="BD251" s="296"/>
      <c r="BE251" s="1"/>
      <c r="BF251" s="1"/>
      <c r="BG251" s="20"/>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row>
    <row r="252" spans="1:115" ht="14.25" customHeight="1">
      <c r="A252" s="1"/>
      <c r="B252" s="1"/>
      <c r="C252" s="1"/>
      <c r="D252" s="1"/>
      <c r="E252" s="1"/>
      <c r="F252" s="1"/>
      <c r="G252" s="1"/>
      <c r="H252" s="1"/>
      <c r="I252" s="294"/>
      <c r="J252" s="294"/>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3"/>
      <c r="AJ252" s="1"/>
      <c r="AK252" s="295"/>
      <c r="AL252" s="1"/>
      <c r="AM252" s="1"/>
      <c r="AN252" s="1"/>
      <c r="AO252" s="1"/>
      <c r="AP252" s="1"/>
      <c r="AQ252" s="1"/>
      <c r="AR252" s="1"/>
      <c r="AS252" s="1"/>
      <c r="AT252" s="1"/>
      <c r="AU252" s="1"/>
      <c r="AV252" s="1"/>
      <c r="AW252" s="1"/>
      <c r="AX252" s="1"/>
      <c r="AY252" s="1"/>
      <c r="AZ252" s="1"/>
      <c r="BA252" s="1"/>
      <c r="BB252" s="1"/>
      <c r="BC252" s="1"/>
      <c r="BD252" s="296"/>
      <c r="BE252" s="1"/>
      <c r="BF252" s="1"/>
      <c r="BG252" s="20"/>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row>
    <row r="253" spans="1:115" ht="14.25" customHeight="1">
      <c r="A253" s="1"/>
      <c r="B253" s="1"/>
      <c r="C253" s="1"/>
      <c r="D253" s="1"/>
      <c r="E253" s="1"/>
      <c r="F253" s="1"/>
      <c r="G253" s="1"/>
      <c r="H253" s="1"/>
      <c r="I253" s="294"/>
      <c r="J253" s="294"/>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3"/>
      <c r="AJ253" s="1"/>
      <c r="AK253" s="295"/>
      <c r="AL253" s="1"/>
      <c r="AM253" s="1"/>
      <c r="AN253" s="1"/>
      <c r="AO253" s="1"/>
      <c r="AP253" s="1"/>
      <c r="AQ253" s="1"/>
      <c r="AR253" s="1"/>
      <c r="AS253" s="1"/>
      <c r="AT253" s="1"/>
      <c r="AU253" s="1"/>
      <c r="AV253" s="1"/>
      <c r="AW253" s="1"/>
      <c r="AX253" s="1"/>
      <c r="AY253" s="1"/>
      <c r="AZ253" s="1"/>
      <c r="BA253" s="1"/>
      <c r="BB253" s="1"/>
      <c r="BC253" s="1"/>
      <c r="BD253" s="296"/>
      <c r="BE253" s="1"/>
      <c r="BF253" s="1"/>
      <c r="BG253" s="20"/>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row>
    <row r="254" spans="1:115" ht="14.25" customHeight="1">
      <c r="A254" s="1"/>
      <c r="B254" s="1"/>
      <c r="C254" s="1"/>
      <c r="D254" s="1"/>
      <c r="E254" s="1"/>
      <c r="F254" s="1"/>
      <c r="G254" s="1"/>
      <c r="H254" s="1"/>
      <c r="I254" s="294"/>
      <c r="J254" s="294"/>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3"/>
      <c r="AJ254" s="1"/>
      <c r="AK254" s="295"/>
      <c r="AL254" s="1"/>
      <c r="AM254" s="1"/>
      <c r="AN254" s="1"/>
      <c r="AO254" s="1"/>
      <c r="AP254" s="1"/>
      <c r="AQ254" s="1"/>
      <c r="AR254" s="1"/>
      <c r="AS254" s="1"/>
      <c r="AT254" s="1"/>
      <c r="AU254" s="1"/>
      <c r="AV254" s="1"/>
      <c r="AW254" s="1"/>
      <c r="AX254" s="1"/>
      <c r="AY254" s="1"/>
      <c r="AZ254" s="1"/>
      <c r="BA254" s="1"/>
      <c r="BB254" s="1"/>
      <c r="BC254" s="1"/>
      <c r="BD254" s="296"/>
      <c r="BE254" s="1"/>
      <c r="BF254" s="1"/>
      <c r="BG254" s="20"/>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row>
    <row r="255" spans="1:115" ht="14.25" customHeight="1">
      <c r="A255" s="1"/>
      <c r="B255" s="1"/>
      <c r="C255" s="1"/>
      <c r="D255" s="1"/>
      <c r="E255" s="1"/>
      <c r="F255" s="1"/>
      <c r="G255" s="1"/>
      <c r="H255" s="1"/>
      <c r="I255" s="294"/>
      <c r="J255" s="294"/>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3"/>
      <c r="AJ255" s="1"/>
      <c r="AK255" s="295"/>
      <c r="AL255" s="1"/>
      <c r="AM255" s="1"/>
      <c r="AN255" s="1"/>
      <c r="AO255" s="1"/>
      <c r="AP255" s="1"/>
      <c r="AQ255" s="1"/>
      <c r="AR255" s="1"/>
      <c r="AS255" s="1"/>
      <c r="AT255" s="1"/>
      <c r="AU255" s="1"/>
      <c r="AV255" s="1"/>
      <c r="AW255" s="1"/>
      <c r="AX255" s="1"/>
      <c r="AY255" s="1"/>
      <c r="AZ255" s="1"/>
      <c r="BA255" s="1"/>
      <c r="BB255" s="1"/>
      <c r="BC255" s="1"/>
      <c r="BD255" s="296"/>
      <c r="BE255" s="1"/>
      <c r="BF255" s="1"/>
      <c r="BG255" s="20"/>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row>
    <row r="256" spans="1:115" ht="14.25" customHeight="1">
      <c r="A256" s="1"/>
      <c r="B256" s="1"/>
      <c r="C256" s="1"/>
      <c r="D256" s="1"/>
      <c r="E256" s="1"/>
      <c r="F256" s="1"/>
      <c r="G256" s="1"/>
      <c r="H256" s="1"/>
      <c r="I256" s="294"/>
      <c r="J256" s="294"/>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3"/>
      <c r="AJ256" s="1"/>
      <c r="AK256" s="295"/>
      <c r="AL256" s="1"/>
      <c r="AM256" s="1"/>
      <c r="AN256" s="1"/>
      <c r="AO256" s="1"/>
      <c r="AP256" s="1"/>
      <c r="AQ256" s="1"/>
      <c r="AR256" s="1"/>
      <c r="AS256" s="1"/>
      <c r="AT256" s="1"/>
      <c r="AU256" s="1"/>
      <c r="AV256" s="1"/>
      <c r="AW256" s="1"/>
      <c r="AX256" s="1"/>
      <c r="AY256" s="1"/>
      <c r="AZ256" s="1"/>
      <c r="BA256" s="1"/>
      <c r="BB256" s="1"/>
      <c r="BC256" s="1"/>
      <c r="BD256" s="296"/>
      <c r="BE256" s="1"/>
      <c r="BF256" s="1"/>
      <c r="BG256" s="20"/>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row>
    <row r="257" spans="1:115" ht="14.25" customHeight="1">
      <c r="A257" s="1"/>
      <c r="B257" s="1"/>
      <c r="C257" s="1"/>
      <c r="D257" s="1"/>
      <c r="E257" s="1"/>
      <c r="F257" s="1"/>
      <c r="G257" s="1"/>
      <c r="H257" s="1"/>
      <c r="I257" s="294"/>
      <c r="J257" s="294"/>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3"/>
      <c r="AJ257" s="1"/>
      <c r="AK257" s="295"/>
      <c r="AL257" s="1"/>
      <c r="AM257" s="1"/>
      <c r="AN257" s="1"/>
      <c r="AO257" s="1"/>
      <c r="AP257" s="1"/>
      <c r="AQ257" s="1"/>
      <c r="AR257" s="1"/>
      <c r="AS257" s="1"/>
      <c r="AT257" s="1"/>
      <c r="AU257" s="1"/>
      <c r="AV257" s="1"/>
      <c r="AW257" s="1"/>
      <c r="AX257" s="1"/>
      <c r="AY257" s="1"/>
      <c r="AZ257" s="1"/>
      <c r="BA257" s="1"/>
      <c r="BB257" s="1"/>
      <c r="BC257" s="1"/>
      <c r="BD257" s="296"/>
      <c r="BE257" s="1"/>
      <c r="BF257" s="1"/>
      <c r="BG257" s="20"/>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row>
    <row r="258" spans="1:115" ht="14.25" customHeight="1">
      <c r="A258" s="1"/>
      <c r="B258" s="1"/>
      <c r="C258" s="1"/>
      <c r="D258" s="1"/>
      <c r="E258" s="1"/>
      <c r="F258" s="1"/>
      <c r="G258" s="1"/>
      <c r="H258" s="1"/>
      <c r="I258" s="294"/>
      <c r="J258" s="294"/>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3"/>
      <c r="AJ258" s="1"/>
      <c r="AK258" s="295"/>
      <c r="AL258" s="1"/>
      <c r="AM258" s="1"/>
      <c r="AN258" s="1"/>
      <c r="AO258" s="1"/>
      <c r="AP258" s="1"/>
      <c r="AQ258" s="1"/>
      <c r="AR258" s="1"/>
      <c r="AS258" s="1"/>
      <c r="AT258" s="1"/>
      <c r="AU258" s="1"/>
      <c r="AV258" s="1"/>
      <c r="AW258" s="1"/>
      <c r="AX258" s="1"/>
      <c r="AY258" s="1"/>
      <c r="AZ258" s="1"/>
      <c r="BA258" s="1"/>
      <c r="BB258" s="1"/>
      <c r="BC258" s="1"/>
      <c r="BD258" s="296"/>
      <c r="BE258" s="1"/>
      <c r="BF258" s="1"/>
      <c r="BG258" s="20"/>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row>
    <row r="259" spans="1:115" ht="14.25" customHeight="1">
      <c r="A259" s="1"/>
      <c r="B259" s="1"/>
      <c r="C259" s="1"/>
      <c r="D259" s="1"/>
      <c r="E259" s="1"/>
      <c r="F259" s="1"/>
      <c r="G259" s="1"/>
      <c r="H259" s="1"/>
      <c r="I259" s="294"/>
      <c r="J259" s="294"/>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3"/>
      <c r="AJ259" s="1"/>
      <c r="AK259" s="295"/>
      <c r="AL259" s="1"/>
      <c r="AM259" s="1"/>
      <c r="AN259" s="1"/>
      <c r="AO259" s="1"/>
      <c r="AP259" s="1"/>
      <c r="AQ259" s="1"/>
      <c r="AR259" s="1"/>
      <c r="AS259" s="1"/>
      <c r="AT259" s="1"/>
      <c r="AU259" s="1"/>
      <c r="AV259" s="1"/>
      <c r="AW259" s="1"/>
      <c r="AX259" s="1"/>
      <c r="AY259" s="1"/>
      <c r="AZ259" s="1"/>
      <c r="BA259" s="1"/>
      <c r="BB259" s="1"/>
      <c r="BC259" s="1"/>
      <c r="BD259" s="296"/>
      <c r="BE259" s="1"/>
      <c r="BF259" s="1"/>
      <c r="BG259" s="20"/>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row>
    <row r="260" spans="1:115" ht="14.25" customHeight="1">
      <c r="A260" s="1"/>
      <c r="B260" s="1"/>
      <c r="C260" s="1"/>
      <c r="D260" s="1"/>
      <c r="E260" s="1"/>
      <c r="F260" s="1"/>
      <c r="G260" s="1"/>
      <c r="H260" s="1"/>
      <c r="I260" s="294"/>
      <c r="J260" s="294"/>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3"/>
      <c r="AJ260" s="1"/>
      <c r="AK260" s="295"/>
      <c r="AL260" s="1"/>
      <c r="AM260" s="1"/>
      <c r="AN260" s="1"/>
      <c r="AO260" s="1"/>
      <c r="AP260" s="1"/>
      <c r="AQ260" s="1"/>
      <c r="AR260" s="1"/>
      <c r="AS260" s="1"/>
      <c r="AT260" s="1"/>
      <c r="AU260" s="1"/>
      <c r="AV260" s="1"/>
      <c r="AW260" s="1"/>
      <c r="AX260" s="1"/>
      <c r="AY260" s="1"/>
      <c r="AZ260" s="1"/>
      <c r="BA260" s="1"/>
      <c r="BB260" s="1"/>
      <c r="BC260" s="1"/>
      <c r="BD260" s="296"/>
      <c r="BE260" s="1"/>
      <c r="BF260" s="1"/>
      <c r="BG260" s="20"/>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row>
    <row r="261" spans="1:115" ht="14.25" customHeight="1">
      <c r="A261" s="1"/>
      <c r="B261" s="1"/>
      <c r="C261" s="1"/>
      <c r="D261" s="1"/>
      <c r="E261" s="1"/>
      <c r="F261" s="1"/>
      <c r="G261" s="1"/>
      <c r="H261" s="1"/>
      <c r="I261" s="294"/>
      <c r="J261" s="294"/>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3"/>
      <c r="AJ261" s="1"/>
      <c r="AK261" s="295"/>
      <c r="AL261" s="1"/>
      <c r="AM261" s="1"/>
      <c r="AN261" s="1"/>
      <c r="AO261" s="1"/>
      <c r="AP261" s="1"/>
      <c r="AQ261" s="1"/>
      <c r="AR261" s="1"/>
      <c r="AS261" s="1"/>
      <c r="AT261" s="1"/>
      <c r="AU261" s="1"/>
      <c r="AV261" s="1"/>
      <c r="AW261" s="1"/>
      <c r="AX261" s="1"/>
      <c r="AY261" s="1"/>
      <c r="AZ261" s="1"/>
      <c r="BA261" s="1"/>
      <c r="BB261" s="1"/>
      <c r="BC261" s="1"/>
      <c r="BD261" s="296"/>
      <c r="BE261" s="1"/>
      <c r="BF261" s="1"/>
      <c r="BG261" s="20"/>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row>
    <row r="262" spans="1:115" ht="14.25" customHeight="1">
      <c r="A262" s="1"/>
      <c r="B262" s="1"/>
      <c r="C262" s="1"/>
      <c r="D262" s="1"/>
      <c r="E262" s="1"/>
      <c r="F262" s="1"/>
      <c r="G262" s="1"/>
      <c r="H262" s="1"/>
      <c r="I262" s="294"/>
      <c r="J262" s="294"/>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3"/>
      <c r="AJ262" s="1"/>
      <c r="AK262" s="295"/>
      <c r="AL262" s="1"/>
      <c r="AM262" s="1"/>
      <c r="AN262" s="1"/>
      <c r="AO262" s="1"/>
      <c r="AP262" s="1"/>
      <c r="AQ262" s="1"/>
      <c r="AR262" s="1"/>
      <c r="AS262" s="1"/>
      <c r="AT262" s="1"/>
      <c r="AU262" s="1"/>
      <c r="AV262" s="1"/>
      <c r="AW262" s="1"/>
      <c r="AX262" s="1"/>
      <c r="AY262" s="1"/>
      <c r="AZ262" s="1"/>
      <c r="BA262" s="1"/>
      <c r="BB262" s="1"/>
      <c r="BC262" s="1"/>
      <c r="BD262" s="296"/>
      <c r="BE262" s="1"/>
      <c r="BF262" s="1"/>
      <c r="BG262" s="20"/>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row>
    <row r="263" spans="1:115" ht="14.25" customHeight="1">
      <c r="A263" s="1"/>
      <c r="B263" s="1"/>
      <c r="C263" s="1"/>
      <c r="D263" s="1"/>
      <c r="E263" s="1"/>
      <c r="F263" s="1"/>
      <c r="G263" s="1"/>
      <c r="H263" s="1"/>
      <c r="I263" s="294"/>
      <c r="J263" s="294"/>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3"/>
      <c r="AJ263" s="1"/>
      <c r="AK263" s="295"/>
      <c r="AL263" s="1"/>
      <c r="AM263" s="1"/>
      <c r="AN263" s="1"/>
      <c r="AO263" s="1"/>
      <c r="AP263" s="1"/>
      <c r="AQ263" s="1"/>
      <c r="AR263" s="1"/>
      <c r="AS263" s="1"/>
      <c r="AT263" s="1"/>
      <c r="AU263" s="1"/>
      <c r="AV263" s="1"/>
      <c r="AW263" s="1"/>
      <c r="AX263" s="1"/>
      <c r="AY263" s="1"/>
      <c r="AZ263" s="1"/>
      <c r="BA263" s="1"/>
      <c r="BB263" s="1"/>
      <c r="BC263" s="1"/>
      <c r="BD263" s="296"/>
      <c r="BE263" s="1"/>
      <c r="BF263" s="1"/>
      <c r="BG263" s="20"/>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row>
    <row r="264" spans="1:115" ht="14.25" customHeight="1">
      <c r="A264" s="1"/>
      <c r="B264" s="1"/>
      <c r="C264" s="1"/>
      <c r="D264" s="1"/>
      <c r="E264" s="1"/>
      <c r="F264" s="1"/>
      <c r="G264" s="1"/>
      <c r="H264" s="1"/>
      <c r="I264" s="294"/>
      <c r="J264" s="294"/>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3"/>
      <c r="AJ264" s="1"/>
      <c r="AK264" s="295"/>
      <c r="AL264" s="1"/>
      <c r="AM264" s="1"/>
      <c r="AN264" s="1"/>
      <c r="AO264" s="1"/>
      <c r="AP264" s="1"/>
      <c r="AQ264" s="1"/>
      <c r="AR264" s="1"/>
      <c r="AS264" s="1"/>
      <c r="AT264" s="1"/>
      <c r="AU264" s="1"/>
      <c r="AV264" s="1"/>
      <c r="AW264" s="1"/>
      <c r="AX264" s="1"/>
      <c r="AY264" s="1"/>
      <c r="AZ264" s="1"/>
      <c r="BA264" s="1"/>
      <c r="BB264" s="1"/>
      <c r="BC264" s="1"/>
      <c r="BD264" s="296"/>
      <c r="BE264" s="1"/>
      <c r="BF264" s="1"/>
      <c r="BG264" s="20"/>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row>
    <row r="265" spans="1:115" ht="14.25" customHeight="1">
      <c r="A265" s="1"/>
      <c r="B265" s="1"/>
      <c r="C265" s="1"/>
      <c r="D265" s="1"/>
      <c r="E265" s="1"/>
      <c r="F265" s="1"/>
      <c r="G265" s="1"/>
      <c r="H265" s="1"/>
      <c r="I265" s="294"/>
      <c r="J265" s="294"/>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3"/>
      <c r="AJ265" s="1"/>
      <c r="AK265" s="295"/>
      <c r="AL265" s="1"/>
      <c r="AM265" s="1"/>
      <c r="AN265" s="1"/>
      <c r="AO265" s="1"/>
      <c r="AP265" s="1"/>
      <c r="AQ265" s="1"/>
      <c r="AR265" s="1"/>
      <c r="AS265" s="1"/>
      <c r="AT265" s="1"/>
      <c r="AU265" s="1"/>
      <c r="AV265" s="1"/>
      <c r="AW265" s="1"/>
      <c r="AX265" s="1"/>
      <c r="AY265" s="1"/>
      <c r="AZ265" s="1"/>
      <c r="BA265" s="1"/>
      <c r="BB265" s="1"/>
      <c r="BC265" s="1"/>
      <c r="BD265" s="296"/>
      <c r="BE265" s="1"/>
      <c r="BF265" s="1"/>
      <c r="BG265" s="20"/>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row>
    <row r="266" spans="1:115" ht="14.25" customHeight="1">
      <c r="A266" s="1"/>
      <c r="B266" s="1"/>
      <c r="C266" s="1"/>
      <c r="D266" s="1"/>
      <c r="E266" s="1"/>
      <c r="F266" s="1"/>
      <c r="G266" s="1"/>
      <c r="H266" s="1"/>
      <c r="I266" s="294"/>
      <c r="J266" s="294"/>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3"/>
      <c r="AJ266" s="1"/>
      <c r="AK266" s="295"/>
      <c r="AL266" s="1"/>
      <c r="AM266" s="1"/>
      <c r="AN266" s="1"/>
      <c r="AO266" s="1"/>
      <c r="AP266" s="1"/>
      <c r="AQ266" s="1"/>
      <c r="AR266" s="1"/>
      <c r="AS266" s="1"/>
      <c r="AT266" s="1"/>
      <c r="AU266" s="1"/>
      <c r="AV266" s="1"/>
      <c r="AW266" s="1"/>
      <c r="AX266" s="1"/>
      <c r="AY266" s="1"/>
      <c r="AZ266" s="1"/>
      <c r="BA266" s="1"/>
      <c r="BB266" s="1"/>
      <c r="BC266" s="1"/>
      <c r="BD266" s="296"/>
      <c r="BE266" s="1"/>
      <c r="BF266" s="1"/>
      <c r="BG266" s="20"/>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row>
    <row r="267" spans="1:115" ht="14.25" customHeight="1">
      <c r="A267" s="1"/>
      <c r="B267" s="1"/>
      <c r="C267" s="1"/>
      <c r="D267" s="1"/>
      <c r="E267" s="1"/>
      <c r="F267" s="1"/>
      <c r="G267" s="1"/>
      <c r="H267" s="1"/>
      <c r="I267" s="294"/>
      <c r="J267" s="294"/>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3"/>
      <c r="AJ267" s="1"/>
      <c r="AK267" s="295"/>
      <c r="AL267" s="1"/>
      <c r="AM267" s="1"/>
      <c r="AN267" s="1"/>
      <c r="AO267" s="1"/>
      <c r="AP267" s="1"/>
      <c r="AQ267" s="1"/>
      <c r="AR267" s="1"/>
      <c r="AS267" s="1"/>
      <c r="AT267" s="1"/>
      <c r="AU267" s="1"/>
      <c r="AV267" s="1"/>
      <c r="AW267" s="1"/>
      <c r="AX267" s="1"/>
      <c r="AY267" s="1"/>
      <c r="AZ267" s="1"/>
      <c r="BA267" s="1"/>
      <c r="BB267" s="1"/>
      <c r="BC267" s="1"/>
      <c r="BD267" s="296"/>
      <c r="BE267" s="1"/>
      <c r="BF267" s="1"/>
      <c r="BG267" s="20"/>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row>
    <row r="268" spans="1:115" ht="14.25" customHeight="1">
      <c r="A268" s="1"/>
      <c r="B268" s="1"/>
      <c r="C268" s="1"/>
      <c r="D268" s="1"/>
      <c r="E268" s="1"/>
      <c r="F268" s="1"/>
      <c r="G268" s="1"/>
      <c r="H268" s="1"/>
      <c r="I268" s="294"/>
      <c r="J268" s="294"/>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3"/>
      <c r="AJ268" s="1"/>
      <c r="AK268" s="295"/>
      <c r="AL268" s="1"/>
      <c r="AM268" s="1"/>
      <c r="AN268" s="1"/>
      <c r="AO268" s="1"/>
      <c r="AP268" s="1"/>
      <c r="AQ268" s="1"/>
      <c r="AR268" s="1"/>
      <c r="AS268" s="1"/>
      <c r="AT268" s="1"/>
      <c r="AU268" s="1"/>
      <c r="AV268" s="1"/>
      <c r="AW268" s="1"/>
      <c r="AX268" s="1"/>
      <c r="AY268" s="1"/>
      <c r="AZ268" s="1"/>
      <c r="BA268" s="1"/>
      <c r="BB268" s="1"/>
      <c r="BC268" s="1"/>
      <c r="BD268" s="296"/>
      <c r="BE268" s="1"/>
      <c r="BF268" s="1"/>
      <c r="BG268" s="20"/>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row>
    <row r="269" spans="1:115" ht="14.25" customHeight="1">
      <c r="A269" s="1"/>
      <c r="B269" s="1"/>
      <c r="C269" s="1"/>
      <c r="D269" s="1"/>
      <c r="E269" s="1"/>
      <c r="F269" s="1"/>
      <c r="G269" s="1"/>
      <c r="H269" s="1"/>
      <c r="I269" s="294"/>
      <c r="J269" s="294"/>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3"/>
      <c r="AJ269" s="1"/>
      <c r="AK269" s="295"/>
      <c r="AL269" s="1"/>
      <c r="AM269" s="1"/>
      <c r="AN269" s="1"/>
      <c r="AO269" s="1"/>
      <c r="AP269" s="1"/>
      <c r="AQ269" s="1"/>
      <c r="AR269" s="1"/>
      <c r="AS269" s="1"/>
      <c r="AT269" s="1"/>
      <c r="AU269" s="1"/>
      <c r="AV269" s="1"/>
      <c r="AW269" s="1"/>
      <c r="AX269" s="1"/>
      <c r="AY269" s="1"/>
      <c r="AZ269" s="1"/>
      <c r="BA269" s="1"/>
      <c r="BB269" s="1"/>
      <c r="BC269" s="1"/>
      <c r="BD269" s="296"/>
      <c r="BE269" s="1"/>
      <c r="BF269" s="1"/>
      <c r="BG269" s="20"/>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row>
    <row r="270" spans="1:115" ht="14.25" customHeight="1">
      <c r="A270" s="1"/>
      <c r="B270" s="1"/>
      <c r="C270" s="1"/>
      <c r="D270" s="1"/>
      <c r="E270" s="1"/>
      <c r="F270" s="1"/>
      <c r="G270" s="1"/>
      <c r="H270" s="1"/>
      <c r="I270" s="294"/>
      <c r="J270" s="294"/>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3"/>
      <c r="AJ270" s="1"/>
      <c r="AK270" s="295"/>
      <c r="AL270" s="1"/>
      <c r="AM270" s="1"/>
      <c r="AN270" s="1"/>
      <c r="AO270" s="1"/>
      <c r="AP270" s="1"/>
      <c r="AQ270" s="1"/>
      <c r="AR270" s="1"/>
      <c r="AS270" s="1"/>
      <c r="AT270" s="1"/>
      <c r="AU270" s="1"/>
      <c r="AV270" s="1"/>
      <c r="AW270" s="1"/>
      <c r="AX270" s="1"/>
      <c r="AY270" s="1"/>
      <c r="AZ270" s="1"/>
      <c r="BA270" s="1"/>
      <c r="BB270" s="1"/>
      <c r="BC270" s="1"/>
      <c r="BD270" s="296"/>
      <c r="BE270" s="1"/>
      <c r="BF270" s="1"/>
      <c r="BG270" s="20"/>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row>
    <row r="271" spans="1:115" ht="14.25" customHeight="1">
      <c r="A271" s="1"/>
      <c r="B271" s="1"/>
      <c r="C271" s="1"/>
      <c r="D271" s="1"/>
      <c r="E271" s="1"/>
      <c r="F271" s="1"/>
      <c r="G271" s="1"/>
      <c r="H271" s="1"/>
      <c r="I271" s="294"/>
      <c r="J271" s="294"/>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3"/>
      <c r="AJ271" s="1"/>
      <c r="AK271" s="295"/>
      <c r="AL271" s="1"/>
      <c r="AM271" s="1"/>
      <c r="AN271" s="1"/>
      <c r="AO271" s="1"/>
      <c r="AP271" s="1"/>
      <c r="AQ271" s="1"/>
      <c r="AR271" s="1"/>
      <c r="AS271" s="1"/>
      <c r="AT271" s="1"/>
      <c r="AU271" s="1"/>
      <c r="AV271" s="1"/>
      <c r="AW271" s="1"/>
      <c r="AX271" s="1"/>
      <c r="AY271" s="1"/>
      <c r="AZ271" s="1"/>
      <c r="BA271" s="1"/>
      <c r="BB271" s="1"/>
      <c r="BC271" s="1"/>
      <c r="BD271" s="296"/>
      <c r="BE271" s="1"/>
      <c r="BF271" s="1"/>
      <c r="BG271" s="20"/>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row>
    <row r="272" spans="1:115" ht="14.25" customHeight="1">
      <c r="A272" s="1"/>
      <c r="B272" s="1"/>
      <c r="C272" s="1"/>
      <c r="D272" s="1"/>
      <c r="E272" s="1"/>
      <c r="F272" s="1"/>
      <c r="G272" s="1"/>
      <c r="H272" s="1"/>
      <c r="I272" s="294"/>
      <c r="J272" s="294"/>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3"/>
      <c r="AJ272" s="1"/>
      <c r="AK272" s="295"/>
      <c r="AL272" s="1"/>
      <c r="AM272" s="1"/>
      <c r="AN272" s="1"/>
      <c r="AO272" s="1"/>
      <c r="AP272" s="1"/>
      <c r="AQ272" s="1"/>
      <c r="AR272" s="1"/>
      <c r="AS272" s="1"/>
      <c r="AT272" s="1"/>
      <c r="AU272" s="1"/>
      <c r="AV272" s="1"/>
      <c r="AW272" s="1"/>
      <c r="AX272" s="1"/>
      <c r="AY272" s="1"/>
      <c r="AZ272" s="1"/>
      <c r="BA272" s="1"/>
      <c r="BB272" s="1"/>
      <c r="BC272" s="1"/>
      <c r="BD272" s="296"/>
      <c r="BE272" s="1"/>
      <c r="BF272" s="1"/>
      <c r="BG272" s="20"/>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row>
    <row r="273" spans="1:115" ht="14.25" customHeight="1">
      <c r="A273" s="1"/>
      <c r="B273" s="1"/>
      <c r="C273" s="1"/>
      <c r="D273" s="1"/>
      <c r="E273" s="1"/>
      <c r="F273" s="1"/>
      <c r="G273" s="1"/>
      <c r="H273" s="1"/>
      <c r="I273" s="294"/>
      <c r="J273" s="294"/>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3"/>
      <c r="AJ273" s="1"/>
      <c r="AK273" s="295"/>
      <c r="AL273" s="1"/>
      <c r="AM273" s="1"/>
      <c r="AN273" s="1"/>
      <c r="AO273" s="1"/>
      <c r="AP273" s="1"/>
      <c r="AQ273" s="1"/>
      <c r="AR273" s="1"/>
      <c r="AS273" s="1"/>
      <c r="AT273" s="1"/>
      <c r="AU273" s="1"/>
      <c r="AV273" s="1"/>
      <c r="AW273" s="1"/>
      <c r="AX273" s="1"/>
      <c r="AY273" s="1"/>
      <c r="AZ273" s="1"/>
      <c r="BA273" s="1"/>
      <c r="BB273" s="1"/>
      <c r="BC273" s="1"/>
      <c r="BD273" s="296"/>
      <c r="BE273" s="1"/>
      <c r="BF273" s="1"/>
      <c r="BG273" s="20"/>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row>
    <row r="274" spans="1:115" ht="14.25" customHeight="1">
      <c r="A274" s="1"/>
      <c r="B274" s="1"/>
      <c r="C274" s="1"/>
      <c r="D274" s="1"/>
      <c r="E274" s="1"/>
      <c r="F274" s="1"/>
      <c r="G274" s="1"/>
      <c r="H274" s="1"/>
      <c r="I274" s="294"/>
      <c r="J274" s="294"/>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3"/>
      <c r="AJ274" s="1"/>
      <c r="AK274" s="295"/>
      <c r="AL274" s="1"/>
      <c r="AM274" s="1"/>
      <c r="AN274" s="1"/>
      <c r="AO274" s="1"/>
      <c r="AP274" s="1"/>
      <c r="AQ274" s="1"/>
      <c r="AR274" s="1"/>
      <c r="AS274" s="1"/>
      <c r="AT274" s="1"/>
      <c r="AU274" s="1"/>
      <c r="AV274" s="1"/>
      <c r="AW274" s="1"/>
      <c r="AX274" s="1"/>
      <c r="AY274" s="1"/>
      <c r="AZ274" s="1"/>
      <c r="BA274" s="1"/>
      <c r="BB274" s="1"/>
      <c r="BC274" s="1"/>
      <c r="BD274" s="296"/>
      <c r="BE274" s="1"/>
      <c r="BF274" s="1"/>
      <c r="BG274" s="20"/>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row>
    <row r="275" spans="1:115" ht="14.25" customHeight="1">
      <c r="A275" s="1"/>
      <c r="B275" s="1"/>
      <c r="C275" s="1"/>
      <c r="D275" s="1"/>
      <c r="E275" s="1"/>
      <c r="F275" s="1"/>
      <c r="G275" s="1"/>
      <c r="H275" s="1"/>
      <c r="I275" s="294"/>
      <c r="J275" s="294"/>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3"/>
      <c r="AJ275" s="1"/>
      <c r="AK275" s="295"/>
      <c r="AL275" s="1"/>
      <c r="AM275" s="1"/>
      <c r="AN275" s="1"/>
      <c r="AO275" s="1"/>
      <c r="AP275" s="1"/>
      <c r="AQ275" s="1"/>
      <c r="AR275" s="1"/>
      <c r="AS275" s="1"/>
      <c r="AT275" s="1"/>
      <c r="AU275" s="1"/>
      <c r="AV275" s="1"/>
      <c r="AW275" s="1"/>
      <c r="AX275" s="1"/>
      <c r="AY275" s="1"/>
      <c r="AZ275" s="1"/>
      <c r="BA275" s="1"/>
      <c r="BB275" s="1"/>
      <c r="BC275" s="1"/>
      <c r="BD275" s="296"/>
      <c r="BE275" s="1"/>
      <c r="BF275" s="1"/>
      <c r="BG275" s="20"/>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row>
    <row r="276" spans="1:115" ht="14.25" customHeight="1">
      <c r="A276" s="1"/>
      <c r="B276" s="1"/>
      <c r="C276" s="1"/>
      <c r="D276" s="1"/>
      <c r="E276" s="1"/>
      <c r="F276" s="1"/>
      <c r="G276" s="1"/>
      <c r="H276" s="1"/>
      <c r="I276" s="294"/>
      <c r="J276" s="294"/>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3"/>
      <c r="AJ276" s="1"/>
      <c r="AK276" s="295"/>
      <c r="AL276" s="1"/>
      <c r="AM276" s="1"/>
      <c r="AN276" s="1"/>
      <c r="AO276" s="1"/>
      <c r="AP276" s="1"/>
      <c r="AQ276" s="1"/>
      <c r="AR276" s="1"/>
      <c r="AS276" s="1"/>
      <c r="AT276" s="1"/>
      <c r="AU276" s="1"/>
      <c r="AV276" s="1"/>
      <c r="AW276" s="1"/>
      <c r="AX276" s="1"/>
      <c r="AY276" s="1"/>
      <c r="AZ276" s="1"/>
      <c r="BA276" s="1"/>
      <c r="BB276" s="1"/>
      <c r="BC276" s="1"/>
      <c r="BD276" s="296"/>
      <c r="BE276" s="1"/>
      <c r="BF276" s="1"/>
      <c r="BG276" s="20"/>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row>
    <row r="277" spans="1:115" ht="14.25" customHeight="1">
      <c r="A277" s="1"/>
      <c r="B277" s="1"/>
      <c r="C277" s="1"/>
      <c r="D277" s="1"/>
      <c r="E277" s="1"/>
      <c r="F277" s="1"/>
      <c r="G277" s="1"/>
      <c r="H277" s="1"/>
      <c r="I277" s="294"/>
      <c r="J277" s="294"/>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3"/>
      <c r="AJ277" s="1"/>
      <c r="AK277" s="295"/>
      <c r="AL277" s="1"/>
      <c r="AM277" s="1"/>
      <c r="AN277" s="1"/>
      <c r="AO277" s="1"/>
      <c r="AP277" s="1"/>
      <c r="AQ277" s="1"/>
      <c r="AR277" s="1"/>
      <c r="AS277" s="1"/>
      <c r="AT277" s="1"/>
      <c r="AU277" s="1"/>
      <c r="AV277" s="1"/>
      <c r="AW277" s="1"/>
      <c r="AX277" s="1"/>
      <c r="AY277" s="1"/>
      <c r="AZ277" s="1"/>
      <c r="BA277" s="1"/>
      <c r="BB277" s="1"/>
      <c r="BC277" s="1"/>
      <c r="BD277" s="296"/>
      <c r="BE277" s="1"/>
      <c r="BF277" s="1"/>
      <c r="BG277" s="20"/>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row>
    <row r="278" spans="1:115" ht="14.25" customHeight="1">
      <c r="A278" s="1"/>
      <c r="B278" s="1"/>
      <c r="C278" s="1"/>
      <c r="D278" s="1"/>
      <c r="E278" s="1"/>
      <c r="F278" s="1"/>
      <c r="G278" s="1"/>
      <c r="H278" s="1"/>
      <c r="I278" s="294"/>
      <c r="J278" s="294"/>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3"/>
      <c r="AJ278" s="1"/>
      <c r="AK278" s="295"/>
      <c r="AL278" s="1"/>
      <c r="AM278" s="1"/>
      <c r="AN278" s="1"/>
      <c r="AO278" s="1"/>
      <c r="AP278" s="1"/>
      <c r="AQ278" s="1"/>
      <c r="AR278" s="1"/>
      <c r="AS278" s="1"/>
      <c r="AT278" s="1"/>
      <c r="AU278" s="1"/>
      <c r="AV278" s="1"/>
      <c r="AW278" s="1"/>
      <c r="AX278" s="1"/>
      <c r="AY278" s="1"/>
      <c r="AZ278" s="1"/>
      <c r="BA278" s="1"/>
      <c r="BB278" s="1"/>
      <c r="BC278" s="1"/>
      <c r="BD278" s="296"/>
      <c r="BE278" s="1"/>
      <c r="BF278" s="1"/>
      <c r="BG278" s="20"/>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row>
    <row r="279" spans="1:115" ht="14.25" customHeight="1">
      <c r="A279" s="1"/>
      <c r="B279" s="1"/>
      <c r="C279" s="1"/>
      <c r="D279" s="1"/>
      <c r="E279" s="1"/>
      <c r="F279" s="1"/>
      <c r="G279" s="1"/>
      <c r="H279" s="1"/>
      <c r="I279" s="294"/>
      <c r="J279" s="294"/>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3"/>
      <c r="AJ279" s="1"/>
      <c r="AK279" s="295"/>
      <c r="AL279" s="1"/>
      <c r="AM279" s="1"/>
      <c r="AN279" s="1"/>
      <c r="AO279" s="1"/>
      <c r="AP279" s="1"/>
      <c r="AQ279" s="1"/>
      <c r="AR279" s="1"/>
      <c r="AS279" s="1"/>
      <c r="AT279" s="1"/>
      <c r="AU279" s="1"/>
      <c r="AV279" s="1"/>
      <c r="AW279" s="1"/>
      <c r="AX279" s="1"/>
      <c r="AY279" s="1"/>
      <c r="AZ279" s="1"/>
      <c r="BA279" s="1"/>
      <c r="BB279" s="1"/>
      <c r="BC279" s="1"/>
      <c r="BD279" s="296"/>
      <c r="BE279" s="1"/>
      <c r="BF279" s="1"/>
      <c r="BG279" s="20"/>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row>
    <row r="280" spans="1:115" ht="14.25" customHeight="1">
      <c r="A280" s="1"/>
      <c r="B280" s="1"/>
      <c r="C280" s="1"/>
      <c r="D280" s="1"/>
      <c r="E280" s="1"/>
      <c r="F280" s="1"/>
      <c r="G280" s="1"/>
      <c r="H280" s="1"/>
      <c r="I280" s="294"/>
      <c r="J280" s="294"/>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3"/>
      <c r="AJ280" s="1"/>
      <c r="AK280" s="295"/>
      <c r="AL280" s="1"/>
      <c r="AM280" s="1"/>
      <c r="AN280" s="1"/>
      <c r="AO280" s="1"/>
      <c r="AP280" s="1"/>
      <c r="AQ280" s="1"/>
      <c r="AR280" s="1"/>
      <c r="AS280" s="1"/>
      <c r="AT280" s="1"/>
      <c r="AU280" s="1"/>
      <c r="AV280" s="1"/>
      <c r="AW280" s="1"/>
      <c r="AX280" s="1"/>
      <c r="AY280" s="1"/>
      <c r="AZ280" s="1"/>
      <c r="BA280" s="1"/>
      <c r="BB280" s="1"/>
      <c r="BC280" s="1"/>
      <c r="BD280" s="296"/>
      <c r="BE280" s="1"/>
      <c r="BF280" s="1"/>
      <c r="BG280" s="20"/>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row>
    <row r="281" spans="1:115" ht="14.25" customHeight="1">
      <c r="A281" s="1"/>
      <c r="B281" s="1"/>
      <c r="C281" s="1"/>
      <c r="D281" s="1"/>
      <c r="E281" s="1"/>
      <c r="F281" s="1"/>
      <c r="G281" s="1"/>
      <c r="H281" s="1"/>
      <c r="I281" s="294"/>
      <c r="J281" s="294"/>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3"/>
      <c r="AJ281" s="1"/>
      <c r="AK281" s="295"/>
      <c r="AL281" s="1"/>
      <c r="AM281" s="1"/>
      <c r="AN281" s="1"/>
      <c r="AO281" s="1"/>
      <c r="AP281" s="1"/>
      <c r="AQ281" s="1"/>
      <c r="AR281" s="1"/>
      <c r="AS281" s="1"/>
      <c r="AT281" s="1"/>
      <c r="AU281" s="1"/>
      <c r="AV281" s="1"/>
      <c r="AW281" s="1"/>
      <c r="AX281" s="1"/>
      <c r="AY281" s="1"/>
      <c r="AZ281" s="1"/>
      <c r="BA281" s="1"/>
      <c r="BB281" s="1"/>
      <c r="BC281" s="1"/>
      <c r="BD281" s="296"/>
      <c r="BE281" s="1"/>
      <c r="BF281" s="1"/>
      <c r="BG281" s="20"/>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row>
    <row r="282" spans="1:115" ht="14.25" customHeight="1">
      <c r="A282" s="1"/>
      <c r="B282" s="1"/>
      <c r="C282" s="1"/>
      <c r="D282" s="1"/>
      <c r="E282" s="1"/>
      <c r="F282" s="1"/>
      <c r="G282" s="1"/>
      <c r="H282" s="1"/>
      <c r="I282" s="294"/>
      <c r="J282" s="294"/>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3"/>
      <c r="AJ282" s="1"/>
      <c r="AK282" s="295"/>
      <c r="AL282" s="1"/>
      <c r="AM282" s="1"/>
      <c r="AN282" s="1"/>
      <c r="AO282" s="1"/>
      <c r="AP282" s="1"/>
      <c r="AQ282" s="1"/>
      <c r="AR282" s="1"/>
      <c r="AS282" s="1"/>
      <c r="AT282" s="1"/>
      <c r="AU282" s="1"/>
      <c r="AV282" s="1"/>
      <c r="AW282" s="1"/>
      <c r="AX282" s="1"/>
      <c r="AY282" s="1"/>
      <c r="AZ282" s="1"/>
      <c r="BA282" s="1"/>
      <c r="BB282" s="1"/>
      <c r="BC282" s="1"/>
      <c r="BD282" s="296"/>
      <c r="BE282" s="1"/>
      <c r="BF282" s="1"/>
      <c r="BG282" s="20"/>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row>
    <row r="283" spans="1:115" ht="14.25" customHeight="1">
      <c r="A283" s="1"/>
      <c r="B283" s="1"/>
      <c r="C283" s="1"/>
      <c r="D283" s="1"/>
      <c r="E283" s="1"/>
      <c r="F283" s="1"/>
      <c r="G283" s="1"/>
      <c r="H283" s="1"/>
      <c r="I283" s="294"/>
      <c r="J283" s="294"/>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3"/>
      <c r="AJ283" s="1"/>
      <c r="AK283" s="295"/>
      <c r="AL283" s="1"/>
      <c r="AM283" s="1"/>
      <c r="AN283" s="1"/>
      <c r="AO283" s="1"/>
      <c r="AP283" s="1"/>
      <c r="AQ283" s="1"/>
      <c r="AR283" s="1"/>
      <c r="AS283" s="1"/>
      <c r="AT283" s="1"/>
      <c r="AU283" s="1"/>
      <c r="AV283" s="1"/>
      <c r="AW283" s="1"/>
      <c r="AX283" s="1"/>
      <c r="AY283" s="1"/>
      <c r="AZ283" s="1"/>
      <c r="BA283" s="1"/>
      <c r="BB283" s="1"/>
      <c r="BC283" s="1"/>
      <c r="BD283" s="296"/>
      <c r="BE283" s="1"/>
      <c r="BF283" s="1"/>
      <c r="BG283" s="20"/>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row>
    <row r="284" spans="1:115" ht="14.25" customHeight="1">
      <c r="A284" s="1"/>
      <c r="B284" s="1"/>
      <c r="C284" s="1"/>
      <c r="D284" s="1"/>
      <c r="E284" s="1"/>
      <c r="F284" s="1"/>
      <c r="G284" s="1"/>
      <c r="H284" s="1"/>
      <c r="I284" s="294"/>
      <c r="J284" s="294"/>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3"/>
      <c r="AJ284" s="1"/>
      <c r="AK284" s="295"/>
      <c r="AL284" s="1"/>
      <c r="AM284" s="1"/>
      <c r="AN284" s="1"/>
      <c r="AO284" s="1"/>
      <c r="AP284" s="1"/>
      <c r="AQ284" s="1"/>
      <c r="AR284" s="1"/>
      <c r="AS284" s="1"/>
      <c r="AT284" s="1"/>
      <c r="AU284" s="1"/>
      <c r="AV284" s="1"/>
      <c r="AW284" s="1"/>
      <c r="AX284" s="1"/>
      <c r="AY284" s="1"/>
      <c r="AZ284" s="1"/>
      <c r="BA284" s="1"/>
      <c r="BB284" s="1"/>
      <c r="BC284" s="1"/>
      <c r="BD284" s="296"/>
      <c r="BE284" s="1"/>
      <c r="BF284" s="1"/>
      <c r="BG284" s="20"/>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row>
    <row r="285" spans="1:115" ht="14.25" customHeight="1">
      <c r="A285" s="1"/>
      <c r="B285" s="1"/>
      <c r="C285" s="1"/>
      <c r="D285" s="1"/>
      <c r="E285" s="1"/>
      <c r="F285" s="1"/>
      <c r="G285" s="1"/>
      <c r="H285" s="1"/>
      <c r="I285" s="294"/>
      <c r="J285" s="294"/>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3"/>
      <c r="AJ285" s="1"/>
      <c r="AK285" s="295"/>
      <c r="AL285" s="1"/>
      <c r="AM285" s="1"/>
      <c r="AN285" s="1"/>
      <c r="AO285" s="1"/>
      <c r="AP285" s="1"/>
      <c r="AQ285" s="1"/>
      <c r="AR285" s="1"/>
      <c r="AS285" s="1"/>
      <c r="AT285" s="1"/>
      <c r="AU285" s="1"/>
      <c r="AV285" s="1"/>
      <c r="AW285" s="1"/>
      <c r="AX285" s="1"/>
      <c r="AY285" s="1"/>
      <c r="AZ285" s="1"/>
      <c r="BA285" s="1"/>
      <c r="BB285" s="1"/>
      <c r="BC285" s="1"/>
      <c r="BD285" s="296"/>
      <c r="BE285" s="1"/>
      <c r="BF285" s="1"/>
      <c r="BG285" s="20"/>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row>
    <row r="286" spans="1:115" ht="14.25" customHeight="1">
      <c r="A286" s="1"/>
      <c r="B286" s="1"/>
      <c r="C286" s="1"/>
      <c r="D286" s="1"/>
      <c r="E286" s="1"/>
      <c r="F286" s="1"/>
      <c r="G286" s="1"/>
      <c r="H286" s="1"/>
      <c r="I286" s="294"/>
      <c r="J286" s="294"/>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3"/>
      <c r="AJ286" s="1"/>
      <c r="AK286" s="295"/>
      <c r="AL286" s="1"/>
      <c r="AM286" s="1"/>
      <c r="AN286" s="1"/>
      <c r="AO286" s="1"/>
      <c r="AP286" s="1"/>
      <c r="AQ286" s="1"/>
      <c r="AR286" s="1"/>
      <c r="AS286" s="1"/>
      <c r="AT286" s="1"/>
      <c r="AU286" s="1"/>
      <c r="AV286" s="1"/>
      <c r="AW286" s="1"/>
      <c r="AX286" s="1"/>
      <c r="AY286" s="1"/>
      <c r="AZ286" s="1"/>
      <c r="BA286" s="1"/>
      <c r="BB286" s="1"/>
      <c r="BC286" s="1"/>
      <c r="BD286" s="296"/>
      <c r="BE286" s="1"/>
      <c r="BF286" s="1"/>
      <c r="BG286" s="20"/>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row>
    <row r="287" spans="1:115" ht="14.25" customHeight="1">
      <c r="A287" s="1"/>
      <c r="B287" s="1"/>
      <c r="C287" s="1"/>
      <c r="D287" s="1"/>
      <c r="E287" s="1"/>
      <c r="F287" s="1"/>
      <c r="G287" s="1"/>
      <c r="H287" s="1"/>
      <c r="I287" s="294"/>
      <c r="J287" s="294"/>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3"/>
      <c r="AJ287" s="1"/>
      <c r="AK287" s="295"/>
      <c r="AL287" s="1"/>
      <c r="AM287" s="1"/>
      <c r="AN287" s="1"/>
      <c r="AO287" s="1"/>
      <c r="AP287" s="1"/>
      <c r="AQ287" s="1"/>
      <c r="AR287" s="1"/>
      <c r="AS287" s="1"/>
      <c r="AT287" s="1"/>
      <c r="AU287" s="1"/>
      <c r="AV287" s="1"/>
      <c r="AW287" s="1"/>
      <c r="AX287" s="1"/>
      <c r="AY287" s="1"/>
      <c r="AZ287" s="1"/>
      <c r="BA287" s="1"/>
      <c r="BB287" s="1"/>
      <c r="BC287" s="1"/>
      <c r="BD287" s="296"/>
      <c r="BE287" s="1"/>
      <c r="BF287" s="1"/>
      <c r="BG287" s="20"/>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row>
    <row r="288" spans="1:115" ht="14.25" customHeight="1">
      <c r="A288" s="1"/>
      <c r="B288" s="1"/>
      <c r="C288" s="1"/>
      <c r="D288" s="1"/>
      <c r="E288" s="1"/>
      <c r="F288" s="1"/>
      <c r="G288" s="1"/>
      <c r="H288" s="1"/>
      <c r="I288" s="294"/>
      <c r="J288" s="294"/>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3"/>
      <c r="AJ288" s="1"/>
      <c r="AK288" s="295"/>
      <c r="AL288" s="1"/>
      <c r="AM288" s="1"/>
      <c r="AN288" s="1"/>
      <c r="AO288" s="1"/>
      <c r="AP288" s="1"/>
      <c r="AQ288" s="1"/>
      <c r="AR288" s="1"/>
      <c r="AS288" s="1"/>
      <c r="AT288" s="1"/>
      <c r="AU288" s="1"/>
      <c r="AV288" s="1"/>
      <c r="AW288" s="1"/>
      <c r="AX288" s="1"/>
      <c r="AY288" s="1"/>
      <c r="AZ288" s="1"/>
      <c r="BA288" s="1"/>
      <c r="BB288" s="1"/>
      <c r="BC288" s="1"/>
      <c r="BD288" s="296"/>
      <c r="BE288" s="1"/>
      <c r="BF288" s="1"/>
      <c r="BG288" s="20"/>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row>
    <row r="289" spans="1:115" ht="14.25" customHeight="1">
      <c r="A289" s="1"/>
      <c r="B289" s="1"/>
      <c r="C289" s="1"/>
      <c r="D289" s="1"/>
      <c r="E289" s="1"/>
      <c r="F289" s="1"/>
      <c r="G289" s="1"/>
      <c r="H289" s="1"/>
      <c r="I289" s="294"/>
      <c r="J289" s="294"/>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3"/>
      <c r="AJ289" s="1"/>
      <c r="AK289" s="295"/>
      <c r="AL289" s="1"/>
      <c r="AM289" s="1"/>
      <c r="AN289" s="1"/>
      <c r="AO289" s="1"/>
      <c r="AP289" s="1"/>
      <c r="AQ289" s="1"/>
      <c r="AR289" s="1"/>
      <c r="AS289" s="1"/>
      <c r="AT289" s="1"/>
      <c r="AU289" s="1"/>
      <c r="AV289" s="1"/>
      <c r="AW289" s="1"/>
      <c r="AX289" s="1"/>
      <c r="AY289" s="1"/>
      <c r="AZ289" s="1"/>
      <c r="BA289" s="1"/>
      <c r="BB289" s="1"/>
      <c r="BC289" s="1"/>
      <c r="BD289" s="296"/>
      <c r="BE289" s="1"/>
      <c r="BF289" s="1"/>
      <c r="BG289" s="20"/>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row>
    <row r="290" spans="1:115" ht="14.25" customHeight="1">
      <c r="A290" s="1"/>
      <c r="B290" s="1"/>
      <c r="C290" s="1"/>
      <c r="D290" s="1"/>
      <c r="E290" s="1"/>
      <c r="F290" s="1"/>
      <c r="G290" s="1"/>
      <c r="H290" s="1"/>
      <c r="I290" s="294"/>
      <c r="J290" s="294"/>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3"/>
      <c r="AJ290" s="1"/>
      <c r="AK290" s="295"/>
      <c r="AL290" s="1"/>
      <c r="AM290" s="1"/>
      <c r="AN290" s="1"/>
      <c r="AO290" s="1"/>
      <c r="AP290" s="1"/>
      <c r="AQ290" s="1"/>
      <c r="AR290" s="1"/>
      <c r="AS290" s="1"/>
      <c r="AT290" s="1"/>
      <c r="AU290" s="1"/>
      <c r="AV290" s="1"/>
      <c r="AW290" s="1"/>
      <c r="AX290" s="1"/>
      <c r="AY290" s="1"/>
      <c r="AZ290" s="1"/>
      <c r="BA290" s="1"/>
      <c r="BB290" s="1"/>
      <c r="BC290" s="1"/>
      <c r="BD290" s="296"/>
      <c r="BE290" s="1"/>
      <c r="BF290" s="1"/>
      <c r="BG290" s="20"/>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row>
    <row r="291" spans="1:115" ht="14.25" customHeight="1">
      <c r="A291" s="1"/>
      <c r="B291" s="1"/>
      <c r="C291" s="1"/>
      <c r="D291" s="1"/>
      <c r="E291" s="1"/>
      <c r="F291" s="1"/>
      <c r="G291" s="1"/>
      <c r="H291" s="1"/>
      <c r="I291" s="294"/>
      <c r="J291" s="294"/>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3"/>
      <c r="AJ291" s="1"/>
      <c r="AK291" s="295"/>
      <c r="AL291" s="1"/>
      <c r="AM291" s="1"/>
      <c r="AN291" s="1"/>
      <c r="AO291" s="1"/>
      <c r="AP291" s="1"/>
      <c r="AQ291" s="1"/>
      <c r="AR291" s="1"/>
      <c r="AS291" s="1"/>
      <c r="AT291" s="1"/>
      <c r="AU291" s="1"/>
      <c r="AV291" s="1"/>
      <c r="AW291" s="1"/>
      <c r="AX291" s="1"/>
      <c r="AY291" s="1"/>
      <c r="AZ291" s="1"/>
      <c r="BA291" s="1"/>
      <c r="BB291" s="1"/>
      <c r="BC291" s="1"/>
      <c r="BD291" s="296"/>
      <c r="BE291" s="1"/>
      <c r="BF291" s="1"/>
      <c r="BG291" s="20"/>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row>
    <row r="292" spans="1:115" ht="14.25" customHeight="1">
      <c r="A292" s="1"/>
      <c r="B292" s="1"/>
      <c r="C292" s="1"/>
      <c r="D292" s="1"/>
      <c r="E292" s="1"/>
      <c r="F292" s="1"/>
      <c r="G292" s="1"/>
      <c r="H292" s="1"/>
      <c r="I292" s="294"/>
      <c r="J292" s="294"/>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3"/>
      <c r="AJ292" s="1"/>
      <c r="AK292" s="295"/>
      <c r="AL292" s="1"/>
      <c r="AM292" s="1"/>
      <c r="AN292" s="1"/>
      <c r="AO292" s="1"/>
      <c r="AP292" s="1"/>
      <c r="AQ292" s="1"/>
      <c r="AR292" s="1"/>
      <c r="AS292" s="1"/>
      <c r="AT292" s="1"/>
      <c r="AU292" s="1"/>
      <c r="AV292" s="1"/>
      <c r="AW292" s="1"/>
      <c r="AX292" s="1"/>
      <c r="AY292" s="1"/>
      <c r="AZ292" s="1"/>
      <c r="BA292" s="1"/>
      <c r="BB292" s="1"/>
      <c r="BC292" s="1"/>
      <c r="BD292" s="296"/>
      <c r="BE292" s="1"/>
      <c r="BF292" s="1"/>
      <c r="BG292" s="20"/>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row>
    <row r="293" spans="1:115" ht="14.25" customHeight="1">
      <c r="A293" s="1"/>
      <c r="B293" s="1"/>
      <c r="C293" s="1"/>
      <c r="D293" s="1"/>
      <c r="E293" s="1"/>
      <c r="F293" s="1"/>
      <c r="G293" s="1"/>
      <c r="H293" s="1"/>
      <c r="I293" s="294"/>
      <c r="J293" s="294"/>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3"/>
      <c r="AJ293" s="1"/>
      <c r="AK293" s="295"/>
      <c r="AL293" s="1"/>
      <c r="AM293" s="1"/>
      <c r="AN293" s="1"/>
      <c r="AO293" s="1"/>
      <c r="AP293" s="1"/>
      <c r="AQ293" s="1"/>
      <c r="AR293" s="1"/>
      <c r="AS293" s="1"/>
      <c r="AT293" s="1"/>
      <c r="AU293" s="1"/>
      <c r="AV293" s="1"/>
      <c r="AW293" s="1"/>
      <c r="AX293" s="1"/>
      <c r="AY293" s="1"/>
      <c r="AZ293" s="1"/>
      <c r="BA293" s="1"/>
      <c r="BB293" s="1"/>
      <c r="BC293" s="1"/>
      <c r="BD293" s="296"/>
      <c r="BE293" s="1"/>
      <c r="BF293" s="1"/>
      <c r="BG293" s="20"/>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row>
    <row r="294" spans="1:115" ht="14.25" customHeight="1">
      <c r="A294" s="1"/>
      <c r="B294" s="1"/>
      <c r="C294" s="1"/>
      <c r="D294" s="1"/>
      <c r="E294" s="1"/>
      <c r="F294" s="1"/>
      <c r="G294" s="1"/>
      <c r="H294" s="1"/>
      <c r="I294" s="294"/>
      <c r="J294" s="294"/>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3"/>
      <c r="AJ294" s="1"/>
      <c r="AK294" s="295"/>
      <c r="AL294" s="1"/>
      <c r="AM294" s="1"/>
      <c r="AN294" s="1"/>
      <c r="AO294" s="1"/>
      <c r="AP294" s="1"/>
      <c r="AQ294" s="1"/>
      <c r="AR294" s="1"/>
      <c r="AS294" s="1"/>
      <c r="AT294" s="1"/>
      <c r="AU294" s="1"/>
      <c r="AV294" s="1"/>
      <c r="AW294" s="1"/>
      <c r="AX294" s="1"/>
      <c r="AY294" s="1"/>
      <c r="AZ294" s="1"/>
      <c r="BA294" s="1"/>
      <c r="BB294" s="1"/>
      <c r="BC294" s="1"/>
      <c r="BD294" s="296"/>
      <c r="BE294" s="1"/>
      <c r="BF294" s="1"/>
      <c r="BG294" s="20"/>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row>
    <row r="295" spans="1:115" ht="14.25" customHeight="1">
      <c r="A295" s="1"/>
      <c r="B295" s="1"/>
      <c r="C295" s="1"/>
      <c r="D295" s="1"/>
      <c r="E295" s="1"/>
      <c r="F295" s="1"/>
      <c r="G295" s="1"/>
      <c r="H295" s="1"/>
      <c r="I295" s="294"/>
      <c r="J295" s="294"/>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3"/>
      <c r="AJ295" s="1"/>
      <c r="AK295" s="295"/>
      <c r="AL295" s="1"/>
      <c r="AM295" s="1"/>
      <c r="AN295" s="1"/>
      <c r="AO295" s="1"/>
      <c r="AP295" s="1"/>
      <c r="AQ295" s="1"/>
      <c r="AR295" s="1"/>
      <c r="AS295" s="1"/>
      <c r="AT295" s="1"/>
      <c r="AU295" s="1"/>
      <c r="AV295" s="1"/>
      <c r="AW295" s="1"/>
      <c r="AX295" s="1"/>
      <c r="AY295" s="1"/>
      <c r="AZ295" s="1"/>
      <c r="BA295" s="1"/>
      <c r="BB295" s="1"/>
      <c r="BC295" s="1"/>
      <c r="BD295" s="296"/>
      <c r="BE295" s="1"/>
      <c r="BF295" s="1"/>
      <c r="BG295" s="20"/>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row>
    <row r="296" spans="1:115" ht="14.25" customHeight="1">
      <c r="A296" s="1"/>
      <c r="B296" s="1"/>
      <c r="C296" s="1"/>
      <c r="D296" s="1"/>
      <c r="E296" s="1"/>
      <c r="F296" s="1"/>
      <c r="G296" s="1"/>
      <c r="H296" s="1"/>
      <c r="I296" s="294"/>
      <c r="J296" s="294"/>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3"/>
      <c r="AJ296" s="1"/>
      <c r="AK296" s="295"/>
      <c r="AL296" s="1"/>
      <c r="AM296" s="1"/>
      <c r="AN296" s="1"/>
      <c r="AO296" s="1"/>
      <c r="AP296" s="1"/>
      <c r="AQ296" s="1"/>
      <c r="AR296" s="1"/>
      <c r="AS296" s="1"/>
      <c r="AT296" s="1"/>
      <c r="AU296" s="1"/>
      <c r="AV296" s="1"/>
      <c r="AW296" s="1"/>
      <c r="AX296" s="1"/>
      <c r="AY296" s="1"/>
      <c r="AZ296" s="1"/>
      <c r="BA296" s="1"/>
      <c r="BB296" s="1"/>
      <c r="BC296" s="1"/>
      <c r="BD296" s="296"/>
      <c r="BE296" s="1"/>
      <c r="BF296" s="1"/>
      <c r="BG296" s="20"/>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row>
    <row r="297" spans="1:115" ht="14.25" customHeight="1">
      <c r="A297" s="1"/>
      <c r="B297" s="1"/>
      <c r="C297" s="1"/>
      <c r="D297" s="1"/>
      <c r="E297" s="1"/>
      <c r="F297" s="1"/>
      <c r="G297" s="1"/>
      <c r="H297" s="1"/>
      <c r="I297" s="294"/>
      <c r="J297" s="294"/>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3"/>
      <c r="AJ297" s="1"/>
      <c r="AK297" s="295"/>
      <c r="AL297" s="1"/>
      <c r="AM297" s="1"/>
      <c r="AN297" s="1"/>
      <c r="AO297" s="1"/>
      <c r="AP297" s="1"/>
      <c r="AQ297" s="1"/>
      <c r="AR297" s="1"/>
      <c r="AS297" s="1"/>
      <c r="AT297" s="1"/>
      <c r="AU297" s="1"/>
      <c r="AV297" s="1"/>
      <c r="AW297" s="1"/>
      <c r="AX297" s="1"/>
      <c r="AY297" s="1"/>
      <c r="AZ297" s="1"/>
      <c r="BA297" s="1"/>
      <c r="BB297" s="1"/>
      <c r="BC297" s="1"/>
      <c r="BD297" s="296"/>
      <c r="BE297" s="1"/>
      <c r="BF297" s="1"/>
      <c r="BG297" s="20"/>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row>
    <row r="298" spans="1:115" ht="14.25" customHeight="1">
      <c r="A298" s="1"/>
      <c r="B298" s="1"/>
      <c r="C298" s="1"/>
      <c r="D298" s="1"/>
      <c r="E298" s="1"/>
      <c r="F298" s="1"/>
      <c r="G298" s="1"/>
      <c r="H298" s="1"/>
      <c r="I298" s="294"/>
      <c r="J298" s="294"/>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3"/>
      <c r="AJ298" s="1"/>
      <c r="AK298" s="295"/>
      <c r="AL298" s="1"/>
      <c r="AM298" s="1"/>
      <c r="AN298" s="1"/>
      <c r="AO298" s="1"/>
      <c r="AP298" s="1"/>
      <c r="AQ298" s="1"/>
      <c r="AR298" s="1"/>
      <c r="AS298" s="1"/>
      <c r="AT298" s="1"/>
      <c r="AU298" s="1"/>
      <c r="AV298" s="1"/>
      <c r="AW298" s="1"/>
      <c r="AX298" s="1"/>
      <c r="AY298" s="1"/>
      <c r="AZ298" s="1"/>
      <c r="BA298" s="1"/>
      <c r="BB298" s="1"/>
      <c r="BC298" s="1"/>
      <c r="BD298" s="296"/>
      <c r="BE298" s="1"/>
      <c r="BF298" s="1"/>
      <c r="BG298" s="20"/>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row>
    <row r="299" spans="1:115" ht="14.25" customHeight="1">
      <c r="A299" s="1"/>
      <c r="B299" s="1"/>
      <c r="C299" s="1"/>
      <c r="D299" s="1"/>
      <c r="E299" s="1"/>
      <c r="F299" s="1"/>
      <c r="G299" s="1"/>
      <c r="H299" s="1"/>
      <c r="I299" s="294"/>
      <c r="J299" s="294"/>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3"/>
      <c r="AJ299" s="1"/>
      <c r="AK299" s="295"/>
      <c r="AL299" s="1"/>
      <c r="AM299" s="1"/>
      <c r="AN299" s="1"/>
      <c r="AO299" s="1"/>
      <c r="AP299" s="1"/>
      <c r="AQ299" s="1"/>
      <c r="AR299" s="1"/>
      <c r="AS299" s="1"/>
      <c r="AT299" s="1"/>
      <c r="AU299" s="1"/>
      <c r="AV299" s="1"/>
      <c r="AW299" s="1"/>
      <c r="AX299" s="1"/>
      <c r="AY299" s="1"/>
      <c r="AZ299" s="1"/>
      <c r="BA299" s="1"/>
      <c r="BB299" s="1"/>
      <c r="BC299" s="1"/>
      <c r="BD299" s="296"/>
      <c r="BE299" s="1"/>
      <c r="BF299" s="1"/>
      <c r="BG299" s="20"/>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row>
    <row r="300" spans="1:115" ht="14.25" customHeight="1">
      <c r="A300" s="1"/>
      <c r="B300" s="1"/>
      <c r="C300" s="1"/>
      <c r="D300" s="1"/>
      <c r="E300" s="1"/>
      <c r="F300" s="1"/>
      <c r="G300" s="1"/>
      <c r="H300" s="1"/>
      <c r="I300" s="294"/>
      <c r="J300" s="294"/>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3"/>
      <c r="AJ300" s="1"/>
      <c r="AK300" s="295"/>
      <c r="AL300" s="1"/>
      <c r="AM300" s="1"/>
      <c r="AN300" s="1"/>
      <c r="AO300" s="1"/>
      <c r="AP300" s="1"/>
      <c r="AQ300" s="1"/>
      <c r="AR300" s="1"/>
      <c r="AS300" s="1"/>
      <c r="AT300" s="1"/>
      <c r="AU300" s="1"/>
      <c r="AV300" s="1"/>
      <c r="AW300" s="1"/>
      <c r="AX300" s="1"/>
      <c r="AY300" s="1"/>
      <c r="AZ300" s="1"/>
      <c r="BA300" s="1"/>
      <c r="BB300" s="1"/>
      <c r="BC300" s="1"/>
      <c r="BD300" s="296"/>
      <c r="BE300" s="1"/>
      <c r="BF300" s="1"/>
      <c r="BG300" s="20"/>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row>
    <row r="301" spans="1:115" ht="14.25" customHeight="1">
      <c r="A301" s="1"/>
      <c r="B301" s="1"/>
      <c r="C301" s="1"/>
      <c r="D301" s="1"/>
      <c r="E301" s="1"/>
      <c r="F301" s="1"/>
      <c r="G301" s="1"/>
      <c r="H301" s="1"/>
      <c r="I301" s="294"/>
      <c r="J301" s="294"/>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3"/>
      <c r="AJ301" s="1"/>
      <c r="AK301" s="295"/>
      <c r="AL301" s="1"/>
      <c r="AM301" s="1"/>
      <c r="AN301" s="1"/>
      <c r="AO301" s="1"/>
      <c r="AP301" s="1"/>
      <c r="AQ301" s="1"/>
      <c r="AR301" s="1"/>
      <c r="AS301" s="1"/>
      <c r="AT301" s="1"/>
      <c r="AU301" s="1"/>
      <c r="AV301" s="1"/>
      <c r="AW301" s="1"/>
      <c r="AX301" s="1"/>
      <c r="AY301" s="1"/>
      <c r="AZ301" s="1"/>
      <c r="BA301" s="1"/>
      <c r="BB301" s="1"/>
      <c r="BC301" s="1"/>
      <c r="BD301" s="296"/>
      <c r="BE301" s="1"/>
      <c r="BF301" s="1"/>
      <c r="BG301" s="20"/>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row>
    <row r="302" spans="1:115" ht="14.25" customHeight="1">
      <c r="A302" s="1"/>
      <c r="B302" s="1"/>
      <c r="C302" s="1"/>
      <c r="D302" s="1"/>
      <c r="E302" s="1"/>
      <c r="F302" s="1"/>
      <c r="G302" s="1"/>
      <c r="H302" s="1"/>
      <c r="I302" s="294"/>
      <c r="J302" s="294"/>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3"/>
      <c r="AJ302" s="1"/>
      <c r="AK302" s="295"/>
      <c r="AL302" s="1"/>
      <c r="AM302" s="1"/>
      <c r="AN302" s="1"/>
      <c r="AO302" s="1"/>
      <c r="AP302" s="1"/>
      <c r="AQ302" s="1"/>
      <c r="AR302" s="1"/>
      <c r="AS302" s="1"/>
      <c r="AT302" s="1"/>
      <c r="AU302" s="1"/>
      <c r="AV302" s="1"/>
      <c r="AW302" s="1"/>
      <c r="AX302" s="1"/>
      <c r="AY302" s="1"/>
      <c r="AZ302" s="1"/>
      <c r="BA302" s="1"/>
      <c r="BB302" s="1"/>
      <c r="BC302" s="1"/>
      <c r="BD302" s="296"/>
      <c r="BE302" s="1"/>
      <c r="BF302" s="1"/>
      <c r="BG302" s="20"/>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row>
    <row r="303" spans="1:115" ht="14.25" customHeight="1">
      <c r="A303" s="1"/>
      <c r="B303" s="1"/>
      <c r="C303" s="1"/>
      <c r="D303" s="1"/>
      <c r="E303" s="1"/>
      <c r="F303" s="1"/>
      <c r="G303" s="1"/>
      <c r="H303" s="1"/>
      <c r="I303" s="294"/>
      <c r="J303" s="294"/>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3"/>
      <c r="AJ303" s="1"/>
      <c r="AK303" s="295"/>
      <c r="AL303" s="1"/>
      <c r="AM303" s="1"/>
      <c r="AN303" s="1"/>
      <c r="AO303" s="1"/>
      <c r="AP303" s="1"/>
      <c r="AQ303" s="1"/>
      <c r="AR303" s="1"/>
      <c r="AS303" s="1"/>
      <c r="AT303" s="1"/>
      <c r="AU303" s="1"/>
      <c r="AV303" s="1"/>
      <c r="AW303" s="1"/>
      <c r="AX303" s="1"/>
      <c r="AY303" s="1"/>
      <c r="AZ303" s="1"/>
      <c r="BA303" s="1"/>
      <c r="BB303" s="1"/>
      <c r="BC303" s="1"/>
      <c r="BD303" s="296"/>
      <c r="BE303" s="1"/>
      <c r="BF303" s="1"/>
      <c r="BG303" s="20"/>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row>
    <row r="304" spans="1:115" ht="14.25" customHeight="1">
      <c r="A304" s="1"/>
      <c r="B304" s="1"/>
      <c r="C304" s="1"/>
      <c r="D304" s="1"/>
      <c r="E304" s="1"/>
      <c r="F304" s="1"/>
      <c r="G304" s="1"/>
      <c r="H304" s="1"/>
      <c r="I304" s="294"/>
      <c r="J304" s="294"/>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3"/>
      <c r="AJ304" s="1"/>
      <c r="AK304" s="295"/>
      <c r="AL304" s="1"/>
      <c r="AM304" s="1"/>
      <c r="AN304" s="1"/>
      <c r="AO304" s="1"/>
      <c r="AP304" s="1"/>
      <c r="AQ304" s="1"/>
      <c r="AR304" s="1"/>
      <c r="AS304" s="1"/>
      <c r="AT304" s="1"/>
      <c r="AU304" s="1"/>
      <c r="AV304" s="1"/>
      <c r="AW304" s="1"/>
      <c r="AX304" s="1"/>
      <c r="AY304" s="1"/>
      <c r="AZ304" s="1"/>
      <c r="BA304" s="1"/>
      <c r="BB304" s="1"/>
      <c r="BC304" s="1"/>
      <c r="BD304" s="296"/>
      <c r="BE304" s="1"/>
      <c r="BF304" s="1"/>
      <c r="BG304" s="20"/>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row>
    <row r="305" spans="1:115" ht="14.25" customHeight="1">
      <c r="A305" s="1"/>
      <c r="B305" s="1"/>
      <c r="C305" s="1"/>
      <c r="D305" s="1"/>
      <c r="E305" s="1"/>
      <c r="F305" s="1"/>
      <c r="G305" s="1"/>
      <c r="H305" s="1"/>
      <c r="I305" s="294"/>
      <c r="J305" s="294"/>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3"/>
      <c r="AJ305" s="1"/>
      <c r="AK305" s="295"/>
      <c r="AL305" s="1"/>
      <c r="AM305" s="1"/>
      <c r="AN305" s="1"/>
      <c r="AO305" s="1"/>
      <c r="AP305" s="1"/>
      <c r="AQ305" s="1"/>
      <c r="AR305" s="1"/>
      <c r="AS305" s="1"/>
      <c r="AT305" s="1"/>
      <c r="AU305" s="1"/>
      <c r="AV305" s="1"/>
      <c r="AW305" s="1"/>
      <c r="AX305" s="1"/>
      <c r="AY305" s="1"/>
      <c r="AZ305" s="1"/>
      <c r="BA305" s="1"/>
      <c r="BB305" s="1"/>
      <c r="BC305" s="1"/>
      <c r="BD305" s="296"/>
      <c r="BE305" s="1"/>
      <c r="BF305" s="1"/>
      <c r="BG305" s="20"/>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row>
    <row r="306" spans="1:115" ht="14.25" customHeight="1">
      <c r="A306" s="1"/>
      <c r="B306" s="1"/>
      <c r="C306" s="1"/>
      <c r="D306" s="1"/>
      <c r="E306" s="1"/>
      <c r="F306" s="1"/>
      <c r="G306" s="1"/>
      <c r="H306" s="1"/>
      <c r="I306" s="294"/>
      <c r="J306" s="294"/>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3"/>
      <c r="AJ306" s="1"/>
      <c r="AK306" s="295"/>
      <c r="AL306" s="1"/>
      <c r="AM306" s="1"/>
      <c r="AN306" s="1"/>
      <c r="AO306" s="1"/>
      <c r="AP306" s="1"/>
      <c r="AQ306" s="1"/>
      <c r="AR306" s="1"/>
      <c r="AS306" s="1"/>
      <c r="AT306" s="1"/>
      <c r="AU306" s="1"/>
      <c r="AV306" s="1"/>
      <c r="AW306" s="1"/>
      <c r="AX306" s="1"/>
      <c r="AY306" s="1"/>
      <c r="AZ306" s="1"/>
      <c r="BA306" s="1"/>
      <c r="BB306" s="1"/>
      <c r="BC306" s="1"/>
      <c r="BD306" s="296"/>
      <c r="BE306" s="1"/>
      <c r="BF306" s="1"/>
      <c r="BG306" s="20"/>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row>
    <row r="307" spans="1:115" ht="14.25" customHeight="1">
      <c r="A307" s="1"/>
      <c r="B307" s="1"/>
      <c r="C307" s="1"/>
      <c r="D307" s="1"/>
      <c r="E307" s="1"/>
      <c r="F307" s="1"/>
      <c r="G307" s="1"/>
      <c r="H307" s="1"/>
      <c r="I307" s="294"/>
      <c r="J307" s="294"/>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3"/>
      <c r="AJ307" s="1"/>
      <c r="AK307" s="295"/>
      <c r="AL307" s="1"/>
      <c r="AM307" s="1"/>
      <c r="AN307" s="1"/>
      <c r="AO307" s="1"/>
      <c r="AP307" s="1"/>
      <c r="AQ307" s="1"/>
      <c r="AR307" s="1"/>
      <c r="AS307" s="1"/>
      <c r="AT307" s="1"/>
      <c r="AU307" s="1"/>
      <c r="AV307" s="1"/>
      <c r="AW307" s="1"/>
      <c r="AX307" s="1"/>
      <c r="AY307" s="1"/>
      <c r="AZ307" s="1"/>
      <c r="BA307" s="1"/>
      <c r="BB307" s="1"/>
      <c r="BC307" s="1"/>
      <c r="BD307" s="296"/>
      <c r="BE307" s="1"/>
      <c r="BF307" s="1"/>
      <c r="BG307" s="20"/>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row>
    <row r="308" spans="1:115" ht="14.25" customHeight="1">
      <c r="A308" s="1"/>
      <c r="B308" s="1"/>
      <c r="C308" s="1"/>
      <c r="D308" s="1"/>
      <c r="E308" s="1"/>
      <c r="F308" s="1"/>
      <c r="G308" s="1"/>
      <c r="H308" s="1"/>
      <c r="I308" s="294"/>
      <c r="J308" s="294"/>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3"/>
      <c r="AJ308" s="1"/>
      <c r="AK308" s="295"/>
      <c r="AL308" s="1"/>
      <c r="AM308" s="1"/>
      <c r="AN308" s="1"/>
      <c r="AO308" s="1"/>
      <c r="AP308" s="1"/>
      <c r="AQ308" s="1"/>
      <c r="AR308" s="1"/>
      <c r="AS308" s="1"/>
      <c r="AT308" s="1"/>
      <c r="AU308" s="1"/>
      <c r="AV308" s="1"/>
      <c r="AW308" s="1"/>
      <c r="AX308" s="1"/>
      <c r="AY308" s="1"/>
      <c r="AZ308" s="1"/>
      <c r="BA308" s="1"/>
      <c r="BB308" s="1"/>
      <c r="BC308" s="1"/>
      <c r="BD308" s="296"/>
      <c r="BE308" s="1"/>
      <c r="BF308" s="1"/>
      <c r="BG308" s="20"/>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row>
    <row r="309" spans="1:115" ht="14.25" customHeight="1">
      <c r="A309" s="1"/>
      <c r="B309" s="1"/>
      <c r="C309" s="1"/>
      <c r="D309" s="1"/>
      <c r="E309" s="1"/>
      <c r="F309" s="1"/>
      <c r="G309" s="1"/>
      <c r="H309" s="1"/>
      <c r="I309" s="294"/>
      <c r="J309" s="294"/>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3"/>
      <c r="AJ309" s="1"/>
      <c r="AK309" s="295"/>
      <c r="AL309" s="1"/>
      <c r="AM309" s="1"/>
      <c r="AN309" s="1"/>
      <c r="AO309" s="1"/>
      <c r="AP309" s="1"/>
      <c r="AQ309" s="1"/>
      <c r="AR309" s="1"/>
      <c r="AS309" s="1"/>
      <c r="AT309" s="1"/>
      <c r="AU309" s="1"/>
      <c r="AV309" s="1"/>
      <c r="AW309" s="1"/>
      <c r="AX309" s="1"/>
      <c r="AY309" s="1"/>
      <c r="AZ309" s="1"/>
      <c r="BA309" s="1"/>
      <c r="BB309" s="1"/>
      <c r="BC309" s="1"/>
      <c r="BD309" s="296"/>
      <c r="BE309" s="1"/>
      <c r="BF309" s="1"/>
      <c r="BG309" s="20"/>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row>
    <row r="310" spans="1:115" ht="14.25" customHeight="1">
      <c r="A310" s="1"/>
      <c r="B310" s="1"/>
      <c r="C310" s="1"/>
      <c r="D310" s="1"/>
      <c r="E310" s="1"/>
      <c r="F310" s="1"/>
      <c r="G310" s="1"/>
      <c r="H310" s="1"/>
      <c r="I310" s="294"/>
      <c r="J310" s="294"/>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3"/>
      <c r="AJ310" s="1"/>
      <c r="AK310" s="295"/>
      <c r="AL310" s="1"/>
      <c r="AM310" s="1"/>
      <c r="AN310" s="1"/>
      <c r="AO310" s="1"/>
      <c r="AP310" s="1"/>
      <c r="AQ310" s="1"/>
      <c r="AR310" s="1"/>
      <c r="AS310" s="1"/>
      <c r="AT310" s="1"/>
      <c r="AU310" s="1"/>
      <c r="AV310" s="1"/>
      <c r="AW310" s="1"/>
      <c r="AX310" s="1"/>
      <c r="AY310" s="1"/>
      <c r="AZ310" s="1"/>
      <c r="BA310" s="1"/>
      <c r="BB310" s="1"/>
      <c r="BC310" s="1"/>
      <c r="BD310" s="296"/>
      <c r="BE310" s="1"/>
      <c r="BF310" s="1"/>
      <c r="BG310" s="20"/>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row>
    <row r="311" spans="1:115" ht="14.25" customHeight="1">
      <c r="A311" s="1"/>
      <c r="B311" s="1"/>
      <c r="C311" s="1"/>
      <c r="D311" s="1"/>
      <c r="E311" s="1"/>
      <c r="F311" s="1"/>
      <c r="G311" s="1"/>
      <c r="H311" s="1"/>
      <c r="I311" s="294"/>
      <c r="J311" s="294"/>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3"/>
      <c r="AJ311" s="1"/>
      <c r="AK311" s="295"/>
      <c r="AL311" s="1"/>
      <c r="AM311" s="1"/>
      <c r="AN311" s="1"/>
      <c r="AO311" s="1"/>
      <c r="AP311" s="1"/>
      <c r="AQ311" s="1"/>
      <c r="AR311" s="1"/>
      <c r="AS311" s="1"/>
      <c r="AT311" s="1"/>
      <c r="AU311" s="1"/>
      <c r="AV311" s="1"/>
      <c r="AW311" s="1"/>
      <c r="AX311" s="1"/>
      <c r="AY311" s="1"/>
      <c r="AZ311" s="1"/>
      <c r="BA311" s="1"/>
      <c r="BB311" s="1"/>
      <c r="BC311" s="1"/>
      <c r="BD311" s="296"/>
      <c r="BE311" s="1"/>
      <c r="BF311" s="1"/>
      <c r="BG311" s="20"/>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row>
    <row r="312" spans="1:115" ht="14.25" customHeight="1">
      <c r="A312" s="1"/>
      <c r="B312" s="1"/>
      <c r="C312" s="1"/>
      <c r="D312" s="1"/>
      <c r="E312" s="1"/>
      <c r="F312" s="1"/>
      <c r="G312" s="1"/>
      <c r="H312" s="1"/>
      <c r="I312" s="294"/>
      <c r="J312" s="294"/>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3"/>
      <c r="AJ312" s="1"/>
      <c r="AK312" s="295"/>
      <c r="AL312" s="1"/>
      <c r="AM312" s="1"/>
      <c r="AN312" s="1"/>
      <c r="AO312" s="1"/>
      <c r="AP312" s="1"/>
      <c r="AQ312" s="1"/>
      <c r="AR312" s="1"/>
      <c r="AS312" s="1"/>
      <c r="AT312" s="1"/>
      <c r="AU312" s="1"/>
      <c r="AV312" s="1"/>
      <c r="AW312" s="1"/>
      <c r="AX312" s="1"/>
      <c r="AY312" s="1"/>
      <c r="AZ312" s="1"/>
      <c r="BA312" s="1"/>
      <c r="BB312" s="1"/>
      <c r="BC312" s="1"/>
      <c r="BD312" s="296"/>
      <c r="BE312" s="1"/>
      <c r="BF312" s="1"/>
      <c r="BG312" s="20"/>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row>
    <row r="313" spans="1:115" ht="14.25" customHeight="1">
      <c r="A313" s="1"/>
      <c r="B313" s="1"/>
      <c r="C313" s="1"/>
      <c r="D313" s="1"/>
      <c r="E313" s="1"/>
      <c r="F313" s="1"/>
      <c r="G313" s="1"/>
      <c r="H313" s="1"/>
      <c r="I313" s="294"/>
      <c r="J313" s="294"/>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3"/>
      <c r="AJ313" s="1"/>
      <c r="AK313" s="295"/>
      <c r="AL313" s="1"/>
      <c r="AM313" s="1"/>
      <c r="AN313" s="1"/>
      <c r="AO313" s="1"/>
      <c r="AP313" s="1"/>
      <c r="AQ313" s="1"/>
      <c r="AR313" s="1"/>
      <c r="AS313" s="1"/>
      <c r="AT313" s="1"/>
      <c r="AU313" s="1"/>
      <c r="AV313" s="1"/>
      <c r="AW313" s="1"/>
      <c r="AX313" s="1"/>
      <c r="AY313" s="1"/>
      <c r="AZ313" s="1"/>
      <c r="BA313" s="1"/>
      <c r="BB313" s="1"/>
      <c r="BC313" s="1"/>
      <c r="BD313" s="296"/>
      <c r="BE313" s="1"/>
      <c r="BF313" s="1"/>
      <c r="BG313" s="20"/>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row>
    <row r="314" spans="1:115" ht="14.25" customHeight="1">
      <c r="A314" s="1"/>
      <c r="B314" s="1"/>
      <c r="C314" s="1"/>
      <c r="D314" s="1"/>
      <c r="E314" s="1"/>
      <c r="F314" s="1"/>
      <c r="G314" s="1"/>
      <c r="H314" s="1"/>
      <c r="I314" s="294"/>
      <c r="J314" s="294"/>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3"/>
      <c r="AJ314" s="1"/>
      <c r="AK314" s="295"/>
      <c r="AL314" s="1"/>
      <c r="AM314" s="1"/>
      <c r="AN314" s="1"/>
      <c r="AO314" s="1"/>
      <c r="AP314" s="1"/>
      <c r="AQ314" s="1"/>
      <c r="AR314" s="1"/>
      <c r="AS314" s="1"/>
      <c r="AT314" s="1"/>
      <c r="AU314" s="1"/>
      <c r="AV314" s="1"/>
      <c r="AW314" s="1"/>
      <c r="AX314" s="1"/>
      <c r="AY314" s="1"/>
      <c r="AZ314" s="1"/>
      <c r="BA314" s="1"/>
      <c r="BB314" s="1"/>
      <c r="BC314" s="1"/>
      <c r="BD314" s="296"/>
      <c r="BE314" s="1"/>
      <c r="BF314" s="1"/>
      <c r="BG314" s="20"/>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row>
    <row r="315" spans="1:115" ht="15.75" customHeight="1">
      <c r="A315" s="1"/>
      <c r="B315" s="1"/>
      <c r="C315" s="1"/>
      <c r="D315" s="1"/>
      <c r="E315" s="1"/>
      <c r="F315" s="1"/>
      <c r="G315" s="1"/>
      <c r="H315" s="1"/>
      <c r="I315" s="294"/>
      <c r="J315" s="294"/>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3"/>
      <c r="AJ315" s="1"/>
      <c r="AK315" s="295"/>
      <c r="AL315" s="1"/>
      <c r="AM315" s="1"/>
      <c r="AN315" s="1"/>
      <c r="AO315" s="1"/>
      <c r="AP315" s="1"/>
      <c r="AQ315" s="1"/>
      <c r="AR315" s="1"/>
      <c r="AS315" s="1"/>
      <c r="AT315" s="1"/>
      <c r="AU315" s="1"/>
      <c r="AV315" s="1"/>
      <c r="AW315" s="1"/>
      <c r="AX315" s="1"/>
      <c r="AY315" s="1"/>
      <c r="AZ315" s="1"/>
      <c r="BA315" s="1"/>
      <c r="BB315" s="1"/>
      <c r="BC315" s="1"/>
      <c r="BD315" s="296"/>
      <c r="BE315" s="1"/>
      <c r="BF315" s="1"/>
      <c r="BG315" s="20"/>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row>
    <row r="316" spans="1:115" ht="15.75" customHeight="1">
      <c r="A316" s="1"/>
      <c r="B316" s="1"/>
      <c r="C316" s="1"/>
      <c r="D316" s="1"/>
      <c r="E316" s="1"/>
      <c r="F316" s="1"/>
      <c r="G316" s="1"/>
      <c r="H316" s="1"/>
      <c r="I316" s="294"/>
      <c r="J316" s="294"/>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3"/>
      <c r="AJ316" s="1"/>
      <c r="AK316" s="295"/>
      <c r="AL316" s="1"/>
      <c r="AM316" s="1"/>
      <c r="AN316" s="1"/>
      <c r="AO316" s="1"/>
      <c r="AP316" s="1"/>
      <c r="AQ316" s="1"/>
      <c r="AR316" s="1"/>
      <c r="AS316" s="1"/>
      <c r="AT316" s="1"/>
      <c r="AU316" s="1"/>
      <c r="AV316" s="1"/>
      <c r="AW316" s="1"/>
      <c r="AX316" s="1"/>
      <c r="AY316" s="1"/>
      <c r="AZ316" s="1"/>
      <c r="BA316" s="1"/>
      <c r="BB316" s="1"/>
      <c r="BC316" s="1"/>
      <c r="BD316" s="296"/>
      <c r="BE316" s="1"/>
      <c r="BF316" s="1"/>
      <c r="BG316" s="20"/>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row>
    <row r="317" spans="1:115" ht="15.75" customHeight="1">
      <c r="A317" s="1"/>
      <c r="B317" s="1"/>
      <c r="C317" s="1"/>
      <c r="D317" s="1"/>
      <c r="E317" s="1"/>
      <c r="F317" s="1"/>
      <c r="G317" s="1"/>
      <c r="H317" s="1"/>
      <c r="I317" s="294"/>
      <c r="J317" s="294"/>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3"/>
      <c r="AJ317" s="1"/>
      <c r="AK317" s="295"/>
      <c r="AL317" s="1"/>
      <c r="AM317" s="1"/>
      <c r="AN317" s="1"/>
      <c r="AO317" s="1"/>
      <c r="AP317" s="1"/>
      <c r="AQ317" s="1"/>
      <c r="AR317" s="1"/>
      <c r="AS317" s="1"/>
      <c r="AT317" s="1"/>
      <c r="AU317" s="1"/>
      <c r="AV317" s="1"/>
      <c r="AW317" s="1"/>
      <c r="AX317" s="1"/>
      <c r="AY317" s="1"/>
      <c r="AZ317" s="1"/>
      <c r="BA317" s="1"/>
      <c r="BB317" s="1"/>
      <c r="BC317" s="1"/>
      <c r="BD317" s="296"/>
      <c r="BE317" s="1"/>
      <c r="BF317" s="1"/>
      <c r="BG317" s="20"/>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row>
    <row r="318" spans="1:115" ht="15.75" customHeight="1">
      <c r="A318" s="1"/>
      <c r="B318" s="1"/>
      <c r="C318" s="1"/>
      <c r="D318" s="1"/>
      <c r="E318" s="1"/>
      <c r="F318" s="1"/>
      <c r="G318" s="1"/>
      <c r="H318" s="1"/>
      <c r="I318" s="294"/>
      <c r="J318" s="294"/>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3"/>
      <c r="AJ318" s="1"/>
      <c r="AK318" s="295"/>
      <c r="AL318" s="1"/>
      <c r="AM318" s="1"/>
      <c r="AN318" s="1"/>
      <c r="AO318" s="1"/>
      <c r="AP318" s="1"/>
      <c r="AQ318" s="1"/>
      <c r="AR318" s="1"/>
      <c r="AS318" s="1"/>
      <c r="AT318" s="1"/>
      <c r="AU318" s="1"/>
      <c r="AV318" s="1"/>
      <c r="AW318" s="1"/>
      <c r="AX318" s="1"/>
      <c r="AY318" s="1"/>
      <c r="AZ318" s="1"/>
      <c r="BA318" s="1"/>
      <c r="BB318" s="1"/>
      <c r="BC318" s="1"/>
      <c r="BD318" s="296"/>
      <c r="BE318" s="1"/>
      <c r="BF318" s="1"/>
      <c r="BG318" s="20"/>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row>
    <row r="319" spans="1:115" ht="15.75" customHeight="1">
      <c r="A319" s="1"/>
      <c r="B319" s="1"/>
      <c r="C319" s="1"/>
      <c r="D319" s="1"/>
      <c r="E319" s="1"/>
      <c r="F319" s="1"/>
      <c r="G319" s="1"/>
      <c r="H319" s="1"/>
      <c r="I319" s="294"/>
      <c r="J319" s="294"/>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3"/>
      <c r="AJ319" s="1"/>
      <c r="AK319" s="295"/>
      <c r="AL319" s="1"/>
      <c r="AM319" s="1"/>
      <c r="AN319" s="1"/>
      <c r="AO319" s="1"/>
      <c r="AP319" s="1"/>
      <c r="AQ319" s="1"/>
      <c r="AR319" s="1"/>
      <c r="AS319" s="1"/>
      <c r="AT319" s="1"/>
      <c r="AU319" s="1"/>
      <c r="AV319" s="1"/>
      <c r="AW319" s="1"/>
      <c r="AX319" s="1"/>
      <c r="AY319" s="1"/>
      <c r="AZ319" s="1"/>
      <c r="BA319" s="1"/>
      <c r="BB319" s="1"/>
      <c r="BC319" s="1"/>
      <c r="BD319" s="296"/>
      <c r="BE319" s="1"/>
      <c r="BF319" s="1"/>
      <c r="BG319" s="20"/>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row>
    <row r="320" spans="1:115" ht="15.75" customHeight="1">
      <c r="A320" s="1"/>
      <c r="B320" s="1"/>
      <c r="C320" s="1"/>
      <c r="D320" s="1"/>
      <c r="E320" s="1"/>
      <c r="F320" s="1"/>
      <c r="G320" s="1"/>
      <c r="H320" s="1"/>
      <c r="I320" s="294"/>
      <c r="J320" s="294"/>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3"/>
      <c r="AJ320" s="1"/>
      <c r="AK320" s="295"/>
      <c r="AL320" s="1"/>
      <c r="AM320" s="1"/>
      <c r="AN320" s="1"/>
      <c r="AO320" s="1"/>
      <c r="AP320" s="1"/>
      <c r="AQ320" s="1"/>
      <c r="AR320" s="1"/>
      <c r="AS320" s="1"/>
      <c r="AT320" s="1"/>
      <c r="AU320" s="1"/>
      <c r="AV320" s="1"/>
      <c r="AW320" s="1"/>
      <c r="AX320" s="1"/>
      <c r="AY320" s="1"/>
      <c r="AZ320" s="1"/>
      <c r="BA320" s="1"/>
      <c r="BB320" s="1"/>
      <c r="BC320" s="1"/>
      <c r="BD320" s="296"/>
      <c r="BE320" s="1"/>
      <c r="BF320" s="1"/>
      <c r="BG320" s="20"/>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row>
    <row r="321" spans="1:115" ht="15.75" customHeight="1">
      <c r="A321" s="1"/>
      <c r="B321" s="1"/>
      <c r="C321" s="1"/>
      <c r="D321" s="1"/>
      <c r="E321" s="1"/>
      <c r="F321" s="1"/>
      <c r="G321" s="1"/>
      <c r="H321" s="1"/>
      <c r="I321" s="294"/>
      <c r="J321" s="294"/>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3"/>
      <c r="AJ321" s="1"/>
      <c r="AK321" s="295"/>
      <c r="AL321" s="1"/>
      <c r="AM321" s="1"/>
      <c r="AN321" s="1"/>
      <c r="AO321" s="1"/>
      <c r="AP321" s="1"/>
      <c r="AQ321" s="1"/>
      <c r="AR321" s="1"/>
      <c r="AS321" s="1"/>
      <c r="AT321" s="1"/>
      <c r="AU321" s="1"/>
      <c r="AV321" s="1"/>
      <c r="AW321" s="1"/>
      <c r="AX321" s="1"/>
      <c r="AY321" s="1"/>
      <c r="AZ321" s="1"/>
      <c r="BA321" s="1"/>
      <c r="BB321" s="1"/>
      <c r="BC321" s="1"/>
      <c r="BD321" s="296"/>
      <c r="BE321" s="1"/>
      <c r="BF321" s="1"/>
      <c r="BG321" s="20"/>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row>
    <row r="322" spans="1:115" ht="15.75" customHeight="1">
      <c r="A322" s="1"/>
      <c r="B322" s="1"/>
      <c r="C322" s="1"/>
      <c r="D322" s="1"/>
      <c r="E322" s="1"/>
      <c r="F322" s="1"/>
      <c r="G322" s="1"/>
      <c r="H322" s="1"/>
      <c r="I322" s="294"/>
      <c r="J322" s="294"/>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3"/>
      <c r="AJ322" s="1"/>
      <c r="AK322" s="295"/>
      <c r="AL322" s="1"/>
      <c r="AM322" s="1"/>
      <c r="AN322" s="1"/>
      <c r="AO322" s="1"/>
      <c r="AP322" s="1"/>
      <c r="AQ322" s="1"/>
      <c r="AR322" s="1"/>
      <c r="AS322" s="1"/>
      <c r="AT322" s="1"/>
      <c r="AU322" s="1"/>
      <c r="AV322" s="1"/>
      <c r="AW322" s="1"/>
      <c r="AX322" s="1"/>
      <c r="AY322" s="1"/>
      <c r="AZ322" s="1"/>
      <c r="BA322" s="1"/>
      <c r="BB322" s="1"/>
      <c r="BC322" s="1"/>
      <c r="BD322" s="296"/>
      <c r="BE322" s="1"/>
      <c r="BF322" s="1"/>
      <c r="BG322" s="20"/>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row>
    <row r="323" spans="1:115" ht="15.75" customHeight="1">
      <c r="A323" s="1"/>
      <c r="B323" s="1"/>
      <c r="C323" s="1"/>
      <c r="D323" s="1"/>
      <c r="E323" s="1"/>
      <c r="F323" s="1"/>
      <c r="G323" s="1"/>
      <c r="H323" s="1"/>
      <c r="I323" s="294"/>
      <c r="J323" s="294"/>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3"/>
      <c r="AJ323" s="1"/>
      <c r="AK323" s="295"/>
      <c r="AL323" s="1"/>
      <c r="AM323" s="1"/>
      <c r="AN323" s="1"/>
      <c r="AO323" s="1"/>
      <c r="AP323" s="1"/>
      <c r="AQ323" s="1"/>
      <c r="AR323" s="1"/>
      <c r="AS323" s="1"/>
      <c r="AT323" s="1"/>
      <c r="AU323" s="1"/>
      <c r="AV323" s="1"/>
      <c r="AW323" s="1"/>
      <c r="AX323" s="1"/>
      <c r="AY323" s="1"/>
      <c r="AZ323" s="1"/>
      <c r="BA323" s="1"/>
      <c r="BB323" s="1"/>
      <c r="BC323" s="1"/>
      <c r="BD323" s="296"/>
      <c r="BE323" s="1"/>
      <c r="BF323" s="1"/>
      <c r="BG323" s="20"/>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row>
    <row r="324" spans="1:115" ht="15.75" customHeight="1">
      <c r="A324" s="1"/>
      <c r="B324" s="1"/>
      <c r="C324" s="1"/>
      <c r="D324" s="1"/>
      <c r="E324" s="1"/>
      <c r="F324" s="1"/>
      <c r="G324" s="1"/>
      <c r="H324" s="1"/>
      <c r="I324" s="294"/>
      <c r="J324" s="294"/>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3"/>
      <c r="AJ324" s="1"/>
      <c r="AK324" s="295"/>
      <c r="AL324" s="1"/>
      <c r="AM324" s="1"/>
      <c r="AN324" s="1"/>
      <c r="AO324" s="1"/>
      <c r="AP324" s="1"/>
      <c r="AQ324" s="1"/>
      <c r="AR324" s="1"/>
      <c r="AS324" s="1"/>
      <c r="AT324" s="1"/>
      <c r="AU324" s="1"/>
      <c r="AV324" s="1"/>
      <c r="AW324" s="1"/>
      <c r="AX324" s="1"/>
      <c r="AY324" s="1"/>
      <c r="AZ324" s="1"/>
      <c r="BA324" s="1"/>
      <c r="BB324" s="1"/>
      <c r="BC324" s="1"/>
      <c r="BD324" s="296"/>
      <c r="BE324" s="1"/>
      <c r="BF324" s="1"/>
      <c r="BG324" s="20"/>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row>
    <row r="325" spans="1:115" ht="15.75" customHeight="1">
      <c r="A325" s="1"/>
      <c r="B325" s="1"/>
      <c r="C325" s="1"/>
      <c r="D325" s="1"/>
      <c r="E325" s="1"/>
      <c r="F325" s="1"/>
      <c r="G325" s="1"/>
      <c r="H325" s="1"/>
      <c r="I325" s="294"/>
      <c r="J325" s="294"/>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3"/>
      <c r="AJ325" s="1"/>
      <c r="AK325" s="295"/>
      <c r="AL325" s="1"/>
      <c r="AM325" s="1"/>
      <c r="AN325" s="1"/>
      <c r="AO325" s="1"/>
      <c r="AP325" s="1"/>
      <c r="AQ325" s="1"/>
      <c r="AR325" s="1"/>
      <c r="AS325" s="1"/>
      <c r="AT325" s="1"/>
      <c r="AU325" s="1"/>
      <c r="AV325" s="1"/>
      <c r="AW325" s="1"/>
      <c r="AX325" s="1"/>
      <c r="AY325" s="1"/>
      <c r="AZ325" s="1"/>
      <c r="BA325" s="1"/>
      <c r="BB325" s="1"/>
      <c r="BC325" s="1"/>
      <c r="BD325" s="296"/>
      <c r="BE325" s="1"/>
      <c r="BF325" s="1"/>
      <c r="BG325" s="20"/>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row>
    <row r="326" spans="1:115" ht="15.75" customHeight="1">
      <c r="A326" s="1"/>
      <c r="B326" s="1"/>
      <c r="C326" s="1"/>
      <c r="D326" s="1"/>
      <c r="E326" s="1"/>
      <c r="F326" s="1"/>
      <c r="G326" s="1"/>
      <c r="H326" s="1"/>
      <c r="I326" s="294"/>
      <c r="J326" s="294"/>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3"/>
      <c r="AJ326" s="1"/>
      <c r="AK326" s="295"/>
      <c r="AL326" s="1"/>
      <c r="AM326" s="1"/>
      <c r="AN326" s="1"/>
      <c r="AO326" s="1"/>
      <c r="AP326" s="1"/>
      <c r="AQ326" s="1"/>
      <c r="AR326" s="1"/>
      <c r="AS326" s="1"/>
      <c r="AT326" s="1"/>
      <c r="AU326" s="1"/>
      <c r="AV326" s="1"/>
      <c r="AW326" s="1"/>
      <c r="AX326" s="1"/>
      <c r="AY326" s="1"/>
      <c r="AZ326" s="1"/>
      <c r="BA326" s="1"/>
      <c r="BB326" s="1"/>
      <c r="BC326" s="1"/>
      <c r="BD326" s="296"/>
      <c r="BE326" s="1"/>
      <c r="BF326" s="1"/>
      <c r="BG326" s="20"/>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row>
    <row r="327" spans="1:115" ht="15.75" customHeight="1">
      <c r="A327" s="1"/>
      <c r="B327" s="1"/>
      <c r="C327" s="1"/>
      <c r="D327" s="1"/>
      <c r="E327" s="1"/>
      <c r="F327" s="1"/>
      <c r="G327" s="1"/>
      <c r="H327" s="1"/>
      <c r="I327" s="294"/>
      <c r="J327" s="294"/>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3"/>
      <c r="AJ327" s="1"/>
      <c r="AK327" s="295"/>
      <c r="AL327" s="1"/>
      <c r="AM327" s="1"/>
      <c r="AN327" s="1"/>
      <c r="AO327" s="1"/>
      <c r="AP327" s="1"/>
      <c r="AQ327" s="1"/>
      <c r="AR327" s="1"/>
      <c r="AS327" s="1"/>
      <c r="AT327" s="1"/>
      <c r="AU327" s="1"/>
      <c r="AV327" s="1"/>
      <c r="AW327" s="1"/>
      <c r="AX327" s="1"/>
      <c r="AY327" s="1"/>
      <c r="AZ327" s="1"/>
      <c r="BA327" s="1"/>
      <c r="BB327" s="1"/>
      <c r="BC327" s="1"/>
      <c r="BD327" s="296"/>
      <c r="BE327" s="1"/>
      <c r="BF327" s="1"/>
      <c r="BG327" s="20"/>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row>
    <row r="328" spans="1:115" ht="15.75" customHeight="1">
      <c r="A328" s="1"/>
      <c r="B328" s="1"/>
      <c r="C328" s="1"/>
      <c r="D328" s="1"/>
      <c r="E328" s="1"/>
      <c r="F328" s="1"/>
      <c r="G328" s="1"/>
      <c r="H328" s="1"/>
      <c r="I328" s="294"/>
      <c r="J328" s="294"/>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3"/>
      <c r="AJ328" s="1"/>
      <c r="AK328" s="295"/>
      <c r="AL328" s="1"/>
      <c r="AM328" s="1"/>
      <c r="AN328" s="1"/>
      <c r="AO328" s="1"/>
      <c r="AP328" s="1"/>
      <c r="AQ328" s="1"/>
      <c r="AR328" s="1"/>
      <c r="AS328" s="1"/>
      <c r="AT328" s="1"/>
      <c r="AU328" s="1"/>
      <c r="AV328" s="1"/>
      <c r="AW328" s="1"/>
      <c r="AX328" s="1"/>
      <c r="AY328" s="1"/>
      <c r="AZ328" s="1"/>
      <c r="BA328" s="1"/>
      <c r="BB328" s="1"/>
      <c r="BC328" s="1"/>
      <c r="BD328" s="296"/>
      <c r="BE328" s="1"/>
      <c r="BF328" s="1"/>
      <c r="BG328" s="20"/>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row>
    <row r="329" spans="1:115" ht="15.75" customHeight="1">
      <c r="A329" s="1"/>
      <c r="B329" s="1"/>
      <c r="C329" s="1"/>
      <c r="D329" s="1"/>
      <c r="E329" s="1"/>
      <c r="F329" s="1"/>
      <c r="G329" s="1"/>
      <c r="H329" s="1"/>
      <c r="I329" s="294"/>
      <c r="J329" s="294"/>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3"/>
      <c r="AJ329" s="1"/>
      <c r="AK329" s="295"/>
      <c r="AL329" s="1"/>
      <c r="AM329" s="1"/>
      <c r="AN329" s="1"/>
      <c r="AO329" s="1"/>
      <c r="AP329" s="1"/>
      <c r="AQ329" s="1"/>
      <c r="AR329" s="1"/>
      <c r="AS329" s="1"/>
      <c r="AT329" s="1"/>
      <c r="AU329" s="1"/>
      <c r="AV329" s="1"/>
      <c r="AW329" s="1"/>
      <c r="AX329" s="1"/>
      <c r="AY329" s="1"/>
      <c r="AZ329" s="1"/>
      <c r="BA329" s="1"/>
      <c r="BB329" s="1"/>
      <c r="BC329" s="1"/>
      <c r="BD329" s="296"/>
      <c r="BE329" s="1"/>
      <c r="BF329" s="1"/>
      <c r="BG329" s="20"/>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row>
    <row r="330" spans="1:115" ht="15.75" customHeight="1">
      <c r="A330" s="1"/>
      <c r="B330" s="1"/>
      <c r="C330" s="1"/>
      <c r="D330" s="1"/>
      <c r="E330" s="1"/>
      <c r="F330" s="1"/>
      <c r="G330" s="1"/>
      <c r="H330" s="1"/>
      <c r="I330" s="294"/>
      <c r="J330" s="294"/>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3"/>
      <c r="AJ330" s="1"/>
      <c r="AK330" s="295"/>
      <c r="AL330" s="1"/>
      <c r="AM330" s="1"/>
      <c r="AN330" s="1"/>
      <c r="AO330" s="1"/>
      <c r="AP330" s="1"/>
      <c r="AQ330" s="1"/>
      <c r="AR330" s="1"/>
      <c r="AS330" s="1"/>
      <c r="AT330" s="1"/>
      <c r="AU330" s="1"/>
      <c r="AV330" s="1"/>
      <c r="AW330" s="1"/>
      <c r="AX330" s="1"/>
      <c r="AY330" s="1"/>
      <c r="AZ330" s="1"/>
      <c r="BA330" s="1"/>
      <c r="BB330" s="1"/>
      <c r="BC330" s="1"/>
      <c r="BD330" s="296"/>
      <c r="BE330" s="1"/>
      <c r="BF330" s="1"/>
      <c r="BG330" s="20"/>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row>
    <row r="331" spans="1:115" ht="15.75" customHeight="1">
      <c r="A331" s="1"/>
      <c r="B331" s="1"/>
      <c r="C331" s="1"/>
      <c r="D331" s="1"/>
      <c r="E331" s="1"/>
      <c r="F331" s="1"/>
      <c r="G331" s="1"/>
      <c r="H331" s="1"/>
      <c r="I331" s="294"/>
      <c r="J331" s="294"/>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3"/>
      <c r="AJ331" s="1"/>
      <c r="AK331" s="295"/>
      <c r="AL331" s="1"/>
      <c r="AM331" s="1"/>
      <c r="AN331" s="1"/>
      <c r="AO331" s="1"/>
      <c r="AP331" s="1"/>
      <c r="AQ331" s="1"/>
      <c r="AR331" s="1"/>
      <c r="AS331" s="1"/>
      <c r="AT331" s="1"/>
      <c r="AU331" s="1"/>
      <c r="AV331" s="1"/>
      <c r="AW331" s="1"/>
      <c r="AX331" s="1"/>
      <c r="AY331" s="1"/>
      <c r="AZ331" s="1"/>
      <c r="BA331" s="1"/>
      <c r="BB331" s="1"/>
      <c r="BC331" s="1"/>
      <c r="BD331" s="296"/>
      <c r="BE331" s="1"/>
      <c r="BF331" s="1"/>
      <c r="BG331" s="20"/>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row>
    <row r="332" spans="1:115" ht="15.75" customHeight="1">
      <c r="A332" s="1"/>
      <c r="B332" s="1"/>
      <c r="C332" s="1"/>
      <c r="D332" s="1"/>
      <c r="E332" s="1"/>
      <c r="F332" s="1"/>
      <c r="G332" s="1"/>
      <c r="H332" s="1"/>
      <c r="I332" s="294"/>
      <c r="J332" s="294"/>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3"/>
      <c r="AJ332" s="1"/>
      <c r="AK332" s="295"/>
      <c r="AL332" s="1"/>
      <c r="AM332" s="1"/>
      <c r="AN332" s="1"/>
      <c r="AO332" s="1"/>
      <c r="AP332" s="1"/>
      <c r="AQ332" s="1"/>
      <c r="AR332" s="1"/>
      <c r="AS332" s="1"/>
      <c r="AT332" s="1"/>
      <c r="AU332" s="1"/>
      <c r="AV332" s="1"/>
      <c r="AW332" s="1"/>
      <c r="AX332" s="1"/>
      <c r="AY332" s="1"/>
      <c r="AZ332" s="1"/>
      <c r="BA332" s="1"/>
      <c r="BB332" s="1"/>
      <c r="BC332" s="1"/>
      <c r="BD332" s="296"/>
      <c r="BE332" s="1"/>
      <c r="BF332" s="1"/>
      <c r="BG332" s="20"/>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row>
    <row r="333" spans="1:115" ht="15.75" customHeight="1">
      <c r="A333" s="1"/>
      <c r="B333" s="1"/>
      <c r="C333" s="1"/>
      <c r="D333" s="1"/>
      <c r="E333" s="1"/>
      <c r="F333" s="1"/>
      <c r="G333" s="1"/>
      <c r="H333" s="1"/>
      <c r="I333" s="294"/>
      <c r="J333" s="294"/>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3"/>
      <c r="AJ333" s="1"/>
      <c r="AK333" s="295"/>
      <c r="AL333" s="1"/>
      <c r="AM333" s="1"/>
      <c r="AN333" s="1"/>
      <c r="AO333" s="1"/>
      <c r="AP333" s="1"/>
      <c r="AQ333" s="1"/>
      <c r="AR333" s="1"/>
      <c r="AS333" s="1"/>
      <c r="AT333" s="1"/>
      <c r="AU333" s="1"/>
      <c r="AV333" s="1"/>
      <c r="AW333" s="1"/>
      <c r="AX333" s="1"/>
      <c r="AY333" s="1"/>
      <c r="AZ333" s="1"/>
      <c r="BA333" s="1"/>
      <c r="BB333" s="1"/>
      <c r="BC333" s="1"/>
      <c r="BD333" s="296"/>
      <c r="BE333" s="1"/>
      <c r="BF333" s="1"/>
      <c r="BG333" s="20"/>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row>
    <row r="334" spans="1:115" ht="15.75" customHeight="1">
      <c r="A334" s="1"/>
      <c r="B334" s="1"/>
      <c r="C334" s="1"/>
      <c r="D334" s="1"/>
      <c r="E334" s="1"/>
      <c r="F334" s="1"/>
      <c r="G334" s="1"/>
      <c r="H334" s="1"/>
      <c r="I334" s="294"/>
      <c r="J334" s="294"/>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3"/>
      <c r="AJ334" s="1"/>
      <c r="AK334" s="295"/>
      <c r="AL334" s="1"/>
      <c r="AM334" s="1"/>
      <c r="AN334" s="1"/>
      <c r="AO334" s="1"/>
      <c r="AP334" s="1"/>
      <c r="AQ334" s="1"/>
      <c r="AR334" s="1"/>
      <c r="AS334" s="1"/>
      <c r="AT334" s="1"/>
      <c r="AU334" s="1"/>
      <c r="AV334" s="1"/>
      <c r="AW334" s="1"/>
      <c r="AX334" s="1"/>
      <c r="AY334" s="1"/>
      <c r="AZ334" s="1"/>
      <c r="BA334" s="1"/>
      <c r="BB334" s="1"/>
      <c r="BC334" s="1"/>
      <c r="BD334" s="296"/>
      <c r="BE334" s="1"/>
      <c r="BF334" s="1"/>
      <c r="BG334" s="20"/>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row>
    <row r="335" spans="1:115" ht="15.75" customHeight="1">
      <c r="A335" s="1"/>
      <c r="B335" s="1"/>
      <c r="C335" s="1"/>
      <c r="D335" s="1"/>
      <c r="E335" s="1"/>
      <c r="F335" s="1"/>
      <c r="G335" s="1"/>
      <c r="H335" s="1"/>
      <c r="I335" s="294"/>
      <c r="J335" s="294"/>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3"/>
      <c r="AJ335" s="1"/>
      <c r="AK335" s="295"/>
      <c r="AL335" s="1"/>
      <c r="AM335" s="1"/>
      <c r="AN335" s="1"/>
      <c r="AO335" s="1"/>
      <c r="AP335" s="1"/>
      <c r="AQ335" s="1"/>
      <c r="AR335" s="1"/>
      <c r="AS335" s="1"/>
      <c r="AT335" s="1"/>
      <c r="AU335" s="1"/>
      <c r="AV335" s="1"/>
      <c r="AW335" s="1"/>
      <c r="AX335" s="1"/>
      <c r="AY335" s="1"/>
      <c r="AZ335" s="1"/>
      <c r="BA335" s="1"/>
      <c r="BB335" s="1"/>
      <c r="BC335" s="1"/>
      <c r="BD335" s="296"/>
      <c r="BE335" s="1"/>
      <c r="BF335" s="1"/>
      <c r="BG335" s="20"/>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row>
    <row r="336" spans="1:115" ht="15.75" customHeight="1">
      <c r="A336" s="1"/>
      <c r="B336" s="1"/>
      <c r="C336" s="1"/>
      <c r="D336" s="1"/>
      <c r="E336" s="1"/>
      <c r="F336" s="1"/>
      <c r="G336" s="1"/>
      <c r="H336" s="1"/>
      <c r="I336" s="294"/>
      <c r="J336" s="294"/>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3"/>
      <c r="AJ336" s="1"/>
      <c r="AK336" s="295"/>
      <c r="AL336" s="1"/>
      <c r="AM336" s="1"/>
      <c r="AN336" s="1"/>
      <c r="AO336" s="1"/>
      <c r="AP336" s="1"/>
      <c r="AQ336" s="1"/>
      <c r="AR336" s="1"/>
      <c r="AS336" s="1"/>
      <c r="AT336" s="1"/>
      <c r="AU336" s="1"/>
      <c r="AV336" s="1"/>
      <c r="AW336" s="1"/>
      <c r="AX336" s="1"/>
      <c r="AY336" s="1"/>
      <c r="AZ336" s="1"/>
      <c r="BA336" s="1"/>
      <c r="BB336" s="1"/>
      <c r="BC336" s="1"/>
      <c r="BD336" s="296"/>
      <c r="BE336" s="1"/>
      <c r="BF336" s="1"/>
      <c r="BG336" s="20"/>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row>
    <row r="337" spans="1:115" ht="15.75" customHeight="1">
      <c r="A337" s="1"/>
      <c r="B337" s="1"/>
      <c r="C337" s="1"/>
      <c r="D337" s="1"/>
      <c r="E337" s="1"/>
      <c r="F337" s="1"/>
      <c r="G337" s="1"/>
      <c r="H337" s="1"/>
      <c r="I337" s="294"/>
      <c r="J337" s="294"/>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3"/>
      <c r="AJ337" s="1"/>
      <c r="AK337" s="295"/>
      <c r="AL337" s="1"/>
      <c r="AM337" s="1"/>
      <c r="AN337" s="1"/>
      <c r="AO337" s="1"/>
      <c r="AP337" s="1"/>
      <c r="AQ337" s="1"/>
      <c r="AR337" s="1"/>
      <c r="AS337" s="1"/>
      <c r="AT337" s="1"/>
      <c r="AU337" s="1"/>
      <c r="AV337" s="1"/>
      <c r="AW337" s="1"/>
      <c r="AX337" s="1"/>
      <c r="AY337" s="1"/>
      <c r="AZ337" s="1"/>
      <c r="BA337" s="1"/>
      <c r="BB337" s="1"/>
      <c r="BC337" s="1"/>
      <c r="BD337" s="296"/>
      <c r="BE337" s="1"/>
      <c r="BF337" s="1"/>
      <c r="BG337" s="20"/>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row>
    <row r="338" spans="1:115" ht="15.75" customHeight="1">
      <c r="A338" s="1"/>
      <c r="B338" s="1"/>
      <c r="C338" s="1"/>
      <c r="D338" s="1"/>
      <c r="E338" s="1"/>
      <c r="F338" s="1"/>
      <c r="G338" s="1"/>
      <c r="H338" s="1"/>
      <c r="I338" s="294"/>
      <c r="J338" s="294"/>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3"/>
      <c r="AJ338" s="1"/>
      <c r="AK338" s="295"/>
      <c r="AL338" s="1"/>
      <c r="AM338" s="1"/>
      <c r="AN338" s="1"/>
      <c r="AO338" s="1"/>
      <c r="AP338" s="1"/>
      <c r="AQ338" s="1"/>
      <c r="AR338" s="1"/>
      <c r="AS338" s="1"/>
      <c r="AT338" s="1"/>
      <c r="AU338" s="1"/>
      <c r="AV338" s="1"/>
      <c r="AW338" s="1"/>
      <c r="AX338" s="1"/>
      <c r="AY338" s="1"/>
      <c r="AZ338" s="1"/>
      <c r="BA338" s="1"/>
      <c r="BB338" s="1"/>
      <c r="BC338" s="1"/>
      <c r="BD338" s="296"/>
      <c r="BE338" s="1"/>
      <c r="BF338" s="1"/>
      <c r="BG338" s="20"/>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row>
    <row r="339" spans="1:115" ht="15.75" customHeight="1">
      <c r="A339" s="1"/>
      <c r="B339" s="1"/>
      <c r="C339" s="1"/>
      <c r="D339" s="1"/>
      <c r="E339" s="1"/>
      <c r="F339" s="1"/>
      <c r="G339" s="1"/>
      <c r="H339" s="1"/>
      <c r="I339" s="294"/>
      <c r="J339" s="294"/>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3"/>
      <c r="AJ339" s="1"/>
      <c r="AK339" s="295"/>
      <c r="AL339" s="1"/>
      <c r="AM339" s="1"/>
      <c r="AN339" s="1"/>
      <c r="AO339" s="1"/>
      <c r="AP339" s="1"/>
      <c r="AQ339" s="1"/>
      <c r="AR339" s="1"/>
      <c r="AS339" s="1"/>
      <c r="AT339" s="1"/>
      <c r="AU339" s="1"/>
      <c r="AV339" s="1"/>
      <c r="AW339" s="1"/>
      <c r="AX339" s="1"/>
      <c r="AY339" s="1"/>
      <c r="AZ339" s="1"/>
      <c r="BA339" s="1"/>
      <c r="BB339" s="1"/>
      <c r="BC339" s="1"/>
      <c r="BD339" s="296"/>
      <c r="BE339" s="1"/>
      <c r="BF339" s="1"/>
      <c r="BG339" s="20"/>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row>
    <row r="340" spans="1:115" ht="15.75" customHeight="1">
      <c r="A340" s="1"/>
      <c r="B340" s="1"/>
      <c r="C340" s="1"/>
      <c r="D340" s="1"/>
      <c r="E340" s="1"/>
      <c r="F340" s="1"/>
      <c r="G340" s="1"/>
      <c r="H340" s="1"/>
      <c r="I340" s="294"/>
      <c r="J340" s="294"/>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3"/>
      <c r="AJ340" s="1"/>
      <c r="AK340" s="295"/>
      <c r="AL340" s="1"/>
      <c r="AM340" s="1"/>
      <c r="AN340" s="1"/>
      <c r="AO340" s="1"/>
      <c r="AP340" s="1"/>
      <c r="AQ340" s="1"/>
      <c r="AR340" s="1"/>
      <c r="AS340" s="1"/>
      <c r="AT340" s="1"/>
      <c r="AU340" s="1"/>
      <c r="AV340" s="1"/>
      <c r="AW340" s="1"/>
      <c r="AX340" s="1"/>
      <c r="AY340" s="1"/>
      <c r="AZ340" s="1"/>
      <c r="BA340" s="1"/>
      <c r="BB340" s="1"/>
      <c r="BC340" s="1"/>
      <c r="BD340" s="296"/>
      <c r="BE340" s="1"/>
      <c r="BF340" s="1"/>
      <c r="BG340" s="20"/>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row>
    <row r="341" spans="1:115" ht="15.75" customHeight="1">
      <c r="A341" s="1"/>
      <c r="B341" s="1"/>
      <c r="C341" s="1"/>
      <c r="D341" s="1"/>
      <c r="E341" s="1"/>
      <c r="F341" s="1"/>
      <c r="G341" s="1"/>
      <c r="H341" s="1"/>
      <c r="I341" s="294"/>
      <c r="J341" s="294"/>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3"/>
      <c r="AJ341" s="1"/>
      <c r="AK341" s="295"/>
      <c r="AL341" s="1"/>
      <c r="AM341" s="1"/>
      <c r="AN341" s="1"/>
      <c r="AO341" s="1"/>
      <c r="AP341" s="1"/>
      <c r="AQ341" s="1"/>
      <c r="AR341" s="1"/>
      <c r="AS341" s="1"/>
      <c r="AT341" s="1"/>
      <c r="AU341" s="1"/>
      <c r="AV341" s="1"/>
      <c r="AW341" s="1"/>
      <c r="AX341" s="1"/>
      <c r="AY341" s="1"/>
      <c r="AZ341" s="1"/>
      <c r="BA341" s="1"/>
      <c r="BB341" s="1"/>
      <c r="BC341" s="1"/>
      <c r="BD341" s="296"/>
      <c r="BE341" s="1"/>
      <c r="BF341" s="1"/>
      <c r="BG341" s="20"/>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row>
    <row r="342" spans="1:115" ht="15.75" customHeight="1">
      <c r="A342" s="1"/>
      <c r="B342" s="1"/>
      <c r="C342" s="1"/>
      <c r="D342" s="1"/>
      <c r="E342" s="1"/>
      <c r="F342" s="1"/>
      <c r="G342" s="1"/>
      <c r="H342" s="1"/>
      <c r="I342" s="294"/>
      <c r="J342" s="294"/>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3"/>
      <c r="AJ342" s="1"/>
      <c r="AK342" s="295"/>
      <c r="AL342" s="1"/>
      <c r="AM342" s="1"/>
      <c r="AN342" s="1"/>
      <c r="AO342" s="1"/>
      <c r="AP342" s="1"/>
      <c r="AQ342" s="1"/>
      <c r="AR342" s="1"/>
      <c r="AS342" s="1"/>
      <c r="AT342" s="1"/>
      <c r="AU342" s="1"/>
      <c r="AV342" s="1"/>
      <c r="AW342" s="1"/>
      <c r="AX342" s="1"/>
      <c r="AY342" s="1"/>
      <c r="AZ342" s="1"/>
      <c r="BA342" s="1"/>
      <c r="BB342" s="1"/>
      <c r="BC342" s="1"/>
      <c r="BD342" s="296"/>
      <c r="BE342" s="1"/>
      <c r="BF342" s="1"/>
      <c r="BG342" s="20"/>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row>
    <row r="343" spans="1:115" ht="15.75" customHeight="1">
      <c r="A343" s="1"/>
      <c r="B343" s="1"/>
      <c r="C343" s="1"/>
      <c r="D343" s="1"/>
      <c r="E343" s="1"/>
      <c r="F343" s="1"/>
      <c r="G343" s="1"/>
      <c r="H343" s="1"/>
      <c r="I343" s="294"/>
      <c r="J343" s="294"/>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3"/>
      <c r="AJ343" s="1"/>
      <c r="AK343" s="295"/>
      <c r="AL343" s="1"/>
      <c r="AM343" s="1"/>
      <c r="AN343" s="1"/>
      <c r="AO343" s="1"/>
      <c r="AP343" s="1"/>
      <c r="AQ343" s="1"/>
      <c r="AR343" s="1"/>
      <c r="AS343" s="1"/>
      <c r="AT343" s="1"/>
      <c r="AU343" s="1"/>
      <c r="AV343" s="1"/>
      <c r="AW343" s="1"/>
      <c r="AX343" s="1"/>
      <c r="AY343" s="1"/>
      <c r="AZ343" s="1"/>
      <c r="BA343" s="1"/>
      <c r="BB343" s="1"/>
      <c r="BC343" s="1"/>
      <c r="BD343" s="296"/>
      <c r="BE343" s="1"/>
      <c r="BF343" s="1"/>
      <c r="BG343" s="20"/>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row>
    <row r="344" spans="1:115" ht="15.75" customHeight="1">
      <c r="A344" s="1"/>
      <c r="B344" s="1"/>
      <c r="C344" s="1"/>
      <c r="D344" s="1"/>
      <c r="E344" s="1"/>
      <c r="F344" s="1"/>
      <c r="G344" s="1"/>
      <c r="H344" s="1"/>
      <c r="I344" s="294"/>
      <c r="J344" s="294"/>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3"/>
      <c r="AJ344" s="1"/>
      <c r="AK344" s="295"/>
      <c r="AL344" s="1"/>
      <c r="AM344" s="1"/>
      <c r="AN344" s="1"/>
      <c r="AO344" s="1"/>
      <c r="AP344" s="1"/>
      <c r="AQ344" s="1"/>
      <c r="AR344" s="1"/>
      <c r="AS344" s="1"/>
      <c r="AT344" s="1"/>
      <c r="AU344" s="1"/>
      <c r="AV344" s="1"/>
      <c r="AW344" s="1"/>
      <c r="AX344" s="1"/>
      <c r="AY344" s="1"/>
      <c r="AZ344" s="1"/>
      <c r="BA344" s="1"/>
      <c r="BB344" s="1"/>
      <c r="BC344" s="1"/>
      <c r="BD344" s="296"/>
      <c r="BE344" s="1"/>
      <c r="BF344" s="1"/>
      <c r="BG344" s="20"/>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row>
    <row r="345" spans="1:115" ht="15.75" customHeight="1">
      <c r="A345" s="1"/>
      <c r="B345" s="1"/>
      <c r="C345" s="1"/>
      <c r="D345" s="1"/>
      <c r="E345" s="1"/>
      <c r="F345" s="1"/>
      <c r="G345" s="1"/>
      <c r="H345" s="1"/>
      <c r="I345" s="294"/>
      <c r="J345" s="294"/>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3"/>
      <c r="AJ345" s="1"/>
      <c r="AK345" s="295"/>
      <c r="AL345" s="1"/>
      <c r="AM345" s="1"/>
      <c r="AN345" s="1"/>
      <c r="AO345" s="1"/>
      <c r="AP345" s="1"/>
      <c r="AQ345" s="1"/>
      <c r="AR345" s="1"/>
      <c r="AS345" s="1"/>
      <c r="AT345" s="1"/>
      <c r="AU345" s="1"/>
      <c r="AV345" s="1"/>
      <c r="AW345" s="1"/>
      <c r="AX345" s="1"/>
      <c r="AY345" s="1"/>
      <c r="AZ345" s="1"/>
      <c r="BA345" s="1"/>
      <c r="BB345" s="1"/>
      <c r="BC345" s="1"/>
      <c r="BD345" s="296"/>
      <c r="BE345" s="1"/>
      <c r="BF345" s="1"/>
      <c r="BG345" s="20"/>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row>
    <row r="346" spans="1:115" ht="15.75" customHeight="1">
      <c r="A346" s="1"/>
      <c r="B346" s="1"/>
      <c r="C346" s="1"/>
      <c r="D346" s="1"/>
      <c r="E346" s="1"/>
      <c r="F346" s="1"/>
      <c r="G346" s="1"/>
      <c r="H346" s="1"/>
      <c r="I346" s="294"/>
      <c r="J346" s="294"/>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3"/>
      <c r="AJ346" s="1"/>
      <c r="AK346" s="295"/>
      <c r="AL346" s="1"/>
      <c r="AM346" s="1"/>
      <c r="AN346" s="1"/>
      <c r="AO346" s="1"/>
      <c r="AP346" s="1"/>
      <c r="AQ346" s="1"/>
      <c r="AR346" s="1"/>
      <c r="AS346" s="1"/>
      <c r="AT346" s="1"/>
      <c r="AU346" s="1"/>
      <c r="AV346" s="1"/>
      <c r="AW346" s="1"/>
      <c r="AX346" s="1"/>
      <c r="AY346" s="1"/>
      <c r="AZ346" s="1"/>
      <c r="BA346" s="1"/>
      <c r="BB346" s="1"/>
      <c r="BC346" s="1"/>
      <c r="BD346" s="296"/>
      <c r="BE346" s="1"/>
      <c r="BF346" s="1"/>
      <c r="BG346" s="20"/>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row>
    <row r="347" spans="1:115" ht="15.75" customHeight="1">
      <c r="A347" s="1"/>
      <c r="B347" s="1"/>
      <c r="C347" s="1"/>
      <c r="D347" s="1"/>
      <c r="E347" s="1"/>
      <c r="F347" s="1"/>
      <c r="G347" s="1"/>
      <c r="H347" s="1"/>
      <c r="I347" s="294"/>
      <c r="J347" s="294"/>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3"/>
      <c r="AJ347" s="1"/>
      <c r="AK347" s="295"/>
      <c r="AL347" s="1"/>
      <c r="AM347" s="1"/>
      <c r="AN347" s="1"/>
      <c r="AO347" s="1"/>
      <c r="AP347" s="1"/>
      <c r="AQ347" s="1"/>
      <c r="AR347" s="1"/>
      <c r="AS347" s="1"/>
      <c r="AT347" s="1"/>
      <c r="AU347" s="1"/>
      <c r="AV347" s="1"/>
      <c r="AW347" s="1"/>
      <c r="AX347" s="1"/>
      <c r="AY347" s="1"/>
      <c r="AZ347" s="1"/>
      <c r="BA347" s="1"/>
      <c r="BB347" s="1"/>
      <c r="BC347" s="1"/>
      <c r="BD347" s="296"/>
      <c r="BE347" s="1"/>
      <c r="BF347" s="1"/>
      <c r="BG347" s="20"/>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row>
    <row r="348" spans="1:115" ht="15.75" customHeight="1">
      <c r="A348" s="1"/>
      <c r="B348" s="1"/>
      <c r="C348" s="1"/>
      <c r="D348" s="1"/>
      <c r="E348" s="1"/>
      <c r="F348" s="1"/>
      <c r="G348" s="1"/>
      <c r="H348" s="1"/>
      <c r="I348" s="294"/>
      <c r="J348" s="294"/>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3"/>
      <c r="AJ348" s="1"/>
      <c r="AK348" s="295"/>
      <c r="AL348" s="1"/>
      <c r="AM348" s="1"/>
      <c r="AN348" s="1"/>
      <c r="AO348" s="1"/>
      <c r="AP348" s="1"/>
      <c r="AQ348" s="1"/>
      <c r="AR348" s="1"/>
      <c r="AS348" s="1"/>
      <c r="AT348" s="1"/>
      <c r="AU348" s="1"/>
      <c r="AV348" s="1"/>
      <c r="AW348" s="1"/>
      <c r="AX348" s="1"/>
      <c r="AY348" s="1"/>
      <c r="AZ348" s="1"/>
      <c r="BA348" s="1"/>
      <c r="BB348" s="1"/>
      <c r="BC348" s="1"/>
      <c r="BD348" s="296"/>
      <c r="BE348" s="1"/>
      <c r="BF348" s="1"/>
      <c r="BG348" s="20"/>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row>
    <row r="349" spans="1:115" ht="15.75" customHeight="1">
      <c r="A349" s="1"/>
      <c r="B349" s="1"/>
      <c r="C349" s="1"/>
      <c r="D349" s="1"/>
      <c r="E349" s="1"/>
      <c r="F349" s="1"/>
      <c r="G349" s="1"/>
      <c r="H349" s="1"/>
      <c r="I349" s="294"/>
      <c r="J349" s="294"/>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3"/>
      <c r="AJ349" s="1"/>
      <c r="AK349" s="295"/>
      <c r="AL349" s="1"/>
      <c r="AM349" s="1"/>
      <c r="AN349" s="1"/>
      <c r="AO349" s="1"/>
      <c r="AP349" s="1"/>
      <c r="AQ349" s="1"/>
      <c r="AR349" s="1"/>
      <c r="AS349" s="1"/>
      <c r="AT349" s="1"/>
      <c r="AU349" s="1"/>
      <c r="AV349" s="1"/>
      <c r="AW349" s="1"/>
      <c r="AX349" s="1"/>
      <c r="AY349" s="1"/>
      <c r="AZ349" s="1"/>
      <c r="BA349" s="1"/>
      <c r="BB349" s="1"/>
      <c r="BC349" s="1"/>
      <c r="BD349" s="296"/>
      <c r="BE349" s="1"/>
      <c r="BF349" s="1"/>
      <c r="BG349" s="20"/>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row>
    <row r="350" spans="1:115" ht="15.75" customHeight="1">
      <c r="A350" s="1"/>
      <c r="B350" s="1"/>
      <c r="C350" s="1"/>
      <c r="D350" s="1"/>
      <c r="E350" s="1"/>
      <c r="F350" s="1"/>
      <c r="G350" s="1"/>
      <c r="H350" s="1"/>
      <c r="I350" s="294"/>
      <c r="J350" s="294"/>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3"/>
      <c r="AJ350" s="1"/>
      <c r="AK350" s="295"/>
      <c r="AL350" s="1"/>
      <c r="AM350" s="1"/>
      <c r="AN350" s="1"/>
      <c r="AO350" s="1"/>
      <c r="AP350" s="1"/>
      <c r="AQ350" s="1"/>
      <c r="AR350" s="1"/>
      <c r="AS350" s="1"/>
      <c r="AT350" s="1"/>
      <c r="AU350" s="1"/>
      <c r="AV350" s="1"/>
      <c r="AW350" s="1"/>
      <c r="AX350" s="1"/>
      <c r="AY350" s="1"/>
      <c r="AZ350" s="1"/>
      <c r="BA350" s="1"/>
      <c r="BB350" s="1"/>
      <c r="BC350" s="1"/>
      <c r="BD350" s="296"/>
      <c r="BE350" s="1"/>
      <c r="BF350" s="1"/>
      <c r="BG350" s="20"/>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row>
    <row r="351" spans="1:115" ht="15.75" customHeight="1">
      <c r="A351" s="1"/>
      <c r="B351" s="1"/>
      <c r="C351" s="1"/>
      <c r="D351" s="1"/>
      <c r="E351" s="1"/>
      <c r="F351" s="1"/>
      <c r="G351" s="1"/>
      <c r="H351" s="1"/>
      <c r="I351" s="294"/>
      <c r="J351" s="294"/>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3"/>
      <c r="AJ351" s="1"/>
      <c r="AK351" s="295"/>
      <c r="AL351" s="1"/>
      <c r="AM351" s="1"/>
      <c r="AN351" s="1"/>
      <c r="AO351" s="1"/>
      <c r="AP351" s="1"/>
      <c r="AQ351" s="1"/>
      <c r="AR351" s="1"/>
      <c r="AS351" s="1"/>
      <c r="AT351" s="1"/>
      <c r="AU351" s="1"/>
      <c r="AV351" s="1"/>
      <c r="AW351" s="1"/>
      <c r="AX351" s="1"/>
      <c r="AY351" s="1"/>
      <c r="AZ351" s="1"/>
      <c r="BA351" s="1"/>
      <c r="BB351" s="1"/>
      <c r="BC351" s="1"/>
      <c r="BD351" s="296"/>
      <c r="BE351" s="1"/>
      <c r="BF351" s="1"/>
      <c r="BG351" s="20"/>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row>
    <row r="352" spans="1:115" ht="15.75" customHeight="1">
      <c r="A352" s="1"/>
      <c r="B352" s="1"/>
      <c r="C352" s="1"/>
      <c r="D352" s="1"/>
      <c r="E352" s="1"/>
      <c r="F352" s="1"/>
      <c r="G352" s="1"/>
      <c r="H352" s="1"/>
      <c r="I352" s="294"/>
      <c r="J352" s="294"/>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3"/>
      <c r="AJ352" s="1"/>
      <c r="AK352" s="295"/>
      <c r="AL352" s="1"/>
      <c r="AM352" s="1"/>
      <c r="AN352" s="1"/>
      <c r="AO352" s="1"/>
      <c r="AP352" s="1"/>
      <c r="AQ352" s="1"/>
      <c r="AR352" s="1"/>
      <c r="AS352" s="1"/>
      <c r="AT352" s="1"/>
      <c r="AU352" s="1"/>
      <c r="AV352" s="1"/>
      <c r="AW352" s="1"/>
      <c r="AX352" s="1"/>
      <c r="AY352" s="1"/>
      <c r="AZ352" s="1"/>
      <c r="BA352" s="1"/>
      <c r="BB352" s="1"/>
      <c r="BC352" s="1"/>
      <c r="BD352" s="296"/>
      <c r="BE352" s="1"/>
      <c r="BF352" s="1"/>
      <c r="BG352" s="20"/>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row>
    <row r="353" spans="1:115" ht="15.75" customHeight="1">
      <c r="A353" s="1"/>
      <c r="B353" s="1"/>
      <c r="C353" s="1"/>
      <c r="D353" s="1"/>
      <c r="E353" s="1"/>
      <c r="F353" s="1"/>
      <c r="G353" s="1"/>
      <c r="H353" s="1"/>
      <c r="I353" s="294"/>
      <c r="J353" s="294"/>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3"/>
      <c r="AJ353" s="1"/>
      <c r="AK353" s="295"/>
      <c r="AL353" s="1"/>
      <c r="AM353" s="1"/>
      <c r="AN353" s="1"/>
      <c r="AO353" s="1"/>
      <c r="AP353" s="1"/>
      <c r="AQ353" s="1"/>
      <c r="AR353" s="1"/>
      <c r="AS353" s="1"/>
      <c r="AT353" s="1"/>
      <c r="AU353" s="1"/>
      <c r="AV353" s="1"/>
      <c r="AW353" s="1"/>
      <c r="AX353" s="1"/>
      <c r="AY353" s="1"/>
      <c r="AZ353" s="1"/>
      <c r="BA353" s="1"/>
      <c r="BB353" s="1"/>
      <c r="BC353" s="1"/>
      <c r="BD353" s="296"/>
      <c r="BE353" s="1"/>
      <c r="BF353" s="1"/>
      <c r="BG353" s="20"/>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row>
    <row r="354" spans="1:115" ht="15.75" customHeight="1">
      <c r="A354" s="1"/>
      <c r="B354" s="1"/>
      <c r="C354" s="1"/>
      <c r="D354" s="1"/>
      <c r="E354" s="1"/>
      <c r="F354" s="1"/>
      <c r="G354" s="1"/>
      <c r="H354" s="1"/>
      <c r="I354" s="294"/>
      <c r="J354" s="294"/>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3"/>
      <c r="AJ354" s="1"/>
      <c r="AK354" s="295"/>
      <c r="AL354" s="1"/>
      <c r="AM354" s="1"/>
      <c r="AN354" s="1"/>
      <c r="AO354" s="1"/>
      <c r="AP354" s="1"/>
      <c r="AQ354" s="1"/>
      <c r="AR354" s="1"/>
      <c r="AS354" s="1"/>
      <c r="AT354" s="1"/>
      <c r="AU354" s="1"/>
      <c r="AV354" s="1"/>
      <c r="AW354" s="1"/>
      <c r="AX354" s="1"/>
      <c r="AY354" s="1"/>
      <c r="AZ354" s="1"/>
      <c r="BA354" s="1"/>
      <c r="BB354" s="1"/>
      <c r="BC354" s="1"/>
      <c r="BD354" s="296"/>
      <c r="BE354" s="1"/>
      <c r="BF354" s="1"/>
      <c r="BG354" s="20"/>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row>
    <row r="355" spans="1:115" ht="15.75" customHeight="1">
      <c r="A355" s="1"/>
      <c r="B355" s="1"/>
      <c r="C355" s="1"/>
      <c r="D355" s="1"/>
      <c r="E355" s="1"/>
      <c r="F355" s="1"/>
      <c r="G355" s="1"/>
      <c r="H355" s="1"/>
      <c r="I355" s="294"/>
      <c r="J355" s="294"/>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3"/>
      <c r="AJ355" s="1"/>
      <c r="AK355" s="295"/>
      <c r="AL355" s="1"/>
      <c r="AM355" s="1"/>
      <c r="AN355" s="1"/>
      <c r="AO355" s="1"/>
      <c r="AP355" s="1"/>
      <c r="AQ355" s="1"/>
      <c r="AR355" s="1"/>
      <c r="AS355" s="1"/>
      <c r="AT355" s="1"/>
      <c r="AU355" s="1"/>
      <c r="AV355" s="1"/>
      <c r="AW355" s="1"/>
      <c r="AX355" s="1"/>
      <c r="AY355" s="1"/>
      <c r="AZ355" s="1"/>
      <c r="BA355" s="1"/>
      <c r="BB355" s="1"/>
      <c r="BC355" s="1"/>
      <c r="BD355" s="296"/>
      <c r="BE355" s="1"/>
      <c r="BF355" s="1"/>
      <c r="BG355" s="20"/>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row>
    <row r="356" spans="1:115" ht="15.75" customHeight="1">
      <c r="A356" s="1"/>
      <c r="B356" s="1"/>
      <c r="C356" s="1"/>
      <c r="D356" s="1"/>
      <c r="E356" s="1"/>
      <c r="F356" s="1"/>
      <c r="G356" s="1"/>
      <c r="H356" s="1"/>
      <c r="I356" s="294"/>
      <c r="J356" s="294"/>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3"/>
      <c r="AJ356" s="1"/>
      <c r="AK356" s="295"/>
      <c r="AL356" s="1"/>
      <c r="AM356" s="1"/>
      <c r="AN356" s="1"/>
      <c r="AO356" s="1"/>
      <c r="AP356" s="1"/>
      <c r="AQ356" s="1"/>
      <c r="AR356" s="1"/>
      <c r="AS356" s="1"/>
      <c r="AT356" s="1"/>
      <c r="AU356" s="1"/>
      <c r="AV356" s="1"/>
      <c r="AW356" s="1"/>
      <c r="AX356" s="1"/>
      <c r="AY356" s="1"/>
      <c r="AZ356" s="1"/>
      <c r="BA356" s="1"/>
      <c r="BB356" s="1"/>
      <c r="BC356" s="1"/>
      <c r="BD356" s="296"/>
      <c r="BE356" s="1"/>
      <c r="BF356" s="1"/>
      <c r="BG356" s="20"/>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row>
    <row r="357" spans="1:115" ht="15.75" customHeight="1">
      <c r="A357" s="1"/>
      <c r="B357" s="1"/>
      <c r="C357" s="1"/>
      <c r="D357" s="1"/>
      <c r="E357" s="1"/>
      <c r="F357" s="1"/>
      <c r="G357" s="1"/>
      <c r="H357" s="1"/>
      <c r="I357" s="294"/>
      <c r="J357" s="294"/>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3"/>
      <c r="AJ357" s="1"/>
      <c r="AK357" s="295"/>
      <c r="AL357" s="1"/>
      <c r="AM357" s="1"/>
      <c r="AN357" s="1"/>
      <c r="AO357" s="1"/>
      <c r="AP357" s="1"/>
      <c r="AQ357" s="1"/>
      <c r="AR357" s="1"/>
      <c r="AS357" s="1"/>
      <c r="AT357" s="1"/>
      <c r="AU357" s="1"/>
      <c r="AV357" s="1"/>
      <c r="AW357" s="1"/>
      <c r="AX357" s="1"/>
      <c r="AY357" s="1"/>
      <c r="AZ357" s="1"/>
      <c r="BA357" s="1"/>
      <c r="BB357" s="1"/>
      <c r="BC357" s="1"/>
      <c r="BD357" s="296"/>
      <c r="BE357" s="1"/>
      <c r="BF357" s="1"/>
      <c r="BG357" s="20"/>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row>
    <row r="358" spans="1:115" ht="15.75" customHeight="1">
      <c r="A358" s="1"/>
      <c r="B358" s="1"/>
      <c r="C358" s="1"/>
      <c r="D358" s="1"/>
      <c r="E358" s="1"/>
      <c r="F358" s="1"/>
      <c r="G358" s="1"/>
      <c r="H358" s="1"/>
      <c r="I358" s="294"/>
      <c r="J358" s="294"/>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3"/>
      <c r="AJ358" s="1"/>
      <c r="AK358" s="295"/>
      <c r="AL358" s="1"/>
      <c r="AM358" s="1"/>
      <c r="AN358" s="1"/>
      <c r="AO358" s="1"/>
      <c r="AP358" s="1"/>
      <c r="AQ358" s="1"/>
      <c r="AR358" s="1"/>
      <c r="AS358" s="1"/>
      <c r="AT358" s="1"/>
      <c r="AU358" s="1"/>
      <c r="AV358" s="1"/>
      <c r="AW358" s="1"/>
      <c r="AX358" s="1"/>
      <c r="AY358" s="1"/>
      <c r="AZ358" s="1"/>
      <c r="BA358" s="1"/>
      <c r="BB358" s="1"/>
      <c r="BC358" s="1"/>
      <c r="BD358" s="296"/>
      <c r="BE358" s="1"/>
      <c r="BF358" s="1"/>
      <c r="BG358" s="20"/>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row>
    <row r="359" spans="1:115" ht="15.75" customHeight="1">
      <c r="A359" s="1"/>
      <c r="B359" s="1"/>
      <c r="C359" s="1"/>
      <c r="D359" s="1"/>
      <c r="E359" s="1"/>
      <c r="F359" s="1"/>
      <c r="G359" s="1"/>
      <c r="H359" s="1"/>
      <c r="I359" s="294"/>
      <c r="J359" s="294"/>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3"/>
      <c r="AJ359" s="1"/>
      <c r="AK359" s="295"/>
      <c r="AL359" s="1"/>
      <c r="AM359" s="1"/>
      <c r="AN359" s="1"/>
      <c r="AO359" s="1"/>
      <c r="AP359" s="1"/>
      <c r="AQ359" s="1"/>
      <c r="AR359" s="1"/>
      <c r="AS359" s="1"/>
      <c r="AT359" s="1"/>
      <c r="AU359" s="1"/>
      <c r="AV359" s="1"/>
      <c r="AW359" s="1"/>
      <c r="AX359" s="1"/>
      <c r="AY359" s="1"/>
      <c r="AZ359" s="1"/>
      <c r="BA359" s="1"/>
      <c r="BB359" s="1"/>
      <c r="BC359" s="1"/>
      <c r="BD359" s="296"/>
      <c r="BE359" s="1"/>
      <c r="BF359" s="1"/>
      <c r="BG359" s="20"/>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row>
    <row r="360" spans="1:115" ht="15.75" customHeight="1">
      <c r="A360" s="1"/>
      <c r="B360" s="1"/>
      <c r="C360" s="1"/>
      <c r="D360" s="1"/>
      <c r="E360" s="1"/>
      <c r="F360" s="1"/>
      <c r="G360" s="1"/>
      <c r="H360" s="1"/>
      <c r="I360" s="294"/>
      <c r="J360" s="294"/>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3"/>
      <c r="AJ360" s="1"/>
      <c r="AK360" s="295"/>
      <c r="AL360" s="1"/>
      <c r="AM360" s="1"/>
      <c r="AN360" s="1"/>
      <c r="AO360" s="1"/>
      <c r="AP360" s="1"/>
      <c r="AQ360" s="1"/>
      <c r="AR360" s="1"/>
      <c r="AS360" s="1"/>
      <c r="AT360" s="1"/>
      <c r="AU360" s="1"/>
      <c r="AV360" s="1"/>
      <c r="AW360" s="1"/>
      <c r="AX360" s="1"/>
      <c r="AY360" s="1"/>
      <c r="AZ360" s="1"/>
      <c r="BA360" s="1"/>
      <c r="BB360" s="1"/>
      <c r="BC360" s="1"/>
      <c r="BD360" s="296"/>
      <c r="BE360" s="1"/>
      <c r="BF360" s="1"/>
      <c r="BG360" s="20"/>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row>
    <row r="361" spans="1:115" ht="15.75" customHeight="1">
      <c r="A361" s="1"/>
      <c r="B361" s="1"/>
      <c r="C361" s="1"/>
      <c r="D361" s="1"/>
      <c r="E361" s="1"/>
      <c r="F361" s="1"/>
      <c r="G361" s="1"/>
      <c r="H361" s="1"/>
      <c r="I361" s="294"/>
      <c r="J361" s="294"/>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3"/>
      <c r="AJ361" s="1"/>
      <c r="AK361" s="295"/>
      <c r="AL361" s="1"/>
      <c r="AM361" s="1"/>
      <c r="AN361" s="1"/>
      <c r="AO361" s="1"/>
      <c r="AP361" s="1"/>
      <c r="AQ361" s="1"/>
      <c r="AR361" s="1"/>
      <c r="AS361" s="1"/>
      <c r="AT361" s="1"/>
      <c r="AU361" s="1"/>
      <c r="AV361" s="1"/>
      <c r="AW361" s="1"/>
      <c r="AX361" s="1"/>
      <c r="AY361" s="1"/>
      <c r="AZ361" s="1"/>
      <c r="BA361" s="1"/>
      <c r="BB361" s="1"/>
      <c r="BC361" s="1"/>
      <c r="BD361" s="296"/>
      <c r="BE361" s="1"/>
      <c r="BF361" s="1"/>
      <c r="BG361" s="20"/>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row>
    <row r="362" spans="1:115" ht="15.75" customHeight="1">
      <c r="A362" s="1"/>
      <c r="B362" s="1"/>
      <c r="C362" s="1"/>
      <c r="D362" s="1"/>
      <c r="E362" s="1"/>
      <c r="F362" s="1"/>
      <c r="G362" s="1"/>
      <c r="H362" s="1"/>
      <c r="I362" s="294"/>
      <c r="J362" s="294"/>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3"/>
      <c r="AJ362" s="1"/>
      <c r="AK362" s="295"/>
      <c r="AL362" s="1"/>
      <c r="AM362" s="1"/>
      <c r="AN362" s="1"/>
      <c r="AO362" s="1"/>
      <c r="AP362" s="1"/>
      <c r="AQ362" s="1"/>
      <c r="AR362" s="1"/>
      <c r="AS362" s="1"/>
      <c r="AT362" s="1"/>
      <c r="AU362" s="1"/>
      <c r="AV362" s="1"/>
      <c r="AW362" s="1"/>
      <c r="AX362" s="1"/>
      <c r="AY362" s="1"/>
      <c r="AZ362" s="1"/>
      <c r="BA362" s="1"/>
      <c r="BB362" s="1"/>
      <c r="BC362" s="1"/>
      <c r="BD362" s="296"/>
      <c r="BE362" s="1"/>
      <c r="BF362" s="1"/>
      <c r="BG362" s="20"/>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row>
    <row r="363" spans="1:115" ht="15.75" customHeight="1">
      <c r="A363" s="1"/>
      <c r="B363" s="1"/>
      <c r="C363" s="1"/>
      <c r="D363" s="1"/>
      <c r="E363" s="1"/>
      <c r="F363" s="1"/>
      <c r="G363" s="1"/>
      <c r="H363" s="1"/>
      <c r="I363" s="294"/>
      <c r="J363" s="294"/>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3"/>
      <c r="AJ363" s="1"/>
      <c r="AK363" s="295"/>
      <c r="AL363" s="1"/>
      <c r="AM363" s="1"/>
      <c r="AN363" s="1"/>
      <c r="AO363" s="1"/>
      <c r="AP363" s="1"/>
      <c r="AQ363" s="1"/>
      <c r="AR363" s="1"/>
      <c r="AS363" s="1"/>
      <c r="AT363" s="1"/>
      <c r="AU363" s="1"/>
      <c r="AV363" s="1"/>
      <c r="AW363" s="1"/>
      <c r="AX363" s="1"/>
      <c r="AY363" s="1"/>
      <c r="AZ363" s="1"/>
      <c r="BA363" s="1"/>
      <c r="BB363" s="1"/>
      <c r="BC363" s="1"/>
      <c r="BD363" s="296"/>
      <c r="BE363" s="1"/>
      <c r="BF363" s="1"/>
      <c r="BG363" s="20"/>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row>
    <row r="364" spans="1:115" ht="15.75" customHeight="1">
      <c r="A364" s="1"/>
      <c r="B364" s="1"/>
      <c r="C364" s="1"/>
      <c r="D364" s="1"/>
      <c r="E364" s="1"/>
      <c r="F364" s="1"/>
      <c r="G364" s="1"/>
      <c r="H364" s="1"/>
      <c r="I364" s="294"/>
      <c r="J364" s="294"/>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3"/>
      <c r="AJ364" s="1"/>
      <c r="AK364" s="295"/>
      <c r="AL364" s="1"/>
      <c r="AM364" s="1"/>
      <c r="AN364" s="1"/>
      <c r="AO364" s="1"/>
      <c r="AP364" s="1"/>
      <c r="AQ364" s="1"/>
      <c r="AR364" s="1"/>
      <c r="AS364" s="1"/>
      <c r="AT364" s="1"/>
      <c r="AU364" s="1"/>
      <c r="AV364" s="1"/>
      <c r="AW364" s="1"/>
      <c r="AX364" s="1"/>
      <c r="AY364" s="1"/>
      <c r="AZ364" s="1"/>
      <c r="BA364" s="1"/>
      <c r="BB364" s="1"/>
      <c r="BC364" s="1"/>
      <c r="BD364" s="296"/>
      <c r="BE364" s="1"/>
      <c r="BF364" s="1"/>
      <c r="BG364" s="20"/>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row>
    <row r="365" spans="1:115" ht="15.75" customHeight="1">
      <c r="A365" s="1"/>
      <c r="B365" s="1"/>
      <c r="C365" s="1"/>
      <c r="D365" s="1"/>
      <c r="E365" s="1"/>
      <c r="F365" s="1"/>
      <c r="G365" s="1"/>
      <c r="H365" s="1"/>
      <c r="I365" s="294"/>
      <c r="J365" s="294"/>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3"/>
      <c r="AJ365" s="1"/>
      <c r="AK365" s="295"/>
      <c r="AL365" s="1"/>
      <c r="AM365" s="1"/>
      <c r="AN365" s="1"/>
      <c r="AO365" s="1"/>
      <c r="AP365" s="1"/>
      <c r="AQ365" s="1"/>
      <c r="AR365" s="1"/>
      <c r="AS365" s="1"/>
      <c r="AT365" s="1"/>
      <c r="AU365" s="1"/>
      <c r="AV365" s="1"/>
      <c r="AW365" s="1"/>
      <c r="AX365" s="1"/>
      <c r="AY365" s="1"/>
      <c r="AZ365" s="1"/>
      <c r="BA365" s="1"/>
      <c r="BB365" s="1"/>
      <c r="BC365" s="1"/>
      <c r="BD365" s="296"/>
      <c r="BE365" s="1"/>
      <c r="BF365" s="1"/>
      <c r="BG365" s="20"/>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row>
    <row r="366" spans="1:115" ht="15.75" customHeight="1">
      <c r="A366" s="1"/>
      <c r="B366" s="1"/>
      <c r="C366" s="1"/>
      <c r="D366" s="1"/>
      <c r="E366" s="1"/>
      <c r="F366" s="1"/>
      <c r="G366" s="1"/>
      <c r="H366" s="1"/>
      <c r="I366" s="294"/>
      <c r="J366" s="294"/>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3"/>
      <c r="AJ366" s="1"/>
      <c r="AK366" s="295"/>
      <c r="AL366" s="1"/>
      <c r="AM366" s="1"/>
      <c r="AN366" s="1"/>
      <c r="AO366" s="1"/>
      <c r="AP366" s="1"/>
      <c r="AQ366" s="1"/>
      <c r="AR366" s="1"/>
      <c r="AS366" s="1"/>
      <c r="AT366" s="1"/>
      <c r="AU366" s="1"/>
      <c r="AV366" s="1"/>
      <c r="AW366" s="1"/>
      <c r="AX366" s="1"/>
      <c r="AY366" s="1"/>
      <c r="AZ366" s="1"/>
      <c r="BA366" s="1"/>
      <c r="BB366" s="1"/>
      <c r="BC366" s="1"/>
      <c r="BD366" s="296"/>
      <c r="BE366" s="1"/>
      <c r="BF366" s="1"/>
      <c r="BG366" s="20"/>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row>
    <row r="367" spans="1:115" ht="15.75" customHeight="1">
      <c r="A367" s="1"/>
      <c r="B367" s="1"/>
      <c r="C367" s="1"/>
      <c r="D367" s="1"/>
      <c r="E367" s="1"/>
      <c r="F367" s="1"/>
      <c r="G367" s="1"/>
      <c r="H367" s="1"/>
      <c r="I367" s="294"/>
      <c r="J367" s="294"/>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3"/>
      <c r="AJ367" s="1"/>
      <c r="AK367" s="295"/>
      <c r="AL367" s="1"/>
      <c r="AM367" s="1"/>
      <c r="AN367" s="1"/>
      <c r="AO367" s="1"/>
      <c r="AP367" s="1"/>
      <c r="AQ367" s="1"/>
      <c r="AR367" s="1"/>
      <c r="AS367" s="1"/>
      <c r="AT367" s="1"/>
      <c r="AU367" s="1"/>
      <c r="AV367" s="1"/>
      <c r="AW367" s="1"/>
      <c r="AX367" s="1"/>
      <c r="AY367" s="1"/>
      <c r="AZ367" s="1"/>
      <c r="BA367" s="1"/>
      <c r="BB367" s="1"/>
      <c r="BC367" s="1"/>
      <c r="BD367" s="296"/>
      <c r="BE367" s="1"/>
      <c r="BF367" s="1"/>
      <c r="BG367" s="20"/>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row>
    <row r="368" spans="1:115" ht="15.75" customHeight="1">
      <c r="A368" s="1"/>
      <c r="B368" s="1"/>
      <c r="C368" s="1"/>
      <c r="D368" s="1"/>
      <c r="E368" s="1"/>
      <c r="F368" s="1"/>
      <c r="G368" s="1"/>
      <c r="H368" s="1"/>
      <c r="I368" s="294"/>
      <c r="J368" s="294"/>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3"/>
      <c r="AJ368" s="1"/>
      <c r="AK368" s="295"/>
      <c r="AL368" s="1"/>
      <c r="AM368" s="1"/>
      <c r="AN368" s="1"/>
      <c r="AO368" s="1"/>
      <c r="AP368" s="1"/>
      <c r="AQ368" s="1"/>
      <c r="AR368" s="1"/>
      <c r="AS368" s="1"/>
      <c r="AT368" s="1"/>
      <c r="AU368" s="1"/>
      <c r="AV368" s="1"/>
      <c r="AW368" s="1"/>
      <c r="AX368" s="1"/>
      <c r="AY368" s="1"/>
      <c r="AZ368" s="1"/>
      <c r="BA368" s="1"/>
      <c r="BB368" s="1"/>
      <c r="BC368" s="1"/>
      <c r="BD368" s="296"/>
      <c r="BE368" s="1"/>
      <c r="BF368" s="1"/>
      <c r="BG368" s="20"/>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row>
    <row r="369" spans="1:115" ht="15.75" customHeight="1">
      <c r="A369" s="1"/>
      <c r="B369" s="1"/>
      <c r="C369" s="1"/>
      <c r="D369" s="1"/>
      <c r="E369" s="1"/>
      <c r="F369" s="1"/>
      <c r="G369" s="1"/>
      <c r="H369" s="1"/>
      <c r="I369" s="294"/>
      <c r="J369" s="294"/>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3"/>
      <c r="AJ369" s="1"/>
      <c r="AK369" s="295"/>
      <c r="AL369" s="1"/>
      <c r="AM369" s="1"/>
      <c r="AN369" s="1"/>
      <c r="AO369" s="1"/>
      <c r="AP369" s="1"/>
      <c r="AQ369" s="1"/>
      <c r="AR369" s="1"/>
      <c r="AS369" s="1"/>
      <c r="AT369" s="1"/>
      <c r="AU369" s="1"/>
      <c r="AV369" s="1"/>
      <c r="AW369" s="1"/>
      <c r="AX369" s="1"/>
      <c r="AY369" s="1"/>
      <c r="AZ369" s="1"/>
      <c r="BA369" s="1"/>
      <c r="BB369" s="1"/>
      <c r="BC369" s="1"/>
      <c r="BD369" s="296"/>
      <c r="BE369" s="1"/>
      <c r="BF369" s="1"/>
      <c r="BG369" s="20"/>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row>
    <row r="370" spans="1:115" ht="15.75" customHeight="1">
      <c r="A370" s="1"/>
      <c r="B370" s="1"/>
      <c r="C370" s="1"/>
      <c r="D370" s="1"/>
      <c r="E370" s="1"/>
      <c r="F370" s="1"/>
      <c r="G370" s="1"/>
      <c r="H370" s="1"/>
      <c r="I370" s="294"/>
      <c r="J370" s="294"/>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3"/>
      <c r="AJ370" s="1"/>
      <c r="AK370" s="295"/>
      <c r="AL370" s="1"/>
      <c r="AM370" s="1"/>
      <c r="AN370" s="1"/>
      <c r="AO370" s="1"/>
      <c r="AP370" s="1"/>
      <c r="AQ370" s="1"/>
      <c r="AR370" s="1"/>
      <c r="AS370" s="1"/>
      <c r="AT370" s="1"/>
      <c r="AU370" s="1"/>
      <c r="AV370" s="1"/>
      <c r="AW370" s="1"/>
      <c r="AX370" s="1"/>
      <c r="AY370" s="1"/>
      <c r="AZ370" s="1"/>
      <c r="BA370" s="1"/>
      <c r="BB370" s="1"/>
      <c r="BC370" s="1"/>
      <c r="BD370" s="296"/>
      <c r="BE370" s="1"/>
      <c r="BF370" s="1"/>
      <c r="BG370" s="20"/>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row>
    <row r="371" spans="1:115" ht="15.75" customHeight="1">
      <c r="A371" s="1"/>
      <c r="B371" s="1"/>
      <c r="C371" s="1"/>
      <c r="D371" s="1"/>
      <c r="E371" s="1"/>
      <c r="F371" s="1"/>
      <c r="G371" s="1"/>
      <c r="H371" s="1"/>
      <c r="I371" s="294"/>
      <c r="J371" s="294"/>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3"/>
      <c r="AJ371" s="1"/>
      <c r="AK371" s="295"/>
      <c r="AL371" s="1"/>
      <c r="AM371" s="1"/>
      <c r="AN371" s="1"/>
      <c r="AO371" s="1"/>
      <c r="AP371" s="1"/>
      <c r="AQ371" s="1"/>
      <c r="AR371" s="1"/>
      <c r="AS371" s="1"/>
      <c r="AT371" s="1"/>
      <c r="AU371" s="1"/>
      <c r="AV371" s="1"/>
      <c r="AW371" s="1"/>
      <c r="AX371" s="1"/>
      <c r="AY371" s="1"/>
      <c r="AZ371" s="1"/>
      <c r="BA371" s="1"/>
      <c r="BB371" s="1"/>
      <c r="BC371" s="1"/>
      <c r="BD371" s="296"/>
      <c r="BE371" s="1"/>
      <c r="BF371" s="1"/>
      <c r="BG371" s="20"/>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row>
    <row r="372" spans="1:115" ht="15.75" customHeight="1">
      <c r="A372" s="1"/>
      <c r="B372" s="1"/>
      <c r="C372" s="1"/>
      <c r="D372" s="1"/>
      <c r="E372" s="1"/>
      <c r="F372" s="1"/>
      <c r="G372" s="1"/>
      <c r="H372" s="1"/>
      <c r="I372" s="294"/>
      <c r="J372" s="294"/>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3"/>
      <c r="AJ372" s="1"/>
      <c r="AK372" s="295"/>
      <c r="AL372" s="1"/>
      <c r="AM372" s="1"/>
      <c r="AN372" s="1"/>
      <c r="AO372" s="1"/>
      <c r="AP372" s="1"/>
      <c r="AQ372" s="1"/>
      <c r="AR372" s="1"/>
      <c r="AS372" s="1"/>
      <c r="AT372" s="1"/>
      <c r="AU372" s="1"/>
      <c r="AV372" s="1"/>
      <c r="AW372" s="1"/>
      <c r="AX372" s="1"/>
      <c r="AY372" s="1"/>
      <c r="AZ372" s="1"/>
      <c r="BA372" s="1"/>
      <c r="BB372" s="1"/>
      <c r="BC372" s="1"/>
      <c r="BD372" s="296"/>
      <c r="BE372" s="1"/>
      <c r="BF372" s="1"/>
      <c r="BG372" s="20"/>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row>
    <row r="373" spans="1:115" ht="15.75" customHeight="1">
      <c r="A373" s="1"/>
      <c r="B373" s="1"/>
      <c r="C373" s="1"/>
      <c r="D373" s="1"/>
      <c r="E373" s="1"/>
      <c r="F373" s="1"/>
      <c r="G373" s="1"/>
      <c r="H373" s="1"/>
      <c r="I373" s="294"/>
      <c r="J373" s="294"/>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3"/>
      <c r="AJ373" s="1"/>
      <c r="AK373" s="295"/>
      <c r="AL373" s="1"/>
      <c r="AM373" s="1"/>
      <c r="AN373" s="1"/>
      <c r="AO373" s="1"/>
      <c r="AP373" s="1"/>
      <c r="AQ373" s="1"/>
      <c r="AR373" s="1"/>
      <c r="AS373" s="1"/>
      <c r="AT373" s="1"/>
      <c r="AU373" s="1"/>
      <c r="AV373" s="1"/>
      <c r="AW373" s="1"/>
      <c r="AX373" s="1"/>
      <c r="AY373" s="1"/>
      <c r="AZ373" s="1"/>
      <c r="BA373" s="1"/>
      <c r="BB373" s="1"/>
      <c r="BC373" s="1"/>
      <c r="BD373" s="296"/>
      <c r="BE373" s="1"/>
      <c r="BF373" s="1"/>
      <c r="BG373" s="20"/>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row>
    <row r="374" spans="1:115" ht="15.75" customHeight="1">
      <c r="A374" s="1"/>
      <c r="B374" s="1"/>
      <c r="C374" s="1"/>
      <c r="D374" s="1"/>
      <c r="E374" s="1"/>
      <c r="F374" s="1"/>
      <c r="G374" s="1"/>
      <c r="H374" s="1"/>
      <c r="I374" s="294"/>
      <c r="J374" s="294"/>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3"/>
      <c r="AJ374" s="1"/>
      <c r="AK374" s="295"/>
      <c r="AL374" s="1"/>
      <c r="AM374" s="1"/>
      <c r="AN374" s="1"/>
      <c r="AO374" s="1"/>
      <c r="AP374" s="1"/>
      <c r="AQ374" s="1"/>
      <c r="AR374" s="1"/>
      <c r="AS374" s="1"/>
      <c r="AT374" s="1"/>
      <c r="AU374" s="1"/>
      <c r="AV374" s="1"/>
      <c r="AW374" s="1"/>
      <c r="AX374" s="1"/>
      <c r="AY374" s="1"/>
      <c r="AZ374" s="1"/>
      <c r="BA374" s="1"/>
      <c r="BB374" s="1"/>
      <c r="BC374" s="1"/>
      <c r="BD374" s="296"/>
      <c r="BE374" s="1"/>
      <c r="BF374" s="1"/>
      <c r="BG374" s="20"/>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row>
    <row r="375" spans="1:115" ht="15.75" customHeight="1">
      <c r="A375" s="1"/>
      <c r="B375" s="1"/>
      <c r="C375" s="1"/>
      <c r="D375" s="1"/>
      <c r="E375" s="1"/>
      <c r="F375" s="1"/>
      <c r="G375" s="1"/>
      <c r="H375" s="1"/>
      <c r="I375" s="294"/>
      <c r="J375" s="294"/>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3"/>
      <c r="AJ375" s="1"/>
      <c r="AK375" s="295"/>
      <c r="AL375" s="1"/>
      <c r="AM375" s="1"/>
      <c r="AN375" s="1"/>
      <c r="AO375" s="1"/>
      <c r="AP375" s="1"/>
      <c r="AQ375" s="1"/>
      <c r="AR375" s="1"/>
      <c r="AS375" s="1"/>
      <c r="AT375" s="1"/>
      <c r="AU375" s="1"/>
      <c r="AV375" s="1"/>
      <c r="AW375" s="1"/>
      <c r="AX375" s="1"/>
      <c r="AY375" s="1"/>
      <c r="AZ375" s="1"/>
      <c r="BA375" s="1"/>
      <c r="BB375" s="1"/>
      <c r="BC375" s="1"/>
      <c r="BD375" s="296"/>
      <c r="BE375" s="1"/>
      <c r="BF375" s="1"/>
      <c r="BG375" s="20"/>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row>
    <row r="376" spans="1:115" ht="15.75" customHeight="1">
      <c r="A376" s="1"/>
      <c r="B376" s="1"/>
      <c r="C376" s="1"/>
      <c r="D376" s="1"/>
      <c r="E376" s="1"/>
      <c r="F376" s="1"/>
      <c r="G376" s="1"/>
      <c r="H376" s="1"/>
      <c r="I376" s="294"/>
      <c r="J376" s="294"/>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3"/>
      <c r="AJ376" s="1"/>
      <c r="AK376" s="295"/>
      <c r="AL376" s="1"/>
      <c r="AM376" s="1"/>
      <c r="AN376" s="1"/>
      <c r="AO376" s="1"/>
      <c r="AP376" s="1"/>
      <c r="AQ376" s="1"/>
      <c r="AR376" s="1"/>
      <c r="AS376" s="1"/>
      <c r="AT376" s="1"/>
      <c r="AU376" s="1"/>
      <c r="AV376" s="1"/>
      <c r="AW376" s="1"/>
      <c r="AX376" s="1"/>
      <c r="AY376" s="1"/>
      <c r="AZ376" s="1"/>
      <c r="BA376" s="1"/>
      <c r="BB376" s="1"/>
      <c r="BC376" s="1"/>
      <c r="BD376" s="296"/>
      <c r="BE376" s="1"/>
      <c r="BF376" s="1"/>
      <c r="BG376" s="20"/>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row>
    <row r="377" spans="1:115" ht="15.75" customHeight="1">
      <c r="A377" s="1"/>
      <c r="B377" s="1"/>
      <c r="C377" s="1"/>
      <c r="D377" s="1"/>
      <c r="E377" s="1"/>
      <c r="F377" s="1"/>
      <c r="G377" s="1"/>
      <c r="H377" s="1"/>
      <c r="I377" s="294"/>
      <c r="J377" s="294"/>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3"/>
      <c r="AJ377" s="1"/>
      <c r="AK377" s="295"/>
      <c r="AL377" s="1"/>
      <c r="AM377" s="1"/>
      <c r="AN377" s="1"/>
      <c r="AO377" s="1"/>
      <c r="AP377" s="1"/>
      <c r="AQ377" s="1"/>
      <c r="AR377" s="1"/>
      <c r="AS377" s="1"/>
      <c r="AT377" s="1"/>
      <c r="AU377" s="1"/>
      <c r="AV377" s="1"/>
      <c r="AW377" s="1"/>
      <c r="AX377" s="1"/>
      <c r="AY377" s="1"/>
      <c r="AZ377" s="1"/>
      <c r="BA377" s="1"/>
      <c r="BB377" s="1"/>
      <c r="BC377" s="1"/>
      <c r="BD377" s="296"/>
      <c r="BE377" s="1"/>
      <c r="BF377" s="1"/>
      <c r="BG377" s="20"/>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row>
    <row r="378" spans="1:115" ht="15.75" customHeight="1">
      <c r="A378" s="1"/>
      <c r="B378" s="1"/>
      <c r="C378" s="1"/>
      <c r="D378" s="1"/>
      <c r="E378" s="1"/>
      <c r="F378" s="1"/>
      <c r="G378" s="1"/>
      <c r="H378" s="1"/>
      <c r="I378" s="294"/>
      <c r="J378" s="294"/>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3"/>
      <c r="AJ378" s="1"/>
      <c r="AK378" s="295"/>
      <c r="AL378" s="1"/>
      <c r="AM378" s="1"/>
      <c r="AN378" s="1"/>
      <c r="AO378" s="1"/>
      <c r="AP378" s="1"/>
      <c r="AQ378" s="1"/>
      <c r="AR378" s="1"/>
      <c r="AS378" s="1"/>
      <c r="AT378" s="1"/>
      <c r="AU378" s="1"/>
      <c r="AV378" s="1"/>
      <c r="AW378" s="1"/>
      <c r="AX378" s="1"/>
      <c r="AY378" s="1"/>
      <c r="AZ378" s="1"/>
      <c r="BA378" s="1"/>
      <c r="BB378" s="1"/>
      <c r="BC378" s="1"/>
      <c r="BD378" s="296"/>
      <c r="BE378" s="1"/>
      <c r="BF378" s="1"/>
      <c r="BG378" s="20"/>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row>
    <row r="379" spans="1:115" ht="15.75" customHeight="1">
      <c r="A379" s="1"/>
      <c r="B379" s="1"/>
      <c r="C379" s="1"/>
      <c r="D379" s="1"/>
      <c r="E379" s="1"/>
      <c r="F379" s="1"/>
      <c r="G379" s="1"/>
      <c r="H379" s="1"/>
      <c r="I379" s="294"/>
      <c r="J379" s="294"/>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3"/>
      <c r="AJ379" s="1"/>
      <c r="AK379" s="295"/>
      <c r="AL379" s="1"/>
      <c r="AM379" s="1"/>
      <c r="AN379" s="1"/>
      <c r="AO379" s="1"/>
      <c r="AP379" s="1"/>
      <c r="AQ379" s="1"/>
      <c r="AR379" s="1"/>
      <c r="AS379" s="1"/>
      <c r="AT379" s="1"/>
      <c r="AU379" s="1"/>
      <c r="AV379" s="1"/>
      <c r="AW379" s="1"/>
      <c r="AX379" s="1"/>
      <c r="AY379" s="1"/>
      <c r="AZ379" s="1"/>
      <c r="BA379" s="1"/>
      <c r="BB379" s="1"/>
      <c r="BC379" s="1"/>
      <c r="BD379" s="296"/>
      <c r="BE379" s="1"/>
      <c r="BF379" s="1"/>
      <c r="BG379" s="20"/>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row>
    <row r="380" spans="1:115" ht="15.75" customHeight="1">
      <c r="A380" s="1"/>
      <c r="B380" s="1"/>
      <c r="C380" s="1"/>
      <c r="D380" s="1"/>
      <c r="E380" s="1"/>
      <c r="F380" s="1"/>
      <c r="G380" s="1"/>
      <c r="H380" s="1"/>
      <c r="I380" s="294"/>
      <c r="J380" s="294"/>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3"/>
      <c r="AJ380" s="1"/>
      <c r="AK380" s="295"/>
      <c r="AL380" s="1"/>
      <c r="AM380" s="1"/>
      <c r="AN380" s="1"/>
      <c r="AO380" s="1"/>
      <c r="AP380" s="1"/>
      <c r="AQ380" s="1"/>
      <c r="AR380" s="1"/>
      <c r="AS380" s="1"/>
      <c r="AT380" s="1"/>
      <c r="AU380" s="1"/>
      <c r="AV380" s="1"/>
      <c r="AW380" s="1"/>
      <c r="AX380" s="1"/>
      <c r="AY380" s="1"/>
      <c r="AZ380" s="1"/>
      <c r="BA380" s="1"/>
      <c r="BB380" s="1"/>
      <c r="BC380" s="1"/>
      <c r="BD380" s="296"/>
      <c r="BE380" s="1"/>
      <c r="BF380" s="1"/>
      <c r="BG380" s="20"/>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row>
    <row r="381" spans="1:115" ht="15.75" customHeight="1">
      <c r="A381" s="1"/>
      <c r="B381" s="1"/>
      <c r="C381" s="1"/>
      <c r="D381" s="1"/>
      <c r="E381" s="1"/>
      <c r="F381" s="1"/>
      <c r="G381" s="1"/>
      <c r="H381" s="1"/>
      <c r="I381" s="294"/>
      <c r="J381" s="294"/>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3"/>
      <c r="AJ381" s="1"/>
      <c r="AK381" s="295"/>
      <c r="AL381" s="1"/>
      <c r="AM381" s="1"/>
      <c r="AN381" s="1"/>
      <c r="AO381" s="1"/>
      <c r="AP381" s="1"/>
      <c r="AQ381" s="1"/>
      <c r="AR381" s="1"/>
      <c r="AS381" s="1"/>
      <c r="AT381" s="1"/>
      <c r="AU381" s="1"/>
      <c r="AV381" s="1"/>
      <c r="AW381" s="1"/>
      <c r="AX381" s="1"/>
      <c r="AY381" s="1"/>
      <c r="AZ381" s="1"/>
      <c r="BA381" s="1"/>
      <c r="BB381" s="1"/>
      <c r="BC381" s="1"/>
      <c r="BD381" s="296"/>
      <c r="BE381" s="1"/>
      <c r="BF381" s="1"/>
      <c r="BG381" s="20"/>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row>
    <row r="382" spans="1:115" ht="15.75" customHeight="1">
      <c r="A382" s="1"/>
      <c r="B382" s="1"/>
      <c r="C382" s="1"/>
      <c r="D382" s="1"/>
      <c r="E382" s="1"/>
      <c r="F382" s="1"/>
      <c r="G382" s="1"/>
      <c r="H382" s="1"/>
      <c r="I382" s="294"/>
      <c r="J382" s="294"/>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3"/>
      <c r="AJ382" s="1"/>
      <c r="AK382" s="295"/>
      <c r="AL382" s="1"/>
      <c r="AM382" s="1"/>
      <c r="AN382" s="1"/>
      <c r="AO382" s="1"/>
      <c r="AP382" s="1"/>
      <c r="AQ382" s="1"/>
      <c r="AR382" s="1"/>
      <c r="AS382" s="1"/>
      <c r="AT382" s="1"/>
      <c r="AU382" s="1"/>
      <c r="AV382" s="1"/>
      <c r="AW382" s="1"/>
      <c r="AX382" s="1"/>
      <c r="AY382" s="1"/>
      <c r="AZ382" s="1"/>
      <c r="BA382" s="1"/>
      <c r="BB382" s="1"/>
      <c r="BC382" s="1"/>
      <c r="BD382" s="296"/>
      <c r="BE382" s="1"/>
      <c r="BF382" s="1"/>
      <c r="BG382" s="20"/>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row>
    <row r="383" spans="1:115" ht="15.75" customHeight="1">
      <c r="A383" s="1"/>
      <c r="B383" s="1"/>
      <c r="C383" s="1"/>
      <c r="D383" s="1"/>
      <c r="E383" s="1"/>
      <c r="F383" s="1"/>
      <c r="G383" s="1"/>
      <c r="H383" s="1"/>
      <c r="I383" s="294"/>
      <c r="J383" s="294"/>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3"/>
      <c r="AJ383" s="1"/>
      <c r="AK383" s="295"/>
      <c r="AL383" s="1"/>
      <c r="AM383" s="1"/>
      <c r="AN383" s="1"/>
      <c r="AO383" s="1"/>
      <c r="AP383" s="1"/>
      <c r="AQ383" s="1"/>
      <c r="AR383" s="1"/>
      <c r="AS383" s="1"/>
      <c r="AT383" s="1"/>
      <c r="AU383" s="1"/>
      <c r="AV383" s="1"/>
      <c r="AW383" s="1"/>
      <c r="AX383" s="1"/>
      <c r="AY383" s="1"/>
      <c r="AZ383" s="1"/>
      <c r="BA383" s="1"/>
      <c r="BB383" s="1"/>
      <c r="BC383" s="1"/>
      <c r="BD383" s="296"/>
      <c r="BE383" s="1"/>
      <c r="BF383" s="1"/>
      <c r="BG383" s="20"/>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row>
    <row r="384" spans="1:115" ht="15.75" customHeight="1">
      <c r="A384" s="1"/>
      <c r="B384" s="1"/>
      <c r="C384" s="1"/>
      <c r="D384" s="1"/>
      <c r="E384" s="1"/>
      <c r="F384" s="1"/>
      <c r="G384" s="1"/>
      <c r="H384" s="1"/>
      <c r="I384" s="294"/>
      <c r="J384" s="294"/>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3"/>
      <c r="AJ384" s="1"/>
      <c r="AK384" s="295"/>
      <c r="AL384" s="1"/>
      <c r="AM384" s="1"/>
      <c r="AN384" s="1"/>
      <c r="AO384" s="1"/>
      <c r="AP384" s="1"/>
      <c r="AQ384" s="1"/>
      <c r="AR384" s="1"/>
      <c r="AS384" s="1"/>
      <c r="AT384" s="1"/>
      <c r="AU384" s="1"/>
      <c r="AV384" s="1"/>
      <c r="AW384" s="1"/>
      <c r="AX384" s="1"/>
      <c r="AY384" s="1"/>
      <c r="AZ384" s="1"/>
      <c r="BA384" s="1"/>
      <c r="BB384" s="1"/>
      <c r="BC384" s="1"/>
      <c r="BD384" s="296"/>
      <c r="BE384" s="1"/>
      <c r="BF384" s="1"/>
      <c r="BG384" s="20"/>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row>
    <row r="385" spans="1:115" ht="15.75" customHeight="1">
      <c r="A385" s="1"/>
      <c r="B385" s="1"/>
      <c r="C385" s="1"/>
      <c r="D385" s="1"/>
      <c r="E385" s="1"/>
      <c r="F385" s="1"/>
      <c r="G385" s="1"/>
      <c r="H385" s="1"/>
      <c r="I385" s="294"/>
      <c r="J385" s="294"/>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3"/>
      <c r="AJ385" s="1"/>
      <c r="AK385" s="295"/>
      <c r="AL385" s="1"/>
      <c r="AM385" s="1"/>
      <c r="AN385" s="1"/>
      <c r="AO385" s="1"/>
      <c r="AP385" s="1"/>
      <c r="AQ385" s="1"/>
      <c r="AR385" s="1"/>
      <c r="AS385" s="1"/>
      <c r="AT385" s="1"/>
      <c r="AU385" s="1"/>
      <c r="AV385" s="1"/>
      <c r="AW385" s="1"/>
      <c r="AX385" s="1"/>
      <c r="AY385" s="1"/>
      <c r="AZ385" s="1"/>
      <c r="BA385" s="1"/>
      <c r="BB385" s="1"/>
      <c r="BC385" s="1"/>
      <c r="BD385" s="296"/>
      <c r="BE385" s="1"/>
      <c r="BF385" s="1"/>
      <c r="BG385" s="20"/>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row>
    <row r="386" spans="1:115" ht="15.75" customHeight="1">
      <c r="A386" s="1"/>
      <c r="B386" s="1"/>
      <c r="C386" s="1"/>
      <c r="D386" s="1"/>
      <c r="E386" s="1"/>
      <c r="F386" s="1"/>
      <c r="G386" s="1"/>
      <c r="H386" s="1"/>
      <c r="I386" s="294"/>
      <c r="J386" s="294"/>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3"/>
      <c r="AJ386" s="1"/>
      <c r="AK386" s="295"/>
      <c r="AL386" s="1"/>
      <c r="AM386" s="1"/>
      <c r="AN386" s="1"/>
      <c r="AO386" s="1"/>
      <c r="AP386" s="1"/>
      <c r="AQ386" s="1"/>
      <c r="AR386" s="1"/>
      <c r="AS386" s="1"/>
      <c r="AT386" s="1"/>
      <c r="AU386" s="1"/>
      <c r="AV386" s="1"/>
      <c r="AW386" s="1"/>
      <c r="AX386" s="1"/>
      <c r="AY386" s="1"/>
      <c r="AZ386" s="1"/>
      <c r="BA386" s="1"/>
      <c r="BB386" s="1"/>
      <c r="BC386" s="1"/>
      <c r="BD386" s="296"/>
      <c r="BE386" s="1"/>
      <c r="BF386" s="1"/>
      <c r="BG386" s="20"/>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row>
    <row r="387" spans="1:115" ht="15.75" customHeight="1">
      <c r="A387" s="1"/>
      <c r="B387" s="1"/>
      <c r="C387" s="1"/>
      <c r="D387" s="1"/>
      <c r="E387" s="1"/>
      <c r="F387" s="1"/>
      <c r="G387" s="1"/>
      <c r="H387" s="1"/>
      <c r="I387" s="294"/>
      <c r="J387" s="294"/>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3"/>
      <c r="AJ387" s="1"/>
      <c r="AK387" s="295"/>
      <c r="AL387" s="1"/>
      <c r="AM387" s="1"/>
      <c r="AN387" s="1"/>
      <c r="AO387" s="1"/>
      <c r="AP387" s="1"/>
      <c r="AQ387" s="1"/>
      <c r="AR387" s="1"/>
      <c r="AS387" s="1"/>
      <c r="AT387" s="1"/>
      <c r="AU387" s="1"/>
      <c r="AV387" s="1"/>
      <c r="AW387" s="1"/>
      <c r="AX387" s="1"/>
      <c r="AY387" s="1"/>
      <c r="AZ387" s="1"/>
      <c r="BA387" s="1"/>
      <c r="BB387" s="1"/>
      <c r="BC387" s="1"/>
      <c r="BD387" s="296"/>
      <c r="BE387" s="1"/>
      <c r="BF387" s="1"/>
      <c r="BG387" s="20"/>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row>
    <row r="388" spans="1:115" ht="15.75" customHeight="1">
      <c r="A388" s="1"/>
      <c r="B388" s="1"/>
      <c r="C388" s="1"/>
      <c r="D388" s="1"/>
      <c r="E388" s="1"/>
      <c r="F388" s="1"/>
      <c r="G388" s="1"/>
      <c r="H388" s="1"/>
      <c r="I388" s="294"/>
      <c r="J388" s="294"/>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3"/>
      <c r="AJ388" s="1"/>
      <c r="AK388" s="295"/>
      <c r="AL388" s="1"/>
      <c r="AM388" s="1"/>
      <c r="AN388" s="1"/>
      <c r="AO388" s="1"/>
      <c r="AP388" s="1"/>
      <c r="AQ388" s="1"/>
      <c r="AR388" s="1"/>
      <c r="AS388" s="1"/>
      <c r="AT388" s="1"/>
      <c r="AU388" s="1"/>
      <c r="AV388" s="1"/>
      <c r="AW388" s="1"/>
      <c r="AX388" s="1"/>
      <c r="AY388" s="1"/>
      <c r="AZ388" s="1"/>
      <c r="BA388" s="1"/>
      <c r="BB388" s="1"/>
      <c r="BC388" s="1"/>
      <c r="BD388" s="296"/>
      <c r="BE388" s="1"/>
      <c r="BF388" s="1"/>
      <c r="BG388" s="20"/>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row>
    <row r="389" spans="1:115" ht="15.75" customHeight="1">
      <c r="A389" s="1"/>
      <c r="B389" s="1"/>
      <c r="C389" s="1"/>
      <c r="D389" s="1"/>
      <c r="E389" s="1"/>
      <c r="F389" s="1"/>
      <c r="G389" s="1"/>
      <c r="H389" s="1"/>
      <c r="I389" s="294"/>
      <c r="J389" s="294"/>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3"/>
      <c r="AJ389" s="1"/>
      <c r="AK389" s="295"/>
      <c r="AL389" s="1"/>
      <c r="AM389" s="1"/>
      <c r="AN389" s="1"/>
      <c r="AO389" s="1"/>
      <c r="AP389" s="1"/>
      <c r="AQ389" s="1"/>
      <c r="AR389" s="1"/>
      <c r="AS389" s="1"/>
      <c r="AT389" s="1"/>
      <c r="AU389" s="1"/>
      <c r="AV389" s="1"/>
      <c r="AW389" s="1"/>
      <c r="AX389" s="1"/>
      <c r="AY389" s="1"/>
      <c r="AZ389" s="1"/>
      <c r="BA389" s="1"/>
      <c r="BB389" s="1"/>
      <c r="BC389" s="1"/>
      <c r="BD389" s="296"/>
      <c r="BE389" s="1"/>
      <c r="BF389" s="1"/>
      <c r="BG389" s="20"/>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row>
    <row r="390" spans="1:115" ht="15.75" customHeight="1">
      <c r="A390" s="1"/>
      <c r="B390" s="1"/>
      <c r="C390" s="1"/>
      <c r="D390" s="1"/>
      <c r="E390" s="1"/>
      <c r="F390" s="1"/>
      <c r="G390" s="1"/>
      <c r="H390" s="1"/>
      <c r="I390" s="294"/>
      <c r="J390" s="294"/>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3"/>
      <c r="AJ390" s="1"/>
      <c r="AK390" s="295"/>
      <c r="AL390" s="1"/>
      <c r="AM390" s="1"/>
      <c r="AN390" s="1"/>
      <c r="AO390" s="1"/>
      <c r="AP390" s="1"/>
      <c r="AQ390" s="1"/>
      <c r="AR390" s="1"/>
      <c r="AS390" s="1"/>
      <c r="AT390" s="1"/>
      <c r="AU390" s="1"/>
      <c r="AV390" s="1"/>
      <c r="AW390" s="1"/>
      <c r="AX390" s="1"/>
      <c r="AY390" s="1"/>
      <c r="AZ390" s="1"/>
      <c r="BA390" s="1"/>
      <c r="BB390" s="1"/>
      <c r="BC390" s="1"/>
      <c r="BD390" s="296"/>
      <c r="BE390" s="1"/>
      <c r="BF390" s="1"/>
      <c r="BG390" s="20"/>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row>
    <row r="391" spans="1:115" ht="15.75" customHeight="1">
      <c r="A391" s="1"/>
      <c r="B391" s="1"/>
      <c r="C391" s="1"/>
      <c r="D391" s="1"/>
      <c r="E391" s="1"/>
      <c r="F391" s="1"/>
      <c r="G391" s="1"/>
      <c r="H391" s="1"/>
      <c r="I391" s="294"/>
      <c r="J391" s="294"/>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3"/>
      <c r="AJ391" s="1"/>
      <c r="AK391" s="295"/>
      <c r="AL391" s="1"/>
      <c r="AM391" s="1"/>
      <c r="AN391" s="1"/>
      <c r="AO391" s="1"/>
      <c r="AP391" s="1"/>
      <c r="AQ391" s="1"/>
      <c r="AR391" s="1"/>
      <c r="AS391" s="1"/>
      <c r="AT391" s="1"/>
      <c r="AU391" s="1"/>
      <c r="AV391" s="1"/>
      <c r="AW391" s="1"/>
      <c r="AX391" s="1"/>
      <c r="AY391" s="1"/>
      <c r="AZ391" s="1"/>
      <c r="BA391" s="1"/>
      <c r="BB391" s="1"/>
      <c r="BC391" s="1"/>
      <c r="BD391" s="296"/>
      <c r="BE391" s="1"/>
      <c r="BF391" s="1"/>
      <c r="BG391" s="20"/>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row>
    <row r="392" spans="1:115" ht="15.75" customHeight="1">
      <c r="A392" s="1"/>
      <c r="B392" s="1"/>
      <c r="C392" s="1"/>
      <c r="D392" s="1"/>
      <c r="E392" s="1"/>
      <c r="F392" s="1"/>
      <c r="G392" s="1"/>
      <c r="H392" s="1"/>
      <c r="I392" s="294"/>
      <c r="J392" s="294"/>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3"/>
      <c r="AJ392" s="1"/>
      <c r="AK392" s="295"/>
      <c r="AL392" s="1"/>
      <c r="AM392" s="1"/>
      <c r="AN392" s="1"/>
      <c r="AO392" s="1"/>
      <c r="AP392" s="1"/>
      <c r="AQ392" s="1"/>
      <c r="AR392" s="1"/>
      <c r="AS392" s="1"/>
      <c r="AT392" s="1"/>
      <c r="AU392" s="1"/>
      <c r="AV392" s="1"/>
      <c r="AW392" s="1"/>
      <c r="AX392" s="1"/>
      <c r="AY392" s="1"/>
      <c r="AZ392" s="1"/>
      <c r="BA392" s="1"/>
      <c r="BB392" s="1"/>
      <c r="BC392" s="1"/>
      <c r="BD392" s="296"/>
      <c r="BE392" s="1"/>
      <c r="BF392" s="1"/>
      <c r="BG392" s="20"/>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row>
    <row r="393" spans="1:115" ht="15.75" customHeight="1">
      <c r="A393" s="1"/>
      <c r="B393" s="1"/>
      <c r="C393" s="1"/>
      <c r="D393" s="1"/>
      <c r="E393" s="1"/>
      <c r="F393" s="1"/>
      <c r="G393" s="1"/>
      <c r="H393" s="1"/>
      <c r="I393" s="294"/>
      <c r="J393" s="294"/>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3"/>
      <c r="AJ393" s="1"/>
      <c r="AK393" s="295"/>
      <c r="AL393" s="1"/>
      <c r="AM393" s="1"/>
      <c r="AN393" s="1"/>
      <c r="AO393" s="1"/>
      <c r="AP393" s="1"/>
      <c r="AQ393" s="1"/>
      <c r="AR393" s="1"/>
      <c r="AS393" s="1"/>
      <c r="AT393" s="1"/>
      <c r="AU393" s="1"/>
      <c r="AV393" s="1"/>
      <c r="AW393" s="1"/>
      <c r="AX393" s="1"/>
      <c r="AY393" s="1"/>
      <c r="AZ393" s="1"/>
      <c r="BA393" s="1"/>
      <c r="BB393" s="1"/>
      <c r="BC393" s="1"/>
      <c r="BD393" s="296"/>
      <c r="BE393" s="1"/>
      <c r="BF393" s="1"/>
      <c r="BG393" s="20"/>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row>
    <row r="394" spans="1:115" ht="15.75" customHeight="1">
      <c r="A394" s="1"/>
      <c r="B394" s="1"/>
      <c r="C394" s="1"/>
      <c r="D394" s="1"/>
      <c r="E394" s="1"/>
      <c r="F394" s="1"/>
      <c r="G394" s="1"/>
      <c r="H394" s="1"/>
      <c r="I394" s="294"/>
      <c r="J394" s="294"/>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3"/>
      <c r="AJ394" s="1"/>
      <c r="AK394" s="295"/>
      <c r="AL394" s="1"/>
      <c r="AM394" s="1"/>
      <c r="AN394" s="1"/>
      <c r="AO394" s="1"/>
      <c r="AP394" s="1"/>
      <c r="AQ394" s="1"/>
      <c r="AR394" s="1"/>
      <c r="AS394" s="1"/>
      <c r="AT394" s="1"/>
      <c r="AU394" s="1"/>
      <c r="AV394" s="1"/>
      <c r="AW394" s="1"/>
      <c r="AX394" s="1"/>
      <c r="AY394" s="1"/>
      <c r="AZ394" s="1"/>
      <c r="BA394" s="1"/>
      <c r="BB394" s="1"/>
      <c r="BC394" s="1"/>
      <c r="BD394" s="296"/>
      <c r="BE394" s="1"/>
      <c r="BF394" s="1"/>
      <c r="BG394" s="20"/>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row>
    <row r="395" spans="1:115" ht="15.75" customHeight="1">
      <c r="A395" s="1"/>
      <c r="B395" s="1"/>
      <c r="C395" s="1"/>
      <c r="D395" s="1"/>
      <c r="E395" s="1"/>
      <c r="F395" s="1"/>
      <c r="G395" s="1"/>
      <c r="H395" s="1"/>
      <c r="I395" s="294"/>
      <c r="J395" s="294"/>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3"/>
      <c r="AJ395" s="1"/>
      <c r="AK395" s="295"/>
      <c r="AL395" s="1"/>
      <c r="AM395" s="1"/>
      <c r="AN395" s="1"/>
      <c r="AO395" s="1"/>
      <c r="AP395" s="1"/>
      <c r="AQ395" s="1"/>
      <c r="AR395" s="1"/>
      <c r="AS395" s="1"/>
      <c r="AT395" s="1"/>
      <c r="AU395" s="1"/>
      <c r="AV395" s="1"/>
      <c r="AW395" s="1"/>
      <c r="AX395" s="1"/>
      <c r="AY395" s="1"/>
      <c r="AZ395" s="1"/>
      <c r="BA395" s="1"/>
      <c r="BB395" s="1"/>
      <c r="BC395" s="1"/>
      <c r="BD395" s="296"/>
      <c r="BE395" s="1"/>
      <c r="BF395" s="1"/>
      <c r="BG395" s="20"/>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row>
    <row r="396" spans="1:115" ht="15.75" customHeight="1">
      <c r="A396" s="1"/>
      <c r="B396" s="1"/>
      <c r="C396" s="1"/>
      <c r="D396" s="1"/>
      <c r="E396" s="1"/>
      <c r="F396" s="1"/>
      <c r="G396" s="1"/>
      <c r="H396" s="1"/>
      <c r="I396" s="294"/>
      <c r="J396" s="294"/>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3"/>
      <c r="AJ396" s="1"/>
      <c r="AK396" s="295"/>
      <c r="AL396" s="1"/>
      <c r="AM396" s="1"/>
      <c r="AN396" s="1"/>
      <c r="AO396" s="1"/>
      <c r="AP396" s="1"/>
      <c r="AQ396" s="1"/>
      <c r="AR396" s="1"/>
      <c r="AS396" s="1"/>
      <c r="AT396" s="1"/>
      <c r="AU396" s="1"/>
      <c r="AV396" s="1"/>
      <c r="AW396" s="1"/>
      <c r="AX396" s="1"/>
      <c r="AY396" s="1"/>
      <c r="AZ396" s="1"/>
      <c r="BA396" s="1"/>
      <c r="BB396" s="1"/>
      <c r="BC396" s="1"/>
      <c r="BD396" s="296"/>
      <c r="BE396" s="1"/>
      <c r="BF396" s="1"/>
      <c r="BG396" s="20"/>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row>
    <row r="397" spans="1:115" ht="15.75" customHeight="1">
      <c r="A397" s="1"/>
      <c r="B397" s="1"/>
      <c r="C397" s="1"/>
      <c r="D397" s="1"/>
      <c r="E397" s="1"/>
      <c r="F397" s="1"/>
      <c r="G397" s="1"/>
      <c r="H397" s="1"/>
      <c r="I397" s="294"/>
      <c r="J397" s="294"/>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3"/>
      <c r="AJ397" s="1"/>
      <c r="AK397" s="295"/>
      <c r="AL397" s="1"/>
      <c r="AM397" s="1"/>
      <c r="AN397" s="1"/>
      <c r="AO397" s="1"/>
      <c r="AP397" s="1"/>
      <c r="AQ397" s="1"/>
      <c r="AR397" s="1"/>
      <c r="AS397" s="1"/>
      <c r="AT397" s="1"/>
      <c r="AU397" s="1"/>
      <c r="AV397" s="1"/>
      <c r="AW397" s="1"/>
      <c r="AX397" s="1"/>
      <c r="AY397" s="1"/>
      <c r="AZ397" s="1"/>
      <c r="BA397" s="1"/>
      <c r="BB397" s="1"/>
      <c r="BC397" s="1"/>
      <c r="BD397" s="296"/>
      <c r="BE397" s="1"/>
      <c r="BF397" s="1"/>
      <c r="BG397" s="20"/>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row>
    <row r="398" spans="1:115" ht="15.75" customHeight="1">
      <c r="A398" s="1"/>
      <c r="B398" s="1"/>
      <c r="C398" s="1"/>
      <c r="D398" s="1"/>
      <c r="E398" s="1"/>
      <c r="F398" s="1"/>
      <c r="G398" s="1"/>
      <c r="H398" s="1"/>
      <c r="I398" s="294"/>
      <c r="J398" s="294"/>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3"/>
      <c r="AJ398" s="1"/>
      <c r="AK398" s="295"/>
      <c r="AL398" s="1"/>
      <c r="AM398" s="1"/>
      <c r="AN398" s="1"/>
      <c r="AO398" s="1"/>
      <c r="AP398" s="1"/>
      <c r="AQ398" s="1"/>
      <c r="AR398" s="1"/>
      <c r="AS398" s="1"/>
      <c r="AT398" s="1"/>
      <c r="AU398" s="1"/>
      <c r="AV398" s="1"/>
      <c r="AW398" s="1"/>
      <c r="AX398" s="1"/>
      <c r="AY398" s="1"/>
      <c r="AZ398" s="1"/>
      <c r="BA398" s="1"/>
      <c r="BB398" s="1"/>
      <c r="BC398" s="1"/>
      <c r="BD398" s="296"/>
      <c r="BE398" s="1"/>
      <c r="BF398" s="1"/>
      <c r="BG398" s="20"/>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row>
    <row r="399" spans="1:115" ht="15.75" customHeight="1">
      <c r="A399" s="1"/>
      <c r="B399" s="1"/>
      <c r="C399" s="1"/>
      <c r="D399" s="1"/>
      <c r="E399" s="1"/>
      <c r="F399" s="1"/>
      <c r="G399" s="1"/>
      <c r="H399" s="1"/>
      <c r="I399" s="294"/>
      <c r="J399" s="294"/>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3"/>
      <c r="AJ399" s="1"/>
      <c r="AK399" s="295"/>
      <c r="AL399" s="1"/>
      <c r="AM399" s="1"/>
      <c r="AN399" s="1"/>
      <c r="AO399" s="1"/>
      <c r="AP399" s="1"/>
      <c r="AQ399" s="1"/>
      <c r="AR399" s="1"/>
      <c r="AS399" s="1"/>
      <c r="AT399" s="1"/>
      <c r="AU399" s="1"/>
      <c r="AV399" s="1"/>
      <c r="AW399" s="1"/>
      <c r="AX399" s="1"/>
      <c r="AY399" s="1"/>
      <c r="AZ399" s="1"/>
      <c r="BA399" s="1"/>
      <c r="BB399" s="1"/>
      <c r="BC399" s="1"/>
      <c r="BD399" s="296"/>
      <c r="BE399" s="1"/>
      <c r="BF399" s="1"/>
      <c r="BG399" s="20"/>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row>
    <row r="400" spans="1:115" ht="15.75" customHeight="1">
      <c r="A400" s="1"/>
      <c r="B400" s="1"/>
      <c r="C400" s="1"/>
      <c r="D400" s="1"/>
      <c r="E400" s="1"/>
      <c r="F400" s="1"/>
      <c r="G400" s="1"/>
      <c r="H400" s="1"/>
      <c r="I400" s="294"/>
      <c r="J400" s="294"/>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3"/>
      <c r="AJ400" s="1"/>
      <c r="AK400" s="295"/>
      <c r="AL400" s="1"/>
      <c r="AM400" s="1"/>
      <c r="AN400" s="1"/>
      <c r="AO400" s="1"/>
      <c r="AP400" s="1"/>
      <c r="AQ400" s="1"/>
      <c r="AR400" s="1"/>
      <c r="AS400" s="1"/>
      <c r="AT400" s="1"/>
      <c r="AU400" s="1"/>
      <c r="AV400" s="1"/>
      <c r="AW400" s="1"/>
      <c r="AX400" s="1"/>
      <c r="AY400" s="1"/>
      <c r="AZ400" s="1"/>
      <c r="BA400" s="1"/>
      <c r="BB400" s="1"/>
      <c r="BC400" s="1"/>
      <c r="BD400" s="296"/>
      <c r="BE400" s="1"/>
      <c r="BF400" s="1"/>
      <c r="BG400" s="20"/>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row>
    <row r="401" spans="1:115" ht="15.75" customHeight="1">
      <c r="A401" s="1"/>
      <c r="B401" s="1"/>
      <c r="C401" s="1"/>
      <c r="D401" s="1"/>
      <c r="E401" s="1"/>
      <c r="F401" s="1"/>
      <c r="G401" s="1"/>
      <c r="H401" s="1"/>
      <c r="I401" s="294"/>
      <c r="J401" s="294"/>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3"/>
      <c r="AJ401" s="1"/>
      <c r="AK401" s="295"/>
      <c r="AL401" s="1"/>
      <c r="AM401" s="1"/>
      <c r="AN401" s="1"/>
      <c r="AO401" s="1"/>
      <c r="AP401" s="1"/>
      <c r="AQ401" s="1"/>
      <c r="AR401" s="1"/>
      <c r="AS401" s="1"/>
      <c r="AT401" s="1"/>
      <c r="AU401" s="1"/>
      <c r="AV401" s="1"/>
      <c r="AW401" s="1"/>
      <c r="AX401" s="1"/>
      <c r="AY401" s="1"/>
      <c r="AZ401" s="1"/>
      <c r="BA401" s="1"/>
      <c r="BB401" s="1"/>
      <c r="BC401" s="1"/>
      <c r="BD401" s="296"/>
      <c r="BE401" s="1"/>
      <c r="BF401" s="1"/>
      <c r="BG401" s="20"/>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row>
    <row r="402" spans="1:115" ht="15.75" customHeight="1">
      <c r="A402" s="1"/>
      <c r="B402" s="1"/>
      <c r="C402" s="1"/>
      <c r="D402" s="1"/>
      <c r="E402" s="1"/>
      <c r="F402" s="1"/>
      <c r="G402" s="1"/>
      <c r="H402" s="1"/>
      <c r="I402" s="294"/>
      <c r="J402" s="294"/>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3"/>
      <c r="AJ402" s="1"/>
      <c r="AK402" s="295"/>
      <c r="AL402" s="1"/>
      <c r="AM402" s="1"/>
      <c r="AN402" s="1"/>
      <c r="AO402" s="1"/>
      <c r="AP402" s="1"/>
      <c r="AQ402" s="1"/>
      <c r="AR402" s="1"/>
      <c r="AS402" s="1"/>
      <c r="AT402" s="1"/>
      <c r="AU402" s="1"/>
      <c r="AV402" s="1"/>
      <c r="AW402" s="1"/>
      <c r="AX402" s="1"/>
      <c r="AY402" s="1"/>
      <c r="AZ402" s="1"/>
      <c r="BA402" s="1"/>
      <c r="BB402" s="1"/>
      <c r="BC402" s="1"/>
      <c r="BD402" s="296"/>
      <c r="BE402" s="1"/>
      <c r="BF402" s="1"/>
      <c r="BG402" s="20"/>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row>
    <row r="403" spans="1:115" ht="15.75" customHeight="1">
      <c r="A403" s="1"/>
      <c r="B403" s="1"/>
      <c r="C403" s="1"/>
      <c r="D403" s="1"/>
      <c r="E403" s="1"/>
      <c r="F403" s="1"/>
      <c r="G403" s="1"/>
      <c r="H403" s="1"/>
      <c r="I403" s="294"/>
      <c r="J403" s="294"/>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3"/>
      <c r="AJ403" s="1"/>
      <c r="AK403" s="295"/>
      <c r="AL403" s="1"/>
      <c r="AM403" s="1"/>
      <c r="AN403" s="1"/>
      <c r="AO403" s="1"/>
      <c r="AP403" s="1"/>
      <c r="AQ403" s="1"/>
      <c r="AR403" s="1"/>
      <c r="AS403" s="1"/>
      <c r="AT403" s="1"/>
      <c r="AU403" s="1"/>
      <c r="AV403" s="1"/>
      <c r="AW403" s="1"/>
      <c r="AX403" s="1"/>
      <c r="AY403" s="1"/>
      <c r="AZ403" s="1"/>
      <c r="BA403" s="1"/>
      <c r="BB403" s="1"/>
      <c r="BC403" s="1"/>
      <c r="BD403" s="296"/>
      <c r="BE403" s="1"/>
      <c r="BF403" s="1"/>
      <c r="BG403" s="20"/>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row>
    <row r="404" spans="1:115" ht="15.75" customHeight="1">
      <c r="A404" s="1"/>
      <c r="B404" s="1"/>
      <c r="C404" s="1"/>
      <c r="D404" s="1"/>
      <c r="E404" s="1"/>
      <c r="F404" s="1"/>
      <c r="G404" s="1"/>
      <c r="H404" s="1"/>
      <c r="I404" s="294"/>
      <c r="J404" s="294"/>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3"/>
      <c r="AJ404" s="1"/>
      <c r="AK404" s="295"/>
      <c r="AL404" s="1"/>
      <c r="AM404" s="1"/>
      <c r="AN404" s="1"/>
      <c r="AO404" s="1"/>
      <c r="AP404" s="1"/>
      <c r="AQ404" s="1"/>
      <c r="AR404" s="1"/>
      <c r="AS404" s="1"/>
      <c r="AT404" s="1"/>
      <c r="AU404" s="1"/>
      <c r="AV404" s="1"/>
      <c r="AW404" s="1"/>
      <c r="AX404" s="1"/>
      <c r="AY404" s="1"/>
      <c r="AZ404" s="1"/>
      <c r="BA404" s="1"/>
      <c r="BB404" s="1"/>
      <c r="BC404" s="1"/>
      <c r="BD404" s="296"/>
      <c r="BE404" s="1"/>
      <c r="BF404" s="1"/>
      <c r="BG404" s="20"/>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row>
    <row r="405" spans="1:115" ht="15.75" customHeight="1">
      <c r="A405" s="1"/>
      <c r="B405" s="1"/>
      <c r="C405" s="1"/>
      <c r="D405" s="1"/>
      <c r="E405" s="1"/>
      <c r="F405" s="1"/>
      <c r="G405" s="1"/>
      <c r="H405" s="1"/>
      <c r="I405" s="294"/>
      <c r="J405" s="294"/>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3"/>
      <c r="AJ405" s="1"/>
      <c r="AK405" s="295"/>
      <c r="AL405" s="1"/>
      <c r="AM405" s="1"/>
      <c r="AN405" s="1"/>
      <c r="AO405" s="1"/>
      <c r="AP405" s="1"/>
      <c r="AQ405" s="1"/>
      <c r="AR405" s="1"/>
      <c r="AS405" s="1"/>
      <c r="AT405" s="1"/>
      <c r="AU405" s="1"/>
      <c r="AV405" s="1"/>
      <c r="AW405" s="1"/>
      <c r="AX405" s="1"/>
      <c r="AY405" s="1"/>
      <c r="AZ405" s="1"/>
      <c r="BA405" s="1"/>
      <c r="BB405" s="1"/>
      <c r="BC405" s="1"/>
      <c r="BD405" s="296"/>
      <c r="BE405" s="1"/>
      <c r="BF405" s="1"/>
      <c r="BG405" s="20"/>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row>
    <row r="406" spans="1:115" ht="15.75" customHeight="1">
      <c r="A406" s="1"/>
      <c r="B406" s="1"/>
      <c r="C406" s="1"/>
      <c r="D406" s="1"/>
      <c r="E406" s="1"/>
      <c r="F406" s="1"/>
      <c r="G406" s="1"/>
      <c r="H406" s="1"/>
      <c r="I406" s="294"/>
      <c r="J406" s="294"/>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3"/>
      <c r="AJ406" s="1"/>
      <c r="AK406" s="295"/>
      <c r="AL406" s="1"/>
      <c r="AM406" s="1"/>
      <c r="AN406" s="1"/>
      <c r="AO406" s="1"/>
      <c r="AP406" s="1"/>
      <c r="AQ406" s="1"/>
      <c r="AR406" s="1"/>
      <c r="AS406" s="1"/>
      <c r="AT406" s="1"/>
      <c r="AU406" s="1"/>
      <c r="AV406" s="1"/>
      <c r="AW406" s="1"/>
      <c r="AX406" s="1"/>
      <c r="AY406" s="1"/>
      <c r="AZ406" s="1"/>
      <c r="BA406" s="1"/>
      <c r="BB406" s="1"/>
      <c r="BC406" s="1"/>
      <c r="BD406" s="296"/>
      <c r="BE406" s="1"/>
      <c r="BF406" s="1"/>
      <c r="BG406" s="20"/>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row>
    <row r="407" spans="1:115" ht="15.75" customHeight="1">
      <c r="A407" s="1"/>
      <c r="B407" s="1"/>
      <c r="C407" s="1"/>
      <c r="D407" s="1"/>
      <c r="E407" s="1"/>
      <c r="F407" s="1"/>
      <c r="G407" s="1"/>
      <c r="H407" s="1"/>
      <c r="I407" s="294"/>
      <c r="J407" s="294"/>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3"/>
      <c r="AJ407" s="1"/>
      <c r="AK407" s="295"/>
      <c r="AL407" s="1"/>
      <c r="AM407" s="1"/>
      <c r="AN407" s="1"/>
      <c r="AO407" s="1"/>
      <c r="AP407" s="1"/>
      <c r="AQ407" s="1"/>
      <c r="AR407" s="1"/>
      <c r="AS407" s="1"/>
      <c r="AT407" s="1"/>
      <c r="AU407" s="1"/>
      <c r="AV407" s="1"/>
      <c r="AW407" s="1"/>
      <c r="AX407" s="1"/>
      <c r="AY407" s="1"/>
      <c r="AZ407" s="1"/>
      <c r="BA407" s="1"/>
      <c r="BB407" s="1"/>
      <c r="BC407" s="1"/>
      <c r="BD407" s="296"/>
      <c r="BE407" s="1"/>
      <c r="BF407" s="1"/>
      <c r="BG407" s="20"/>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row>
    <row r="408" spans="1:115" ht="15.75" customHeight="1">
      <c r="A408" s="1"/>
      <c r="B408" s="1"/>
      <c r="C408" s="1"/>
      <c r="D408" s="1"/>
      <c r="E408" s="1"/>
      <c r="F408" s="1"/>
      <c r="G408" s="1"/>
      <c r="H408" s="1"/>
      <c r="I408" s="294"/>
      <c r="J408" s="294"/>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3"/>
      <c r="AJ408" s="1"/>
      <c r="AK408" s="295"/>
      <c r="AL408" s="1"/>
      <c r="AM408" s="1"/>
      <c r="AN408" s="1"/>
      <c r="AO408" s="1"/>
      <c r="AP408" s="1"/>
      <c r="AQ408" s="1"/>
      <c r="AR408" s="1"/>
      <c r="AS408" s="1"/>
      <c r="AT408" s="1"/>
      <c r="AU408" s="1"/>
      <c r="AV408" s="1"/>
      <c r="AW408" s="1"/>
      <c r="AX408" s="1"/>
      <c r="AY408" s="1"/>
      <c r="AZ408" s="1"/>
      <c r="BA408" s="1"/>
      <c r="BB408" s="1"/>
      <c r="BC408" s="1"/>
      <c r="BD408" s="296"/>
      <c r="BE408" s="1"/>
      <c r="BF408" s="1"/>
      <c r="BG408" s="20"/>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row>
    <row r="409" spans="1:115" ht="15.75" customHeight="1">
      <c r="A409" s="1"/>
      <c r="B409" s="1"/>
      <c r="C409" s="1"/>
      <c r="D409" s="1"/>
      <c r="E409" s="1"/>
      <c r="F409" s="1"/>
      <c r="G409" s="1"/>
      <c r="H409" s="1"/>
      <c r="I409" s="294"/>
      <c r="J409" s="294"/>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3"/>
      <c r="AJ409" s="1"/>
      <c r="AK409" s="295"/>
      <c r="AL409" s="1"/>
      <c r="AM409" s="1"/>
      <c r="AN409" s="1"/>
      <c r="AO409" s="1"/>
      <c r="AP409" s="1"/>
      <c r="AQ409" s="1"/>
      <c r="AR409" s="1"/>
      <c r="AS409" s="1"/>
      <c r="AT409" s="1"/>
      <c r="AU409" s="1"/>
      <c r="AV409" s="1"/>
      <c r="AW409" s="1"/>
      <c r="AX409" s="1"/>
      <c r="AY409" s="1"/>
      <c r="AZ409" s="1"/>
      <c r="BA409" s="1"/>
      <c r="BB409" s="1"/>
      <c r="BC409" s="1"/>
      <c r="BD409" s="296"/>
      <c r="BE409" s="1"/>
      <c r="BF409" s="1"/>
      <c r="BG409" s="20"/>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row>
    <row r="410" spans="1:115" ht="15.75" customHeight="1">
      <c r="A410" s="1"/>
      <c r="B410" s="1"/>
      <c r="C410" s="1"/>
      <c r="D410" s="1"/>
      <c r="E410" s="1"/>
      <c r="F410" s="1"/>
      <c r="G410" s="1"/>
      <c r="H410" s="1"/>
      <c r="I410" s="294"/>
      <c r="J410" s="294"/>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3"/>
      <c r="AJ410" s="1"/>
      <c r="AK410" s="295"/>
      <c r="AL410" s="1"/>
      <c r="AM410" s="1"/>
      <c r="AN410" s="1"/>
      <c r="AO410" s="1"/>
      <c r="AP410" s="1"/>
      <c r="AQ410" s="1"/>
      <c r="AR410" s="1"/>
      <c r="AS410" s="1"/>
      <c r="AT410" s="1"/>
      <c r="AU410" s="1"/>
      <c r="AV410" s="1"/>
      <c r="AW410" s="1"/>
      <c r="AX410" s="1"/>
      <c r="AY410" s="1"/>
      <c r="AZ410" s="1"/>
      <c r="BA410" s="1"/>
      <c r="BB410" s="1"/>
      <c r="BC410" s="1"/>
      <c r="BD410" s="296"/>
      <c r="BE410" s="1"/>
      <c r="BF410" s="1"/>
      <c r="BG410" s="20"/>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row>
    <row r="411" spans="1:115" ht="15.75" customHeight="1">
      <c r="A411" s="1"/>
      <c r="B411" s="1"/>
      <c r="C411" s="1"/>
      <c r="D411" s="1"/>
      <c r="E411" s="1"/>
      <c r="F411" s="1"/>
      <c r="G411" s="1"/>
      <c r="H411" s="1"/>
      <c r="I411" s="294"/>
      <c r="J411" s="294"/>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3"/>
      <c r="AJ411" s="1"/>
      <c r="AK411" s="295"/>
      <c r="AL411" s="1"/>
      <c r="AM411" s="1"/>
      <c r="AN411" s="1"/>
      <c r="AO411" s="1"/>
      <c r="AP411" s="1"/>
      <c r="AQ411" s="1"/>
      <c r="AR411" s="1"/>
      <c r="AS411" s="1"/>
      <c r="AT411" s="1"/>
      <c r="AU411" s="1"/>
      <c r="AV411" s="1"/>
      <c r="AW411" s="1"/>
      <c r="AX411" s="1"/>
      <c r="AY411" s="1"/>
      <c r="AZ411" s="1"/>
      <c r="BA411" s="1"/>
      <c r="BB411" s="1"/>
      <c r="BC411" s="1"/>
      <c r="BD411" s="296"/>
      <c r="BE411" s="1"/>
      <c r="BF411" s="1"/>
      <c r="BG411" s="20"/>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row>
    <row r="412" spans="1:115" ht="15.75" customHeight="1">
      <c r="A412" s="1"/>
      <c r="B412" s="1"/>
      <c r="C412" s="1"/>
      <c r="D412" s="1"/>
      <c r="E412" s="1"/>
      <c r="F412" s="1"/>
      <c r="G412" s="1"/>
      <c r="H412" s="1"/>
      <c r="I412" s="294"/>
      <c r="J412" s="294"/>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3"/>
      <c r="AJ412" s="1"/>
      <c r="AK412" s="295"/>
      <c r="AL412" s="1"/>
      <c r="AM412" s="1"/>
      <c r="AN412" s="1"/>
      <c r="AO412" s="1"/>
      <c r="AP412" s="1"/>
      <c r="AQ412" s="1"/>
      <c r="AR412" s="1"/>
      <c r="AS412" s="1"/>
      <c r="AT412" s="1"/>
      <c r="AU412" s="1"/>
      <c r="AV412" s="1"/>
      <c r="AW412" s="1"/>
      <c r="AX412" s="1"/>
      <c r="AY412" s="1"/>
      <c r="AZ412" s="1"/>
      <c r="BA412" s="1"/>
      <c r="BB412" s="1"/>
      <c r="BC412" s="1"/>
      <c r="BD412" s="296"/>
      <c r="BE412" s="1"/>
      <c r="BF412" s="1"/>
      <c r="BG412" s="20"/>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row>
    <row r="413" spans="1:115" ht="15.75" customHeight="1">
      <c r="A413" s="1"/>
      <c r="B413" s="1"/>
      <c r="C413" s="1"/>
      <c r="D413" s="1"/>
      <c r="E413" s="1"/>
      <c r="F413" s="1"/>
      <c r="G413" s="1"/>
      <c r="H413" s="1"/>
      <c r="I413" s="294"/>
      <c r="J413" s="294"/>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3"/>
      <c r="AJ413" s="1"/>
      <c r="AK413" s="295"/>
      <c r="AL413" s="1"/>
      <c r="AM413" s="1"/>
      <c r="AN413" s="1"/>
      <c r="AO413" s="1"/>
      <c r="AP413" s="1"/>
      <c r="AQ413" s="1"/>
      <c r="AR413" s="1"/>
      <c r="AS413" s="1"/>
      <c r="AT413" s="1"/>
      <c r="AU413" s="1"/>
      <c r="AV413" s="1"/>
      <c r="AW413" s="1"/>
      <c r="AX413" s="1"/>
      <c r="AY413" s="1"/>
      <c r="AZ413" s="1"/>
      <c r="BA413" s="1"/>
      <c r="BB413" s="1"/>
      <c r="BC413" s="1"/>
      <c r="BD413" s="296"/>
      <c r="BE413" s="1"/>
      <c r="BF413" s="1"/>
      <c r="BG413" s="20"/>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row>
    <row r="414" spans="1:115" ht="15.75" customHeight="1">
      <c r="A414" s="1"/>
      <c r="B414" s="1"/>
      <c r="C414" s="1"/>
      <c r="D414" s="1"/>
      <c r="E414" s="1"/>
      <c r="F414" s="1"/>
      <c r="G414" s="1"/>
      <c r="H414" s="1"/>
      <c r="I414" s="294"/>
      <c r="J414" s="294"/>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3"/>
      <c r="AJ414" s="1"/>
      <c r="AK414" s="295"/>
      <c r="AL414" s="1"/>
      <c r="AM414" s="1"/>
      <c r="AN414" s="1"/>
      <c r="AO414" s="1"/>
      <c r="AP414" s="1"/>
      <c r="AQ414" s="1"/>
      <c r="AR414" s="1"/>
      <c r="AS414" s="1"/>
      <c r="AT414" s="1"/>
      <c r="AU414" s="1"/>
      <c r="AV414" s="1"/>
      <c r="AW414" s="1"/>
      <c r="AX414" s="1"/>
      <c r="AY414" s="1"/>
      <c r="AZ414" s="1"/>
      <c r="BA414" s="1"/>
      <c r="BB414" s="1"/>
      <c r="BC414" s="1"/>
      <c r="BD414" s="296"/>
      <c r="BE414" s="1"/>
      <c r="BF414" s="1"/>
      <c r="BG414" s="20"/>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row>
    <row r="415" spans="1:115" ht="15.75" customHeight="1">
      <c r="A415" s="1"/>
      <c r="B415" s="1"/>
      <c r="C415" s="1"/>
      <c r="D415" s="1"/>
      <c r="E415" s="1"/>
      <c r="F415" s="1"/>
      <c r="G415" s="1"/>
      <c r="H415" s="1"/>
      <c r="I415" s="294"/>
      <c r="J415" s="294"/>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3"/>
      <c r="AJ415" s="1"/>
      <c r="AK415" s="295"/>
      <c r="AL415" s="1"/>
      <c r="AM415" s="1"/>
      <c r="AN415" s="1"/>
      <c r="AO415" s="1"/>
      <c r="AP415" s="1"/>
      <c r="AQ415" s="1"/>
      <c r="AR415" s="1"/>
      <c r="AS415" s="1"/>
      <c r="AT415" s="1"/>
      <c r="AU415" s="1"/>
      <c r="AV415" s="1"/>
      <c r="AW415" s="1"/>
      <c r="AX415" s="1"/>
      <c r="AY415" s="1"/>
      <c r="AZ415" s="1"/>
      <c r="BA415" s="1"/>
      <c r="BB415" s="1"/>
      <c r="BC415" s="1"/>
      <c r="BD415" s="296"/>
      <c r="BE415" s="1"/>
      <c r="BF415" s="1"/>
      <c r="BG415" s="20"/>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row>
    <row r="416" spans="1:115" ht="15.75" customHeight="1">
      <c r="A416" s="1"/>
      <c r="B416" s="1"/>
      <c r="C416" s="1"/>
      <c r="D416" s="1"/>
      <c r="E416" s="1"/>
      <c r="F416" s="1"/>
      <c r="G416" s="1"/>
      <c r="H416" s="1"/>
      <c r="I416" s="294"/>
      <c r="J416" s="294"/>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3"/>
      <c r="AJ416" s="1"/>
      <c r="AK416" s="295"/>
      <c r="AL416" s="1"/>
      <c r="AM416" s="1"/>
      <c r="AN416" s="1"/>
      <c r="AO416" s="1"/>
      <c r="AP416" s="1"/>
      <c r="AQ416" s="1"/>
      <c r="AR416" s="1"/>
      <c r="AS416" s="1"/>
      <c r="AT416" s="1"/>
      <c r="AU416" s="1"/>
      <c r="AV416" s="1"/>
      <c r="AW416" s="1"/>
      <c r="AX416" s="1"/>
      <c r="AY416" s="1"/>
      <c r="AZ416" s="1"/>
      <c r="BA416" s="1"/>
      <c r="BB416" s="1"/>
      <c r="BC416" s="1"/>
      <c r="BD416" s="296"/>
      <c r="BE416" s="1"/>
      <c r="BF416" s="1"/>
      <c r="BG416" s="20"/>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row>
    <row r="417" spans="1:115" ht="15.75" customHeight="1">
      <c r="A417" s="1"/>
      <c r="B417" s="1"/>
      <c r="C417" s="1"/>
      <c r="D417" s="1"/>
      <c r="E417" s="1"/>
      <c r="F417" s="1"/>
      <c r="G417" s="1"/>
      <c r="H417" s="1"/>
      <c r="I417" s="294"/>
      <c r="J417" s="294"/>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3"/>
      <c r="AJ417" s="1"/>
      <c r="AK417" s="295"/>
      <c r="AL417" s="1"/>
      <c r="AM417" s="1"/>
      <c r="AN417" s="1"/>
      <c r="AO417" s="1"/>
      <c r="AP417" s="1"/>
      <c r="AQ417" s="1"/>
      <c r="AR417" s="1"/>
      <c r="AS417" s="1"/>
      <c r="AT417" s="1"/>
      <c r="AU417" s="1"/>
      <c r="AV417" s="1"/>
      <c r="AW417" s="1"/>
      <c r="AX417" s="1"/>
      <c r="AY417" s="1"/>
      <c r="AZ417" s="1"/>
      <c r="BA417" s="1"/>
      <c r="BB417" s="1"/>
      <c r="BC417" s="1"/>
      <c r="BD417" s="296"/>
      <c r="BE417" s="1"/>
      <c r="BF417" s="1"/>
      <c r="BG417" s="20"/>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row>
    <row r="418" spans="1:115" ht="15.75" customHeight="1">
      <c r="A418" s="1"/>
      <c r="B418" s="1"/>
      <c r="C418" s="1"/>
      <c r="D418" s="1"/>
      <c r="E418" s="1"/>
      <c r="F418" s="1"/>
      <c r="G418" s="1"/>
      <c r="H418" s="1"/>
      <c r="I418" s="294"/>
      <c r="J418" s="294"/>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3"/>
      <c r="AJ418" s="1"/>
      <c r="AK418" s="295"/>
      <c r="AL418" s="1"/>
      <c r="AM418" s="1"/>
      <c r="AN418" s="1"/>
      <c r="AO418" s="1"/>
      <c r="AP418" s="1"/>
      <c r="AQ418" s="1"/>
      <c r="AR418" s="1"/>
      <c r="AS418" s="1"/>
      <c r="AT418" s="1"/>
      <c r="AU418" s="1"/>
      <c r="AV418" s="1"/>
      <c r="AW418" s="1"/>
      <c r="AX418" s="1"/>
      <c r="AY418" s="1"/>
      <c r="AZ418" s="1"/>
      <c r="BA418" s="1"/>
      <c r="BB418" s="1"/>
      <c r="BC418" s="1"/>
      <c r="BD418" s="296"/>
      <c r="BE418" s="1"/>
      <c r="BF418" s="1"/>
      <c r="BG418" s="20"/>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row>
    <row r="419" spans="1:115" ht="15.75" customHeight="1">
      <c r="A419" s="1"/>
      <c r="B419" s="1"/>
      <c r="C419" s="1"/>
      <c r="D419" s="1"/>
      <c r="E419" s="1"/>
      <c r="F419" s="1"/>
      <c r="G419" s="1"/>
      <c r="H419" s="1"/>
      <c r="I419" s="294"/>
      <c r="J419" s="294"/>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3"/>
      <c r="AJ419" s="1"/>
      <c r="AK419" s="295"/>
      <c r="AL419" s="1"/>
      <c r="AM419" s="1"/>
      <c r="AN419" s="1"/>
      <c r="AO419" s="1"/>
      <c r="AP419" s="1"/>
      <c r="AQ419" s="1"/>
      <c r="AR419" s="1"/>
      <c r="AS419" s="1"/>
      <c r="AT419" s="1"/>
      <c r="AU419" s="1"/>
      <c r="AV419" s="1"/>
      <c r="AW419" s="1"/>
      <c r="AX419" s="1"/>
      <c r="AY419" s="1"/>
      <c r="AZ419" s="1"/>
      <c r="BA419" s="1"/>
      <c r="BB419" s="1"/>
      <c r="BC419" s="1"/>
      <c r="BD419" s="296"/>
      <c r="BE419" s="1"/>
      <c r="BF419" s="1"/>
      <c r="BG419" s="20"/>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row>
    <row r="420" spans="1:115" ht="15.75" customHeight="1">
      <c r="A420" s="1"/>
      <c r="B420" s="1"/>
      <c r="C420" s="1"/>
      <c r="D420" s="1"/>
      <c r="E420" s="1"/>
      <c r="F420" s="1"/>
      <c r="G420" s="1"/>
      <c r="H420" s="1"/>
      <c r="I420" s="294"/>
      <c r="J420" s="294"/>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3"/>
      <c r="AJ420" s="1"/>
      <c r="AK420" s="295"/>
      <c r="AL420" s="1"/>
      <c r="AM420" s="1"/>
      <c r="AN420" s="1"/>
      <c r="AO420" s="1"/>
      <c r="AP420" s="1"/>
      <c r="AQ420" s="1"/>
      <c r="AR420" s="1"/>
      <c r="AS420" s="1"/>
      <c r="AT420" s="1"/>
      <c r="AU420" s="1"/>
      <c r="AV420" s="1"/>
      <c r="AW420" s="1"/>
      <c r="AX420" s="1"/>
      <c r="AY420" s="1"/>
      <c r="AZ420" s="1"/>
      <c r="BA420" s="1"/>
      <c r="BB420" s="1"/>
      <c r="BC420" s="1"/>
      <c r="BD420" s="296"/>
      <c r="BE420" s="1"/>
      <c r="BF420" s="1"/>
      <c r="BG420" s="20"/>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row>
    <row r="421" spans="1:115" ht="15.75" customHeight="1">
      <c r="A421" s="1"/>
      <c r="B421" s="1"/>
      <c r="C421" s="1"/>
      <c r="D421" s="1"/>
      <c r="E421" s="1"/>
      <c r="F421" s="1"/>
      <c r="G421" s="1"/>
      <c r="H421" s="1"/>
      <c r="I421" s="294"/>
      <c r="J421" s="294"/>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3"/>
      <c r="AJ421" s="1"/>
      <c r="AK421" s="295"/>
      <c r="AL421" s="1"/>
      <c r="AM421" s="1"/>
      <c r="AN421" s="1"/>
      <c r="AO421" s="1"/>
      <c r="AP421" s="1"/>
      <c r="AQ421" s="1"/>
      <c r="AR421" s="1"/>
      <c r="AS421" s="1"/>
      <c r="AT421" s="1"/>
      <c r="AU421" s="1"/>
      <c r="AV421" s="1"/>
      <c r="AW421" s="1"/>
      <c r="AX421" s="1"/>
      <c r="AY421" s="1"/>
      <c r="AZ421" s="1"/>
      <c r="BA421" s="1"/>
      <c r="BB421" s="1"/>
      <c r="BC421" s="1"/>
      <c r="BD421" s="296"/>
      <c r="BE421" s="1"/>
      <c r="BF421" s="1"/>
      <c r="BG421" s="20"/>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row>
    <row r="422" spans="1:115" ht="15.75" customHeight="1">
      <c r="A422" s="1"/>
      <c r="B422" s="1"/>
      <c r="C422" s="1"/>
      <c r="D422" s="1"/>
      <c r="E422" s="1"/>
      <c r="F422" s="1"/>
      <c r="G422" s="1"/>
      <c r="H422" s="1"/>
      <c r="I422" s="294"/>
      <c r="J422" s="294"/>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3"/>
      <c r="AJ422" s="1"/>
      <c r="AK422" s="295"/>
      <c r="AL422" s="1"/>
      <c r="AM422" s="1"/>
      <c r="AN422" s="1"/>
      <c r="AO422" s="1"/>
      <c r="AP422" s="1"/>
      <c r="AQ422" s="1"/>
      <c r="AR422" s="1"/>
      <c r="AS422" s="1"/>
      <c r="AT422" s="1"/>
      <c r="AU422" s="1"/>
      <c r="AV422" s="1"/>
      <c r="AW422" s="1"/>
      <c r="AX422" s="1"/>
      <c r="AY422" s="1"/>
      <c r="AZ422" s="1"/>
      <c r="BA422" s="1"/>
      <c r="BB422" s="1"/>
      <c r="BC422" s="1"/>
      <c r="BD422" s="296"/>
      <c r="BE422" s="1"/>
      <c r="BF422" s="1"/>
      <c r="BG422" s="20"/>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row>
    <row r="423" spans="1:115" ht="15.75" customHeight="1">
      <c r="A423" s="1"/>
      <c r="B423" s="1"/>
      <c r="C423" s="1"/>
      <c r="D423" s="1"/>
      <c r="E423" s="1"/>
      <c r="F423" s="1"/>
      <c r="G423" s="1"/>
      <c r="H423" s="1"/>
      <c r="I423" s="294"/>
      <c r="J423" s="294"/>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3"/>
      <c r="AJ423" s="1"/>
      <c r="AK423" s="295"/>
      <c r="AL423" s="1"/>
      <c r="AM423" s="1"/>
      <c r="AN423" s="1"/>
      <c r="AO423" s="1"/>
      <c r="AP423" s="1"/>
      <c r="AQ423" s="1"/>
      <c r="AR423" s="1"/>
      <c r="AS423" s="1"/>
      <c r="AT423" s="1"/>
      <c r="AU423" s="1"/>
      <c r="AV423" s="1"/>
      <c r="AW423" s="1"/>
      <c r="AX423" s="1"/>
      <c r="AY423" s="1"/>
      <c r="AZ423" s="1"/>
      <c r="BA423" s="1"/>
      <c r="BB423" s="1"/>
      <c r="BC423" s="1"/>
      <c r="BD423" s="296"/>
      <c r="BE423" s="1"/>
      <c r="BF423" s="1"/>
      <c r="BG423" s="20"/>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row>
    <row r="424" spans="1:115" ht="15.75" customHeight="1">
      <c r="A424" s="1"/>
      <c r="B424" s="1"/>
      <c r="C424" s="1"/>
      <c r="D424" s="1"/>
      <c r="E424" s="1"/>
      <c r="F424" s="1"/>
      <c r="G424" s="1"/>
      <c r="H424" s="1"/>
      <c r="I424" s="294"/>
      <c r="J424" s="294"/>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3"/>
      <c r="AJ424" s="1"/>
      <c r="AK424" s="295"/>
      <c r="AL424" s="1"/>
      <c r="AM424" s="1"/>
      <c r="AN424" s="1"/>
      <c r="AO424" s="1"/>
      <c r="AP424" s="1"/>
      <c r="AQ424" s="1"/>
      <c r="AR424" s="1"/>
      <c r="AS424" s="1"/>
      <c r="AT424" s="1"/>
      <c r="AU424" s="1"/>
      <c r="AV424" s="1"/>
      <c r="AW424" s="1"/>
      <c r="AX424" s="1"/>
      <c r="AY424" s="1"/>
      <c r="AZ424" s="1"/>
      <c r="BA424" s="1"/>
      <c r="BB424" s="1"/>
      <c r="BC424" s="1"/>
      <c r="BD424" s="296"/>
      <c r="BE424" s="1"/>
      <c r="BF424" s="1"/>
      <c r="BG424" s="20"/>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row>
    <row r="425" spans="1:115" ht="15.75" customHeight="1">
      <c r="A425" s="1"/>
      <c r="B425" s="1"/>
      <c r="C425" s="1"/>
      <c r="D425" s="1"/>
      <c r="E425" s="1"/>
      <c r="F425" s="1"/>
      <c r="G425" s="1"/>
      <c r="H425" s="1"/>
      <c r="I425" s="294"/>
      <c r="J425" s="294"/>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3"/>
      <c r="AJ425" s="1"/>
      <c r="AK425" s="295"/>
      <c r="AL425" s="1"/>
      <c r="AM425" s="1"/>
      <c r="AN425" s="1"/>
      <c r="AO425" s="1"/>
      <c r="AP425" s="1"/>
      <c r="AQ425" s="1"/>
      <c r="AR425" s="1"/>
      <c r="AS425" s="1"/>
      <c r="AT425" s="1"/>
      <c r="AU425" s="1"/>
      <c r="AV425" s="1"/>
      <c r="AW425" s="1"/>
      <c r="AX425" s="1"/>
      <c r="AY425" s="1"/>
      <c r="AZ425" s="1"/>
      <c r="BA425" s="1"/>
      <c r="BB425" s="1"/>
      <c r="BC425" s="1"/>
      <c r="BD425" s="296"/>
      <c r="BE425" s="1"/>
      <c r="BF425" s="1"/>
      <c r="BG425" s="20"/>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row>
    <row r="426" spans="1:115" ht="15.75" customHeight="1">
      <c r="A426" s="1"/>
      <c r="B426" s="1"/>
      <c r="C426" s="1"/>
      <c r="D426" s="1"/>
      <c r="E426" s="1"/>
      <c r="F426" s="1"/>
      <c r="G426" s="1"/>
      <c r="H426" s="1"/>
      <c r="I426" s="294"/>
      <c r="J426" s="294"/>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3"/>
      <c r="AJ426" s="1"/>
      <c r="AK426" s="295"/>
      <c r="AL426" s="1"/>
      <c r="AM426" s="1"/>
      <c r="AN426" s="1"/>
      <c r="AO426" s="1"/>
      <c r="AP426" s="1"/>
      <c r="AQ426" s="1"/>
      <c r="AR426" s="1"/>
      <c r="AS426" s="1"/>
      <c r="AT426" s="1"/>
      <c r="AU426" s="1"/>
      <c r="AV426" s="1"/>
      <c r="AW426" s="1"/>
      <c r="AX426" s="1"/>
      <c r="AY426" s="1"/>
      <c r="AZ426" s="1"/>
      <c r="BA426" s="1"/>
      <c r="BB426" s="1"/>
      <c r="BC426" s="1"/>
      <c r="BD426" s="296"/>
      <c r="BE426" s="1"/>
      <c r="BF426" s="1"/>
      <c r="BG426" s="20"/>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row>
    <row r="427" spans="1:115" ht="15.75" customHeight="1">
      <c r="A427" s="1"/>
      <c r="B427" s="1"/>
      <c r="C427" s="1"/>
      <c r="D427" s="1"/>
      <c r="E427" s="1"/>
      <c r="F427" s="1"/>
      <c r="G427" s="1"/>
      <c r="H427" s="1"/>
      <c r="I427" s="294"/>
      <c r="J427" s="294"/>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3"/>
      <c r="AJ427" s="1"/>
      <c r="AK427" s="295"/>
      <c r="AL427" s="1"/>
      <c r="AM427" s="1"/>
      <c r="AN427" s="1"/>
      <c r="AO427" s="1"/>
      <c r="AP427" s="1"/>
      <c r="AQ427" s="1"/>
      <c r="AR427" s="1"/>
      <c r="AS427" s="1"/>
      <c r="AT427" s="1"/>
      <c r="AU427" s="1"/>
      <c r="AV427" s="1"/>
      <c r="AW427" s="1"/>
      <c r="AX427" s="1"/>
      <c r="AY427" s="1"/>
      <c r="AZ427" s="1"/>
      <c r="BA427" s="1"/>
      <c r="BB427" s="1"/>
      <c r="BC427" s="1"/>
      <c r="BD427" s="296"/>
      <c r="BE427" s="1"/>
      <c r="BF427" s="1"/>
      <c r="BG427" s="20"/>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row>
    <row r="428" spans="1:115" ht="15.75" customHeight="1">
      <c r="A428" s="1"/>
      <c r="B428" s="1"/>
      <c r="C428" s="1"/>
      <c r="D428" s="1"/>
      <c r="E428" s="1"/>
      <c r="F428" s="1"/>
      <c r="G428" s="1"/>
      <c r="H428" s="1"/>
      <c r="I428" s="294"/>
      <c r="J428" s="294"/>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3"/>
      <c r="AJ428" s="1"/>
      <c r="AK428" s="295"/>
      <c r="AL428" s="1"/>
      <c r="AM428" s="1"/>
      <c r="AN428" s="1"/>
      <c r="AO428" s="1"/>
      <c r="AP428" s="1"/>
      <c r="AQ428" s="1"/>
      <c r="AR428" s="1"/>
      <c r="AS428" s="1"/>
      <c r="AT428" s="1"/>
      <c r="AU428" s="1"/>
      <c r="AV428" s="1"/>
      <c r="AW428" s="1"/>
      <c r="AX428" s="1"/>
      <c r="AY428" s="1"/>
      <c r="AZ428" s="1"/>
      <c r="BA428" s="1"/>
      <c r="BB428" s="1"/>
      <c r="BC428" s="1"/>
      <c r="BD428" s="296"/>
      <c r="BE428" s="1"/>
      <c r="BF428" s="1"/>
      <c r="BG428" s="20"/>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row>
    <row r="429" spans="1:115" ht="15.75" customHeight="1">
      <c r="A429" s="1"/>
      <c r="B429" s="1"/>
      <c r="C429" s="1"/>
      <c r="D429" s="1"/>
      <c r="E429" s="1"/>
      <c r="F429" s="1"/>
      <c r="G429" s="1"/>
      <c r="H429" s="1"/>
      <c r="I429" s="294"/>
      <c r="J429" s="294"/>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3"/>
      <c r="AJ429" s="1"/>
      <c r="AK429" s="295"/>
      <c r="AL429" s="1"/>
      <c r="AM429" s="1"/>
      <c r="AN429" s="1"/>
      <c r="AO429" s="1"/>
      <c r="AP429" s="1"/>
      <c r="AQ429" s="1"/>
      <c r="AR429" s="1"/>
      <c r="AS429" s="1"/>
      <c r="AT429" s="1"/>
      <c r="AU429" s="1"/>
      <c r="AV429" s="1"/>
      <c r="AW429" s="1"/>
      <c r="AX429" s="1"/>
      <c r="AY429" s="1"/>
      <c r="AZ429" s="1"/>
      <c r="BA429" s="1"/>
      <c r="BB429" s="1"/>
      <c r="BC429" s="1"/>
      <c r="BD429" s="296"/>
      <c r="BE429" s="1"/>
      <c r="BF429" s="1"/>
      <c r="BG429" s="20"/>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row>
    <row r="430" spans="1:115" ht="15.75" customHeight="1">
      <c r="A430" s="1"/>
      <c r="B430" s="1"/>
      <c r="C430" s="1"/>
      <c r="D430" s="1"/>
      <c r="E430" s="1"/>
      <c r="F430" s="1"/>
      <c r="G430" s="1"/>
      <c r="H430" s="1"/>
      <c r="I430" s="294"/>
      <c r="J430" s="294"/>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3"/>
      <c r="AJ430" s="1"/>
      <c r="AK430" s="295"/>
      <c r="AL430" s="1"/>
      <c r="AM430" s="1"/>
      <c r="AN430" s="1"/>
      <c r="AO430" s="1"/>
      <c r="AP430" s="1"/>
      <c r="AQ430" s="1"/>
      <c r="AR430" s="1"/>
      <c r="AS430" s="1"/>
      <c r="AT430" s="1"/>
      <c r="AU430" s="1"/>
      <c r="AV430" s="1"/>
      <c r="AW430" s="1"/>
      <c r="AX430" s="1"/>
      <c r="AY430" s="1"/>
      <c r="AZ430" s="1"/>
      <c r="BA430" s="1"/>
      <c r="BB430" s="1"/>
      <c r="BC430" s="1"/>
      <c r="BD430" s="296"/>
      <c r="BE430" s="1"/>
      <c r="BF430" s="1"/>
      <c r="BG430" s="20"/>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row>
    <row r="431" spans="1:115" ht="15.75" customHeight="1">
      <c r="A431" s="1"/>
      <c r="B431" s="1"/>
      <c r="C431" s="1"/>
      <c r="D431" s="1"/>
      <c r="E431" s="1"/>
      <c r="F431" s="1"/>
      <c r="G431" s="1"/>
      <c r="H431" s="1"/>
      <c r="I431" s="294"/>
      <c r="J431" s="294"/>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3"/>
      <c r="AJ431" s="1"/>
      <c r="AK431" s="295"/>
      <c r="AL431" s="1"/>
      <c r="AM431" s="1"/>
      <c r="AN431" s="1"/>
      <c r="AO431" s="1"/>
      <c r="AP431" s="1"/>
      <c r="AQ431" s="1"/>
      <c r="AR431" s="1"/>
      <c r="AS431" s="1"/>
      <c r="AT431" s="1"/>
      <c r="AU431" s="1"/>
      <c r="AV431" s="1"/>
      <c r="AW431" s="1"/>
      <c r="AX431" s="1"/>
      <c r="AY431" s="1"/>
      <c r="AZ431" s="1"/>
      <c r="BA431" s="1"/>
      <c r="BB431" s="1"/>
      <c r="BC431" s="1"/>
      <c r="BD431" s="296"/>
      <c r="BE431" s="1"/>
      <c r="BF431" s="1"/>
      <c r="BG431" s="20"/>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row>
    <row r="432" spans="1:115" ht="15.75" customHeight="1">
      <c r="A432" s="1"/>
      <c r="B432" s="1"/>
      <c r="C432" s="1"/>
      <c r="D432" s="1"/>
      <c r="E432" s="1"/>
      <c r="F432" s="1"/>
      <c r="G432" s="1"/>
      <c r="H432" s="1"/>
      <c r="I432" s="294"/>
      <c r="J432" s="294"/>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3"/>
      <c r="AJ432" s="1"/>
      <c r="AK432" s="295"/>
      <c r="AL432" s="1"/>
      <c r="AM432" s="1"/>
      <c r="AN432" s="1"/>
      <c r="AO432" s="1"/>
      <c r="AP432" s="1"/>
      <c r="AQ432" s="1"/>
      <c r="AR432" s="1"/>
      <c r="AS432" s="1"/>
      <c r="AT432" s="1"/>
      <c r="AU432" s="1"/>
      <c r="AV432" s="1"/>
      <c r="AW432" s="1"/>
      <c r="AX432" s="1"/>
      <c r="AY432" s="1"/>
      <c r="AZ432" s="1"/>
      <c r="BA432" s="1"/>
      <c r="BB432" s="1"/>
      <c r="BC432" s="1"/>
      <c r="BD432" s="296"/>
      <c r="BE432" s="1"/>
      <c r="BF432" s="1"/>
      <c r="BG432" s="20"/>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row>
    <row r="433" spans="1:115" ht="15.75" customHeight="1">
      <c r="A433" s="1"/>
      <c r="B433" s="1"/>
      <c r="C433" s="1"/>
      <c r="D433" s="1"/>
      <c r="E433" s="1"/>
      <c r="F433" s="1"/>
      <c r="G433" s="1"/>
      <c r="H433" s="1"/>
      <c r="I433" s="294"/>
      <c r="J433" s="294"/>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3"/>
      <c r="AJ433" s="1"/>
      <c r="AK433" s="295"/>
      <c r="AL433" s="1"/>
      <c r="AM433" s="1"/>
      <c r="AN433" s="1"/>
      <c r="AO433" s="1"/>
      <c r="AP433" s="1"/>
      <c r="AQ433" s="1"/>
      <c r="AR433" s="1"/>
      <c r="AS433" s="1"/>
      <c r="AT433" s="1"/>
      <c r="AU433" s="1"/>
      <c r="AV433" s="1"/>
      <c r="AW433" s="1"/>
      <c r="AX433" s="1"/>
      <c r="AY433" s="1"/>
      <c r="AZ433" s="1"/>
      <c r="BA433" s="1"/>
      <c r="BB433" s="1"/>
      <c r="BC433" s="1"/>
      <c r="BD433" s="296"/>
      <c r="BE433" s="1"/>
      <c r="BF433" s="1"/>
      <c r="BG433" s="20"/>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row>
    <row r="434" spans="1:115" ht="15.75" customHeight="1">
      <c r="A434" s="1"/>
      <c r="B434" s="1"/>
      <c r="C434" s="1"/>
      <c r="D434" s="1"/>
      <c r="E434" s="1"/>
      <c r="F434" s="1"/>
      <c r="G434" s="1"/>
      <c r="H434" s="1"/>
      <c r="I434" s="294"/>
      <c r="J434" s="294"/>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3"/>
      <c r="AJ434" s="1"/>
      <c r="AK434" s="295"/>
      <c r="AL434" s="1"/>
      <c r="AM434" s="1"/>
      <c r="AN434" s="1"/>
      <c r="AO434" s="1"/>
      <c r="AP434" s="1"/>
      <c r="AQ434" s="1"/>
      <c r="AR434" s="1"/>
      <c r="AS434" s="1"/>
      <c r="AT434" s="1"/>
      <c r="AU434" s="1"/>
      <c r="AV434" s="1"/>
      <c r="AW434" s="1"/>
      <c r="AX434" s="1"/>
      <c r="AY434" s="1"/>
      <c r="AZ434" s="1"/>
      <c r="BA434" s="1"/>
      <c r="BB434" s="1"/>
      <c r="BC434" s="1"/>
      <c r="BD434" s="296"/>
      <c r="BE434" s="1"/>
      <c r="BF434" s="1"/>
      <c r="BG434" s="20"/>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row>
    <row r="435" spans="1:115" ht="15.75" customHeight="1">
      <c r="A435" s="1"/>
      <c r="B435" s="1"/>
      <c r="C435" s="1"/>
      <c r="D435" s="1"/>
      <c r="E435" s="1"/>
      <c r="F435" s="1"/>
      <c r="G435" s="1"/>
      <c r="H435" s="1"/>
      <c r="I435" s="294"/>
      <c r="J435" s="294"/>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3"/>
      <c r="AJ435" s="1"/>
      <c r="AK435" s="295"/>
      <c r="AL435" s="1"/>
      <c r="AM435" s="1"/>
      <c r="AN435" s="1"/>
      <c r="AO435" s="1"/>
      <c r="AP435" s="1"/>
      <c r="AQ435" s="1"/>
      <c r="AR435" s="1"/>
      <c r="AS435" s="1"/>
      <c r="AT435" s="1"/>
      <c r="AU435" s="1"/>
      <c r="AV435" s="1"/>
      <c r="AW435" s="1"/>
      <c r="AX435" s="1"/>
      <c r="AY435" s="1"/>
      <c r="AZ435" s="1"/>
      <c r="BA435" s="1"/>
      <c r="BB435" s="1"/>
      <c r="BC435" s="1"/>
      <c r="BD435" s="296"/>
      <c r="BE435" s="1"/>
      <c r="BF435" s="1"/>
      <c r="BG435" s="20"/>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row>
    <row r="436" spans="1:115" ht="15.75" customHeight="1">
      <c r="A436" s="1"/>
      <c r="B436" s="1"/>
      <c r="C436" s="1"/>
      <c r="D436" s="1"/>
      <c r="E436" s="1"/>
      <c r="F436" s="1"/>
      <c r="G436" s="1"/>
      <c r="H436" s="1"/>
      <c r="I436" s="294"/>
      <c r="J436" s="294"/>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3"/>
      <c r="AJ436" s="1"/>
      <c r="AK436" s="295"/>
      <c r="AL436" s="1"/>
      <c r="AM436" s="1"/>
      <c r="AN436" s="1"/>
      <c r="AO436" s="1"/>
      <c r="AP436" s="1"/>
      <c r="AQ436" s="1"/>
      <c r="AR436" s="1"/>
      <c r="AS436" s="1"/>
      <c r="AT436" s="1"/>
      <c r="AU436" s="1"/>
      <c r="AV436" s="1"/>
      <c r="AW436" s="1"/>
      <c r="AX436" s="1"/>
      <c r="AY436" s="1"/>
      <c r="AZ436" s="1"/>
      <c r="BA436" s="1"/>
      <c r="BB436" s="1"/>
      <c r="BC436" s="1"/>
      <c r="BD436" s="296"/>
      <c r="BE436" s="1"/>
      <c r="BF436" s="1"/>
      <c r="BG436" s="20"/>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row>
    <row r="437" spans="1:115" ht="15.75" customHeight="1">
      <c r="A437" s="1"/>
      <c r="B437" s="1"/>
      <c r="C437" s="1"/>
      <c r="D437" s="1"/>
      <c r="E437" s="1"/>
      <c r="F437" s="1"/>
      <c r="G437" s="1"/>
      <c r="H437" s="1"/>
      <c r="I437" s="294"/>
      <c r="J437" s="294"/>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3"/>
      <c r="AJ437" s="1"/>
      <c r="AK437" s="295"/>
      <c r="AL437" s="1"/>
      <c r="AM437" s="1"/>
      <c r="AN437" s="1"/>
      <c r="AO437" s="1"/>
      <c r="AP437" s="1"/>
      <c r="AQ437" s="1"/>
      <c r="AR437" s="1"/>
      <c r="AS437" s="1"/>
      <c r="AT437" s="1"/>
      <c r="AU437" s="1"/>
      <c r="AV437" s="1"/>
      <c r="AW437" s="1"/>
      <c r="AX437" s="1"/>
      <c r="AY437" s="1"/>
      <c r="AZ437" s="1"/>
      <c r="BA437" s="1"/>
      <c r="BB437" s="1"/>
      <c r="BC437" s="1"/>
      <c r="BD437" s="296"/>
      <c r="BE437" s="1"/>
      <c r="BF437" s="1"/>
      <c r="BG437" s="20"/>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row>
    <row r="438" spans="1:115" ht="15.75" customHeight="1">
      <c r="A438" s="1"/>
      <c r="B438" s="1"/>
      <c r="C438" s="1"/>
      <c r="D438" s="1"/>
      <c r="E438" s="1"/>
      <c r="F438" s="1"/>
      <c r="G438" s="1"/>
      <c r="H438" s="1"/>
      <c r="I438" s="294"/>
      <c r="J438" s="294"/>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3"/>
      <c r="AJ438" s="1"/>
      <c r="AK438" s="295"/>
      <c r="AL438" s="1"/>
      <c r="AM438" s="1"/>
      <c r="AN438" s="1"/>
      <c r="AO438" s="1"/>
      <c r="AP438" s="1"/>
      <c r="AQ438" s="1"/>
      <c r="AR438" s="1"/>
      <c r="AS438" s="1"/>
      <c r="AT438" s="1"/>
      <c r="AU438" s="1"/>
      <c r="AV438" s="1"/>
      <c r="AW438" s="1"/>
      <c r="AX438" s="1"/>
      <c r="AY438" s="1"/>
      <c r="AZ438" s="1"/>
      <c r="BA438" s="1"/>
      <c r="BB438" s="1"/>
      <c r="BC438" s="1"/>
      <c r="BD438" s="296"/>
      <c r="BE438" s="1"/>
      <c r="BF438" s="1"/>
      <c r="BG438" s="20"/>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row>
    <row r="439" spans="1:115" ht="15.75" customHeight="1">
      <c r="A439" s="1"/>
      <c r="B439" s="1"/>
      <c r="C439" s="1"/>
      <c r="D439" s="1"/>
      <c r="E439" s="1"/>
      <c r="F439" s="1"/>
      <c r="G439" s="1"/>
      <c r="H439" s="1"/>
      <c r="I439" s="294"/>
      <c r="J439" s="294"/>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3"/>
      <c r="AJ439" s="1"/>
      <c r="AK439" s="295"/>
      <c r="AL439" s="1"/>
      <c r="AM439" s="1"/>
      <c r="AN439" s="1"/>
      <c r="AO439" s="1"/>
      <c r="AP439" s="1"/>
      <c r="AQ439" s="1"/>
      <c r="AR439" s="1"/>
      <c r="AS439" s="1"/>
      <c r="AT439" s="1"/>
      <c r="AU439" s="1"/>
      <c r="AV439" s="1"/>
      <c r="AW439" s="1"/>
      <c r="AX439" s="1"/>
      <c r="AY439" s="1"/>
      <c r="AZ439" s="1"/>
      <c r="BA439" s="1"/>
      <c r="BB439" s="1"/>
      <c r="BC439" s="1"/>
      <c r="BD439" s="296"/>
      <c r="BE439" s="1"/>
      <c r="BF439" s="1"/>
      <c r="BG439" s="20"/>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row>
    <row r="440" spans="1:115" ht="15.75" customHeight="1">
      <c r="A440" s="1"/>
      <c r="B440" s="1"/>
      <c r="C440" s="1"/>
      <c r="D440" s="1"/>
      <c r="E440" s="1"/>
      <c r="F440" s="1"/>
      <c r="G440" s="1"/>
      <c r="H440" s="1"/>
      <c r="I440" s="294"/>
      <c r="J440" s="294"/>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3"/>
      <c r="AJ440" s="1"/>
      <c r="AK440" s="295"/>
      <c r="AL440" s="1"/>
      <c r="AM440" s="1"/>
      <c r="AN440" s="1"/>
      <c r="AO440" s="1"/>
      <c r="AP440" s="1"/>
      <c r="AQ440" s="1"/>
      <c r="AR440" s="1"/>
      <c r="AS440" s="1"/>
      <c r="AT440" s="1"/>
      <c r="AU440" s="1"/>
      <c r="AV440" s="1"/>
      <c r="AW440" s="1"/>
      <c r="AX440" s="1"/>
      <c r="AY440" s="1"/>
      <c r="AZ440" s="1"/>
      <c r="BA440" s="1"/>
      <c r="BB440" s="1"/>
      <c r="BC440" s="1"/>
      <c r="BD440" s="296"/>
      <c r="BE440" s="1"/>
      <c r="BF440" s="1"/>
      <c r="BG440" s="20"/>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row>
    <row r="441" spans="1:115" ht="15.75" customHeight="1">
      <c r="A441" s="1"/>
      <c r="B441" s="1"/>
      <c r="C441" s="1"/>
      <c r="D441" s="1"/>
      <c r="E441" s="1"/>
      <c r="F441" s="1"/>
      <c r="G441" s="1"/>
      <c r="H441" s="1"/>
      <c r="I441" s="294"/>
      <c r="J441" s="294"/>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3"/>
      <c r="AJ441" s="1"/>
      <c r="AK441" s="295"/>
      <c r="AL441" s="1"/>
      <c r="AM441" s="1"/>
      <c r="AN441" s="1"/>
      <c r="AO441" s="1"/>
      <c r="AP441" s="1"/>
      <c r="AQ441" s="1"/>
      <c r="AR441" s="1"/>
      <c r="AS441" s="1"/>
      <c r="AT441" s="1"/>
      <c r="AU441" s="1"/>
      <c r="AV441" s="1"/>
      <c r="AW441" s="1"/>
      <c r="AX441" s="1"/>
      <c r="AY441" s="1"/>
      <c r="AZ441" s="1"/>
      <c r="BA441" s="1"/>
      <c r="BB441" s="1"/>
      <c r="BC441" s="1"/>
      <c r="BD441" s="296"/>
      <c r="BE441" s="1"/>
      <c r="BF441" s="1"/>
      <c r="BG441" s="20"/>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row>
    <row r="442" spans="1:115" ht="15.75" customHeight="1">
      <c r="A442" s="1"/>
      <c r="B442" s="1"/>
      <c r="C442" s="1"/>
      <c r="D442" s="1"/>
      <c r="E442" s="1"/>
      <c r="F442" s="1"/>
      <c r="G442" s="1"/>
      <c r="H442" s="1"/>
      <c r="I442" s="294"/>
      <c r="J442" s="294"/>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3"/>
      <c r="AJ442" s="1"/>
      <c r="AK442" s="295"/>
      <c r="AL442" s="1"/>
      <c r="AM442" s="1"/>
      <c r="AN442" s="1"/>
      <c r="AO442" s="1"/>
      <c r="AP442" s="1"/>
      <c r="AQ442" s="1"/>
      <c r="AR442" s="1"/>
      <c r="AS442" s="1"/>
      <c r="AT442" s="1"/>
      <c r="AU442" s="1"/>
      <c r="AV442" s="1"/>
      <c r="AW442" s="1"/>
      <c r="AX442" s="1"/>
      <c r="AY442" s="1"/>
      <c r="AZ442" s="1"/>
      <c r="BA442" s="1"/>
      <c r="BB442" s="1"/>
      <c r="BC442" s="1"/>
      <c r="BD442" s="296"/>
      <c r="BE442" s="1"/>
      <c r="BF442" s="1"/>
      <c r="BG442" s="20"/>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row>
    <row r="443" spans="1:115" ht="15.75" customHeight="1">
      <c r="A443" s="1"/>
      <c r="B443" s="1"/>
      <c r="C443" s="1"/>
      <c r="D443" s="1"/>
      <c r="E443" s="1"/>
      <c r="F443" s="1"/>
      <c r="G443" s="1"/>
      <c r="H443" s="1"/>
      <c r="I443" s="294"/>
      <c r="J443" s="294"/>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3"/>
      <c r="AJ443" s="1"/>
      <c r="AK443" s="295"/>
      <c r="AL443" s="1"/>
      <c r="AM443" s="1"/>
      <c r="AN443" s="1"/>
      <c r="AO443" s="1"/>
      <c r="AP443" s="1"/>
      <c r="AQ443" s="1"/>
      <c r="AR443" s="1"/>
      <c r="AS443" s="1"/>
      <c r="AT443" s="1"/>
      <c r="AU443" s="1"/>
      <c r="AV443" s="1"/>
      <c r="AW443" s="1"/>
      <c r="AX443" s="1"/>
      <c r="AY443" s="1"/>
      <c r="AZ443" s="1"/>
      <c r="BA443" s="1"/>
      <c r="BB443" s="1"/>
      <c r="BC443" s="1"/>
      <c r="BD443" s="296"/>
      <c r="BE443" s="1"/>
      <c r="BF443" s="1"/>
      <c r="BG443" s="20"/>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row>
    <row r="444" spans="1:115" ht="15.75" customHeight="1">
      <c r="A444" s="1"/>
      <c r="B444" s="1"/>
      <c r="C444" s="1"/>
      <c r="D444" s="1"/>
      <c r="E444" s="1"/>
      <c r="F444" s="1"/>
      <c r="G444" s="1"/>
      <c r="H444" s="1"/>
      <c r="I444" s="294"/>
      <c r="J444" s="294"/>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3"/>
      <c r="AJ444" s="1"/>
      <c r="AK444" s="295"/>
      <c r="AL444" s="1"/>
      <c r="AM444" s="1"/>
      <c r="AN444" s="1"/>
      <c r="AO444" s="1"/>
      <c r="AP444" s="1"/>
      <c r="AQ444" s="1"/>
      <c r="AR444" s="1"/>
      <c r="AS444" s="1"/>
      <c r="AT444" s="1"/>
      <c r="AU444" s="1"/>
      <c r="AV444" s="1"/>
      <c r="AW444" s="1"/>
      <c r="AX444" s="1"/>
      <c r="AY444" s="1"/>
      <c r="AZ444" s="1"/>
      <c r="BA444" s="1"/>
      <c r="BB444" s="1"/>
      <c r="BC444" s="1"/>
      <c r="BD444" s="296"/>
      <c r="BE444" s="1"/>
      <c r="BF444" s="1"/>
      <c r="BG444" s="20"/>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row>
    <row r="445" spans="1:115" ht="15.75" customHeight="1">
      <c r="A445" s="1"/>
      <c r="B445" s="1"/>
      <c r="C445" s="1"/>
      <c r="D445" s="1"/>
      <c r="E445" s="1"/>
      <c r="F445" s="1"/>
      <c r="G445" s="1"/>
      <c r="H445" s="1"/>
      <c r="I445" s="294"/>
      <c r="J445" s="294"/>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3"/>
      <c r="AJ445" s="1"/>
      <c r="AK445" s="295"/>
      <c r="AL445" s="1"/>
      <c r="AM445" s="1"/>
      <c r="AN445" s="1"/>
      <c r="AO445" s="1"/>
      <c r="AP445" s="1"/>
      <c r="AQ445" s="1"/>
      <c r="AR445" s="1"/>
      <c r="AS445" s="1"/>
      <c r="AT445" s="1"/>
      <c r="AU445" s="1"/>
      <c r="AV445" s="1"/>
      <c r="AW445" s="1"/>
      <c r="AX445" s="1"/>
      <c r="AY445" s="1"/>
      <c r="AZ445" s="1"/>
      <c r="BA445" s="1"/>
      <c r="BB445" s="1"/>
      <c r="BC445" s="1"/>
      <c r="BD445" s="296"/>
      <c r="BE445" s="1"/>
      <c r="BF445" s="1"/>
      <c r="BG445" s="20"/>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row>
    <row r="446" spans="1:115" ht="15.75" customHeight="1">
      <c r="A446" s="1"/>
      <c r="B446" s="1"/>
      <c r="C446" s="1"/>
      <c r="D446" s="1"/>
      <c r="E446" s="1"/>
      <c r="F446" s="1"/>
      <c r="G446" s="1"/>
      <c r="H446" s="1"/>
      <c r="I446" s="294"/>
      <c r="J446" s="294"/>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3"/>
      <c r="AJ446" s="1"/>
      <c r="AK446" s="295"/>
      <c r="AL446" s="1"/>
      <c r="AM446" s="1"/>
      <c r="AN446" s="1"/>
      <c r="AO446" s="1"/>
      <c r="AP446" s="1"/>
      <c r="AQ446" s="1"/>
      <c r="AR446" s="1"/>
      <c r="AS446" s="1"/>
      <c r="AT446" s="1"/>
      <c r="AU446" s="1"/>
      <c r="AV446" s="1"/>
      <c r="AW446" s="1"/>
      <c r="AX446" s="1"/>
      <c r="AY446" s="1"/>
      <c r="AZ446" s="1"/>
      <c r="BA446" s="1"/>
      <c r="BB446" s="1"/>
      <c r="BC446" s="1"/>
      <c r="BD446" s="296"/>
      <c r="BE446" s="1"/>
      <c r="BF446" s="1"/>
      <c r="BG446" s="20"/>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row>
    <row r="447" spans="1:115" ht="15.75" customHeight="1">
      <c r="A447" s="1"/>
      <c r="B447" s="1"/>
      <c r="C447" s="1"/>
      <c r="D447" s="1"/>
      <c r="E447" s="1"/>
      <c r="F447" s="1"/>
      <c r="G447" s="1"/>
      <c r="H447" s="1"/>
      <c r="I447" s="294"/>
      <c r="J447" s="294"/>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3"/>
      <c r="AJ447" s="1"/>
      <c r="AK447" s="295"/>
      <c r="AL447" s="1"/>
      <c r="AM447" s="1"/>
      <c r="AN447" s="1"/>
      <c r="AO447" s="1"/>
      <c r="AP447" s="1"/>
      <c r="AQ447" s="1"/>
      <c r="AR447" s="1"/>
      <c r="AS447" s="1"/>
      <c r="AT447" s="1"/>
      <c r="AU447" s="1"/>
      <c r="AV447" s="1"/>
      <c r="AW447" s="1"/>
      <c r="AX447" s="1"/>
      <c r="AY447" s="1"/>
      <c r="AZ447" s="1"/>
      <c r="BA447" s="1"/>
      <c r="BB447" s="1"/>
      <c r="BC447" s="1"/>
      <c r="BD447" s="296"/>
      <c r="BE447" s="1"/>
      <c r="BF447" s="1"/>
      <c r="BG447" s="20"/>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row>
    <row r="448" spans="1:115" ht="15.75" customHeight="1">
      <c r="A448" s="1"/>
      <c r="B448" s="1"/>
      <c r="C448" s="1"/>
      <c r="D448" s="1"/>
      <c r="E448" s="1"/>
      <c r="F448" s="1"/>
      <c r="G448" s="1"/>
      <c r="H448" s="1"/>
      <c r="I448" s="294"/>
      <c r="J448" s="294"/>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3"/>
      <c r="AJ448" s="1"/>
      <c r="AK448" s="295"/>
      <c r="AL448" s="1"/>
      <c r="AM448" s="1"/>
      <c r="AN448" s="1"/>
      <c r="AO448" s="1"/>
      <c r="AP448" s="1"/>
      <c r="AQ448" s="1"/>
      <c r="AR448" s="1"/>
      <c r="AS448" s="1"/>
      <c r="AT448" s="1"/>
      <c r="AU448" s="1"/>
      <c r="AV448" s="1"/>
      <c r="AW448" s="1"/>
      <c r="AX448" s="1"/>
      <c r="AY448" s="1"/>
      <c r="AZ448" s="1"/>
      <c r="BA448" s="1"/>
      <c r="BB448" s="1"/>
      <c r="BC448" s="1"/>
      <c r="BD448" s="296"/>
      <c r="BE448" s="1"/>
      <c r="BF448" s="1"/>
      <c r="BG448" s="20"/>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row>
    <row r="449" spans="1:115" ht="15.75" customHeight="1">
      <c r="A449" s="1"/>
      <c r="B449" s="1"/>
      <c r="C449" s="1"/>
      <c r="D449" s="1"/>
      <c r="E449" s="1"/>
      <c r="F449" s="1"/>
      <c r="G449" s="1"/>
      <c r="H449" s="1"/>
      <c r="I449" s="294"/>
      <c r="J449" s="294"/>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3"/>
      <c r="AJ449" s="1"/>
      <c r="AK449" s="295"/>
      <c r="AL449" s="1"/>
      <c r="AM449" s="1"/>
      <c r="AN449" s="1"/>
      <c r="AO449" s="1"/>
      <c r="AP449" s="1"/>
      <c r="AQ449" s="1"/>
      <c r="AR449" s="1"/>
      <c r="AS449" s="1"/>
      <c r="AT449" s="1"/>
      <c r="AU449" s="1"/>
      <c r="AV449" s="1"/>
      <c r="AW449" s="1"/>
      <c r="AX449" s="1"/>
      <c r="AY449" s="1"/>
      <c r="AZ449" s="1"/>
      <c r="BA449" s="1"/>
      <c r="BB449" s="1"/>
      <c r="BC449" s="1"/>
      <c r="BD449" s="296"/>
      <c r="BE449" s="1"/>
      <c r="BF449" s="1"/>
      <c r="BG449" s="20"/>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row>
    <row r="450" spans="1:115" ht="15.75" customHeight="1">
      <c r="A450" s="1"/>
      <c r="B450" s="1"/>
      <c r="C450" s="1"/>
      <c r="D450" s="1"/>
      <c r="E450" s="1"/>
      <c r="F450" s="1"/>
      <c r="G450" s="1"/>
      <c r="H450" s="1"/>
      <c r="I450" s="294"/>
      <c r="J450" s="294"/>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3"/>
      <c r="AJ450" s="1"/>
      <c r="AK450" s="295"/>
      <c r="AL450" s="1"/>
      <c r="AM450" s="1"/>
      <c r="AN450" s="1"/>
      <c r="AO450" s="1"/>
      <c r="AP450" s="1"/>
      <c r="AQ450" s="1"/>
      <c r="AR450" s="1"/>
      <c r="AS450" s="1"/>
      <c r="AT450" s="1"/>
      <c r="AU450" s="1"/>
      <c r="AV450" s="1"/>
      <c r="AW450" s="1"/>
      <c r="AX450" s="1"/>
      <c r="AY450" s="1"/>
      <c r="AZ450" s="1"/>
      <c r="BA450" s="1"/>
      <c r="BB450" s="1"/>
      <c r="BC450" s="1"/>
      <c r="BD450" s="296"/>
      <c r="BE450" s="1"/>
      <c r="BF450" s="1"/>
      <c r="BG450" s="20"/>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row>
    <row r="451" spans="1:115" ht="15.75" customHeight="1">
      <c r="A451" s="1"/>
      <c r="B451" s="1"/>
      <c r="C451" s="1"/>
      <c r="D451" s="1"/>
      <c r="E451" s="1"/>
      <c r="F451" s="1"/>
      <c r="G451" s="1"/>
      <c r="H451" s="1"/>
      <c r="I451" s="294"/>
      <c r="J451" s="294"/>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3"/>
      <c r="AJ451" s="1"/>
      <c r="AK451" s="295"/>
      <c r="AL451" s="1"/>
      <c r="AM451" s="1"/>
      <c r="AN451" s="1"/>
      <c r="AO451" s="1"/>
      <c r="AP451" s="1"/>
      <c r="AQ451" s="1"/>
      <c r="AR451" s="1"/>
      <c r="AS451" s="1"/>
      <c r="AT451" s="1"/>
      <c r="AU451" s="1"/>
      <c r="AV451" s="1"/>
      <c r="AW451" s="1"/>
      <c r="AX451" s="1"/>
      <c r="AY451" s="1"/>
      <c r="AZ451" s="1"/>
      <c r="BA451" s="1"/>
      <c r="BB451" s="1"/>
      <c r="BC451" s="1"/>
      <c r="BD451" s="296"/>
      <c r="BE451" s="1"/>
      <c r="BF451" s="1"/>
      <c r="BG451" s="20"/>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row>
    <row r="452" spans="1:115" ht="15.75" customHeight="1">
      <c r="A452" s="1"/>
      <c r="B452" s="1"/>
      <c r="C452" s="1"/>
      <c r="D452" s="1"/>
      <c r="E452" s="1"/>
      <c r="F452" s="1"/>
      <c r="G452" s="1"/>
      <c r="H452" s="1"/>
      <c r="I452" s="294"/>
      <c r="J452" s="294"/>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3"/>
      <c r="AJ452" s="1"/>
      <c r="AK452" s="295"/>
      <c r="AL452" s="1"/>
      <c r="AM452" s="1"/>
      <c r="AN452" s="1"/>
      <c r="AO452" s="1"/>
      <c r="AP452" s="1"/>
      <c r="AQ452" s="1"/>
      <c r="AR452" s="1"/>
      <c r="AS452" s="1"/>
      <c r="AT452" s="1"/>
      <c r="AU452" s="1"/>
      <c r="AV452" s="1"/>
      <c r="AW452" s="1"/>
      <c r="AX452" s="1"/>
      <c r="AY452" s="1"/>
      <c r="AZ452" s="1"/>
      <c r="BA452" s="1"/>
      <c r="BB452" s="1"/>
      <c r="BC452" s="1"/>
      <c r="BD452" s="296"/>
      <c r="BE452" s="1"/>
      <c r="BF452" s="1"/>
      <c r="BG452" s="20"/>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row>
    <row r="453" spans="1:115" ht="15.75" customHeight="1">
      <c r="A453" s="1"/>
      <c r="B453" s="1"/>
      <c r="C453" s="1"/>
      <c r="D453" s="1"/>
      <c r="E453" s="1"/>
      <c r="F453" s="1"/>
      <c r="G453" s="1"/>
      <c r="H453" s="1"/>
      <c r="I453" s="294"/>
      <c r="J453" s="294"/>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3"/>
      <c r="AJ453" s="1"/>
      <c r="AK453" s="295"/>
      <c r="AL453" s="1"/>
      <c r="AM453" s="1"/>
      <c r="AN453" s="1"/>
      <c r="AO453" s="1"/>
      <c r="AP453" s="1"/>
      <c r="AQ453" s="1"/>
      <c r="AR453" s="1"/>
      <c r="AS453" s="1"/>
      <c r="AT453" s="1"/>
      <c r="AU453" s="1"/>
      <c r="AV453" s="1"/>
      <c r="AW453" s="1"/>
      <c r="AX453" s="1"/>
      <c r="AY453" s="1"/>
      <c r="AZ453" s="1"/>
      <c r="BA453" s="1"/>
      <c r="BB453" s="1"/>
      <c r="BC453" s="1"/>
      <c r="BD453" s="296"/>
      <c r="BE453" s="1"/>
      <c r="BF453" s="1"/>
      <c r="BG453" s="20"/>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row>
    <row r="454" spans="1:115" ht="15.75" customHeight="1">
      <c r="A454" s="1"/>
      <c r="B454" s="1"/>
      <c r="C454" s="1"/>
      <c r="D454" s="1"/>
      <c r="E454" s="1"/>
      <c r="F454" s="1"/>
      <c r="G454" s="1"/>
      <c r="H454" s="1"/>
      <c r="I454" s="294"/>
      <c r="J454" s="294"/>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3"/>
      <c r="AJ454" s="1"/>
      <c r="AK454" s="295"/>
      <c r="AL454" s="1"/>
      <c r="AM454" s="1"/>
      <c r="AN454" s="1"/>
      <c r="AO454" s="1"/>
      <c r="AP454" s="1"/>
      <c r="AQ454" s="1"/>
      <c r="AR454" s="1"/>
      <c r="AS454" s="1"/>
      <c r="AT454" s="1"/>
      <c r="AU454" s="1"/>
      <c r="AV454" s="1"/>
      <c r="AW454" s="1"/>
      <c r="AX454" s="1"/>
      <c r="AY454" s="1"/>
      <c r="AZ454" s="1"/>
      <c r="BA454" s="1"/>
      <c r="BB454" s="1"/>
      <c r="BC454" s="1"/>
      <c r="BD454" s="296"/>
      <c r="BE454" s="1"/>
      <c r="BF454" s="1"/>
      <c r="BG454" s="20"/>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row>
    <row r="455" spans="1:115" ht="15.75" customHeight="1">
      <c r="A455" s="1"/>
      <c r="B455" s="1"/>
      <c r="C455" s="1"/>
      <c r="D455" s="1"/>
      <c r="E455" s="1"/>
      <c r="F455" s="1"/>
      <c r="G455" s="1"/>
      <c r="H455" s="1"/>
      <c r="I455" s="294"/>
      <c r="J455" s="294"/>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3"/>
      <c r="AJ455" s="1"/>
      <c r="AK455" s="295"/>
      <c r="AL455" s="1"/>
      <c r="AM455" s="1"/>
      <c r="AN455" s="1"/>
      <c r="AO455" s="1"/>
      <c r="AP455" s="1"/>
      <c r="AQ455" s="1"/>
      <c r="AR455" s="1"/>
      <c r="AS455" s="1"/>
      <c r="AT455" s="1"/>
      <c r="AU455" s="1"/>
      <c r="AV455" s="1"/>
      <c r="AW455" s="1"/>
      <c r="AX455" s="1"/>
      <c r="AY455" s="1"/>
      <c r="AZ455" s="1"/>
      <c r="BA455" s="1"/>
      <c r="BB455" s="1"/>
      <c r="BC455" s="1"/>
      <c r="BD455" s="296"/>
      <c r="BE455" s="1"/>
      <c r="BF455" s="1"/>
      <c r="BG455" s="20"/>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row>
    <row r="456" spans="1:115" ht="15.75" customHeight="1">
      <c r="A456" s="1"/>
      <c r="B456" s="1"/>
      <c r="C456" s="1"/>
      <c r="D456" s="1"/>
      <c r="E456" s="1"/>
      <c r="F456" s="1"/>
      <c r="G456" s="1"/>
      <c r="H456" s="1"/>
      <c r="I456" s="294"/>
      <c r="J456" s="294"/>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3"/>
      <c r="AJ456" s="1"/>
      <c r="AK456" s="295"/>
      <c r="AL456" s="1"/>
      <c r="AM456" s="1"/>
      <c r="AN456" s="1"/>
      <c r="AO456" s="1"/>
      <c r="AP456" s="1"/>
      <c r="AQ456" s="1"/>
      <c r="AR456" s="1"/>
      <c r="AS456" s="1"/>
      <c r="AT456" s="1"/>
      <c r="AU456" s="1"/>
      <c r="AV456" s="1"/>
      <c r="AW456" s="1"/>
      <c r="AX456" s="1"/>
      <c r="AY456" s="1"/>
      <c r="AZ456" s="1"/>
      <c r="BA456" s="1"/>
      <c r="BB456" s="1"/>
      <c r="BC456" s="1"/>
      <c r="BD456" s="296"/>
      <c r="BE456" s="1"/>
      <c r="BF456" s="1"/>
      <c r="BG456" s="20"/>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row>
    <row r="457" spans="1:115" ht="15.75" customHeight="1">
      <c r="A457" s="1"/>
      <c r="B457" s="1"/>
      <c r="C457" s="1"/>
      <c r="D457" s="1"/>
      <c r="E457" s="1"/>
      <c r="F457" s="1"/>
      <c r="G457" s="1"/>
      <c r="H457" s="1"/>
      <c r="I457" s="294"/>
      <c r="J457" s="294"/>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3"/>
      <c r="AJ457" s="1"/>
      <c r="AK457" s="295"/>
      <c r="AL457" s="1"/>
      <c r="AM457" s="1"/>
      <c r="AN457" s="1"/>
      <c r="AO457" s="1"/>
      <c r="AP457" s="1"/>
      <c r="AQ457" s="1"/>
      <c r="AR457" s="1"/>
      <c r="AS457" s="1"/>
      <c r="AT457" s="1"/>
      <c r="AU457" s="1"/>
      <c r="AV457" s="1"/>
      <c r="AW457" s="1"/>
      <c r="AX457" s="1"/>
      <c r="AY457" s="1"/>
      <c r="AZ457" s="1"/>
      <c r="BA457" s="1"/>
      <c r="BB457" s="1"/>
      <c r="BC457" s="1"/>
      <c r="BD457" s="296"/>
      <c r="BE457" s="1"/>
      <c r="BF457" s="1"/>
      <c r="BG457" s="20"/>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row>
    <row r="458" spans="1:115" ht="15.75" customHeight="1">
      <c r="A458" s="1"/>
      <c r="B458" s="1"/>
      <c r="C458" s="1"/>
      <c r="D458" s="1"/>
      <c r="E458" s="1"/>
      <c r="F458" s="1"/>
      <c r="G458" s="1"/>
      <c r="H458" s="1"/>
      <c r="I458" s="294"/>
      <c r="J458" s="294"/>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3"/>
      <c r="AJ458" s="1"/>
      <c r="AK458" s="295"/>
      <c r="AL458" s="1"/>
      <c r="AM458" s="1"/>
      <c r="AN458" s="1"/>
      <c r="AO458" s="1"/>
      <c r="AP458" s="1"/>
      <c r="AQ458" s="1"/>
      <c r="AR458" s="1"/>
      <c r="AS458" s="1"/>
      <c r="AT458" s="1"/>
      <c r="AU458" s="1"/>
      <c r="AV458" s="1"/>
      <c r="AW458" s="1"/>
      <c r="AX458" s="1"/>
      <c r="AY458" s="1"/>
      <c r="AZ458" s="1"/>
      <c r="BA458" s="1"/>
      <c r="BB458" s="1"/>
      <c r="BC458" s="1"/>
      <c r="BD458" s="296"/>
      <c r="BE458" s="1"/>
      <c r="BF458" s="1"/>
      <c r="BG458" s="20"/>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row>
    <row r="459" spans="1:115" ht="15.75" customHeight="1">
      <c r="A459" s="1"/>
      <c r="B459" s="1"/>
      <c r="C459" s="1"/>
      <c r="D459" s="1"/>
      <c r="E459" s="1"/>
      <c r="F459" s="1"/>
      <c r="G459" s="1"/>
      <c r="H459" s="1"/>
      <c r="I459" s="294"/>
      <c r="J459" s="294"/>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3"/>
      <c r="AJ459" s="1"/>
      <c r="AK459" s="295"/>
      <c r="AL459" s="1"/>
      <c r="AM459" s="1"/>
      <c r="AN459" s="1"/>
      <c r="AO459" s="1"/>
      <c r="AP459" s="1"/>
      <c r="AQ459" s="1"/>
      <c r="AR459" s="1"/>
      <c r="AS459" s="1"/>
      <c r="AT459" s="1"/>
      <c r="AU459" s="1"/>
      <c r="AV459" s="1"/>
      <c r="AW459" s="1"/>
      <c r="AX459" s="1"/>
      <c r="AY459" s="1"/>
      <c r="AZ459" s="1"/>
      <c r="BA459" s="1"/>
      <c r="BB459" s="1"/>
      <c r="BC459" s="1"/>
      <c r="BD459" s="296"/>
      <c r="BE459" s="1"/>
      <c r="BF459" s="1"/>
      <c r="BG459" s="20"/>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row>
    <row r="460" spans="1:115" ht="15.75" customHeight="1">
      <c r="A460" s="1"/>
      <c r="B460" s="1"/>
      <c r="C460" s="1"/>
      <c r="D460" s="1"/>
      <c r="E460" s="1"/>
      <c r="F460" s="1"/>
      <c r="G460" s="1"/>
      <c r="H460" s="1"/>
      <c r="I460" s="294"/>
      <c r="J460" s="294"/>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3"/>
      <c r="AJ460" s="1"/>
      <c r="AK460" s="295"/>
      <c r="AL460" s="1"/>
      <c r="AM460" s="1"/>
      <c r="AN460" s="1"/>
      <c r="AO460" s="1"/>
      <c r="AP460" s="1"/>
      <c r="AQ460" s="1"/>
      <c r="AR460" s="1"/>
      <c r="AS460" s="1"/>
      <c r="AT460" s="1"/>
      <c r="AU460" s="1"/>
      <c r="AV460" s="1"/>
      <c r="AW460" s="1"/>
      <c r="AX460" s="1"/>
      <c r="AY460" s="1"/>
      <c r="AZ460" s="1"/>
      <c r="BA460" s="1"/>
      <c r="BB460" s="1"/>
      <c r="BC460" s="1"/>
      <c r="BD460" s="296"/>
      <c r="BE460" s="1"/>
      <c r="BF460" s="1"/>
      <c r="BG460" s="20"/>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row>
    <row r="461" spans="1:115" ht="15.75" customHeight="1">
      <c r="A461" s="1"/>
      <c r="B461" s="1"/>
      <c r="C461" s="1"/>
      <c r="D461" s="1"/>
      <c r="E461" s="1"/>
      <c r="F461" s="1"/>
      <c r="G461" s="1"/>
      <c r="H461" s="1"/>
      <c r="I461" s="294"/>
      <c r="J461" s="294"/>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3"/>
      <c r="AJ461" s="1"/>
      <c r="AK461" s="295"/>
      <c r="AL461" s="1"/>
      <c r="AM461" s="1"/>
      <c r="AN461" s="1"/>
      <c r="AO461" s="1"/>
      <c r="AP461" s="1"/>
      <c r="AQ461" s="1"/>
      <c r="AR461" s="1"/>
      <c r="AS461" s="1"/>
      <c r="AT461" s="1"/>
      <c r="AU461" s="1"/>
      <c r="AV461" s="1"/>
      <c r="AW461" s="1"/>
      <c r="AX461" s="1"/>
      <c r="AY461" s="1"/>
      <c r="AZ461" s="1"/>
      <c r="BA461" s="1"/>
      <c r="BB461" s="1"/>
      <c r="BC461" s="1"/>
      <c r="BD461" s="296"/>
      <c r="BE461" s="1"/>
      <c r="BF461" s="1"/>
      <c r="BG461" s="20"/>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row>
    <row r="462" spans="1:115" ht="15.75" customHeight="1">
      <c r="A462" s="1"/>
      <c r="B462" s="1"/>
      <c r="C462" s="1"/>
      <c r="D462" s="1"/>
      <c r="E462" s="1"/>
      <c r="F462" s="1"/>
      <c r="G462" s="1"/>
      <c r="H462" s="1"/>
      <c r="I462" s="294"/>
      <c r="J462" s="294"/>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3"/>
      <c r="AJ462" s="1"/>
      <c r="AK462" s="295"/>
      <c r="AL462" s="1"/>
      <c r="AM462" s="1"/>
      <c r="AN462" s="1"/>
      <c r="AO462" s="1"/>
      <c r="AP462" s="1"/>
      <c r="AQ462" s="1"/>
      <c r="AR462" s="1"/>
      <c r="AS462" s="1"/>
      <c r="AT462" s="1"/>
      <c r="AU462" s="1"/>
      <c r="AV462" s="1"/>
      <c r="AW462" s="1"/>
      <c r="AX462" s="1"/>
      <c r="AY462" s="1"/>
      <c r="AZ462" s="1"/>
      <c r="BA462" s="1"/>
      <c r="BB462" s="1"/>
      <c r="BC462" s="1"/>
      <c r="BD462" s="296"/>
      <c r="BE462" s="1"/>
      <c r="BF462" s="1"/>
      <c r="BG462" s="20"/>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row>
    <row r="463" spans="1:115" ht="15.75" customHeight="1">
      <c r="A463" s="1"/>
      <c r="B463" s="1"/>
      <c r="C463" s="1"/>
      <c r="D463" s="1"/>
      <c r="E463" s="1"/>
      <c r="F463" s="1"/>
      <c r="G463" s="1"/>
      <c r="H463" s="1"/>
      <c r="I463" s="294"/>
      <c r="J463" s="294"/>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3"/>
      <c r="AJ463" s="1"/>
      <c r="AK463" s="295"/>
      <c r="AL463" s="1"/>
      <c r="AM463" s="1"/>
      <c r="AN463" s="1"/>
      <c r="AO463" s="1"/>
      <c r="AP463" s="1"/>
      <c r="AQ463" s="1"/>
      <c r="AR463" s="1"/>
      <c r="AS463" s="1"/>
      <c r="AT463" s="1"/>
      <c r="AU463" s="1"/>
      <c r="AV463" s="1"/>
      <c r="AW463" s="1"/>
      <c r="AX463" s="1"/>
      <c r="AY463" s="1"/>
      <c r="AZ463" s="1"/>
      <c r="BA463" s="1"/>
      <c r="BB463" s="1"/>
      <c r="BC463" s="1"/>
      <c r="BD463" s="296"/>
      <c r="BE463" s="1"/>
      <c r="BF463" s="1"/>
      <c r="BG463" s="20"/>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row>
    <row r="464" spans="1:115" ht="15.75" customHeight="1">
      <c r="A464" s="1"/>
      <c r="B464" s="1"/>
      <c r="C464" s="1"/>
      <c r="D464" s="1"/>
      <c r="E464" s="1"/>
      <c r="F464" s="1"/>
      <c r="G464" s="1"/>
      <c r="H464" s="1"/>
      <c r="I464" s="294"/>
      <c r="J464" s="294"/>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3"/>
      <c r="AJ464" s="1"/>
      <c r="AK464" s="295"/>
      <c r="AL464" s="1"/>
      <c r="AM464" s="1"/>
      <c r="AN464" s="1"/>
      <c r="AO464" s="1"/>
      <c r="AP464" s="1"/>
      <c r="AQ464" s="1"/>
      <c r="AR464" s="1"/>
      <c r="AS464" s="1"/>
      <c r="AT464" s="1"/>
      <c r="AU464" s="1"/>
      <c r="AV464" s="1"/>
      <c r="AW464" s="1"/>
      <c r="AX464" s="1"/>
      <c r="AY464" s="1"/>
      <c r="AZ464" s="1"/>
      <c r="BA464" s="1"/>
      <c r="BB464" s="1"/>
      <c r="BC464" s="1"/>
      <c r="BD464" s="296"/>
      <c r="BE464" s="1"/>
      <c r="BF464" s="1"/>
      <c r="BG464" s="20"/>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row>
    <row r="465" spans="1:115" ht="15.75" customHeight="1">
      <c r="A465" s="1"/>
      <c r="B465" s="1"/>
      <c r="C465" s="1"/>
      <c r="D465" s="1"/>
      <c r="E465" s="1"/>
      <c r="F465" s="1"/>
      <c r="G465" s="1"/>
      <c r="H465" s="1"/>
      <c r="I465" s="294"/>
      <c r="J465" s="294"/>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3"/>
      <c r="AJ465" s="1"/>
      <c r="AK465" s="295"/>
      <c r="AL465" s="1"/>
      <c r="AM465" s="1"/>
      <c r="AN465" s="1"/>
      <c r="AO465" s="1"/>
      <c r="AP465" s="1"/>
      <c r="AQ465" s="1"/>
      <c r="AR465" s="1"/>
      <c r="AS465" s="1"/>
      <c r="AT465" s="1"/>
      <c r="AU465" s="1"/>
      <c r="AV465" s="1"/>
      <c r="AW465" s="1"/>
      <c r="AX465" s="1"/>
      <c r="AY465" s="1"/>
      <c r="AZ465" s="1"/>
      <c r="BA465" s="1"/>
      <c r="BB465" s="1"/>
      <c r="BC465" s="1"/>
      <c r="BD465" s="296"/>
      <c r="BE465" s="1"/>
      <c r="BF465" s="1"/>
      <c r="BG465" s="20"/>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row>
    <row r="466" spans="1:115" ht="15.75" customHeight="1">
      <c r="A466" s="1"/>
      <c r="B466" s="1"/>
      <c r="C466" s="1"/>
      <c r="D466" s="1"/>
      <c r="E466" s="1"/>
      <c r="F466" s="1"/>
      <c r="G466" s="1"/>
      <c r="H466" s="1"/>
      <c r="I466" s="294"/>
      <c r="J466" s="294"/>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3"/>
      <c r="AJ466" s="1"/>
      <c r="AK466" s="295"/>
      <c r="AL466" s="1"/>
      <c r="AM466" s="1"/>
      <c r="AN466" s="1"/>
      <c r="AO466" s="1"/>
      <c r="AP466" s="1"/>
      <c r="AQ466" s="1"/>
      <c r="AR466" s="1"/>
      <c r="AS466" s="1"/>
      <c r="AT466" s="1"/>
      <c r="AU466" s="1"/>
      <c r="AV466" s="1"/>
      <c r="AW466" s="1"/>
      <c r="AX466" s="1"/>
      <c r="AY466" s="1"/>
      <c r="AZ466" s="1"/>
      <c r="BA466" s="1"/>
      <c r="BB466" s="1"/>
      <c r="BC466" s="1"/>
      <c r="BD466" s="296"/>
      <c r="BE466" s="1"/>
      <c r="BF466" s="1"/>
      <c r="BG466" s="20"/>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row>
    <row r="467" spans="1:115" ht="15.75" customHeight="1">
      <c r="A467" s="1"/>
      <c r="B467" s="1"/>
      <c r="C467" s="1"/>
      <c r="D467" s="1"/>
      <c r="E467" s="1"/>
      <c r="F467" s="1"/>
      <c r="G467" s="1"/>
      <c r="H467" s="1"/>
      <c r="I467" s="294"/>
      <c r="J467" s="294"/>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3"/>
      <c r="AJ467" s="1"/>
      <c r="AK467" s="295"/>
      <c r="AL467" s="1"/>
      <c r="AM467" s="1"/>
      <c r="AN467" s="1"/>
      <c r="AO467" s="1"/>
      <c r="AP467" s="1"/>
      <c r="AQ467" s="1"/>
      <c r="AR467" s="1"/>
      <c r="AS467" s="1"/>
      <c r="AT467" s="1"/>
      <c r="AU467" s="1"/>
      <c r="AV467" s="1"/>
      <c r="AW467" s="1"/>
      <c r="AX467" s="1"/>
      <c r="AY467" s="1"/>
      <c r="AZ467" s="1"/>
      <c r="BA467" s="1"/>
      <c r="BB467" s="1"/>
      <c r="BC467" s="1"/>
      <c r="BD467" s="296"/>
      <c r="BE467" s="1"/>
      <c r="BF467" s="1"/>
      <c r="BG467" s="20"/>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row>
    <row r="468" spans="1:115" ht="15.75" customHeight="1">
      <c r="A468" s="1"/>
      <c r="B468" s="1"/>
      <c r="C468" s="1"/>
      <c r="D468" s="1"/>
      <c r="E468" s="1"/>
      <c r="F468" s="1"/>
      <c r="G468" s="1"/>
      <c r="H468" s="1"/>
      <c r="I468" s="294"/>
      <c r="J468" s="294"/>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3"/>
      <c r="AJ468" s="1"/>
      <c r="AK468" s="295"/>
      <c r="AL468" s="1"/>
      <c r="AM468" s="1"/>
      <c r="AN468" s="1"/>
      <c r="AO468" s="1"/>
      <c r="AP468" s="1"/>
      <c r="AQ468" s="1"/>
      <c r="AR468" s="1"/>
      <c r="AS468" s="1"/>
      <c r="AT468" s="1"/>
      <c r="AU468" s="1"/>
      <c r="AV468" s="1"/>
      <c r="AW468" s="1"/>
      <c r="AX468" s="1"/>
      <c r="AY468" s="1"/>
      <c r="AZ468" s="1"/>
      <c r="BA468" s="1"/>
      <c r="BB468" s="1"/>
      <c r="BC468" s="1"/>
      <c r="BD468" s="296"/>
      <c r="BE468" s="1"/>
      <c r="BF468" s="1"/>
      <c r="BG468" s="20"/>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row>
    <row r="469" spans="1:115" ht="15.75" customHeight="1">
      <c r="A469" s="1"/>
      <c r="B469" s="1"/>
      <c r="C469" s="1"/>
      <c r="D469" s="1"/>
      <c r="E469" s="1"/>
      <c r="F469" s="1"/>
      <c r="G469" s="1"/>
      <c r="H469" s="1"/>
      <c r="I469" s="294"/>
      <c r="J469" s="294"/>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3"/>
      <c r="AJ469" s="1"/>
      <c r="AK469" s="295"/>
      <c r="AL469" s="1"/>
      <c r="AM469" s="1"/>
      <c r="AN469" s="1"/>
      <c r="AO469" s="1"/>
      <c r="AP469" s="1"/>
      <c r="AQ469" s="1"/>
      <c r="AR469" s="1"/>
      <c r="AS469" s="1"/>
      <c r="AT469" s="1"/>
      <c r="AU469" s="1"/>
      <c r="AV469" s="1"/>
      <c r="AW469" s="1"/>
      <c r="AX469" s="1"/>
      <c r="AY469" s="1"/>
      <c r="AZ469" s="1"/>
      <c r="BA469" s="1"/>
      <c r="BB469" s="1"/>
      <c r="BC469" s="1"/>
      <c r="BD469" s="296"/>
      <c r="BE469" s="1"/>
      <c r="BF469" s="1"/>
      <c r="BG469" s="20"/>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row>
    <row r="470" spans="1:115" ht="15.75" customHeight="1">
      <c r="A470" s="1"/>
      <c r="B470" s="1"/>
      <c r="C470" s="1"/>
      <c r="D470" s="1"/>
      <c r="E470" s="1"/>
      <c r="F470" s="1"/>
      <c r="G470" s="1"/>
      <c r="H470" s="1"/>
      <c r="I470" s="294"/>
      <c r="J470" s="294"/>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3"/>
      <c r="AJ470" s="1"/>
      <c r="AK470" s="295"/>
      <c r="AL470" s="1"/>
      <c r="AM470" s="1"/>
      <c r="AN470" s="1"/>
      <c r="AO470" s="1"/>
      <c r="AP470" s="1"/>
      <c r="AQ470" s="1"/>
      <c r="AR470" s="1"/>
      <c r="AS470" s="1"/>
      <c r="AT470" s="1"/>
      <c r="AU470" s="1"/>
      <c r="AV470" s="1"/>
      <c r="AW470" s="1"/>
      <c r="AX470" s="1"/>
      <c r="AY470" s="1"/>
      <c r="AZ470" s="1"/>
      <c r="BA470" s="1"/>
      <c r="BB470" s="1"/>
      <c r="BC470" s="1"/>
      <c r="BD470" s="296"/>
      <c r="BE470" s="1"/>
      <c r="BF470" s="1"/>
      <c r="BG470" s="20"/>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row>
    <row r="471" spans="1:115" ht="15.75" customHeight="1">
      <c r="A471" s="1"/>
      <c r="B471" s="1"/>
      <c r="C471" s="1"/>
      <c r="D471" s="1"/>
      <c r="E471" s="1"/>
      <c r="F471" s="1"/>
      <c r="G471" s="1"/>
      <c r="H471" s="1"/>
      <c r="I471" s="294"/>
      <c r="J471" s="294"/>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3"/>
      <c r="AJ471" s="1"/>
      <c r="AK471" s="295"/>
      <c r="AL471" s="1"/>
      <c r="AM471" s="1"/>
      <c r="AN471" s="1"/>
      <c r="AO471" s="1"/>
      <c r="AP471" s="1"/>
      <c r="AQ471" s="1"/>
      <c r="AR471" s="1"/>
      <c r="AS471" s="1"/>
      <c r="AT471" s="1"/>
      <c r="AU471" s="1"/>
      <c r="AV471" s="1"/>
      <c r="AW471" s="1"/>
      <c r="AX471" s="1"/>
      <c r="AY471" s="1"/>
      <c r="AZ471" s="1"/>
      <c r="BA471" s="1"/>
      <c r="BB471" s="1"/>
      <c r="BC471" s="1"/>
      <c r="BD471" s="296"/>
      <c r="BE471" s="1"/>
      <c r="BF471" s="1"/>
      <c r="BG471" s="20"/>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row>
    <row r="472" spans="1:115" ht="15.75" customHeight="1">
      <c r="A472" s="1"/>
      <c r="B472" s="1"/>
      <c r="C472" s="1"/>
      <c r="D472" s="1"/>
      <c r="E472" s="1"/>
      <c r="F472" s="1"/>
      <c r="G472" s="1"/>
      <c r="H472" s="1"/>
      <c r="I472" s="294"/>
      <c r="J472" s="294"/>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3"/>
      <c r="AJ472" s="1"/>
      <c r="AK472" s="295"/>
      <c r="AL472" s="1"/>
      <c r="AM472" s="1"/>
      <c r="AN472" s="1"/>
      <c r="AO472" s="1"/>
      <c r="AP472" s="1"/>
      <c r="AQ472" s="1"/>
      <c r="AR472" s="1"/>
      <c r="AS472" s="1"/>
      <c r="AT472" s="1"/>
      <c r="AU472" s="1"/>
      <c r="AV472" s="1"/>
      <c r="AW472" s="1"/>
      <c r="AX472" s="1"/>
      <c r="AY472" s="1"/>
      <c r="AZ472" s="1"/>
      <c r="BA472" s="1"/>
      <c r="BB472" s="1"/>
      <c r="BC472" s="1"/>
      <c r="BD472" s="296"/>
      <c r="BE472" s="1"/>
      <c r="BF472" s="1"/>
      <c r="BG472" s="20"/>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row>
    <row r="473" spans="1:115" ht="15.75" customHeight="1">
      <c r="A473" s="1"/>
      <c r="B473" s="1"/>
      <c r="C473" s="1"/>
      <c r="D473" s="1"/>
      <c r="E473" s="1"/>
      <c r="F473" s="1"/>
      <c r="G473" s="1"/>
      <c r="H473" s="1"/>
      <c r="I473" s="294"/>
      <c r="J473" s="294"/>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3"/>
      <c r="AJ473" s="1"/>
      <c r="AK473" s="295"/>
      <c r="AL473" s="1"/>
      <c r="AM473" s="1"/>
      <c r="AN473" s="1"/>
      <c r="AO473" s="1"/>
      <c r="AP473" s="1"/>
      <c r="AQ473" s="1"/>
      <c r="AR473" s="1"/>
      <c r="AS473" s="1"/>
      <c r="AT473" s="1"/>
      <c r="AU473" s="1"/>
      <c r="AV473" s="1"/>
      <c r="AW473" s="1"/>
      <c r="AX473" s="1"/>
      <c r="AY473" s="1"/>
      <c r="AZ473" s="1"/>
      <c r="BA473" s="1"/>
      <c r="BB473" s="1"/>
      <c r="BC473" s="1"/>
      <c r="BD473" s="296"/>
      <c r="BE473" s="1"/>
      <c r="BF473" s="1"/>
      <c r="BG473" s="20"/>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row>
    <row r="474" spans="1:115" ht="15.75" customHeight="1">
      <c r="A474" s="1"/>
      <c r="B474" s="1"/>
      <c r="C474" s="1"/>
      <c r="D474" s="1"/>
      <c r="E474" s="1"/>
      <c r="F474" s="1"/>
      <c r="G474" s="1"/>
      <c r="H474" s="1"/>
      <c r="I474" s="294"/>
      <c r="J474" s="294"/>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3"/>
      <c r="AJ474" s="1"/>
      <c r="AK474" s="295"/>
      <c r="AL474" s="1"/>
      <c r="AM474" s="1"/>
      <c r="AN474" s="1"/>
      <c r="AO474" s="1"/>
      <c r="AP474" s="1"/>
      <c r="AQ474" s="1"/>
      <c r="AR474" s="1"/>
      <c r="AS474" s="1"/>
      <c r="AT474" s="1"/>
      <c r="AU474" s="1"/>
      <c r="AV474" s="1"/>
      <c r="AW474" s="1"/>
      <c r="AX474" s="1"/>
      <c r="AY474" s="1"/>
      <c r="AZ474" s="1"/>
      <c r="BA474" s="1"/>
      <c r="BB474" s="1"/>
      <c r="BC474" s="1"/>
      <c r="BD474" s="296"/>
      <c r="BE474" s="1"/>
      <c r="BF474" s="1"/>
      <c r="BG474" s="20"/>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row>
    <row r="475" spans="1:115" ht="15.75" customHeight="1">
      <c r="A475" s="1"/>
      <c r="B475" s="1"/>
      <c r="C475" s="1"/>
      <c r="D475" s="1"/>
      <c r="E475" s="1"/>
      <c r="F475" s="1"/>
      <c r="G475" s="1"/>
      <c r="H475" s="1"/>
      <c r="I475" s="294"/>
      <c r="J475" s="294"/>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3"/>
      <c r="AJ475" s="1"/>
      <c r="AK475" s="295"/>
      <c r="AL475" s="1"/>
      <c r="AM475" s="1"/>
      <c r="AN475" s="1"/>
      <c r="AO475" s="1"/>
      <c r="AP475" s="1"/>
      <c r="AQ475" s="1"/>
      <c r="AR475" s="1"/>
      <c r="AS475" s="1"/>
      <c r="AT475" s="1"/>
      <c r="AU475" s="1"/>
      <c r="AV475" s="1"/>
      <c r="AW475" s="1"/>
      <c r="AX475" s="1"/>
      <c r="AY475" s="1"/>
      <c r="AZ475" s="1"/>
      <c r="BA475" s="1"/>
      <c r="BB475" s="1"/>
      <c r="BC475" s="1"/>
      <c r="BD475" s="296"/>
      <c r="BE475" s="1"/>
      <c r="BF475" s="1"/>
      <c r="BG475" s="20"/>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row>
    <row r="476" spans="1:115" ht="15.75" customHeight="1">
      <c r="A476" s="1"/>
      <c r="B476" s="1"/>
      <c r="C476" s="1"/>
      <c r="D476" s="1"/>
      <c r="E476" s="1"/>
      <c r="F476" s="1"/>
      <c r="G476" s="1"/>
      <c r="H476" s="1"/>
      <c r="I476" s="294"/>
      <c r="J476" s="294"/>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3"/>
      <c r="AJ476" s="1"/>
      <c r="AK476" s="295"/>
      <c r="AL476" s="1"/>
      <c r="AM476" s="1"/>
      <c r="AN476" s="1"/>
      <c r="AO476" s="1"/>
      <c r="AP476" s="1"/>
      <c r="AQ476" s="1"/>
      <c r="AR476" s="1"/>
      <c r="AS476" s="1"/>
      <c r="AT476" s="1"/>
      <c r="AU476" s="1"/>
      <c r="AV476" s="1"/>
      <c r="AW476" s="1"/>
      <c r="AX476" s="1"/>
      <c r="AY476" s="1"/>
      <c r="AZ476" s="1"/>
      <c r="BA476" s="1"/>
      <c r="BB476" s="1"/>
      <c r="BC476" s="1"/>
      <c r="BD476" s="296"/>
      <c r="BE476" s="1"/>
      <c r="BF476" s="1"/>
      <c r="BG476" s="20"/>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row>
    <row r="477" spans="1:115" ht="15.75" customHeight="1">
      <c r="A477" s="1"/>
      <c r="B477" s="1"/>
      <c r="C477" s="1"/>
      <c r="D477" s="1"/>
      <c r="E477" s="1"/>
      <c r="F477" s="1"/>
      <c r="G477" s="1"/>
      <c r="H477" s="1"/>
      <c r="I477" s="294"/>
      <c r="J477" s="294"/>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3"/>
      <c r="AJ477" s="1"/>
      <c r="AK477" s="295"/>
      <c r="AL477" s="1"/>
      <c r="AM477" s="1"/>
      <c r="AN477" s="1"/>
      <c r="AO477" s="1"/>
      <c r="AP477" s="1"/>
      <c r="AQ477" s="1"/>
      <c r="AR477" s="1"/>
      <c r="AS477" s="1"/>
      <c r="AT477" s="1"/>
      <c r="AU477" s="1"/>
      <c r="AV477" s="1"/>
      <c r="AW477" s="1"/>
      <c r="AX477" s="1"/>
      <c r="AY477" s="1"/>
      <c r="AZ477" s="1"/>
      <c r="BA477" s="1"/>
      <c r="BB477" s="1"/>
      <c r="BC477" s="1"/>
      <c r="BD477" s="296"/>
      <c r="BE477" s="1"/>
      <c r="BF477" s="1"/>
      <c r="BG477" s="20"/>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row>
    <row r="478" spans="1:115" ht="15.75" customHeight="1">
      <c r="A478" s="1"/>
      <c r="B478" s="1"/>
      <c r="C478" s="1"/>
      <c r="D478" s="1"/>
      <c r="E478" s="1"/>
      <c r="F478" s="1"/>
      <c r="G478" s="1"/>
      <c r="H478" s="1"/>
      <c r="I478" s="294"/>
      <c r="J478" s="294"/>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3"/>
      <c r="AJ478" s="1"/>
      <c r="AK478" s="295"/>
      <c r="AL478" s="1"/>
      <c r="AM478" s="1"/>
      <c r="AN478" s="1"/>
      <c r="AO478" s="1"/>
      <c r="AP478" s="1"/>
      <c r="AQ478" s="1"/>
      <c r="AR478" s="1"/>
      <c r="AS478" s="1"/>
      <c r="AT478" s="1"/>
      <c r="AU478" s="1"/>
      <c r="AV478" s="1"/>
      <c r="AW478" s="1"/>
      <c r="AX478" s="1"/>
      <c r="AY478" s="1"/>
      <c r="AZ478" s="1"/>
      <c r="BA478" s="1"/>
      <c r="BB478" s="1"/>
      <c r="BC478" s="1"/>
      <c r="BD478" s="296"/>
      <c r="BE478" s="1"/>
      <c r="BF478" s="1"/>
      <c r="BG478" s="20"/>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row>
    <row r="479" spans="1:115" ht="15.75" customHeight="1">
      <c r="A479" s="1"/>
      <c r="B479" s="1"/>
      <c r="C479" s="1"/>
      <c r="D479" s="1"/>
      <c r="E479" s="1"/>
      <c r="F479" s="1"/>
      <c r="G479" s="1"/>
      <c r="H479" s="1"/>
      <c r="I479" s="294"/>
      <c r="J479" s="294"/>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3"/>
      <c r="AJ479" s="1"/>
      <c r="AK479" s="295"/>
      <c r="AL479" s="1"/>
      <c r="AM479" s="1"/>
      <c r="AN479" s="1"/>
      <c r="AO479" s="1"/>
      <c r="AP479" s="1"/>
      <c r="AQ479" s="1"/>
      <c r="AR479" s="1"/>
      <c r="AS479" s="1"/>
      <c r="AT479" s="1"/>
      <c r="AU479" s="1"/>
      <c r="AV479" s="1"/>
      <c r="AW479" s="1"/>
      <c r="AX479" s="1"/>
      <c r="AY479" s="1"/>
      <c r="AZ479" s="1"/>
      <c r="BA479" s="1"/>
      <c r="BB479" s="1"/>
      <c r="BC479" s="1"/>
      <c r="BD479" s="296"/>
      <c r="BE479" s="1"/>
      <c r="BF479" s="1"/>
      <c r="BG479" s="20"/>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row>
    <row r="480" spans="1:115" ht="15.75" customHeight="1">
      <c r="A480" s="1"/>
      <c r="B480" s="1"/>
      <c r="C480" s="1"/>
      <c r="D480" s="1"/>
      <c r="E480" s="1"/>
      <c r="F480" s="1"/>
      <c r="G480" s="1"/>
      <c r="H480" s="1"/>
      <c r="I480" s="294"/>
      <c r="J480" s="294"/>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3"/>
      <c r="AJ480" s="1"/>
      <c r="AK480" s="295"/>
      <c r="AL480" s="1"/>
      <c r="AM480" s="1"/>
      <c r="AN480" s="1"/>
      <c r="AO480" s="1"/>
      <c r="AP480" s="1"/>
      <c r="AQ480" s="1"/>
      <c r="AR480" s="1"/>
      <c r="AS480" s="1"/>
      <c r="AT480" s="1"/>
      <c r="AU480" s="1"/>
      <c r="AV480" s="1"/>
      <c r="AW480" s="1"/>
      <c r="AX480" s="1"/>
      <c r="AY480" s="1"/>
      <c r="AZ480" s="1"/>
      <c r="BA480" s="1"/>
      <c r="BB480" s="1"/>
      <c r="BC480" s="1"/>
      <c r="BD480" s="296"/>
      <c r="BE480" s="1"/>
      <c r="BF480" s="1"/>
      <c r="BG480" s="20"/>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row>
    <row r="481" spans="1:115" ht="15.75" customHeight="1">
      <c r="A481" s="1"/>
      <c r="B481" s="1"/>
      <c r="C481" s="1"/>
      <c r="D481" s="1"/>
      <c r="E481" s="1"/>
      <c r="F481" s="1"/>
      <c r="G481" s="1"/>
      <c r="H481" s="1"/>
      <c r="I481" s="294"/>
      <c r="J481" s="294"/>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3"/>
      <c r="AJ481" s="1"/>
      <c r="AK481" s="295"/>
      <c r="AL481" s="1"/>
      <c r="AM481" s="1"/>
      <c r="AN481" s="1"/>
      <c r="AO481" s="1"/>
      <c r="AP481" s="1"/>
      <c r="AQ481" s="1"/>
      <c r="AR481" s="1"/>
      <c r="AS481" s="1"/>
      <c r="AT481" s="1"/>
      <c r="AU481" s="1"/>
      <c r="AV481" s="1"/>
      <c r="AW481" s="1"/>
      <c r="AX481" s="1"/>
      <c r="AY481" s="1"/>
      <c r="AZ481" s="1"/>
      <c r="BA481" s="1"/>
      <c r="BB481" s="1"/>
      <c r="BC481" s="1"/>
      <c r="BD481" s="296"/>
      <c r="BE481" s="1"/>
      <c r="BF481" s="1"/>
      <c r="BG481" s="20"/>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row>
    <row r="482" spans="1:115" ht="15.75" customHeight="1">
      <c r="A482" s="1"/>
      <c r="B482" s="1"/>
      <c r="C482" s="1"/>
      <c r="D482" s="1"/>
      <c r="E482" s="1"/>
      <c r="F482" s="1"/>
      <c r="G482" s="1"/>
      <c r="H482" s="1"/>
      <c r="I482" s="294"/>
      <c r="J482" s="294"/>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3"/>
      <c r="AJ482" s="1"/>
      <c r="AK482" s="295"/>
      <c r="AL482" s="1"/>
      <c r="AM482" s="1"/>
      <c r="AN482" s="1"/>
      <c r="AO482" s="1"/>
      <c r="AP482" s="1"/>
      <c r="AQ482" s="1"/>
      <c r="AR482" s="1"/>
      <c r="AS482" s="1"/>
      <c r="AT482" s="1"/>
      <c r="AU482" s="1"/>
      <c r="AV482" s="1"/>
      <c r="AW482" s="1"/>
      <c r="AX482" s="1"/>
      <c r="AY482" s="1"/>
      <c r="AZ482" s="1"/>
      <c r="BA482" s="1"/>
      <c r="BB482" s="1"/>
      <c r="BC482" s="1"/>
      <c r="BD482" s="296"/>
      <c r="BE482" s="1"/>
      <c r="BF482" s="1"/>
      <c r="BG482" s="20"/>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row>
    <row r="483" spans="1:115" ht="15.75" customHeight="1">
      <c r="A483" s="1"/>
      <c r="B483" s="1"/>
      <c r="C483" s="1"/>
      <c r="D483" s="1"/>
      <c r="E483" s="1"/>
      <c r="F483" s="1"/>
      <c r="G483" s="1"/>
      <c r="H483" s="1"/>
      <c r="I483" s="294"/>
      <c r="J483" s="294"/>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3"/>
      <c r="AJ483" s="1"/>
      <c r="AK483" s="295"/>
      <c r="AL483" s="1"/>
      <c r="AM483" s="1"/>
      <c r="AN483" s="1"/>
      <c r="AO483" s="1"/>
      <c r="AP483" s="1"/>
      <c r="AQ483" s="1"/>
      <c r="AR483" s="1"/>
      <c r="AS483" s="1"/>
      <c r="AT483" s="1"/>
      <c r="AU483" s="1"/>
      <c r="AV483" s="1"/>
      <c r="AW483" s="1"/>
      <c r="AX483" s="1"/>
      <c r="AY483" s="1"/>
      <c r="AZ483" s="1"/>
      <c r="BA483" s="1"/>
      <c r="BB483" s="1"/>
      <c r="BC483" s="1"/>
      <c r="BD483" s="296"/>
      <c r="BE483" s="1"/>
      <c r="BF483" s="1"/>
      <c r="BG483" s="20"/>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row>
    <row r="484" spans="1:115" ht="15.75" customHeight="1">
      <c r="A484" s="1"/>
      <c r="B484" s="1"/>
      <c r="C484" s="1"/>
      <c r="D484" s="1"/>
      <c r="E484" s="1"/>
      <c r="F484" s="1"/>
      <c r="G484" s="1"/>
      <c r="H484" s="1"/>
      <c r="I484" s="294"/>
      <c r="J484" s="294"/>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3"/>
      <c r="AJ484" s="1"/>
      <c r="AK484" s="295"/>
      <c r="AL484" s="1"/>
      <c r="AM484" s="1"/>
      <c r="AN484" s="1"/>
      <c r="AO484" s="1"/>
      <c r="AP484" s="1"/>
      <c r="AQ484" s="1"/>
      <c r="AR484" s="1"/>
      <c r="AS484" s="1"/>
      <c r="AT484" s="1"/>
      <c r="AU484" s="1"/>
      <c r="AV484" s="1"/>
      <c r="AW484" s="1"/>
      <c r="AX484" s="1"/>
      <c r="AY484" s="1"/>
      <c r="AZ484" s="1"/>
      <c r="BA484" s="1"/>
      <c r="BB484" s="1"/>
      <c r="BC484" s="1"/>
      <c r="BD484" s="296"/>
      <c r="BE484" s="1"/>
      <c r="BF484" s="1"/>
      <c r="BG484" s="20"/>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row>
    <row r="485" spans="1:115" ht="15.75" customHeight="1">
      <c r="A485" s="1"/>
      <c r="B485" s="1"/>
      <c r="C485" s="1"/>
      <c r="D485" s="1"/>
      <c r="E485" s="1"/>
      <c r="F485" s="1"/>
      <c r="G485" s="1"/>
      <c r="H485" s="1"/>
      <c r="I485" s="294"/>
      <c r="J485" s="294"/>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3"/>
      <c r="AJ485" s="1"/>
      <c r="AK485" s="295"/>
      <c r="AL485" s="1"/>
      <c r="AM485" s="1"/>
      <c r="AN485" s="1"/>
      <c r="AO485" s="1"/>
      <c r="AP485" s="1"/>
      <c r="AQ485" s="1"/>
      <c r="AR485" s="1"/>
      <c r="AS485" s="1"/>
      <c r="AT485" s="1"/>
      <c r="AU485" s="1"/>
      <c r="AV485" s="1"/>
      <c r="AW485" s="1"/>
      <c r="AX485" s="1"/>
      <c r="AY485" s="1"/>
      <c r="AZ485" s="1"/>
      <c r="BA485" s="1"/>
      <c r="BB485" s="1"/>
      <c r="BC485" s="1"/>
      <c r="BD485" s="296"/>
      <c r="BE485" s="1"/>
      <c r="BF485" s="1"/>
      <c r="BG485" s="20"/>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row>
    <row r="486" spans="1:115" ht="15.75" customHeight="1">
      <c r="A486" s="1"/>
      <c r="B486" s="1"/>
      <c r="C486" s="1"/>
      <c r="D486" s="1"/>
      <c r="E486" s="1"/>
      <c r="F486" s="1"/>
      <c r="G486" s="1"/>
      <c r="H486" s="1"/>
      <c r="I486" s="294"/>
      <c r="J486" s="294"/>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3"/>
      <c r="AJ486" s="1"/>
      <c r="AK486" s="295"/>
      <c r="AL486" s="1"/>
      <c r="AM486" s="1"/>
      <c r="AN486" s="1"/>
      <c r="AO486" s="1"/>
      <c r="AP486" s="1"/>
      <c r="AQ486" s="1"/>
      <c r="AR486" s="1"/>
      <c r="AS486" s="1"/>
      <c r="AT486" s="1"/>
      <c r="AU486" s="1"/>
      <c r="AV486" s="1"/>
      <c r="AW486" s="1"/>
      <c r="AX486" s="1"/>
      <c r="AY486" s="1"/>
      <c r="AZ486" s="1"/>
      <c r="BA486" s="1"/>
      <c r="BB486" s="1"/>
      <c r="BC486" s="1"/>
      <c r="BD486" s="296"/>
      <c r="BE486" s="1"/>
      <c r="BF486" s="1"/>
      <c r="BG486" s="20"/>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row>
    <row r="487" spans="1:115" ht="15.75" customHeight="1">
      <c r="A487" s="1"/>
      <c r="B487" s="1"/>
      <c r="C487" s="1"/>
      <c r="D487" s="1"/>
      <c r="E487" s="1"/>
      <c r="F487" s="1"/>
      <c r="G487" s="1"/>
      <c r="H487" s="1"/>
      <c r="I487" s="294"/>
      <c r="J487" s="294"/>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3"/>
      <c r="AJ487" s="1"/>
      <c r="AK487" s="295"/>
      <c r="AL487" s="1"/>
      <c r="AM487" s="1"/>
      <c r="AN487" s="1"/>
      <c r="AO487" s="1"/>
      <c r="AP487" s="1"/>
      <c r="AQ487" s="1"/>
      <c r="AR487" s="1"/>
      <c r="AS487" s="1"/>
      <c r="AT487" s="1"/>
      <c r="AU487" s="1"/>
      <c r="AV487" s="1"/>
      <c r="AW487" s="1"/>
      <c r="AX487" s="1"/>
      <c r="AY487" s="1"/>
      <c r="AZ487" s="1"/>
      <c r="BA487" s="1"/>
      <c r="BB487" s="1"/>
      <c r="BC487" s="1"/>
      <c r="BD487" s="296"/>
      <c r="BE487" s="1"/>
      <c r="BF487" s="1"/>
      <c r="BG487" s="20"/>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row>
    <row r="488" spans="1:115" ht="15.75" customHeight="1">
      <c r="A488" s="1"/>
      <c r="B488" s="1"/>
      <c r="C488" s="1"/>
      <c r="D488" s="1"/>
      <c r="E488" s="1"/>
      <c r="F488" s="1"/>
      <c r="G488" s="1"/>
      <c r="H488" s="1"/>
      <c r="I488" s="294"/>
      <c r="J488" s="294"/>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3"/>
      <c r="AJ488" s="1"/>
      <c r="AK488" s="295"/>
      <c r="AL488" s="1"/>
      <c r="AM488" s="1"/>
      <c r="AN488" s="1"/>
      <c r="AO488" s="1"/>
      <c r="AP488" s="1"/>
      <c r="AQ488" s="1"/>
      <c r="AR488" s="1"/>
      <c r="AS488" s="1"/>
      <c r="AT488" s="1"/>
      <c r="AU488" s="1"/>
      <c r="AV488" s="1"/>
      <c r="AW488" s="1"/>
      <c r="AX488" s="1"/>
      <c r="AY488" s="1"/>
      <c r="AZ488" s="1"/>
      <c r="BA488" s="1"/>
      <c r="BB488" s="1"/>
      <c r="BC488" s="1"/>
      <c r="BD488" s="296"/>
      <c r="BE488" s="1"/>
      <c r="BF488" s="1"/>
      <c r="BG488" s="20"/>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row>
    <row r="489" spans="1:115" ht="15.75" customHeight="1">
      <c r="A489" s="1"/>
      <c r="B489" s="1"/>
      <c r="C489" s="1"/>
      <c r="D489" s="1"/>
      <c r="E489" s="1"/>
      <c r="F489" s="1"/>
      <c r="G489" s="1"/>
      <c r="H489" s="1"/>
      <c r="I489" s="294"/>
      <c r="J489" s="294"/>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3"/>
      <c r="AJ489" s="1"/>
      <c r="AK489" s="295"/>
      <c r="AL489" s="1"/>
      <c r="AM489" s="1"/>
      <c r="AN489" s="1"/>
      <c r="AO489" s="1"/>
      <c r="AP489" s="1"/>
      <c r="AQ489" s="1"/>
      <c r="AR489" s="1"/>
      <c r="AS489" s="1"/>
      <c r="AT489" s="1"/>
      <c r="AU489" s="1"/>
      <c r="AV489" s="1"/>
      <c r="AW489" s="1"/>
      <c r="AX489" s="1"/>
      <c r="AY489" s="1"/>
      <c r="AZ489" s="1"/>
      <c r="BA489" s="1"/>
      <c r="BB489" s="1"/>
      <c r="BC489" s="1"/>
      <c r="BD489" s="296"/>
      <c r="BE489" s="1"/>
      <c r="BF489" s="1"/>
      <c r="BG489" s="20"/>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row>
    <row r="490" spans="1:115" ht="15.75" customHeight="1">
      <c r="A490" s="1"/>
      <c r="B490" s="1"/>
      <c r="C490" s="1"/>
      <c r="D490" s="1"/>
      <c r="E490" s="1"/>
      <c r="F490" s="1"/>
      <c r="G490" s="1"/>
      <c r="H490" s="1"/>
      <c r="I490" s="294"/>
      <c r="J490" s="294"/>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3"/>
      <c r="AJ490" s="1"/>
      <c r="AK490" s="295"/>
      <c r="AL490" s="1"/>
      <c r="AM490" s="1"/>
      <c r="AN490" s="1"/>
      <c r="AO490" s="1"/>
      <c r="AP490" s="1"/>
      <c r="AQ490" s="1"/>
      <c r="AR490" s="1"/>
      <c r="AS490" s="1"/>
      <c r="AT490" s="1"/>
      <c r="AU490" s="1"/>
      <c r="AV490" s="1"/>
      <c r="AW490" s="1"/>
      <c r="AX490" s="1"/>
      <c r="AY490" s="1"/>
      <c r="AZ490" s="1"/>
      <c r="BA490" s="1"/>
      <c r="BB490" s="1"/>
      <c r="BC490" s="1"/>
      <c r="BD490" s="296"/>
      <c r="BE490" s="1"/>
      <c r="BF490" s="1"/>
      <c r="BG490" s="20"/>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row>
    <row r="491" spans="1:115" ht="15.75" customHeight="1">
      <c r="A491" s="1"/>
      <c r="B491" s="1"/>
      <c r="C491" s="1"/>
      <c r="D491" s="1"/>
      <c r="E491" s="1"/>
      <c r="F491" s="1"/>
      <c r="G491" s="1"/>
      <c r="H491" s="1"/>
      <c r="I491" s="294"/>
      <c r="J491" s="294"/>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3"/>
      <c r="AJ491" s="1"/>
      <c r="AK491" s="295"/>
      <c r="AL491" s="1"/>
      <c r="AM491" s="1"/>
      <c r="AN491" s="1"/>
      <c r="AO491" s="1"/>
      <c r="AP491" s="1"/>
      <c r="AQ491" s="1"/>
      <c r="AR491" s="1"/>
      <c r="AS491" s="1"/>
      <c r="AT491" s="1"/>
      <c r="AU491" s="1"/>
      <c r="AV491" s="1"/>
      <c r="AW491" s="1"/>
      <c r="AX491" s="1"/>
      <c r="AY491" s="1"/>
      <c r="AZ491" s="1"/>
      <c r="BA491" s="1"/>
      <c r="BB491" s="1"/>
      <c r="BC491" s="1"/>
      <c r="BD491" s="296"/>
      <c r="BE491" s="1"/>
      <c r="BF491" s="1"/>
      <c r="BG491" s="20"/>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row>
    <row r="492" spans="1:115" ht="15.75" customHeight="1">
      <c r="A492" s="1"/>
      <c r="B492" s="1"/>
      <c r="C492" s="1"/>
      <c r="D492" s="1"/>
      <c r="E492" s="1"/>
      <c r="F492" s="1"/>
      <c r="G492" s="1"/>
      <c r="H492" s="1"/>
      <c r="I492" s="294"/>
      <c r="J492" s="294"/>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3"/>
      <c r="AJ492" s="1"/>
      <c r="AK492" s="295"/>
      <c r="AL492" s="1"/>
      <c r="AM492" s="1"/>
      <c r="AN492" s="1"/>
      <c r="AO492" s="1"/>
      <c r="AP492" s="1"/>
      <c r="AQ492" s="1"/>
      <c r="AR492" s="1"/>
      <c r="AS492" s="1"/>
      <c r="AT492" s="1"/>
      <c r="AU492" s="1"/>
      <c r="AV492" s="1"/>
      <c r="AW492" s="1"/>
      <c r="AX492" s="1"/>
      <c r="AY492" s="1"/>
      <c r="AZ492" s="1"/>
      <c r="BA492" s="1"/>
      <c r="BB492" s="1"/>
      <c r="BC492" s="1"/>
      <c r="BD492" s="296"/>
      <c r="BE492" s="1"/>
      <c r="BF492" s="1"/>
      <c r="BG492" s="20"/>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row>
    <row r="493" spans="1:115" ht="15.75" customHeight="1">
      <c r="A493" s="1"/>
      <c r="B493" s="1"/>
      <c r="C493" s="1"/>
      <c r="D493" s="1"/>
      <c r="E493" s="1"/>
      <c r="F493" s="1"/>
      <c r="G493" s="1"/>
      <c r="H493" s="1"/>
      <c r="I493" s="294"/>
      <c r="J493" s="294"/>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3"/>
      <c r="AJ493" s="1"/>
      <c r="AK493" s="295"/>
      <c r="AL493" s="1"/>
      <c r="AM493" s="1"/>
      <c r="AN493" s="1"/>
      <c r="AO493" s="1"/>
      <c r="AP493" s="1"/>
      <c r="AQ493" s="1"/>
      <c r="AR493" s="1"/>
      <c r="AS493" s="1"/>
      <c r="AT493" s="1"/>
      <c r="AU493" s="1"/>
      <c r="AV493" s="1"/>
      <c r="AW493" s="1"/>
      <c r="AX493" s="1"/>
      <c r="AY493" s="1"/>
      <c r="AZ493" s="1"/>
      <c r="BA493" s="1"/>
      <c r="BB493" s="1"/>
      <c r="BC493" s="1"/>
      <c r="BD493" s="296"/>
      <c r="BE493" s="1"/>
      <c r="BF493" s="1"/>
      <c r="BG493" s="20"/>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row>
    <row r="494" spans="1:115" ht="15.75" customHeight="1">
      <c r="A494" s="1"/>
      <c r="B494" s="1"/>
      <c r="C494" s="1"/>
      <c r="D494" s="1"/>
      <c r="E494" s="1"/>
      <c r="F494" s="1"/>
      <c r="G494" s="1"/>
      <c r="H494" s="1"/>
      <c r="I494" s="294"/>
      <c r="J494" s="294"/>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3"/>
      <c r="AJ494" s="1"/>
      <c r="AK494" s="295"/>
      <c r="AL494" s="1"/>
      <c r="AM494" s="1"/>
      <c r="AN494" s="1"/>
      <c r="AO494" s="1"/>
      <c r="AP494" s="1"/>
      <c r="AQ494" s="1"/>
      <c r="AR494" s="1"/>
      <c r="AS494" s="1"/>
      <c r="AT494" s="1"/>
      <c r="AU494" s="1"/>
      <c r="AV494" s="1"/>
      <c r="AW494" s="1"/>
      <c r="AX494" s="1"/>
      <c r="AY494" s="1"/>
      <c r="AZ494" s="1"/>
      <c r="BA494" s="1"/>
      <c r="BB494" s="1"/>
      <c r="BC494" s="1"/>
      <c r="BD494" s="296"/>
      <c r="BE494" s="1"/>
      <c r="BF494" s="1"/>
      <c r="BG494" s="20"/>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row>
    <row r="495" spans="1:115" ht="15.75" customHeight="1">
      <c r="A495" s="1"/>
      <c r="B495" s="1"/>
      <c r="C495" s="1"/>
      <c r="D495" s="1"/>
      <c r="E495" s="1"/>
      <c r="F495" s="1"/>
      <c r="G495" s="1"/>
      <c r="H495" s="1"/>
      <c r="I495" s="294"/>
      <c r="J495" s="294"/>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3"/>
      <c r="AJ495" s="1"/>
      <c r="AK495" s="295"/>
      <c r="AL495" s="1"/>
      <c r="AM495" s="1"/>
      <c r="AN495" s="1"/>
      <c r="AO495" s="1"/>
      <c r="AP495" s="1"/>
      <c r="AQ495" s="1"/>
      <c r="AR495" s="1"/>
      <c r="AS495" s="1"/>
      <c r="AT495" s="1"/>
      <c r="AU495" s="1"/>
      <c r="AV495" s="1"/>
      <c r="AW495" s="1"/>
      <c r="AX495" s="1"/>
      <c r="AY495" s="1"/>
      <c r="AZ495" s="1"/>
      <c r="BA495" s="1"/>
      <c r="BB495" s="1"/>
      <c r="BC495" s="1"/>
      <c r="BD495" s="296"/>
      <c r="BE495" s="1"/>
      <c r="BF495" s="1"/>
      <c r="BG495" s="20"/>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row>
    <row r="496" spans="1:115" ht="15.75" customHeight="1">
      <c r="A496" s="1"/>
      <c r="B496" s="1"/>
      <c r="C496" s="1"/>
      <c r="D496" s="1"/>
      <c r="E496" s="1"/>
      <c r="F496" s="1"/>
      <c r="G496" s="1"/>
      <c r="H496" s="1"/>
      <c r="I496" s="294"/>
      <c r="J496" s="294"/>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3"/>
      <c r="AJ496" s="1"/>
      <c r="AK496" s="295"/>
      <c r="AL496" s="1"/>
      <c r="AM496" s="1"/>
      <c r="AN496" s="1"/>
      <c r="AO496" s="1"/>
      <c r="AP496" s="1"/>
      <c r="AQ496" s="1"/>
      <c r="AR496" s="1"/>
      <c r="AS496" s="1"/>
      <c r="AT496" s="1"/>
      <c r="AU496" s="1"/>
      <c r="AV496" s="1"/>
      <c r="AW496" s="1"/>
      <c r="AX496" s="1"/>
      <c r="AY496" s="1"/>
      <c r="AZ496" s="1"/>
      <c r="BA496" s="1"/>
      <c r="BB496" s="1"/>
      <c r="BC496" s="1"/>
      <c r="BD496" s="296"/>
      <c r="BE496" s="1"/>
      <c r="BF496" s="1"/>
      <c r="BG496" s="20"/>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row>
    <row r="497" spans="1:115" ht="15.75" customHeight="1">
      <c r="A497" s="1"/>
      <c r="B497" s="1"/>
      <c r="C497" s="1"/>
      <c r="D497" s="1"/>
      <c r="E497" s="1"/>
      <c r="F497" s="1"/>
      <c r="G497" s="1"/>
      <c r="H497" s="1"/>
      <c r="I497" s="294"/>
      <c r="J497" s="294"/>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3"/>
      <c r="AJ497" s="1"/>
      <c r="AK497" s="295"/>
      <c r="AL497" s="1"/>
      <c r="AM497" s="1"/>
      <c r="AN497" s="1"/>
      <c r="AO497" s="1"/>
      <c r="AP497" s="1"/>
      <c r="AQ497" s="1"/>
      <c r="AR497" s="1"/>
      <c r="AS497" s="1"/>
      <c r="AT497" s="1"/>
      <c r="AU497" s="1"/>
      <c r="AV497" s="1"/>
      <c r="AW497" s="1"/>
      <c r="AX497" s="1"/>
      <c r="AY497" s="1"/>
      <c r="AZ497" s="1"/>
      <c r="BA497" s="1"/>
      <c r="BB497" s="1"/>
      <c r="BC497" s="1"/>
      <c r="BD497" s="296"/>
      <c r="BE497" s="1"/>
      <c r="BF497" s="1"/>
      <c r="BG497" s="20"/>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row>
    <row r="498" spans="1:115" ht="15.75" customHeight="1">
      <c r="A498" s="1"/>
      <c r="B498" s="1"/>
      <c r="C498" s="1"/>
      <c r="D498" s="1"/>
      <c r="E498" s="1"/>
      <c r="F498" s="1"/>
      <c r="G498" s="1"/>
      <c r="H498" s="1"/>
      <c r="I498" s="294"/>
      <c r="J498" s="294"/>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3"/>
      <c r="AJ498" s="1"/>
      <c r="AK498" s="295"/>
      <c r="AL498" s="1"/>
      <c r="AM498" s="1"/>
      <c r="AN498" s="1"/>
      <c r="AO498" s="1"/>
      <c r="AP498" s="1"/>
      <c r="AQ498" s="1"/>
      <c r="AR498" s="1"/>
      <c r="AS498" s="1"/>
      <c r="AT498" s="1"/>
      <c r="AU498" s="1"/>
      <c r="AV498" s="1"/>
      <c r="AW498" s="1"/>
      <c r="AX498" s="1"/>
      <c r="AY498" s="1"/>
      <c r="AZ498" s="1"/>
      <c r="BA498" s="1"/>
      <c r="BB498" s="1"/>
      <c r="BC498" s="1"/>
      <c r="BD498" s="296"/>
      <c r="BE498" s="1"/>
      <c r="BF498" s="1"/>
      <c r="BG498" s="20"/>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row>
    <row r="499" spans="1:115" ht="15.75" customHeight="1">
      <c r="A499" s="1"/>
      <c r="B499" s="1"/>
      <c r="C499" s="1"/>
      <c r="D499" s="1"/>
      <c r="E499" s="1"/>
      <c r="F499" s="1"/>
      <c r="G499" s="1"/>
      <c r="H499" s="1"/>
      <c r="I499" s="294"/>
      <c r="J499" s="294"/>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3"/>
      <c r="AJ499" s="1"/>
      <c r="AK499" s="295"/>
      <c r="AL499" s="1"/>
      <c r="AM499" s="1"/>
      <c r="AN499" s="1"/>
      <c r="AO499" s="1"/>
      <c r="AP499" s="1"/>
      <c r="AQ499" s="1"/>
      <c r="AR499" s="1"/>
      <c r="AS499" s="1"/>
      <c r="AT499" s="1"/>
      <c r="AU499" s="1"/>
      <c r="AV499" s="1"/>
      <c r="AW499" s="1"/>
      <c r="AX499" s="1"/>
      <c r="AY499" s="1"/>
      <c r="AZ499" s="1"/>
      <c r="BA499" s="1"/>
      <c r="BB499" s="1"/>
      <c r="BC499" s="1"/>
      <c r="BD499" s="296"/>
      <c r="BE499" s="1"/>
      <c r="BF499" s="1"/>
      <c r="BG499" s="20"/>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row>
    <row r="500" spans="1:115" ht="15.75" customHeight="1">
      <c r="A500" s="1"/>
      <c r="B500" s="1"/>
      <c r="C500" s="1"/>
      <c r="D500" s="1"/>
      <c r="E500" s="1"/>
      <c r="F500" s="1"/>
      <c r="G500" s="1"/>
      <c r="H500" s="1"/>
      <c r="I500" s="294"/>
      <c r="J500" s="294"/>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3"/>
      <c r="AJ500" s="1"/>
      <c r="AK500" s="295"/>
      <c r="AL500" s="1"/>
      <c r="AM500" s="1"/>
      <c r="AN500" s="1"/>
      <c r="AO500" s="1"/>
      <c r="AP500" s="1"/>
      <c r="AQ500" s="1"/>
      <c r="AR500" s="1"/>
      <c r="AS500" s="1"/>
      <c r="AT500" s="1"/>
      <c r="AU500" s="1"/>
      <c r="AV500" s="1"/>
      <c r="AW500" s="1"/>
      <c r="AX500" s="1"/>
      <c r="AY500" s="1"/>
      <c r="AZ500" s="1"/>
      <c r="BA500" s="1"/>
      <c r="BB500" s="1"/>
      <c r="BC500" s="1"/>
      <c r="BD500" s="296"/>
      <c r="BE500" s="1"/>
      <c r="BF500" s="1"/>
      <c r="BG500" s="20"/>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row>
    <row r="501" spans="1:115" ht="15.75" customHeight="1">
      <c r="A501" s="1"/>
      <c r="B501" s="1"/>
      <c r="C501" s="1"/>
      <c r="D501" s="1"/>
      <c r="E501" s="1"/>
      <c r="F501" s="1"/>
      <c r="G501" s="1"/>
      <c r="H501" s="1"/>
      <c r="I501" s="294"/>
      <c r="J501" s="294"/>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3"/>
      <c r="AJ501" s="1"/>
      <c r="AK501" s="295"/>
      <c r="AL501" s="1"/>
      <c r="AM501" s="1"/>
      <c r="AN501" s="1"/>
      <c r="AO501" s="1"/>
      <c r="AP501" s="1"/>
      <c r="AQ501" s="1"/>
      <c r="AR501" s="1"/>
      <c r="AS501" s="1"/>
      <c r="AT501" s="1"/>
      <c r="AU501" s="1"/>
      <c r="AV501" s="1"/>
      <c r="AW501" s="1"/>
      <c r="AX501" s="1"/>
      <c r="AY501" s="1"/>
      <c r="AZ501" s="1"/>
      <c r="BA501" s="1"/>
      <c r="BB501" s="1"/>
      <c r="BC501" s="1"/>
      <c r="BD501" s="296"/>
      <c r="BE501" s="1"/>
      <c r="BF501" s="1"/>
      <c r="BG501" s="20"/>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row>
    <row r="502" spans="1:115" ht="15.75" customHeight="1">
      <c r="A502" s="1"/>
      <c r="B502" s="1"/>
      <c r="C502" s="1"/>
      <c r="D502" s="1"/>
      <c r="E502" s="1"/>
      <c r="F502" s="1"/>
      <c r="G502" s="1"/>
      <c r="H502" s="1"/>
      <c r="I502" s="294"/>
      <c r="J502" s="294"/>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3"/>
      <c r="AJ502" s="1"/>
      <c r="AK502" s="295"/>
      <c r="AL502" s="1"/>
      <c r="AM502" s="1"/>
      <c r="AN502" s="1"/>
      <c r="AO502" s="1"/>
      <c r="AP502" s="1"/>
      <c r="AQ502" s="1"/>
      <c r="AR502" s="1"/>
      <c r="AS502" s="1"/>
      <c r="AT502" s="1"/>
      <c r="AU502" s="1"/>
      <c r="AV502" s="1"/>
      <c r="AW502" s="1"/>
      <c r="AX502" s="1"/>
      <c r="AY502" s="1"/>
      <c r="AZ502" s="1"/>
      <c r="BA502" s="1"/>
      <c r="BB502" s="1"/>
      <c r="BC502" s="1"/>
      <c r="BD502" s="296"/>
      <c r="BE502" s="1"/>
      <c r="BF502" s="1"/>
      <c r="BG502" s="20"/>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row>
    <row r="503" spans="1:115" ht="15.75" customHeight="1">
      <c r="A503" s="1"/>
      <c r="B503" s="1"/>
      <c r="C503" s="1"/>
      <c r="D503" s="1"/>
      <c r="E503" s="1"/>
      <c r="F503" s="1"/>
      <c r="G503" s="1"/>
      <c r="H503" s="1"/>
      <c r="I503" s="294"/>
      <c r="J503" s="294"/>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3"/>
      <c r="AJ503" s="1"/>
      <c r="AK503" s="295"/>
      <c r="AL503" s="1"/>
      <c r="AM503" s="1"/>
      <c r="AN503" s="1"/>
      <c r="AO503" s="1"/>
      <c r="AP503" s="1"/>
      <c r="AQ503" s="1"/>
      <c r="AR503" s="1"/>
      <c r="AS503" s="1"/>
      <c r="AT503" s="1"/>
      <c r="AU503" s="1"/>
      <c r="AV503" s="1"/>
      <c r="AW503" s="1"/>
      <c r="AX503" s="1"/>
      <c r="AY503" s="1"/>
      <c r="AZ503" s="1"/>
      <c r="BA503" s="1"/>
      <c r="BB503" s="1"/>
      <c r="BC503" s="1"/>
      <c r="BD503" s="296"/>
      <c r="BE503" s="1"/>
      <c r="BF503" s="1"/>
      <c r="BG503" s="20"/>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row>
    <row r="504" spans="1:115" ht="15.75" customHeight="1">
      <c r="A504" s="1"/>
      <c r="B504" s="1"/>
      <c r="C504" s="1"/>
      <c r="D504" s="1"/>
      <c r="E504" s="1"/>
      <c r="F504" s="1"/>
      <c r="G504" s="1"/>
      <c r="H504" s="1"/>
      <c r="I504" s="294"/>
      <c r="J504" s="294"/>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3"/>
      <c r="AJ504" s="1"/>
      <c r="AK504" s="295"/>
      <c r="AL504" s="1"/>
      <c r="AM504" s="1"/>
      <c r="AN504" s="1"/>
      <c r="AO504" s="1"/>
      <c r="AP504" s="1"/>
      <c r="AQ504" s="1"/>
      <c r="AR504" s="1"/>
      <c r="AS504" s="1"/>
      <c r="AT504" s="1"/>
      <c r="AU504" s="1"/>
      <c r="AV504" s="1"/>
      <c r="AW504" s="1"/>
      <c r="AX504" s="1"/>
      <c r="AY504" s="1"/>
      <c r="AZ504" s="1"/>
      <c r="BA504" s="1"/>
      <c r="BB504" s="1"/>
      <c r="BC504" s="1"/>
      <c r="BD504" s="296"/>
      <c r="BE504" s="1"/>
      <c r="BF504" s="1"/>
      <c r="BG504" s="20"/>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row>
    <row r="505" spans="1:115" ht="15.75" customHeight="1">
      <c r="A505" s="1"/>
      <c r="B505" s="1"/>
      <c r="C505" s="1"/>
      <c r="D505" s="1"/>
      <c r="E505" s="1"/>
      <c r="F505" s="1"/>
      <c r="G505" s="1"/>
      <c r="H505" s="1"/>
      <c r="I505" s="294"/>
      <c r="J505" s="294"/>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3"/>
      <c r="AJ505" s="1"/>
      <c r="AK505" s="295"/>
      <c r="AL505" s="1"/>
      <c r="AM505" s="1"/>
      <c r="AN505" s="1"/>
      <c r="AO505" s="1"/>
      <c r="AP505" s="1"/>
      <c r="AQ505" s="1"/>
      <c r="AR505" s="1"/>
      <c r="AS505" s="1"/>
      <c r="AT505" s="1"/>
      <c r="AU505" s="1"/>
      <c r="AV505" s="1"/>
      <c r="AW505" s="1"/>
      <c r="AX505" s="1"/>
      <c r="AY505" s="1"/>
      <c r="AZ505" s="1"/>
      <c r="BA505" s="1"/>
      <c r="BB505" s="1"/>
      <c r="BC505" s="1"/>
      <c r="BD505" s="296"/>
      <c r="BE505" s="1"/>
      <c r="BF505" s="1"/>
      <c r="BG505" s="20"/>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row>
    <row r="506" spans="1:115" ht="15.75" customHeight="1">
      <c r="A506" s="1"/>
      <c r="B506" s="1"/>
      <c r="C506" s="1"/>
      <c r="D506" s="1"/>
      <c r="E506" s="1"/>
      <c r="F506" s="1"/>
      <c r="G506" s="1"/>
      <c r="H506" s="1"/>
      <c r="I506" s="294"/>
      <c r="J506" s="294"/>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3"/>
      <c r="AJ506" s="1"/>
      <c r="AK506" s="295"/>
      <c r="AL506" s="1"/>
      <c r="AM506" s="1"/>
      <c r="AN506" s="1"/>
      <c r="AO506" s="1"/>
      <c r="AP506" s="1"/>
      <c r="AQ506" s="1"/>
      <c r="AR506" s="1"/>
      <c r="AS506" s="1"/>
      <c r="AT506" s="1"/>
      <c r="AU506" s="1"/>
      <c r="AV506" s="1"/>
      <c r="AW506" s="1"/>
      <c r="AX506" s="1"/>
      <c r="AY506" s="1"/>
      <c r="AZ506" s="1"/>
      <c r="BA506" s="1"/>
      <c r="BB506" s="1"/>
      <c r="BC506" s="1"/>
      <c r="BD506" s="296"/>
      <c r="BE506" s="1"/>
      <c r="BF506" s="1"/>
      <c r="BG506" s="20"/>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row>
    <row r="507" spans="1:115" ht="15.75" customHeight="1">
      <c r="A507" s="1"/>
      <c r="B507" s="1"/>
      <c r="C507" s="1"/>
      <c r="D507" s="1"/>
      <c r="E507" s="1"/>
      <c r="F507" s="1"/>
      <c r="G507" s="1"/>
      <c r="H507" s="1"/>
      <c r="I507" s="294"/>
      <c r="J507" s="294"/>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3"/>
      <c r="AJ507" s="1"/>
      <c r="AK507" s="295"/>
      <c r="AL507" s="1"/>
      <c r="AM507" s="1"/>
      <c r="AN507" s="1"/>
      <c r="AO507" s="1"/>
      <c r="AP507" s="1"/>
      <c r="AQ507" s="1"/>
      <c r="AR507" s="1"/>
      <c r="AS507" s="1"/>
      <c r="AT507" s="1"/>
      <c r="AU507" s="1"/>
      <c r="AV507" s="1"/>
      <c r="AW507" s="1"/>
      <c r="AX507" s="1"/>
      <c r="AY507" s="1"/>
      <c r="AZ507" s="1"/>
      <c r="BA507" s="1"/>
      <c r="BB507" s="1"/>
      <c r="BC507" s="1"/>
      <c r="BD507" s="296"/>
      <c r="BE507" s="1"/>
      <c r="BF507" s="1"/>
      <c r="BG507" s="20"/>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row>
    <row r="508" spans="1:115" ht="15.75" customHeight="1">
      <c r="A508" s="1"/>
      <c r="B508" s="1"/>
      <c r="C508" s="1"/>
      <c r="D508" s="1"/>
      <c r="E508" s="1"/>
      <c r="F508" s="1"/>
      <c r="G508" s="1"/>
      <c r="H508" s="1"/>
      <c r="I508" s="294"/>
      <c r="J508" s="294"/>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3"/>
      <c r="AJ508" s="1"/>
      <c r="AK508" s="295"/>
      <c r="AL508" s="1"/>
      <c r="AM508" s="1"/>
      <c r="AN508" s="1"/>
      <c r="AO508" s="1"/>
      <c r="AP508" s="1"/>
      <c r="AQ508" s="1"/>
      <c r="AR508" s="1"/>
      <c r="AS508" s="1"/>
      <c r="AT508" s="1"/>
      <c r="AU508" s="1"/>
      <c r="AV508" s="1"/>
      <c r="AW508" s="1"/>
      <c r="AX508" s="1"/>
      <c r="AY508" s="1"/>
      <c r="AZ508" s="1"/>
      <c r="BA508" s="1"/>
      <c r="BB508" s="1"/>
      <c r="BC508" s="1"/>
      <c r="BD508" s="296"/>
      <c r="BE508" s="1"/>
      <c r="BF508" s="1"/>
      <c r="BG508" s="20"/>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row>
    <row r="509" spans="1:115" ht="15.75" customHeight="1">
      <c r="A509" s="1"/>
      <c r="B509" s="1"/>
      <c r="C509" s="1"/>
      <c r="D509" s="1"/>
      <c r="E509" s="1"/>
      <c r="F509" s="1"/>
      <c r="G509" s="1"/>
      <c r="H509" s="1"/>
      <c r="I509" s="294"/>
      <c r="J509" s="294"/>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3"/>
      <c r="AJ509" s="1"/>
      <c r="AK509" s="295"/>
      <c r="AL509" s="1"/>
      <c r="AM509" s="1"/>
      <c r="AN509" s="1"/>
      <c r="AO509" s="1"/>
      <c r="AP509" s="1"/>
      <c r="AQ509" s="1"/>
      <c r="AR509" s="1"/>
      <c r="AS509" s="1"/>
      <c r="AT509" s="1"/>
      <c r="AU509" s="1"/>
      <c r="AV509" s="1"/>
      <c r="AW509" s="1"/>
      <c r="AX509" s="1"/>
      <c r="AY509" s="1"/>
      <c r="AZ509" s="1"/>
      <c r="BA509" s="1"/>
      <c r="BB509" s="1"/>
      <c r="BC509" s="1"/>
      <c r="BD509" s="296"/>
      <c r="BE509" s="1"/>
      <c r="BF509" s="1"/>
      <c r="BG509" s="20"/>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row>
    <row r="510" spans="1:115" ht="15.75" customHeight="1">
      <c r="A510" s="1"/>
      <c r="B510" s="1"/>
      <c r="C510" s="1"/>
      <c r="D510" s="1"/>
      <c r="E510" s="1"/>
      <c r="F510" s="1"/>
      <c r="G510" s="1"/>
      <c r="H510" s="1"/>
      <c r="I510" s="294"/>
      <c r="J510" s="294"/>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3"/>
      <c r="AJ510" s="1"/>
      <c r="AK510" s="295"/>
      <c r="AL510" s="1"/>
      <c r="AM510" s="1"/>
      <c r="AN510" s="1"/>
      <c r="AO510" s="1"/>
      <c r="AP510" s="1"/>
      <c r="AQ510" s="1"/>
      <c r="AR510" s="1"/>
      <c r="AS510" s="1"/>
      <c r="AT510" s="1"/>
      <c r="AU510" s="1"/>
      <c r="AV510" s="1"/>
      <c r="AW510" s="1"/>
      <c r="AX510" s="1"/>
      <c r="AY510" s="1"/>
      <c r="AZ510" s="1"/>
      <c r="BA510" s="1"/>
      <c r="BB510" s="1"/>
      <c r="BC510" s="1"/>
      <c r="BD510" s="296"/>
      <c r="BE510" s="1"/>
      <c r="BF510" s="1"/>
      <c r="BG510" s="20"/>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row>
    <row r="511" spans="1:115" ht="15.75" customHeight="1">
      <c r="A511" s="1"/>
      <c r="B511" s="1"/>
      <c r="C511" s="1"/>
      <c r="D511" s="1"/>
      <c r="E511" s="1"/>
      <c r="F511" s="1"/>
      <c r="G511" s="1"/>
      <c r="H511" s="1"/>
      <c r="I511" s="294"/>
      <c r="J511" s="294"/>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3"/>
      <c r="AJ511" s="1"/>
      <c r="AK511" s="295"/>
      <c r="AL511" s="1"/>
      <c r="AM511" s="1"/>
      <c r="AN511" s="1"/>
      <c r="AO511" s="1"/>
      <c r="AP511" s="1"/>
      <c r="AQ511" s="1"/>
      <c r="AR511" s="1"/>
      <c r="AS511" s="1"/>
      <c r="AT511" s="1"/>
      <c r="AU511" s="1"/>
      <c r="AV511" s="1"/>
      <c r="AW511" s="1"/>
      <c r="AX511" s="1"/>
      <c r="AY511" s="1"/>
      <c r="AZ511" s="1"/>
      <c r="BA511" s="1"/>
      <c r="BB511" s="1"/>
      <c r="BC511" s="1"/>
      <c r="BD511" s="296"/>
      <c r="BE511" s="1"/>
      <c r="BF511" s="1"/>
      <c r="BG511" s="20"/>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row>
    <row r="512" spans="1:115" ht="15.75" customHeight="1">
      <c r="A512" s="1"/>
      <c r="B512" s="1"/>
      <c r="C512" s="1"/>
      <c r="D512" s="1"/>
      <c r="E512" s="1"/>
      <c r="F512" s="1"/>
      <c r="G512" s="1"/>
      <c r="H512" s="1"/>
      <c r="I512" s="294"/>
      <c r="J512" s="294"/>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3"/>
      <c r="AJ512" s="1"/>
      <c r="AK512" s="295"/>
      <c r="AL512" s="1"/>
      <c r="AM512" s="1"/>
      <c r="AN512" s="1"/>
      <c r="AO512" s="1"/>
      <c r="AP512" s="1"/>
      <c r="AQ512" s="1"/>
      <c r="AR512" s="1"/>
      <c r="AS512" s="1"/>
      <c r="AT512" s="1"/>
      <c r="AU512" s="1"/>
      <c r="AV512" s="1"/>
      <c r="AW512" s="1"/>
      <c r="AX512" s="1"/>
      <c r="AY512" s="1"/>
      <c r="AZ512" s="1"/>
      <c r="BA512" s="1"/>
      <c r="BB512" s="1"/>
      <c r="BC512" s="1"/>
      <c r="BD512" s="296"/>
      <c r="BE512" s="1"/>
      <c r="BF512" s="1"/>
      <c r="BG512" s="20"/>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row>
    <row r="513" spans="1:115" ht="15.75" customHeight="1">
      <c r="A513" s="1"/>
      <c r="B513" s="1"/>
      <c r="C513" s="1"/>
      <c r="D513" s="1"/>
      <c r="E513" s="1"/>
      <c r="F513" s="1"/>
      <c r="G513" s="1"/>
      <c r="H513" s="1"/>
      <c r="I513" s="294"/>
      <c r="J513" s="294"/>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3"/>
      <c r="AJ513" s="1"/>
      <c r="AK513" s="295"/>
      <c r="AL513" s="1"/>
      <c r="AM513" s="1"/>
      <c r="AN513" s="1"/>
      <c r="AO513" s="1"/>
      <c r="AP513" s="1"/>
      <c r="AQ513" s="1"/>
      <c r="AR513" s="1"/>
      <c r="AS513" s="1"/>
      <c r="AT513" s="1"/>
      <c r="AU513" s="1"/>
      <c r="AV513" s="1"/>
      <c r="AW513" s="1"/>
      <c r="AX513" s="1"/>
      <c r="AY513" s="1"/>
      <c r="AZ513" s="1"/>
      <c r="BA513" s="1"/>
      <c r="BB513" s="1"/>
      <c r="BC513" s="1"/>
      <c r="BD513" s="296"/>
      <c r="BE513" s="1"/>
      <c r="BF513" s="1"/>
      <c r="BG513" s="20"/>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row>
    <row r="514" spans="1:115" ht="15.75" customHeight="1">
      <c r="A514" s="1"/>
      <c r="B514" s="1"/>
      <c r="C514" s="1"/>
      <c r="D514" s="1"/>
      <c r="E514" s="1"/>
      <c r="F514" s="1"/>
      <c r="G514" s="1"/>
      <c r="H514" s="1"/>
      <c r="I514" s="294"/>
      <c r="J514" s="294"/>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3"/>
      <c r="AJ514" s="1"/>
      <c r="AK514" s="295"/>
      <c r="AL514" s="1"/>
      <c r="AM514" s="1"/>
      <c r="AN514" s="1"/>
      <c r="AO514" s="1"/>
      <c r="AP514" s="1"/>
      <c r="AQ514" s="1"/>
      <c r="AR514" s="1"/>
      <c r="AS514" s="1"/>
      <c r="AT514" s="1"/>
      <c r="AU514" s="1"/>
      <c r="AV514" s="1"/>
      <c r="AW514" s="1"/>
      <c r="AX514" s="1"/>
      <c r="AY514" s="1"/>
      <c r="AZ514" s="1"/>
      <c r="BA514" s="1"/>
      <c r="BB514" s="1"/>
      <c r="BC514" s="1"/>
      <c r="BD514" s="296"/>
      <c r="BE514" s="1"/>
      <c r="BF514" s="1"/>
      <c r="BG514" s="20"/>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row>
    <row r="515" spans="1:115" ht="15.75" customHeight="1">
      <c r="A515" s="1"/>
      <c r="B515" s="1"/>
      <c r="C515" s="1"/>
      <c r="D515" s="1"/>
      <c r="E515" s="1"/>
      <c r="F515" s="1"/>
      <c r="G515" s="1"/>
      <c r="H515" s="1"/>
      <c r="I515" s="294"/>
      <c r="J515" s="294"/>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3"/>
      <c r="AJ515" s="1"/>
      <c r="AK515" s="295"/>
      <c r="AL515" s="1"/>
      <c r="AM515" s="1"/>
      <c r="AN515" s="1"/>
      <c r="AO515" s="1"/>
      <c r="AP515" s="1"/>
      <c r="AQ515" s="1"/>
      <c r="AR515" s="1"/>
      <c r="AS515" s="1"/>
      <c r="AT515" s="1"/>
      <c r="AU515" s="1"/>
      <c r="AV515" s="1"/>
      <c r="AW515" s="1"/>
      <c r="AX515" s="1"/>
      <c r="AY515" s="1"/>
      <c r="AZ515" s="1"/>
      <c r="BA515" s="1"/>
      <c r="BB515" s="1"/>
      <c r="BC515" s="1"/>
      <c r="BD515" s="296"/>
      <c r="BE515" s="1"/>
      <c r="BF515" s="1"/>
      <c r="BG515" s="20"/>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row>
    <row r="516" spans="1:115" ht="15.75" customHeight="1">
      <c r="A516" s="1"/>
      <c r="B516" s="1"/>
      <c r="C516" s="1"/>
      <c r="D516" s="1"/>
      <c r="E516" s="1"/>
      <c r="F516" s="1"/>
      <c r="G516" s="1"/>
      <c r="H516" s="1"/>
      <c r="I516" s="294"/>
      <c r="J516" s="294"/>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3"/>
      <c r="AJ516" s="1"/>
      <c r="AK516" s="295"/>
      <c r="AL516" s="1"/>
      <c r="AM516" s="1"/>
      <c r="AN516" s="1"/>
      <c r="AO516" s="1"/>
      <c r="AP516" s="1"/>
      <c r="AQ516" s="1"/>
      <c r="AR516" s="1"/>
      <c r="AS516" s="1"/>
      <c r="AT516" s="1"/>
      <c r="AU516" s="1"/>
      <c r="AV516" s="1"/>
      <c r="AW516" s="1"/>
      <c r="AX516" s="1"/>
      <c r="AY516" s="1"/>
      <c r="AZ516" s="1"/>
      <c r="BA516" s="1"/>
      <c r="BB516" s="1"/>
      <c r="BC516" s="1"/>
      <c r="BD516" s="296"/>
      <c r="BE516" s="1"/>
      <c r="BF516" s="1"/>
      <c r="BG516" s="20"/>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row>
    <row r="517" spans="1:115" ht="15.75" customHeight="1">
      <c r="A517" s="1"/>
      <c r="B517" s="1"/>
      <c r="C517" s="1"/>
      <c r="D517" s="1"/>
      <c r="E517" s="1"/>
      <c r="F517" s="1"/>
      <c r="G517" s="1"/>
      <c r="H517" s="1"/>
      <c r="I517" s="294"/>
      <c r="J517" s="294"/>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3"/>
      <c r="AJ517" s="1"/>
      <c r="AK517" s="295"/>
      <c r="AL517" s="1"/>
      <c r="AM517" s="1"/>
      <c r="AN517" s="1"/>
      <c r="AO517" s="1"/>
      <c r="AP517" s="1"/>
      <c r="AQ517" s="1"/>
      <c r="AR517" s="1"/>
      <c r="AS517" s="1"/>
      <c r="AT517" s="1"/>
      <c r="AU517" s="1"/>
      <c r="AV517" s="1"/>
      <c r="AW517" s="1"/>
      <c r="AX517" s="1"/>
      <c r="AY517" s="1"/>
      <c r="AZ517" s="1"/>
      <c r="BA517" s="1"/>
      <c r="BB517" s="1"/>
      <c r="BC517" s="1"/>
      <c r="BD517" s="296"/>
      <c r="BE517" s="1"/>
      <c r="BF517" s="1"/>
      <c r="BG517" s="20"/>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row>
    <row r="518" spans="1:115" ht="15.75" customHeight="1">
      <c r="A518" s="1"/>
      <c r="B518" s="1"/>
      <c r="C518" s="1"/>
      <c r="D518" s="1"/>
      <c r="E518" s="1"/>
      <c r="F518" s="1"/>
      <c r="G518" s="1"/>
      <c r="H518" s="1"/>
      <c r="I518" s="294"/>
      <c r="J518" s="294"/>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3"/>
      <c r="AJ518" s="1"/>
      <c r="AK518" s="295"/>
      <c r="AL518" s="1"/>
      <c r="AM518" s="1"/>
      <c r="AN518" s="1"/>
      <c r="AO518" s="1"/>
      <c r="AP518" s="1"/>
      <c r="AQ518" s="1"/>
      <c r="AR518" s="1"/>
      <c r="AS518" s="1"/>
      <c r="AT518" s="1"/>
      <c r="AU518" s="1"/>
      <c r="AV518" s="1"/>
      <c r="AW518" s="1"/>
      <c r="AX518" s="1"/>
      <c r="AY518" s="1"/>
      <c r="AZ518" s="1"/>
      <c r="BA518" s="1"/>
      <c r="BB518" s="1"/>
      <c r="BC518" s="1"/>
      <c r="BD518" s="296"/>
      <c r="BE518" s="1"/>
      <c r="BF518" s="1"/>
      <c r="BG518" s="20"/>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row>
    <row r="519" spans="1:115" ht="15.75" customHeight="1">
      <c r="A519" s="1"/>
      <c r="B519" s="1"/>
      <c r="C519" s="1"/>
      <c r="D519" s="1"/>
      <c r="E519" s="1"/>
      <c r="F519" s="1"/>
      <c r="G519" s="1"/>
      <c r="H519" s="1"/>
      <c r="I519" s="294"/>
      <c r="J519" s="294"/>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3"/>
      <c r="AJ519" s="1"/>
      <c r="AK519" s="295"/>
      <c r="AL519" s="1"/>
      <c r="AM519" s="1"/>
      <c r="AN519" s="1"/>
      <c r="AO519" s="1"/>
      <c r="AP519" s="1"/>
      <c r="AQ519" s="1"/>
      <c r="AR519" s="1"/>
      <c r="AS519" s="1"/>
      <c r="AT519" s="1"/>
      <c r="AU519" s="1"/>
      <c r="AV519" s="1"/>
      <c r="AW519" s="1"/>
      <c r="AX519" s="1"/>
      <c r="AY519" s="1"/>
      <c r="AZ519" s="1"/>
      <c r="BA519" s="1"/>
      <c r="BB519" s="1"/>
      <c r="BC519" s="1"/>
      <c r="BD519" s="296"/>
      <c r="BE519" s="1"/>
      <c r="BF519" s="1"/>
      <c r="BG519" s="20"/>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row>
    <row r="520" spans="1:115" ht="15.75" customHeight="1">
      <c r="A520" s="1"/>
      <c r="B520" s="1"/>
      <c r="C520" s="1"/>
      <c r="D520" s="1"/>
      <c r="E520" s="1"/>
      <c r="F520" s="1"/>
      <c r="G520" s="1"/>
      <c r="H520" s="1"/>
      <c r="I520" s="294"/>
      <c r="J520" s="294"/>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3"/>
      <c r="AJ520" s="1"/>
      <c r="AK520" s="295"/>
      <c r="AL520" s="1"/>
      <c r="AM520" s="1"/>
      <c r="AN520" s="1"/>
      <c r="AO520" s="1"/>
      <c r="AP520" s="1"/>
      <c r="AQ520" s="1"/>
      <c r="AR520" s="1"/>
      <c r="AS520" s="1"/>
      <c r="AT520" s="1"/>
      <c r="AU520" s="1"/>
      <c r="AV520" s="1"/>
      <c r="AW520" s="1"/>
      <c r="AX520" s="1"/>
      <c r="AY520" s="1"/>
      <c r="AZ520" s="1"/>
      <c r="BA520" s="1"/>
      <c r="BB520" s="1"/>
      <c r="BC520" s="1"/>
      <c r="BD520" s="296"/>
      <c r="BE520" s="1"/>
      <c r="BF520" s="1"/>
      <c r="BG520" s="20"/>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row>
    <row r="521" spans="1:115" ht="15.75" customHeight="1">
      <c r="A521" s="1"/>
      <c r="B521" s="1"/>
      <c r="C521" s="1"/>
      <c r="D521" s="1"/>
      <c r="E521" s="1"/>
      <c r="F521" s="1"/>
      <c r="G521" s="1"/>
      <c r="H521" s="1"/>
      <c r="I521" s="294"/>
      <c r="J521" s="294"/>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3"/>
      <c r="AJ521" s="1"/>
      <c r="AK521" s="295"/>
      <c r="AL521" s="1"/>
      <c r="AM521" s="1"/>
      <c r="AN521" s="1"/>
      <c r="AO521" s="1"/>
      <c r="AP521" s="1"/>
      <c r="AQ521" s="1"/>
      <c r="AR521" s="1"/>
      <c r="AS521" s="1"/>
      <c r="AT521" s="1"/>
      <c r="AU521" s="1"/>
      <c r="AV521" s="1"/>
      <c r="AW521" s="1"/>
      <c r="AX521" s="1"/>
      <c r="AY521" s="1"/>
      <c r="AZ521" s="1"/>
      <c r="BA521" s="1"/>
      <c r="BB521" s="1"/>
      <c r="BC521" s="1"/>
      <c r="BD521" s="296"/>
      <c r="BE521" s="1"/>
      <c r="BF521" s="1"/>
      <c r="BG521" s="20"/>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row>
    <row r="522" spans="1:115" ht="15.75" customHeight="1">
      <c r="A522" s="1"/>
      <c r="B522" s="1"/>
      <c r="C522" s="1"/>
      <c r="D522" s="1"/>
      <c r="E522" s="1"/>
      <c r="F522" s="1"/>
      <c r="G522" s="1"/>
      <c r="H522" s="1"/>
      <c r="I522" s="294"/>
      <c r="J522" s="294"/>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3"/>
      <c r="AJ522" s="1"/>
      <c r="AK522" s="295"/>
      <c r="AL522" s="1"/>
      <c r="AM522" s="1"/>
      <c r="AN522" s="1"/>
      <c r="AO522" s="1"/>
      <c r="AP522" s="1"/>
      <c r="AQ522" s="1"/>
      <c r="AR522" s="1"/>
      <c r="AS522" s="1"/>
      <c r="AT522" s="1"/>
      <c r="AU522" s="1"/>
      <c r="AV522" s="1"/>
      <c r="AW522" s="1"/>
      <c r="AX522" s="1"/>
      <c r="AY522" s="1"/>
      <c r="AZ522" s="1"/>
      <c r="BA522" s="1"/>
      <c r="BB522" s="1"/>
      <c r="BC522" s="1"/>
      <c r="BD522" s="296"/>
      <c r="BE522" s="1"/>
      <c r="BF522" s="1"/>
      <c r="BG522" s="20"/>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row>
    <row r="523" spans="1:115" ht="15.75" customHeight="1">
      <c r="A523" s="1"/>
      <c r="B523" s="1"/>
      <c r="C523" s="1"/>
      <c r="D523" s="1"/>
      <c r="E523" s="1"/>
      <c r="F523" s="1"/>
      <c r="G523" s="1"/>
      <c r="H523" s="1"/>
      <c r="I523" s="294"/>
      <c r="J523" s="294"/>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3"/>
      <c r="AJ523" s="1"/>
      <c r="AK523" s="295"/>
      <c r="AL523" s="1"/>
      <c r="AM523" s="1"/>
      <c r="AN523" s="1"/>
      <c r="AO523" s="1"/>
      <c r="AP523" s="1"/>
      <c r="AQ523" s="1"/>
      <c r="AR523" s="1"/>
      <c r="AS523" s="1"/>
      <c r="AT523" s="1"/>
      <c r="AU523" s="1"/>
      <c r="AV523" s="1"/>
      <c r="AW523" s="1"/>
      <c r="AX523" s="1"/>
      <c r="AY523" s="1"/>
      <c r="AZ523" s="1"/>
      <c r="BA523" s="1"/>
      <c r="BB523" s="1"/>
      <c r="BC523" s="1"/>
      <c r="BD523" s="296"/>
      <c r="BE523" s="1"/>
      <c r="BF523" s="1"/>
      <c r="BG523" s="20"/>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row>
    <row r="524" spans="1:115" ht="15.75" customHeight="1">
      <c r="A524" s="1"/>
      <c r="B524" s="1"/>
      <c r="C524" s="1"/>
      <c r="D524" s="1"/>
      <c r="E524" s="1"/>
      <c r="F524" s="1"/>
      <c r="G524" s="1"/>
      <c r="H524" s="1"/>
      <c r="I524" s="294"/>
      <c r="J524" s="294"/>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3"/>
      <c r="AJ524" s="1"/>
      <c r="AK524" s="295"/>
      <c r="AL524" s="1"/>
      <c r="AM524" s="1"/>
      <c r="AN524" s="1"/>
      <c r="AO524" s="1"/>
      <c r="AP524" s="1"/>
      <c r="AQ524" s="1"/>
      <c r="AR524" s="1"/>
      <c r="AS524" s="1"/>
      <c r="AT524" s="1"/>
      <c r="AU524" s="1"/>
      <c r="AV524" s="1"/>
      <c r="AW524" s="1"/>
      <c r="AX524" s="1"/>
      <c r="AY524" s="1"/>
      <c r="AZ524" s="1"/>
      <c r="BA524" s="1"/>
      <c r="BB524" s="1"/>
      <c r="BC524" s="1"/>
      <c r="BD524" s="296"/>
      <c r="BE524" s="1"/>
      <c r="BF524" s="1"/>
      <c r="BG524" s="20"/>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row>
    <row r="525" spans="1:115" ht="15.75" customHeight="1">
      <c r="A525" s="1"/>
      <c r="B525" s="1"/>
      <c r="C525" s="1"/>
      <c r="D525" s="1"/>
      <c r="E525" s="1"/>
      <c r="F525" s="1"/>
      <c r="G525" s="1"/>
      <c r="H525" s="1"/>
      <c r="I525" s="294"/>
      <c r="J525" s="294"/>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3"/>
      <c r="AJ525" s="1"/>
      <c r="AK525" s="295"/>
      <c r="AL525" s="1"/>
      <c r="AM525" s="1"/>
      <c r="AN525" s="1"/>
      <c r="AO525" s="1"/>
      <c r="AP525" s="1"/>
      <c r="AQ525" s="1"/>
      <c r="AR525" s="1"/>
      <c r="AS525" s="1"/>
      <c r="AT525" s="1"/>
      <c r="AU525" s="1"/>
      <c r="AV525" s="1"/>
      <c r="AW525" s="1"/>
      <c r="AX525" s="1"/>
      <c r="AY525" s="1"/>
      <c r="AZ525" s="1"/>
      <c r="BA525" s="1"/>
      <c r="BB525" s="1"/>
      <c r="BC525" s="1"/>
      <c r="BD525" s="296"/>
      <c r="BE525" s="1"/>
      <c r="BF525" s="1"/>
      <c r="BG525" s="20"/>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row>
    <row r="526" spans="1:115" ht="15.75" customHeight="1">
      <c r="A526" s="1"/>
      <c r="B526" s="1"/>
      <c r="C526" s="1"/>
      <c r="D526" s="1"/>
      <c r="E526" s="1"/>
      <c r="F526" s="1"/>
      <c r="G526" s="1"/>
      <c r="H526" s="1"/>
      <c r="I526" s="294"/>
      <c r="J526" s="294"/>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3"/>
      <c r="AJ526" s="1"/>
      <c r="AK526" s="295"/>
      <c r="AL526" s="1"/>
      <c r="AM526" s="1"/>
      <c r="AN526" s="1"/>
      <c r="AO526" s="1"/>
      <c r="AP526" s="1"/>
      <c r="AQ526" s="1"/>
      <c r="AR526" s="1"/>
      <c r="AS526" s="1"/>
      <c r="AT526" s="1"/>
      <c r="AU526" s="1"/>
      <c r="AV526" s="1"/>
      <c r="AW526" s="1"/>
      <c r="AX526" s="1"/>
      <c r="AY526" s="1"/>
      <c r="AZ526" s="1"/>
      <c r="BA526" s="1"/>
      <c r="BB526" s="1"/>
      <c r="BC526" s="1"/>
      <c r="BD526" s="296"/>
      <c r="BE526" s="1"/>
      <c r="BF526" s="1"/>
      <c r="BG526" s="20"/>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row>
    <row r="527" spans="1:115" ht="15.75" customHeight="1">
      <c r="A527" s="1"/>
      <c r="B527" s="1"/>
      <c r="C527" s="1"/>
      <c r="D527" s="1"/>
      <c r="E527" s="1"/>
      <c r="F527" s="1"/>
      <c r="G527" s="1"/>
      <c r="H527" s="1"/>
      <c r="I527" s="294"/>
      <c r="J527" s="294"/>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3"/>
      <c r="AJ527" s="1"/>
      <c r="AK527" s="295"/>
      <c r="AL527" s="1"/>
      <c r="AM527" s="1"/>
      <c r="AN527" s="1"/>
      <c r="AO527" s="1"/>
      <c r="AP527" s="1"/>
      <c r="AQ527" s="1"/>
      <c r="AR527" s="1"/>
      <c r="AS527" s="1"/>
      <c r="AT527" s="1"/>
      <c r="AU527" s="1"/>
      <c r="AV527" s="1"/>
      <c r="AW527" s="1"/>
      <c r="AX527" s="1"/>
      <c r="AY527" s="1"/>
      <c r="AZ527" s="1"/>
      <c r="BA527" s="1"/>
      <c r="BB527" s="1"/>
      <c r="BC527" s="1"/>
      <c r="BD527" s="296"/>
      <c r="BE527" s="1"/>
      <c r="BF527" s="1"/>
      <c r="BG527" s="20"/>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row>
    <row r="528" spans="1:115" ht="15.75" customHeight="1">
      <c r="A528" s="1"/>
      <c r="B528" s="1"/>
      <c r="C528" s="1"/>
      <c r="D528" s="1"/>
      <c r="E528" s="1"/>
      <c r="F528" s="1"/>
      <c r="G528" s="1"/>
      <c r="H528" s="1"/>
      <c r="I528" s="294"/>
      <c r="J528" s="294"/>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3"/>
      <c r="AJ528" s="1"/>
      <c r="AK528" s="295"/>
      <c r="AL528" s="1"/>
      <c r="AM528" s="1"/>
      <c r="AN528" s="1"/>
      <c r="AO528" s="1"/>
      <c r="AP528" s="1"/>
      <c r="AQ528" s="1"/>
      <c r="AR528" s="1"/>
      <c r="AS528" s="1"/>
      <c r="AT528" s="1"/>
      <c r="AU528" s="1"/>
      <c r="AV528" s="1"/>
      <c r="AW528" s="1"/>
      <c r="AX528" s="1"/>
      <c r="AY528" s="1"/>
      <c r="AZ528" s="1"/>
      <c r="BA528" s="1"/>
      <c r="BB528" s="1"/>
      <c r="BC528" s="1"/>
      <c r="BD528" s="296"/>
      <c r="BE528" s="1"/>
      <c r="BF528" s="1"/>
      <c r="BG528" s="20"/>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row>
    <row r="529" spans="1:115" ht="15.75" customHeight="1">
      <c r="A529" s="1"/>
      <c r="B529" s="1"/>
      <c r="C529" s="1"/>
      <c r="D529" s="1"/>
      <c r="E529" s="1"/>
      <c r="F529" s="1"/>
      <c r="G529" s="1"/>
      <c r="H529" s="1"/>
      <c r="I529" s="294"/>
      <c r="J529" s="294"/>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3"/>
      <c r="AJ529" s="1"/>
      <c r="AK529" s="295"/>
      <c r="AL529" s="1"/>
      <c r="AM529" s="1"/>
      <c r="AN529" s="1"/>
      <c r="AO529" s="1"/>
      <c r="AP529" s="1"/>
      <c r="AQ529" s="1"/>
      <c r="AR529" s="1"/>
      <c r="AS529" s="1"/>
      <c r="AT529" s="1"/>
      <c r="AU529" s="1"/>
      <c r="AV529" s="1"/>
      <c r="AW529" s="1"/>
      <c r="AX529" s="1"/>
      <c r="AY529" s="1"/>
      <c r="AZ529" s="1"/>
      <c r="BA529" s="1"/>
      <c r="BB529" s="1"/>
      <c r="BC529" s="1"/>
      <c r="BD529" s="296"/>
      <c r="BE529" s="1"/>
      <c r="BF529" s="1"/>
      <c r="BG529" s="20"/>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row>
    <row r="530" spans="1:115" ht="15.75" customHeight="1">
      <c r="A530" s="1"/>
      <c r="B530" s="1"/>
      <c r="C530" s="1"/>
      <c r="D530" s="1"/>
      <c r="E530" s="1"/>
      <c r="F530" s="1"/>
      <c r="G530" s="1"/>
      <c r="H530" s="1"/>
      <c r="I530" s="294"/>
      <c r="J530" s="294"/>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3"/>
      <c r="AJ530" s="1"/>
      <c r="AK530" s="295"/>
      <c r="AL530" s="1"/>
      <c r="AM530" s="1"/>
      <c r="AN530" s="1"/>
      <c r="AO530" s="1"/>
      <c r="AP530" s="1"/>
      <c r="AQ530" s="1"/>
      <c r="AR530" s="1"/>
      <c r="AS530" s="1"/>
      <c r="AT530" s="1"/>
      <c r="AU530" s="1"/>
      <c r="AV530" s="1"/>
      <c r="AW530" s="1"/>
      <c r="AX530" s="1"/>
      <c r="AY530" s="1"/>
      <c r="AZ530" s="1"/>
      <c r="BA530" s="1"/>
      <c r="BB530" s="1"/>
      <c r="BC530" s="1"/>
      <c r="BD530" s="296"/>
      <c r="BE530" s="1"/>
      <c r="BF530" s="1"/>
      <c r="BG530" s="20"/>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row>
    <row r="531" spans="1:115" ht="15.75" customHeight="1">
      <c r="A531" s="1"/>
      <c r="B531" s="1"/>
      <c r="C531" s="1"/>
      <c r="D531" s="1"/>
      <c r="E531" s="1"/>
      <c r="F531" s="1"/>
      <c r="G531" s="1"/>
      <c r="H531" s="1"/>
      <c r="I531" s="294"/>
      <c r="J531" s="294"/>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3"/>
      <c r="AJ531" s="1"/>
      <c r="AK531" s="295"/>
      <c r="AL531" s="1"/>
      <c r="AM531" s="1"/>
      <c r="AN531" s="1"/>
      <c r="AO531" s="1"/>
      <c r="AP531" s="1"/>
      <c r="AQ531" s="1"/>
      <c r="AR531" s="1"/>
      <c r="AS531" s="1"/>
      <c r="AT531" s="1"/>
      <c r="AU531" s="1"/>
      <c r="AV531" s="1"/>
      <c r="AW531" s="1"/>
      <c r="AX531" s="1"/>
      <c r="AY531" s="1"/>
      <c r="AZ531" s="1"/>
      <c r="BA531" s="1"/>
      <c r="BB531" s="1"/>
      <c r="BC531" s="1"/>
      <c r="BD531" s="296"/>
      <c r="BE531" s="1"/>
      <c r="BF531" s="1"/>
      <c r="BG531" s="20"/>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row>
    <row r="532" spans="1:115" ht="15.75" customHeight="1">
      <c r="A532" s="1"/>
      <c r="B532" s="1"/>
      <c r="C532" s="1"/>
      <c r="D532" s="1"/>
      <c r="E532" s="1"/>
      <c r="F532" s="1"/>
      <c r="G532" s="1"/>
      <c r="H532" s="1"/>
      <c r="I532" s="294"/>
      <c r="J532" s="294"/>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3"/>
      <c r="AJ532" s="1"/>
      <c r="AK532" s="295"/>
      <c r="AL532" s="1"/>
      <c r="AM532" s="1"/>
      <c r="AN532" s="1"/>
      <c r="AO532" s="1"/>
      <c r="AP532" s="1"/>
      <c r="AQ532" s="1"/>
      <c r="AR532" s="1"/>
      <c r="AS532" s="1"/>
      <c r="AT532" s="1"/>
      <c r="AU532" s="1"/>
      <c r="AV532" s="1"/>
      <c r="AW532" s="1"/>
      <c r="AX532" s="1"/>
      <c r="AY532" s="1"/>
      <c r="AZ532" s="1"/>
      <c r="BA532" s="1"/>
      <c r="BB532" s="1"/>
      <c r="BC532" s="1"/>
      <c r="BD532" s="296"/>
      <c r="BE532" s="1"/>
      <c r="BF532" s="1"/>
      <c r="BG532" s="20"/>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row>
    <row r="533" spans="1:115" ht="15.75" customHeight="1">
      <c r="A533" s="1"/>
      <c r="B533" s="1"/>
      <c r="C533" s="1"/>
      <c r="D533" s="1"/>
      <c r="E533" s="1"/>
      <c r="F533" s="1"/>
      <c r="G533" s="1"/>
      <c r="H533" s="1"/>
      <c r="I533" s="294"/>
      <c r="J533" s="294"/>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3"/>
      <c r="AJ533" s="1"/>
      <c r="AK533" s="295"/>
      <c r="AL533" s="1"/>
      <c r="AM533" s="1"/>
      <c r="AN533" s="1"/>
      <c r="AO533" s="1"/>
      <c r="AP533" s="1"/>
      <c r="AQ533" s="1"/>
      <c r="AR533" s="1"/>
      <c r="AS533" s="1"/>
      <c r="AT533" s="1"/>
      <c r="AU533" s="1"/>
      <c r="AV533" s="1"/>
      <c r="AW533" s="1"/>
      <c r="AX533" s="1"/>
      <c r="AY533" s="1"/>
      <c r="AZ533" s="1"/>
      <c r="BA533" s="1"/>
      <c r="BB533" s="1"/>
      <c r="BC533" s="1"/>
      <c r="BD533" s="296"/>
      <c r="BE533" s="1"/>
      <c r="BF533" s="1"/>
      <c r="BG533" s="20"/>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row>
    <row r="534" spans="1:115" ht="15.75" customHeight="1">
      <c r="A534" s="1"/>
      <c r="B534" s="1"/>
      <c r="C534" s="1"/>
      <c r="D534" s="1"/>
      <c r="E534" s="1"/>
      <c r="F534" s="1"/>
      <c r="G534" s="1"/>
      <c r="H534" s="1"/>
      <c r="I534" s="294"/>
      <c r="J534" s="294"/>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3"/>
      <c r="AJ534" s="1"/>
      <c r="AK534" s="295"/>
      <c r="AL534" s="1"/>
      <c r="AM534" s="1"/>
      <c r="AN534" s="1"/>
      <c r="AO534" s="1"/>
      <c r="AP534" s="1"/>
      <c r="AQ534" s="1"/>
      <c r="AR534" s="1"/>
      <c r="AS534" s="1"/>
      <c r="AT534" s="1"/>
      <c r="AU534" s="1"/>
      <c r="AV534" s="1"/>
      <c r="AW534" s="1"/>
      <c r="AX534" s="1"/>
      <c r="AY534" s="1"/>
      <c r="AZ534" s="1"/>
      <c r="BA534" s="1"/>
      <c r="BB534" s="1"/>
      <c r="BC534" s="1"/>
      <c r="BD534" s="296"/>
      <c r="BE534" s="1"/>
      <c r="BF534" s="1"/>
      <c r="BG534" s="20"/>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row>
    <row r="535" spans="1:115" ht="15.75" customHeight="1">
      <c r="A535" s="1"/>
      <c r="B535" s="1"/>
      <c r="C535" s="1"/>
      <c r="D535" s="1"/>
      <c r="E535" s="1"/>
      <c r="F535" s="1"/>
      <c r="G535" s="1"/>
      <c r="H535" s="1"/>
      <c r="I535" s="294"/>
      <c r="J535" s="294"/>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3"/>
      <c r="AJ535" s="1"/>
      <c r="AK535" s="295"/>
      <c r="AL535" s="1"/>
      <c r="AM535" s="1"/>
      <c r="AN535" s="1"/>
      <c r="AO535" s="1"/>
      <c r="AP535" s="1"/>
      <c r="AQ535" s="1"/>
      <c r="AR535" s="1"/>
      <c r="AS535" s="1"/>
      <c r="AT535" s="1"/>
      <c r="AU535" s="1"/>
      <c r="AV535" s="1"/>
      <c r="AW535" s="1"/>
      <c r="AX535" s="1"/>
      <c r="AY535" s="1"/>
      <c r="AZ535" s="1"/>
      <c r="BA535" s="1"/>
      <c r="BB535" s="1"/>
      <c r="BC535" s="1"/>
      <c r="BD535" s="296"/>
      <c r="BE535" s="1"/>
      <c r="BF535" s="1"/>
      <c r="BG535" s="20"/>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row>
    <row r="536" spans="1:115" ht="15.75" customHeight="1">
      <c r="A536" s="1"/>
      <c r="B536" s="1"/>
      <c r="C536" s="1"/>
      <c r="D536" s="1"/>
      <c r="E536" s="1"/>
      <c r="F536" s="1"/>
      <c r="G536" s="1"/>
      <c r="H536" s="1"/>
      <c r="I536" s="294"/>
      <c r="J536" s="294"/>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3"/>
      <c r="AJ536" s="1"/>
      <c r="AK536" s="295"/>
      <c r="AL536" s="1"/>
      <c r="AM536" s="1"/>
      <c r="AN536" s="1"/>
      <c r="AO536" s="1"/>
      <c r="AP536" s="1"/>
      <c r="AQ536" s="1"/>
      <c r="AR536" s="1"/>
      <c r="AS536" s="1"/>
      <c r="AT536" s="1"/>
      <c r="AU536" s="1"/>
      <c r="AV536" s="1"/>
      <c r="AW536" s="1"/>
      <c r="AX536" s="1"/>
      <c r="AY536" s="1"/>
      <c r="AZ536" s="1"/>
      <c r="BA536" s="1"/>
      <c r="BB536" s="1"/>
      <c r="BC536" s="1"/>
      <c r="BD536" s="296"/>
      <c r="BE536" s="1"/>
      <c r="BF536" s="1"/>
      <c r="BG536" s="20"/>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row>
    <row r="537" spans="1:115" ht="15.75" customHeight="1">
      <c r="A537" s="1"/>
      <c r="B537" s="1"/>
      <c r="C537" s="1"/>
      <c r="D537" s="1"/>
      <c r="E537" s="1"/>
      <c r="F537" s="1"/>
      <c r="G537" s="1"/>
      <c r="H537" s="1"/>
      <c r="I537" s="294"/>
      <c r="J537" s="294"/>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3"/>
      <c r="AJ537" s="1"/>
      <c r="AK537" s="295"/>
      <c r="AL537" s="1"/>
      <c r="AM537" s="1"/>
      <c r="AN537" s="1"/>
      <c r="AO537" s="1"/>
      <c r="AP537" s="1"/>
      <c r="AQ537" s="1"/>
      <c r="AR537" s="1"/>
      <c r="AS537" s="1"/>
      <c r="AT537" s="1"/>
      <c r="AU537" s="1"/>
      <c r="AV537" s="1"/>
      <c r="AW537" s="1"/>
      <c r="AX537" s="1"/>
      <c r="AY537" s="1"/>
      <c r="AZ537" s="1"/>
      <c r="BA537" s="1"/>
      <c r="BB537" s="1"/>
      <c r="BC537" s="1"/>
      <c r="BD537" s="296"/>
      <c r="BE537" s="1"/>
      <c r="BF537" s="1"/>
      <c r="BG537" s="20"/>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row>
    <row r="538" spans="1:115" ht="15.75" customHeight="1">
      <c r="A538" s="1"/>
      <c r="B538" s="1"/>
      <c r="C538" s="1"/>
      <c r="D538" s="1"/>
      <c r="E538" s="1"/>
      <c r="F538" s="1"/>
      <c r="G538" s="1"/>
      <c r="H538" s="1"/>
      <c r="I538" s="294"/>
      <c r="J538" s="294"/>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3"/>
      <c r="AJ538" s="1"/>
      <c r="AK538" s="295"/>
      <c r="AL538" s="1"/>
      <c r="AM538" s="1"/>
      <c r="AN538" s="1"/>
      <c r="AO538" s="1"/>
      <c r="AP538" s="1"/>
      <c r="AQ538" s="1"/>
      <c r="AR538" s="1"/>
      <c r="AS538" s="1"/>
      <c r="AT538" s="1"/>
      <c r="AU538" s="1"/>
      <c r="AV538" s="1"/>
      <c r="AW538" s="1"/>
      <c r="AX538" s="1"/>
      <c r="AY538" s="1"/>
      <c r="AZ538" s="1"/>
      <c r="BA538" s="1"/>
      <c r="BB538" s="1"/>
      <c r="BC538" s="1"/>
      <c r="BD538" s="296"/>
      <c r="BE538" s="1"/>
      <c r="BF538" s="1"/>
      <c r="BG538" s="20"/>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row>
    <row r="539" spans="1:115" ht="15.75" customHeight="1">
      <c r="A539" s="1"/>
      <c r="B539" s="1"/>
      <c r="C539" s="1"/>
      <c r="D539" s="1"/>
      <c r="E539" s="1"/>
      <c r="F539" s="1"/>
      <c r="G539" s="1"/>
      <c r="H539" s="1"/>
      <c r="I539" s="294"/>
      <c r="J539" s="294"/>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3"/>
      <c r="AJ539" s="1"/>
      <c r="AK539" s="295"/>
      <c r="AL539" s="1"/>
      <c r="AM539" s="1"/>
      <c r="AN539" s="1"/>
      <c r="AO539" s="1"/>
      <c r="AP539" s="1"/>
      <c r="AQ539" s="1"/>
      <c r="AR539" s="1"/>
      <c r="AS539" s="1"/>
      <c r="AT539" s="1"/>
      <c r="AU539" s="1"/>
      <c r="AV539" s="1"/>
      <c r="AW539" s="1"/>
      <c r="AX539" s="1"/>
      <c r="AY539" s="1"/>
      <c r="AZ539" s="1"/>
      <c r="BA539" s="1"/>
      <c r="BB539" s="1"/>
      <c r="BC539" s="1"/>
      <c r="BD539" s="296"/>
      <c r="BE539" s="1"/>
      <c r="BF539" s="1"/>
      <c r="BG539" s="20"/>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row>
    <row r="540" spans="1:115" ht="15.75" customHeight="1">
      <c r="A540" s="1"/>
      <c r="B540" s="1"/>
      <c r="C540" s="1"/>
      <c r="D540" s="1"/>
      <c r="E540" s="1"/>
      <c r="F540" s="1"/>
      <c r="G540" s="1"/>
      <c r="H540" s="1"/>
      <c r="I540" s="294"/>
      <c r="J540" s="294"/>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3"/>
      <c r="AJ540" s="1"/>
      <c r="AK540" s="295"/>
      <c r="AL540" s="1"/>
      <c r="AM540" s="1"/>
      <c r="AN540" s="1"/>
      <c r="AO540" s="1"/>
      <c r="AP540" s="1"/>
      <c r="AQ540" s="1"/>
      <c r="AR540" s="1"/>
      <c r="AS540" s="1"/>
      <c r="AT540" s="1"/>
      <c r="AU540" s="1"/>
      <c r="AV540" s="1"/>
      <c r="AW540" s="1"/>
      <c r="AX540" s="1"/>
      <c r="AY540" s="1"/>
      <c r="AZ540" s="1"/>
      <c r="BA540" s="1"/>
      <c r="BB540" s="1"/>
      <c r="BC540" s="1"/>
      <c r="BD540" s="296"/>
      <c r="BE540" s="1"/>
      <c r="BF540" s="1"/>
      <c r="BG540" s="20"/>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row>
    <row r="541" spans="1:115" ht="15.75" customHeight="1">
      <c r="A541" s="1"/>
      <c r="B541" s="1"/>
      <c r="C541" s="1"/>
      <c r="D541" s="1"/>
      <c r="E541" s="1"/>
      <c r="F541" s="1"/>
      <c r="G541" s="1"/>
      <c r="H541" s="1"/>
      <c r="I541" s="294"/>
      <c r="J541" s="294"/>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3"/>
      <c r="AJ541" s="1"/>
      <c r="AK541" s="295"/>
      <c r="AL541" s="1"/>
      <c r="AM541" s="1"/>
      <c r="AN541" s="1"/>
      <c r="AO541" s="1"/>
      <c r="AP541" s="1"/>
      <c r="AQ541" s="1"/>
      <c r="AR541" s="1"/>
      <c r="AS541" s="1"/>
      <c r="AT541" s="1"/>
      <c r="AU541" s="1"/>
      <c r="AV541" s="1"/>
      <c r="AW541" s="1"/>
      <c r="AX541" s="1"/>
      <c r="AY541" s="1"/>
      <c r="AZ541" s="1"/>
      <c r="BA541" s="1"/>
      <c r="BB541" s="1"/>
      <c r="BC541" s="1"/>
      <c r="BD541" s="296"/>
      <c r="BE541" s="1"/>
      <c r="BF541" s="1"/>
      <c r="BG541" s="20"/>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row>
    <row r="542" spans="1:115" ht="15.75" customHeight="1">
      <c r="A542" s="1"/>
      <c r="B542" s="1"/>
      <c r="C542" s="1"/>
      <c r="D542" s="1"/>
      <c r="E542" s="1"/>
      <c r="F542" s="1"/>
      <c r="G542" s="1"/>
      <c r="H542" s="1"/>
      <c r="I542" s="294"/>
      <c r="J542" s="294"/>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3"/>
      <c r="AJ542" s="1"/>
      <c r="AK542" s="295"/>
      <c r="AL542" s="1"/>
      <c r="AM542" s="1"/>
      <c r="AN542" s="1"/>
      <c r="AO542" s="1"/>
      <c r="AP542" s="1"/>
      <c r="AQ542" s="1"/>
      <c r="AR542" s="1"/>
      <c r="AS542" s="1"/>
      <c r="AT542" s="1"/>
      <c r="AU542" s="1"/>
      <c r="AV542" s="1"/>
      <c r="AW542" s="1"/>
      <c r="AX542" s="1"/>
      <c r="AY542" s="1"/>
      <c r="AZ542" s="1"/>
      <c r="BA542" s="1"/>
      <c r="BB542" s="1"/>
      <c r="BC542" s="1"/>
      <c r="BD542" s="296"/>
      <c r="BE542" s="1"/>
      <c r="BF542" s="1"/>
      <c r="BG542" s="20"/>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row>
    <row r="543" spans="1:115" ht="15.75" customHeight="1">
      <c r="A543" s="1"/>
      <c r="B543" s="1"/>
      <c r="C543" s="1"/>
      <c r="D543" s="1"/>
      <c r="E543" s="1"/>
      <c r="F543" s="1"/>
      <c r="G543" s="1"/>
      <c r="H543" s="1"/>
      <c r="I543" s="294"/>
      <c r="J543" s="294"/>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3"/>
      <c r="AJ543" s="1"/>
      <c r="AK543" s="295"/>
      <c r="AL543" s="1"/>
      <c r="AM543" s="1"/>
      <c r="AN543" s="1"/>
      <c r="AO543" s="1"/>
      <c r="AP543" s="1"/>
      <c r="AQ543" s="1"/>
      <c r="AR543" s="1"/>
      <c r="AS543" s="1"/>
      <c r="AT543" s="1"/>
      <c r="AU543" s="1"/>
      <c r="AV543" s="1"/>
      <c r="AW543" s="1"/>
      <c r="AX543" s="1"/>
      <c r="AY543" s="1"/>
      <c r="AZ543" s="1"/>
      <c r="BA543" s="1"/>
      <c r="BB543" s="1"/>
      <c r="BC543" s="1"/>
      <c r="BD543" s="296"/>
      <c r="BE543" s="1"/>
      <c r="BF543" s="1"/>
      <c r="BG543" s="20"/>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row>
    <row r="544" spans="1:115" ht="15.75" customHeight="1">
      <c r="A544" s="1"/>
      <c r="B544" s="1"/>
      <c r="C544" s="1"/>
      <c r="D544" s="1"/>
      <c r="E544" s="1"/>
      <c r="F544" s="1"/>
      <c r="G544" s="1"/>
      <c r="H544" s="1"/>
      <c r="I544" s="294"/>
      <c r="J544" s="294"/>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3"/>
      <c r="AJ544" s="1"/>
      <c r="AK544" s="295"/>
      <c r="AL544" s="1"/>
      <c r="AM544" s="1"/>
      <c r="AN544" s="1"/>
      <c r="AO544" s="1"/>
      <c r="AP544" s="1"/>
      <c r="AQ544" s="1"/>
      <c r="AR544" s="1"/>
      <c r="AS544" s="1"/>
      <c r="AT544" s="1"/>
      <c r="AU544" s="1"/>
      <c r="AV544" s="1"/>
      <c r="AW544" s="1"/>
      <c r="AX544" s="1"/>
      <c r="AY544" s="1"/>
      <c r="AZ544" s="1"/>
      <c r="BA544" s="1"/>
      <c r="BB544" s="1"/>
      <c r="BC544" s="1"/>
      <c r="BD544" s="296"/>
      <c r="BE544" s="1"/>
      <c r="BF544" s="1"/>
      <c r="BG544" s="20"/>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row>
    <row r="545" spans="1:115" ht="15.75" customHeight="1">
      <c r="A545" s="1"/>
      <c r="B545" s="1"/>
      <c r="C545" s="1"/>
      <c r="D545" s="1"/>
      <c r="E545" s="1"/>
      <c r="F545" s="1"/>
      <c r="G545" s="1"/>
      <c r="H545" s="1"/>
      <c r="I545" s="294"/>
      <c r="J545" s="294"/>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3"/>
      <c r="AJ545" s="1"/>
      <c r="AK545" s="295"/>
      <c r="AL545" s="1"/>
      <c r="AM545" s="1"/>
      <c r="AN545" s="1"/>
      <c r="AO545" s="1"/>
      <c r="AP545" s="1"/>
      <c r="AQ545" s="1"/>
      <c r="AR545" s="1"/>
      <c r="AS545" s="1"/>
      <c r="AT545" s="1"/>
      <c r="AU545" s="1"/>
      <c r="AV545" s="1"/>
      <c r="AW545" s="1"/>
      <c r="AX545" s="1"/>
      <c r="AY545" s="1"/>
      <c r="AZ545" s="1"/>
      <c r="BA545" s="1"/>
      <c r="BB545" s="1"/>
      <c r="BC545" s="1"/>
      <c r="BD545" s="296"/>
      <c r="BE545" s="1"/>
      <c r="BF545" s="1"/>
      <c r="BG545" s="20"/>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row>
    <row r="546" spans="1:115" ht="15.75" customHeight="1">
      <c r="A546" s="1"/>
      <c r="B546" s="1"/>
      <c r="C546" s="1"/>
      <c r="D546" s="1"/>
      <c r="E546" s="1"/>
      <c r="F546" s="1"/>
      <c r="G546" s="1"/>
      <c r="H546" s="1"/>
      <c r="I546" s="294"/>
      <c r="J546" s="294"/>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3"/>
      <c r="AJ546" s="1"/>
      <c r="AK546" s="295"/>
      <c r="AL546" s="1"/>
      <c r="AM546" s="1"/>
      <c r="AN546" s="1"/>
      <c r="AO546" s="1"/>
      <c r="AP546" s="1"/>
      <c r="AQ546" s="1"/>
      <c r="AR546" s="1"/>
      <c r="AS546" s="1"/>
      <c r="AT546" s="1"/>
      <c r="AU546" s="1"/>
      <c r="AV546" s="1"/>
      <c r="AW546" s="1"/>
      <c r="AX546" s="1"/>
      <c r="AY546" s="1"/>
      <c r="AZ546" s="1"/>
      <c r="BA546" s="1"/>
      <c r="BB546" s="1"/>
      <c r="BC546" s="1"/>
      <c r="BD546" s="296"/>
      <c r="BE546" s="1"/>
      <c r="BF546" s="1"/>
      <c r="BG546" s="20"/>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row>
    <row r="547" spans="1:115" ht="15.75" customHeight="1">
      <c r="A547" s="1"/>
      <c r="B547" s="1"/>
      <c r="C547" s="1"/>
      <c r="D547" s="1"/>
      <c r="E547" s="1"/>
      <c r="F547" s="1"/>
      <c r="G547" s="1"/>
      <c r="H547" s="1"/>
      <c r="I547" s="294"/>
      <c r="J547" s="294"/>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3"/>
      <c r="AJ547" s="1"/>
      <c r="AK547" s="295"/>
      <c r="AL547" s="1"/>
      <c r="AM547" s="1"/>
      <c r="AN547" s="1"/>
      <c r="AO547" s="1"/>
      <c r="AP547" s="1"/>
      <c r="AQ547" s="1"/>
      <c r="AR547" s="1"/>
      <c r="AS547" s="1"/>
      <c r="AT547" s="1"/>
      <c r="AU547" s="1"/>
      <c r="AV547" s="1"/>
      <c r="AW547" s="1"/>
      <c r="AX547" s="1"/>
      <c r="AY547" s="1"/>
      <c r="AZ547" s="1"/>
      <c r="BA547" s="1"/>
      <c r="BB547" s="1"/>
      <c r="BC547" s="1"/>
      <c r="BD547" s="296"/>
      <c r="BE547" s="1"/>
      <c r="BF547" s="1"/>
      <c r="BG547" s="20"/>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row>
    <row r="548" spans="1:115" ht="15.75" customHeight="1">
      <c r="A548" s="1"/>
      <c r="B548" s="1"/>
      <c r="C548" s="1"/>
      <c r="D548" s="1"/>
      <c r="E548" s="1"/>
      <c r="F548" s="1"/>
      <c r="G548" s="1"/>
      <c r="H548" s="1"/>
      <c r="I548" s="294"/>
      <c r="J548" s="294"/>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3"/>
      <c r="AJ548" s="1"/>
      <c r="AK548" s="295"/>
      <c r="AL548" s="1"/>
      <c r="AM548" s="1"/>
      <c r="AN548" s="1"/>
      <c r="AO548" s="1"/>
      <c r="AP548" s="1"/>
      <c r="AQ548" s="1"/>
      <c r="AR548" s="1"/>
      <c r="AS548" s="1"/>
      <c r="AT548" s="1"/>
      <c r="AU548" s="1"/>
      <c r="AV548" s="1"/>
      <c r="AW548" s="1"/>
      <c r="AX548" s="1"/>
      <c r="AY548" s="1"/>
      <c r="AZ548" s="1"/>
      <c r="BA548" s="1"/>
      <c r="BB548" s="1"/>
      <c r="BC548" s="1"/>
      <c r="BD548" s="296"/>
      <c r="BE548" s="1"/>
      <c r="BF548" s="1"/>
      <c r="BG548" s="20"/>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row>
    <row r="549" spans="1:115" ht="15.75" customHeight="1">
      <c r="A549" s="1"/>
      <c r="B549" s="1"/>
      <c r="C549" s="1"/>
      <c r="D549" s="1"/>
      <c r="E549" s="1"/>
      <c r="F549" s="1"/>
      <c r="G549" s="1"/>
      <c r="H549" s="1"/>
      <c r="I549" s="294"/>
      <c r="J549" s="294"/>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3"/>
      <c r="AJ549" s="1"/>
      <c r="AK549" s="295"/>
      <c r="AL549" s="1"/>
      <c r="AM549" s="1"/>
      <c r="AN549" s="1"/>
      <c r="AO549" s="1"/>
      <c r="AP549" s="1"/>
      <c r="AQ549" s="1"/>
      <c r="AR549" s="1"/>
      <c r="AS549" s="1"/>
      <c r="AT549" s="1"/>
      <c r="AU549" s="1"/>
      <c r="AV549" s="1"/>
      <c r="AW549" s="1"/>
      <c r="AX549" s="1"/>
      <c r="AY549" s="1"/>
      <c r="AZ549" s="1"/>
      <c r="BA549" s="1"/>
      <c r="BB549" s="1"/>
      <c r="BC549" s="1"/>
      <c r="BD549" s="296"/>
      <c r="BE549" s="1"/>
      <c r="BF549" s="1"/>
      <c r="BG549" s="20"/>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row>
    <row r="550" spans="1:115" ht="15.75" customHeight="1">
      <c r="A550" s="1"/>
      <c r="B550" s="1"/>
      <c r="C550" s="1"/>
      <c r="D550" s="1"/>
      <c r="E550" s="1"/>
      <c r="F550" s="1"/>
      <c r="G550" s="1"/>
      <c r="H550" s="1"/>
      <c r="I550" s="294"/>
      <c r="J550" s="294"/>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3"/>
      <c r="AJ550" s="1"/>
      <c r="AK550" s="295"/>
      <c r="AL550" s="1"/>
      <c r="AM550" s="1"/>
      <c r="AN550" s="1"/>
      <c r="AO550" s="1"/>
      <c r="AP550" s="1"/>
      <c r="AQ550" s="1"/>
      <c r="AR550" s="1"/>
      <c r="AS550" s="1"/>
      <c r="AT550" s="1"/>
      <c r="AU550" s="1"/>
      <c r="AV550" s="1"/>
      <c r="AW550" s="1"/>
      <c r="AX550" s="1"/>
      <c r="AY550" s="1"/>
      <c r="AZ550" s="1"/>
      <c r="BA550" s="1"/>
      <c r="BB550" s="1"/>
      <c r="BC550" s="1"/>
      <c r="BD550" s="296"/>
      <c r="BE550" s="1"/>
      <c r="BF550" s="1"/>
      <c r="BG550" s="20"/>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row>
    <row r="551" spans="1:115" ht="15.75" customHeight="1">
      <c r="A551" s="1"/>
      <c r="B551" s="1"/>
      <c r="C551" s="1"/>
      <c r="D551" s="1"/>
      <c r="E551" s="1"/>
      <c r="F551" s="1"/>
      <c r="G551" s="1"/>
      <c r="H551" s="1"/>
      <c r="I551" s="294"/>
      <c r="J551" s="294"/>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3"/>
      <c r="AJ551" s="1"/>
      <c r="AK551" s="295"/>
      <c r="AL551" s="1"/>
      <c r="AM551" s="1"/>
      <c r="AN551" s="1"/>
      <c r="AO551" s="1"/>
      <c r="AP551" s="1"/>
      <c r="AQ551" s="1"/>
      <c r="AR551" s="1"/>
      <c r="AS551" s="1"/>
      <c r="AT551" s="1"/>
      <c r="AU551" s="1"/>
      <c r="AV551" s="1"/>
      <c r="AW551" s="1"/>
      <c r="AX551" s="1"/>
      <c r="AY551" s="1"/>
      <c r="AZ551" s="1"/>
      <c r="BA551" s="1"/>
      <c r="BB551" s="1"/>
      <c r="BC551" s="1"/>
      <c r="BD551" s="296"/>
      <c r="BE551" s="1"/>
      <c r="BF551" s="1"/>
      <c r="BG551" s="20"/>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row>
    <row r="552" spans="1:115" ht="15.75" customHeight="1">
      <c r="A552" s="1"/>
      <c r="B552" s="1"/>
      <c r="C552" s="1"/>
      <c r="D552" s="1"/>
      <c r="E552" s="1"/>
      <c r="F552" s="1"/>
      <c r="G552" s="1"/>
      <c r="H552" s="1"/>
      <c r="I552" s="294"/>
      <c r="J552" s="294"/>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3"/>
      <c r="AJ552" s="1"/>
      <c r="AK552" s="295"/>
      <c r="AL552" s="1"/>
      <c r="AM552" s="1"/>
      <c r="AN552" s="1"/>
      <c r="AO552" s="1"/>
      <c r="AP552" s="1"/>
      <c r="AQ552" s="1"/>
      <c r="AR552" s="1"/>
      <c r="AS552" s="1"/>
      <c r="AT552" s="1"/>
      <c r="AU552" s="1"/>
      <c r="AV552" s="1"/>
      <c r="AW552" s="1"/>
      <c r="AX552" s="1"/>
      <c r="AY552" s="1"/>
      <c r="AZ552" s="1"/>
      <c r="BA552" s="1"/>
      <c r="BB552" s="1"/>
      <c r="BC552" s="1"/>
      <c r="BD552" s="296"/>
      <c r="BE552" s="1"/>
      <c r="BF552" s="1"/>
      <c r="BG552" s="20"/>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row>
    <row r="553" spans="1:115" ht="15.75" customHeight="1">
      <c r="A553" s="1"/>
      <c r="B553" s="1"/>
      <c r="C553" s="1"/>
      <c r="D553" s="1"/>
      <c r="E553" s="1"/>
      <c r="F553" s="1"/>
      <c r="G553" s="1"/>
      <c r="H553" s="1"/>
      <c r="I553" s="294"/>
      <c r="J553" s="294"/>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3"/>
      <c r="AJ553" s="1"/>
      <c r="AK553" s="295"/>
      <c r="AL553" s="1"/>
      <c r="AM553" s="1"/>
      <c r="AN553" s="1"/>
      <c r="AO553" s="1"/>
      <c r="AP553" s="1"/>
      <c r="AQ553" s="1"/>
      <c r="AR553" s="1"/>
      <c r="AS553" s="1"/>
      <c r="AT553" s="1"/>
      <c r="AU553" s="1"/>
      <c r="AV553" s="1"/>
      <c r="AW553" s="1"/>
      <c r="AX553" s="1"/>
      <c r="AY553" s="1"/>
      <c r="AZ553" s="1"/>
      <c r="BA553" s="1"/>
      <c r="BB553" s="1"/>
      <c r="BC553" s="1"/>
      <c r="BD553" s="296"/>
      <c r="BE553" s="1"/>
      <c r="BF553" s="1"/>
      <c r="BG553" s="20"/>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row>
    <row r="554" spans="1:115" ht="15.75" customHeight="1">
      <c r="A554" s="1"/>
      <c r="B554" s="1"/>
      <c r="C554" s="1"/>
      <c r="D554" s="1"/>
      <c r="E554" s="1"/>
      <c r="F554" s="1"/>
      <c r="G554" s="1"/>
      <c r="H554" s="1"/>
      <c r="I554" s="294"/>
      <c r="J554" s="294"/>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3"/>
      <c r="AJ554" s="1"/>
      <c r="AK554" s="295"/>
      <c r="AL554" s="1"/>
      <c r="AM554" s="1"/>
      <c r="AN554" s="1"/>
      <c r="AO554" s="1"/>
      <c r="AP554" s="1"/>
      <c r="AQ554" s="1"/>
      <c r="AR554" s="1"/>
      <c r="AS554" s="1"/>
      <c r="AT554" s="1"/>
      <c r="AU554" s="1"/>
      <c r="AV554" s="1"/>
      <c r="AW554" s="1"/>
      <c r="AX554" s="1"/>
      <c r="AY554" s="1"/>
      <c r="AZ554" s="1"/>
      <c r="BA554" s="1"/>
      <c r="BB554" s="1"/>
      <c r="BC554" s="1"/>
      <c r="BD554" s="296"/>
      <c r="BE554" s="1"/>
      <c r="BF554" s="1"/>
      <c r="BG554" s="20"/>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row>
    <row r="555" spans="1:115" ht="15.75" customHeight="1">
      <c r="A555" s="1"/>
      <c r="B555" s="1"/>
      <c r="C555" s="1"/>
      <c r="D555" s="1"/>
      <c r="E555" s="1"/>
      <c r="F555" s="1"/>
      <c r="G555" s="1"/>
      <c r="H555" s="1"/>
      <c r="I555" s="294"/>
      <c r="J555" s="294"/>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3"/>
      <c r="AJ555" s="1"/>
      <c r="AK555" s="295"/>
      <c r="AL555" s="1"/>
      <c r="AM555" s="1"/>
      <c r="AN555" s="1"/>
      <c r="AO555" s="1"/>
      <c r="AP555" s="1"/>
      <c r="AQ555" s="1"/>
      <c r="AR555" s="1"/>
      <c r="AS555" s="1"/>
      <c r="AT555" s="1"/>
      <c r="AU555" s="1"/>
      <c r="AV555" s="1"/>
      <c r="AW555" s="1"/>
      <c r="AX555" s="1"/>
      <c r="AY555" s="1"/>
      <c r="AZ555" s="1"/>
      <c r="BA555" s="1"/>
      <c r="BB555" s="1"/>
      <c r="BC555" s="1"/>
      <c r="BD555" s="296"/>
      <c r="BE555" s="1"/>
      <c r="BF555" s="1"/>
      <c r="BG555" s="20"/>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row>
    <row r="556" spans="1:115" ht="15.75" customHeight="1">
      <c r="A556" s="1"/>
      <c r="B556" s="1"/>
      <c r="C556" s="1"/>
      <c r="D556" s="1"/>
      <c r="E556" s="1"/>
      <c r="F556" s="1"/>
      <c r="G556" s="1"/>
      <c r="H556" s="1"/>
      <c r="I556" s="294"/>
      <c r="J556" s="294"/>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3"/>
      <c r="AJ556" s="1"/>
      <c r="AK556" s="295"/>
      <c r="AL556" s="1"/>
      <c r="AM556" s="1"/>
      <c r="AN556" s="1"/>
      <c r="AO556" s="1"/>
      <c r="AP556" s="1"/>
      <c r="AQ556" s="1"/>
      <c r="AR556" s="1"/>
      <c r="AS556" s="1"/>
      <c r="AT556" s="1"/>
      <c r="AU556" s="1"/>
      <c r="AV556" s="1"/>
      <c r="AW556" s="1"/>
      <c r="AX556" s="1"/>
      <c r="AY556" s="1"/>
      <c r="AZ556" s="1"/>
      <c r="BA556" s="1"/>
      <c r="BB556" s="1"/>
      <c r="BC556" s="1"/>
      <c r="BD556" s="296"/>
      <c r="BE556" s="1"/>
      <c r="BF556" s="1"/>
      <c r="BG556" s="20"/>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row>
    <row r="557" spans="1:115" ht="15.75" customHeight="1">
      <c r="A557" s="1"/>
      <c r="B557" s="1"/>
      <c r="C557" s="1"/>
      <c r="D557" s="1"/>
      <c r="E557" s="1"/>
      <c r="F557" s="1"/>
      <c r="G557" s="1"/>
      <c r="H557" s="1"/>
      <c r="I557" s="294"/>
      <c r="J557" s="294"/>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3"/>
      <c r="AJ557" s="1"/>
      <c r="AK557" s="295"/>
      <c r="AL557" s="1"/>
      <c r="AM557" s="1"/>
      <c r="AN557" s="1"/>
      <c r="AO557" s="1"/>
      <c r="AP557" s="1"/>
      <c r="AQ557" s="1"/>
      <c r="AR557" s="1"/>
      <c r="AS557" s="1"/>
      <c r="AT557" s="1"/>
      <c r="AU557" s="1"/>
      <c r="AV557" s="1"/>
      <c r="AW557" s="1"/>
      <c r="AX557" s="1"/>
      <c r="AY557" s="1"/>
      <c r="AZ557" s="1"/>
      <c r="BA557" s="1"/>
      <c r="BB557" s="1"/>
      <c r="BC557" s="1"/>
      <c r="BD557" s="296"/>
      <c r="BE557" s="1"/>
      <c r="BF557" s="1"/>
      <c r="BG557" s="20"/>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row>
    <row r="558" spans="1:115" ht="15.75" customHeight="1">
      <c r="A558" s="1"/>
      <c r="B558" s="1"/>
      <c r="C558" s="1"/>
      <c r="D558" s="1"/>
      <c r="E558" s="1"/>
      <c r="F558" s="1"/>
      <c r="G558" s="1"/>
      <c r="H558" s="1"/>
      <c r="I558" s="294"/>
      <c r="J558" s="294"/>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3"/>
      <c r="AJ558" s="1"/>
      <c r="AK558" s="295"/>
      <c r="AL558" s="1"/>
      <c r="AM558" s="1"/>
      <c r="AN558" s="1"/>
      <c r="AO558" s="1"/>
      <c r="AP558" s="1"/>
      <c r="AQ558" s="1"/>
      <c r="AR558" s="1"/>
      <c r="AS558" s="1"/>
      <c r="AT558" s="1"/>
      <c r="AU558" s="1"/>
      <c r="AV558" s="1"/>
      <c r="AW558" s="1"/>
      <c r="AX558" s="1"/>
      <c r="AY558" s="1"/>
      <c r="AZ558" s="1"/>
      <c r="BA558" s="1"/>
      <c r="BB558" s="1"/>
      <c r="BC558" s="1"/>
      <c r="BD558" s="296"/>
      <c r="BE558" s="1"/>
      <c r="BF558" s="1"/>
      <c r="BG558" s="20"/>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row>
    <row r="559" spans="1:115" ht="15.75" customHeight="1">
      <c r="A559" s="1"/>
      <c r="B559" s="1"/>
      <c r="C559" s="1"/>
      <c r="D559" s="1"/>
      <c r="E559" s="1"/>
      <c r="F559" s="1"/>
      <c r="G559" s="1"/>
      <c r="H559" s="1"/>
      <c r="I559" s="294"/>
      <c r="J559" s="294"/>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3"/>
      <c r="AJ559" s="1"/>
      <c r="AK559" s="295"/>
      <c r="AL559" s="1"/>
      <c r="AM559" s="1"/>
      <c r="AN559" s="1"/>
      <c r="AO559" s="1"/>
      <c r="AP559" s="1"/>
      <c r="AQ559" s="1"/>
      <c r="AR559" s="1"/>
      <c r="AS559" s="1"/>
      <c r="AT559" s="1"/>
      <c r="AU559" s="1"/>
      <c r="AV559" s="1"/>
      <c r="AW559" s="1"/>
      <c r="AX559" s="1"/>
      <c r="AY559" s="1"/>
      <c r="AZ559" s="1"/>
      <c r="BA559" s="1"/>
      <c r="BB559" s="1"/>
      <c r="BC559" s="1"/>
      <c r="BD559" s="296"/>
      <c r="BE559" s="1"/>
      <c r="BF559" s="1"/>
      <c r="BG559" s="20"/>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row>
    <row r="560" spans="1:115" ht="15.75" customHeight="1">
      <c r="A560" s="1"/>
      <c r="B560" s="1"/>
      <c r="C560" s="1"/>
      <c r="D560" s="1"/>
      <c r="E560" s="1"/>
      <c r="F560" s="1"/>
      <c r="G560" s="1"/>
      <c r="H560" s="1"/>
      <c r="I560" s="294"/>
      <c r="J560" s="294"/>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3"/>
      <c r="AJ560" s="1"/>
      <c r="AK560" s="295"/>
      <c r="AL560" s="1"/>
      <c r="AM560" s="1"/>
      <c r="AN560" s="1"/>
      <c r="AO560" s="1"/>
      <c r="AP560" s="1"/>
      <c r="AQ560" s="1"/>
      <c r="AR560" s="1"/>
      <c r="AS560" s="1"/>
      <c r="AT560" s="1"/>
      <c r="AU560" s="1"/>
      <c r="AV560" s="1"/>
      <c r="AW560" s="1"/>
      <c r="AX560" s="1"/>
      <c r="AY560" s="1"/>
      <c r="AZ560" s="1"/>
      <c r="BA560" s="1"/>
      <c r="BB560" s="1"/>
      <c r="BC560" s="1"/>
      <c r="BD560" s="296"/>
      <c r="BE560" s="1"/>
      <c r="BF560" s="1"/>
      <c r="BG560" s="20"/>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row>
    <row r="561" spans="1:115" ht="15.75" customHeight="1">
      <c r="A561" s="1"/>
      <c r="B561" s="1"/>
      <c r="C561" s="1"/>
      <c r="D561" s="1"/>
      <c r="E561" s="1"/>
      <c r="F561" s="1"/>
      <c r="G561" s="1"/>
      <c r="H561" s="1"/>
      <c r="I561" s="294"/>
      <c r="J561" s="294"/>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3"/>
      <c r="AJ561" s="1"/>
      <c r="AK561" s="295"/>
      <c r="AL561" s="1"/>
      <c r="AM561" s="1"/>
      <c r="AN561" s="1"/>
      <c r="AO561" s="1"/>
      <c r="AP561" s="1"/>
      <c r="AQ561" s="1"/>
      <c r="AR561" s="1"/>
      <c r="AS561" s="1"/>
      <c r="AT561" s="1"/>
      <c r="AU561" s="1"/>
      <c r="AV561" s="1"/>
      <c r="AW561" s="1"/>
      <c r="AX561" s="1"/>
      <c r="AY561" s="1"/>
      <c r="AZ561" s="1"/>
      <c r="BA561" s="1"/>
      <c r="BB561" s="1"/>
      <c r="BC561" s="1"/>
      <c r="BD561" s="296"/>
      <c r="BE561" s="1"/>
      <c r="BF561" s="1"/>
      <c r="BG561" s="20"/>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row>
    <row r="562" spans="1:115" ht="15.75" customHeight="1">
      <c r="A562" s="1"/>
      <c r="B562" s="1"/>
      <c r="C562" s="1"/>
      <c r="D562" s="1"/>
      <c r="E562" s="1"/>
      <c r="F562" s="1"/>
      <c r="G562" s="1"/>
      <c r="H562" s="1"/>
      <c r="I562" s="294"/>
      <c r="J562" s="294"/>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3"/>
      <c r="AJ562" s="1"/>
      <c r="AK562" s="295"/>
      <c r="AL562" s="1"/>
      <c r="AM562" s="1"/>
      <c r="AN562" s="1"/>
      <c r="AO562" s="1"/>
      <c r="AP562" s="1"/>
      <c r="AQ562" s="1"/>
      <c r="AR562" s="1"/>
      <c r="AS562" s="1"/>
      <c r="AT562" s="1"/>
      <c r="AU562" s="1"/>
      <c r="AV562" s="1"/>
      <c r="AW562" s="1"/>
      <c r="AX562" s="1"/>
      <c r="AY562" s="1"/>
      <c r="AZ562" s="1"/>
      <c r="BA562" s="1"/>
      <c r="BB562" s="1"/>
      <c r="BC562" s="1"/>
      <c r="BD562" s="296"/>
      <c r="BE562" s="1"/>
      <c r="BF562" s="1"/>
      <c r="BG562" s="20"/>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row>
    <row r="563" spans="1:115" ht="15.75" customHeight="1">
      <c r="A563" s="1"/>
      <c r="B563" s="1"/>
      <c r="C563" s="1"/>
      <c r="D563" s="1"/>
      <c r="E563" s="1"/>
      <c r="F563" s="1"/>
      <c r="G563" s="1"/>
      <c r="H563" s="1"/>
      <c r="I563" s="294"/>
      <c r="J563" s="294"/>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3"/>
      <c r="AJ563" s="1"/>
      <c r="AK563" s="295"/>
      <c r="AL563" s="1"/>
      <c r="AM563" s="1"/>
      <c r="AN563" s="1"/>
      <c r="AO563" s="1"/>
      <c r="AP563" s="1"/>
      <c r="AQ563" s="1"/>
      <c r="AR563" s="1"/>
      <c r="AS563" s="1"/>
      <c r="AT563" s="1"/>
      <c r="AU563" s="1"/>
      <c r="AV563" s="1"/>
      <c r="AW563" s="1"/>
      <c r="AX563" s="1"/>
      <c r="AY563" s="1"/>
      <c r="AZ563" s="1"/>
      <c r="BA563" s="1"/>
      <c r="BB563" s="1"/>
      <c r="BC563" s="1"/>
      <c r="BD563" s="296"/>
      <c r="BE563" s="1"/>
      <c r="BF563" s="1"/>
      <c r="BG563" s="20"/>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row>
    <row r="564" spans="1:115" ht="15.75" customHeight="1">
      <c r="A564" s="1"/>
      <c r="B564" s="1"/>
      <c r="C564" s="1"/>
      <c r="D564" s="1"/>
      <c r="E564" s="1"/>
      <c r="F564" s="1"/>
      <c r="G564" s="1"/>
      <c r="H564" s="1"/>
      <c r="I564" s="294"/>
      <c r="J564" s="294"/>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3"/>
      <c r="AJ564" s="1"/>
      <c r="AK564" s="295"/>
      <c r="AL564" s="1"/>
      <c r="AM564" s="1"/>
      <c r="AN564" s="1"/>
      <c r="AO564" s="1"/>
      <c r="AP564" s="1"/>
      <c r="AQ564" s="1"/>
      <c r="AR564" s="1"/>
      <c r="AS564" s="1"/>
      <c r="AT564" s="1"/>
      <c r="AU564" s="1"/>
      <c r="AV564" s="1"/>
      <c r="AW564" s="1"/>
      <c r="AX564" s="1"/>
      <c r="AY564" s="1"/>
      <c r="AZ564" s="1"/>
      <c r="BA564" s="1"/>
      <c r="BB564" s="1"/>
      <c r="BC564" s="1"/>
      <c r="BD564" s="296"/>
      <c r="BE564" s="1"/>
      <c r="BF564" s="1"/>
      <c r="BG564" s="20"/>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row>
    <row r="565" spans="1:115" ht="15.75" customHeight="1">
      <c r="A565" s="1"/>
      <c r="B565" s="1"/>
      <c r="C565" s="1"/>
      <c r="D565" s="1"/>
      <c r="E565" s="1"/>
      <c r="F565" s="1"/>
      <c r="G565" s="1"/>
      <c r="H565" s="1"/>
      <c r="I565" s="294"/>
      <c r="J565" s="294"/>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3"/>
      <c r="AJ565" s="1"/>
      <c r="AK565" s="295"/>
      <c r="AL565" s="1"/>
      <c r="AM565" s="1"/>
      <c r="AN565" s="1"/>
      <c r="AO565" s="1"/>
      <c r="AP565" s="1"/>
      <c r="AQ565" s="1"/>
      <c r="AR565" s="1"/>
      <c r="AS565" s="1"/>
      <c r="AT565" s="1"/>
      <c r="AU565" s="1"/>
      <c r="AV565" s="1"/>
      <c r="AW565" s="1"/>
      <c r="AX565" s="1"/>
      <c r="AY565" s="1"/>
      <c r="AZ565" s="1"/>
      <c r="BA565" s="1"/>
      <c r="BB565" s="1"/>
      <c r="BC565" s="1"/>
      <c r="BD565" s="296"/>
      <c r="BE565" s="1"/>
      <c r="BF565" s="1"/>
      <c r="BG565" s="20"/>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row>
    <row r="566" spans="1:115" ht="15.75" customHeight="1">
      <c r="A566" s="1"/>
      <c r="B566" s="1"/>
      <c r="C566" s="1"/>
      <c r="D566" s="1"/>
      <c r="E566" s="1"/>
      <c r="F566" s="1"/>
      <c r="G566" s="1"/>
      <c r="H566" s="1"/>
      <c r="I566" s="294"/>
      <c r="J566" s="294"/>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3"/>
      <c r="AJ566" s="1"/>
      <c r="AK566" s="295"/>
      <c r="AL566" s="1"/>
      <c r="AM566" s="1"/>
      <c r="AN566" s="1"/>
      <c r="AO566" s="1"/>
      <c r="AP566" s="1"/>
      <c r="AQ566" s="1"/>
      <c r="AR566" s="1"/>
      <c r="AS566" s="1"/>
      <c r="AT566" s="1"/>
      <c r="AU566" s="1"/>
      <c r="AV566" s="1"/>
      <c r="AW566" s="1"/>
      <c r="AX566" s="1"/>
      <c r="AY566" s="1"/>
      <c r="AZ566" s="1"/>
      <c r="BA566" s="1"/>
      <c r="BB566" s="1"/>
      <c r="BC566" s="1"/>
      <c r="BD566" s="296"/>
      <c r="BE566" s="1"/>
      <c r="BF566" s="1"/>
      <c r="BG566" s="20"/>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row>
    <row r="567" spans="1:115" ht="15.75" customHeight="1">
      <c r="A567" s="1"/>
      <c r="B567" s="1"/>
      <c r="C567" s="1"/>
      <c r="D567" s="1"/>
      <c r="E567" s="1"/>
      <c r="F567" s="1"/>
      <c r="G567" s="1"/>
      <c r="H567" s="1"/>
      <c r="I567" s="294"/>
      <c r="J567" s="294"/>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3"/>
      <c r="AJ567" s="1"/>
      <c r="AK567" s="295"/>
      <c r="AL567" s="1"/>
      <c r="AM567" s="1"/>
      <c r="AN567" s="1"/>
      <c r="AO567" s="1"/>
      <c r="AP567" s="1"/>
      <c r="AQ567" s="1"/>
      <c r="AR567" s="1"/>
      <c r="AS567" s="1"/>
      <c r="AT567" s="1"/>
      <c r="AU567" s="1"/>
      <c r="AV567" s="1"/>
      <c r="AW567" s="1"/>
      <c r="AX567" s="1"/>
      <c r="AY567" s="1"/>
      <c r="AZ567" s="1"/>
      <c r="BA567" s="1"/>
      <c r="BB567" s="1"/>
      <c r="BC567" s="1"/>
      <c r="BD567" s="296"/>
      <c r="BE567" s="1"/>
      <c r="BF567" s="1"/>
      <c r="BG567" s="20"/>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row>
    <row r="568" spans="1:115" ht="15.75" customHeight="1">
      <c r="A568" s="1"/>
      <c r="B568" s="1"/>
      <c r="C568" s="1"/>
      <c r="D568" s="1"/>
      <c r="E568" s="1"/>
      <c r="F568" s="1"/>
      <c r="G568" s="1"/>
      <c r="H568" s="1"/>
      <c r="I568" s="294"/>
      <c r="J568" s="294"/>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3"/>
      <c r="AJ568" s="1"/>
      <c r="AK568" s="295"/>
      <c r="AL568" s="1"/>
      <c r="AM568" s="1"/>
      <c r="AN568" s="1"/>
      <c r="AO568" s="1"/>
      <c r="AP568" s="1"/>
      <c r="AQ568" s="1"/>
      <c r="AR568" s="1"/>
      <c r="AS568" s="1"/>
      <c r="AT568" s="1"/>
      <c r="AU568" s="1"/>
      <c r="AV568" s="1"/>
      <c r="AW568" s="1"/>
      <c r="AX568" s="1"/>
      <c r="AY568" s="1"/>
      <c r="AZ568" s="1"/>
      <c r="BA568" s="1"/>
      <c r="BB568" s="1"/>
      <c r="BC568" s="1"/>
      <c r="BD568" s="296"/>
      <c r="BE568" s="1"/>
      <c r="BF568" s="1"/>
      <c r="BG568" s="20"/>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row>
    <row r="569" spans="1:115" ht="15.75" customHeight="1">
      <c r="A569" s="1"/>
      <c r="B569" s="1"/>
      <c r="C569" s="1"/>
      <c r="D569" s="1"/>
      <c r="E569" s="1"/>
      <c r="F569" s="1"/>
      <c r="G569" s="1"/>
      <c r="H569" s="1"/>
      <c r="I569" s="294"/>
      <c r="J569" s="294"/>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3"/>
      <c r="AJ569" s="1"/>
      <c r="AK569" s="295"/>
      <c r="AL569" s="1"/>
      <c r="AM569" s="1"/>
      <c r="AN569" s="1"/>
      <c r="AO569" s="1"/>
      <c r="AP569" s="1"/>
      <c r="AQ569" s="1"/>
      <c r="AR569" s="1"/>
      <c r="AS569" s="1"/>
      <c r="AT569" s="1"/>
      <c r="AU569" s="1"/>
      <c r="AV569" s="1"/>
      <c r="AW569" s="1"/>
      <c r="AX569" s="1"/>
      <c r="AY569" s="1"/>
      <c r="AZ569" s="1"/>
      <c r="BA569" s="1"/>
      <c r="BB569" s="1"/>
      <c r="BC569" s="1"/>
      <c r="BD569" s="296"/>
      <c r="BE569" s="1"/>
      <c r="BF569" s="1"/>
      <c r="BG569" s="20"/>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row>
    <row r="570" spans="1:115" ht="15.75" customHeight="1">
      <c r="A570" s="1"/>
      <c r="B570" s="1"/>
      <c r="C570" s="1"/>
      <c r="D570" s="1"/>
      <c r="E570" s="1"/>
      <c r="F570" s="1"/>
      <c r="G570" s="1"/>
      <c r="H570" s="1"/>
      <c r="I570" s="294"/>
      <c r="J570" s="294"/>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3"/>
      <c r="AJ570" s="1"/>
      <c r="AK570" s="295"/>
      <c r="AL570" s="1"/>
      <c r="AM570" s="1"/>
      <c r="AN570" s="1"/>
      <c r="AO570" s="1"/>
      <c r="AP570" s="1"/>
      <c r="AQ570" s="1"/>
      <c r="AR570" s="1"/>
      <c r="AS570" s="1"/>
      <c r="AT570" s="1"/>
      <c r="AU570" s="1"/>
      <c r="AV570" s="1"/>
      <c r="AW570" s="1"/>
      <c r="AX570" s="1"/>
      <c r="AY570" s="1"/>
      <c r="AZ570" s="1"/>
      <c r="BA570" s="1"/>
      <c r="BB570" s="1"/>
      <c r="BC570" s="1"/>
      <c r="BD570" s="296"/>
      <c r="BE570" s="1"/>
      <c r="BF570" s="1"/>
      <c r="BG570" s="20"/>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row>
    <row r="571" spans="1:115" ht="15.75" customHeight="1">
      <c r="A571" s="1"/>
      <c r="B571" s="1"/>
      <c r="C571" s="1"/>
      <c r="D571" s="1"/>
      <c r="E571" s="1"/>
      <c r="F571" s="1"/>
      <c r="G571" s="1"/>
      <c r="H571" s="1"/>
      <c r="I571" s="294"/>
      <c r="J571" s="294"/>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3"/>
      <c r="AJ571" s="1"/>
      <c r="AK571" s="295"/>
      <c r="AL571" s="1"/>
      <c r="AM571" s="1"/>
      <c r="AN571" s="1"/>
      <c r="AO571" s="1"/>
      <c r="AP571" s="1"/>
      <c r="AQ571" s="1"/>
      <c r="AR571" s="1"/>
      <c r="AS571" s="1"/>
      <c r="AT571" s="1"/>
      <c r="AU571" s="1"/>
      <c r="AV571" s="1"/>
      <c r="AW571" s="1"/>
      <c r="AX571" s="1"/>
      <c r="AY571" s="1"/>
      <c r="AZ571" s="1"/>
      <c r="BA571" s="1"/>
      <c r="BB571" s="1"/>
      <c r="BC571" s="1"/>
      <c r="BD571" s="296"/>
      <c r="BE571" s="1"/>
      <c r="BF571" s="1"/>
      <c r="BG571" s="20"/>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row>
    <row r="572" spans="1:115" ht="15.75" customHeight="1">
      <c r="A572" s="1"/>
      <c r="B572" s="1"/>
      <c r="C572" s="1"/>
      <c r="D572" s="1"/>
      <c r="E572" s="1"/>
      <c r="F572" s="1"/>
      <c r="G572" s="1"/>
      <c r="H572" s="1"/>
      <c r="I572" s="294"/>
      <c r="J572" s="294"/>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3"/>
      <c r="AJ572" s="1"/>
      <c r="AK572" s="295"/>
      <c r="AL572" s="1"/>
      <c r="AM572" s="1"/>
      <c r="AN572" s="1"/>
      <c r="AO572" s="1"/>
      <c r="AP572" s="1"/>
      <c r="AQ572" s="1"/>
      <c r="AR572" s="1"/>
      <c r="AS572" s="1"/>
      <c r="AT572" s="1"/>
      <c r="AU572" s="1"/>
      <c r="AV572" s="1"/>
      <c r="AW572" s="1"/>
      <c r="AX572" s="1"/>
      <c r="AY572" s="1"/>
      <c r="AZ572" s="1"/>
      <c r="BA572" s="1"/>
      <c r="BB572" s="1"/>
      <c r="BC572" s="1"/>
      <c r="BD572" s="296"/>
      <c r="BE572" s="1"/>
      <c r="BF572" s="1"/>
      <c r="BG572" s="20"/>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row>
    <row r="573" spans="1:115" ht="15.75" customHeight="1">
      <c r="A573" s="1"/>
      <c r="B573" s="1"/>
      <c r="C573" s="1"/>
      <c r="D573" s="1"/>
      <c r="E573" s="1"/>
      <c r="F573" s="1"/>
      <c r="G573" s="1"/>
      <c r="H573" s="1"/>
      <c r="I573" s="294"/>
      <c r="J573" s="294"/>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3"/>
      <c r="AJ573" s="1"/>
      <c r="AK573" s="295"/>
      <c r="AL573" s="1"/>
      <c r="AM573" s="1"/>
      <c r="AN573" s="1"/>
      <c r="AO573" s="1"/>
      <c r="AP573" s="1"/>
      <c r="AQ573" s="1"/>
      <c r="AR573" s="1"/>
      <c r="AS573" s="1"/>
      <c r="AT573" s="1"/>
      <c r="AU573" s="1"/>
      <c r="AV573" s="1"/>
      <c r="AW573" s="1"/>
      <c r="AX573" s="1"/>
      <c r="AY573" s="1"/>
      <c r="AZ573" s="1"/>
      <c r="BA573" s="1"/>
      <c r="BB573" s="1"/>
      <c r="BC573" s="1"/>
      <c r="BD573" s="296"/>
      <c r="BE573" s="1"/>
      <c r="BF573" s="1"/>
      <c r="BG573" s="20"/>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row>
    <row r="574" spans="1:115" ht="15.75" customHeight="1">
      <c r="A574" s="1"/>
      <c r="B574" s="1"/>
      <c r="C574" s="1"/>
      <c r="D574" s="1"/>
      <c r="E574" s="1"/>
      <c r="F574" s="1"/>
      <c r="G574" s="1"/>
      <c r="H574" s="1"/>
      <c r="I574" s="294"/>
      <c r="J574" s="294"/>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3"/>
      <c r="AJ574" s="1"/>
      <c r="AK574" s="295"/>
      <c r="AL574" s="1"/>
      <c r="AM574" s="1"/>
      <c r="AN574" s="1"/>
      <c r="AO574" s="1"/>
      <c r="AP574" s="1"/>
      <c r="AQ574" s="1"/>
      <c r="AR574" s="1"/>
      <c r="AS574" s="1"/>
      <c r="AT574" s="1"/>
      <c r="AU574" s="1"/>
      <c r="AV574" s="1"/>
      <c r="AW574" s="1"/>
      <c r="AX574" s="1"/>
      <c r="AY574" s="1"/>
      <c r="AZ574" s="1"/>
      <c r="BA574" s="1"/>
      <c r="BB574" s="1"/>
      <c r="BC574" s="1"/>
      <c r="BD574" s="296"/>
      <c r="BE574" s="1"/>
      <c r="BF574" s="1"/>
      <c r="BG574" s="20"/>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row>
    <row r="575" spans="1:115" ht="15.75" customHeight="1">
      <c r="A575" s="1"/>
      <c r="B575" s="1"/>
      <c r="C575" s="1"/>
      <c r="D575" s="1"/>
      <c r="E575" s="1"/>
      <c r="F575" s="1"/>
      <c r="G575" s="1"/>
      <c r="H575" s="1"/>
      <c r="I575" s="294"/>
      <c r="J575" s="294"/>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3"/>
      <c r="AJ575" s="1"/>
      <c r="AK575" s="295"/>
      <c r="AL575" s="1"/>
      <c r="AM575" s="1"/>
      <c r="AN575" s="1"/>
      <c r="AO575" s="1"/>
      <c r="AP575" s="1"/>
      <c r="AQ575" s="1"/>
      <c r="AR575" s="1"/>
      <c r="AS575" s="1"/>
      <c r="AT575" s="1"/>
      <c r="AU575" s="1"/>
      <c r="AV575" s="1"/>
      <c r="AW575" s="1"/>
      <c r="AX575" s="1"/>
      <c r="AY575" s="1"/>
      <c r="AZ575" s="1"/>
      <c r="BA575" s="1"/>
      <c r="BB575" s="1"/>
      <c r="BC575" s="1"/>
      <c r="BD575" s="296"/>
      <c r="BE575" s="1"/>
      <c r="BF575" s="1"/>
      <c r="BG575" s="20"/>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row>
    <row r="576" spans="1:115" ht="15.75" customHeight="1">
      <c r="A576" s="1"/>
      <c r="B576" s="1"/>
      <c r="C576" s="1"/>
      <c r="D576" s="1"/>
      <c r="E576" s="1"/>
      <c r="F576" s="1"/>
      <c r="G576" s="1"/>
      <c r="H576" s="1"/>
      <c r="I576" s="294"/>
      <c r="J576" s="294"/>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3"/>
      <c r="AJ576" s="1"/>
      <c r="AK576" s="295"/>
      <c r="AL576" s="1"/>
      <c r="AM576" s="1"/>
      <c r="AN576" s="1"/>
      <c r="AO576" s="1"/>
      <c r="AP576" s="1"/>
      <c r="AQ576" s="1"/>
      <c r="AR576" s="1"/>
      <c r="AS576" s="1"/>
      <c r="AT576" s="1"/>
      <c r="AU576" s="1"/>
      <c r="AV576" s="1"/>
      <c r="AW576" s="1"/>
      <c r="AX576" s="1"/>
      <c r="AY576" s="1"/>
      <c r="AZ576" s="1"/>
      <c r="BA576" s="1"/>
      <c r="BB576" s="1"/>
      <c r="BC576" s="1"/>
      <c r="BD576" s="296"/>
      <c r="BE576" s="1"/>
      <c r="BF576" s="1"/>
      <c r="BG576" s="20"/>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row>
    <row r="577" spans="1:115" ht="15.75" customHeight="1">
      <c r="A577" s="1"/>
      <c r="B577" s="1"/>
      <c r="C577" s="1"/>
      <c r="D577" s="1"/>
      <c r="E577" s="1"/>
      <c r="F577" s="1"/>
      <c r="G577" s="1"/>
      <c r="H577" s="1"/>
      <c r="I577" s="294"/>
      <c r="J577" s="294"/>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3"/>
      <c r="AJ577" s="1"/>
      <c r="AK577" s="295"/>
      <c r="AL577" s="1"/>
      <c r="AM577" s="1"/>
      <c r="AN577" s="1"/>
      <c r="AO577" s="1"/>
      <c r="AP577" s="1"/>
      <c r="AQ577" s="1"/>
      <c r="AR577" s="1"/>
      <c r="AS577" s="1"/>
      <c r="AT577" s="1"/>
      <c r="AU577" s="1"/>
      <c r="AV577" s="1"/>
      <c r="AW577" s="1"/>
      <c r="AX577" s="1"/>
      <c r="AY577" s="1"/>
      <c r="AZ577" s="1"/>
      <c r="BA577" s="1"/>
      <c r="BB577" s="1"/>
      <c r="BC577" s="1"/>
      <c r="BD577" s="296"/>
      <c r="BE577" s="1"/>
      <c r="BF577" s="1"/>
      <c r="BG577" s="20"/>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row>
    <row r="578" spans="1:115" ht="15.75" customHeight="1">
      <c r="A578" s="1"/>
      <c r="B578" s="1"/>
      <c r="C578" s="1"/>
      <c r="D578" s="1"/>
      <c r="E578" s="1"/>
      <c r="F578" s="1"/>
      <c r="G578" s="1"/>
      <c r="H578" s="1"/>
      <c r="I578" s="294"/>
      <c r="J578" s="294"/>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3"/>
      <c r="AJ578" s="1"/>
      <c r="AK578" s="295"/>
      <c r="AL578" s="1"/>
      <c r="AM578" s="1"/>
      <c r="AN578" s="1"/>
      <c r="AO578" s="1"/>
      <c r="AP578" s="1"/>
      <c r="AQ578" s="1"/>
      <c r="AR578" s="1"/>
      <c r="AS578" s="1"/>
      <c r="AT578" s="1"/>
      <c r="AU578" s="1"/>
      <c r="AV578" s="1"/>
      <c r="AW578" s="1"/>
      <c r="AX578" s="1"/>
      <c r="AY578" s="1"/>
      <c r="AZ578" s="1"/>
      <c r="BA578" s="1"/>
      <c r="BB578" s="1"/>
      <c r="BC578" s="1"/>
      <c r="BD578" s="296"/>
      <c r="BE578" s="1"/>
      <c r="BF578" s="1"/>
      <c r="BG578" s="20"/>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row>
    <row r="579" spans="1:115" ht="15.75" customHeight="1">
      <c r="A579" s="1"/>
      <c r="B579" s="1"/>
      <c r="C579" s="1"/>
      <c r="D579" s="1"/>
      <c r="E579" s="1"/>
      <c r="F579" s="1"/>
      <c r="G579" s="1"/>
      <c r="H579" s="1"/>
      <c r="I579" s="294"/>
      <c r="J579" s="294"/>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3"/>
      <c r="AJ579" s="1"/>
      <c r="AK579" s="295"/>
      <c r="AL579" s="1"/>
      <c r="AM579" s="1"/>
      <c r="AN579" s="1"/>
      <c r="AO579" s="1"/>
      <c r="AP579" s="1"/>
      <c r="AQ579" s="1"/>
      <c r="AR579" s="1"/>
      <c r="AS579" s="1"/>
      <c r="AT579" s="1"/>
      <c r="AU579" s="1"/>
      <c r="AV579" s="1"/>
      <c r="AW579" s="1"/>
      <c r="AX579" s="1"/>
      <c r="AY579" s="1"/>
      <c r="AZ579" s="1"/>
      <c r="BA579" s="1"/>
      <c r="BB579" s="1"/>
      <c r="BC579" s="1"/>
      <c r="BD579" s="296"/>
      <c r="BE579" s="1"/>
      <c r="BF579" s="1"/>
      <c r="BG579" s="20"/>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row>
    <row r="580" spans="1:115" ht="15.75" customHeight="1">
      <c r="A580" s="1"/>
      <c r="B580" s="1"/>
      <c r="C580" s="1"/>
      <c r="D580" s="1"/>
      <c r="E580" s="1"/>
      <c r="F580" s="1"/>
      <c r="G580" s="1"/>
      <c r="H580" s="1"/>
      <c r="I580" s="294"/>
      <c r="J580" s="294"/>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3"/>
      <c r="AJ580" s="1"/>
      <c r="AK580" s="295"/>
      <c r="AL580" s="1"/>
      <c r="AM580" s="1"/>
      <c r="AN580" s="1"/>
      <c r="AO580" s="1"/>
      <c r="AP580" s="1"/>
      <c r="AQ580" s="1"/>
      <c r="AR580" s="1"/>
      <c r="AS580" s="1"/>
      <c r="AT580" s="1"/>
      <c r="AU580" s="1"/>
      <c r="AV580" s="1"/>
      <c r="AW580" s="1"/>
      <c r="AX580" s="1"/>
      <c r="AY580" s="1"/>
      <c r="AZ580" s="1"/>
      <c r="BA580" s="1"/>
      <c r="BB580" s="1"/>
      <c r="BC580" s="1"/>
      <c r="BD580" s="296"/>
      <c r="BE580" s="1"/>
      <c r="BF580" s="1"/>
      <c r="BG580" s="20"/>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row>
    <row r="581" spans="1:115" ht="15.75" customHeight="1">
      <c r="A581" s="1"/>
      <c r="B581" s="1"/>
      <c r="C581" s="1"/>
      <c r="D581" s="1"/>
      <c r="E581" s="1"/>
      <c r="F581" s="1"/>
      <c r="G581" s="1"/>
      <c r="H581" s="1"/>
      <c r="I581" s="294"/>
      <c r="J581" s="294"/>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3"/>
      <c r="AJ581" s="1"/>
      <c r="AK581" s="295"/>
      <c r="AL581" s="1"/>
      <c r="AM581" s="1"/>
      <c r="AN581" s="1"/>
      <c r="AO581" s="1"/>
      <c r="AP581" s="1"/>
      <c r="AQ581" s="1"/>
      <c r="AR581" s="1"/>
      <c r="AS581" s="1"/>
      <c r="AT581" s="1"/>
      <c r="AU581" s="1"/>
      <c r="AV581" s="1"/>
      <c r="AW581" s="1"/>
      <c r="AX581" s="1"/>
      <c r="AY581" s="1"/>
      <c r="AZ581" s="1"/>
      <c r="BA581" s="1"/>
      <c r="BB581" s="1"/>
      <c r="BC581" s="1"/>
      <c r="BD581" s="296"/>
      <c r="BE581" s="1"/>
      <c r="BF581" s="1"/>
      <c r="BG581" s="20"/>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row>
    <row r="582" spans="1:115" ht="15.75" customHeight="1">
      <c r="A582" s="1"/>
      <c r="B582" s="1"/>
      <c r="C582" s="1"/>
      <c r="D582" s="1"/>
      <c r="E582" s="1"/>
      <c r="F582" s="1"/>
      <c r="G582" s="1"/>
      <c r="H582" s="1"/>
      <c r="I582" s="294"/>
      <c r="J582" s="294"/>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3"/>
      <c r="AJ582" s="1"/>
      <c r="AK582" s="295"/>
      <c r="AL582" s="1"/>
      <c r="AM582" s="1"/>
      <c r="AN582" s="1"/>
      <c r="AO582" s="1"/>
      <c r="AP582" s="1"/>
      <c r="AQ582" s="1"/>
      <c r="AR582" s="1"/>
      <c r="AS582" s="1"/>
      <c r="AT582" s="1"/>
      <c r="AU582" s="1"/>
      <c r="AV582" s="1"/>
      <c r="AW582" s="1"/>
      <c r="AX582" s="1"/>
      <c r="AY582" s="1"/>
      <c r="AZ582" s="1"/>
      <c r="BA582" s="1"/>
      <c r="BB582" s="1"/>
      <c r="BC582" s="1"/>
      <c r="BD582" s="296"/>
      <c r="BE582" s="1"/>
      <c r="BF582" s="1"/>
      <c r="BG582" s="20"/>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row>
    <row r="583" spans="1:115" ht="15.75" customHeight="1">
      <c r="A583" s="1"/>
      <c r="B583" s="1"/>
      <c r="C583" s="1"/>
      <c r="D583" s="1"/>
      <c r="E583" s="1"/>
      <c r="F583" s="1"/>
      <c r="G583" s="1"/>
      <c r="H583" s="1"/>
      <c r="I583" s="294"/>
      <c r="J583" s="294"/>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3"/>
      <c r="AJ583" s="1"/>
      <c r="AK583" s="295"/>
      <c r="AL583" s="1"/>
      <c r="AM583" s="1"/>
      <c r="AN583" s="1"/>
      <c r="AO583" s="1"/>
      <c r="AP583" s="1"/>
      <c r="AQ583" s="1"/>
      <c r="AR583" s="1"/>
      <c r="AS583" s="1"/>
      <c r="AT583" s="1"/>
      <c r="AU583" s="1"/>
      <c r="AV583" s="1"/>
      <c r="AW583" s="1"/>
      <c r="AX583" s="1"/>
      <c r="AY583" s="1"/>
      <c r="AZ583" s="1"/>
      <c r="BA583" s="1"/>
      <c r="BB583" s="1"/>
      <c r="BC583" s="1"/>
      <c r="BD583" s="296"/>
      <c r="BE583" s="1"/>
      <c r="BF583" s="1"/>
      <c r="BG583" s="20"/>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row>
    <row r="584" spans="1:115" ht="15.75" customHeight="1">
      <c r="A584" s="1"/>
      <c r="B584" s="1"/>
      <c r="C584" s="1"/>
      <c r="D584" s="1"/>
      <c r="E584" s="1"/>
      <c r="F584" s="1"/>
      <c r="G584" s="1"/>
      <c r="H584" s="1"/>
      <c r="I584" s="294"/>
      <c r="J584" s="294"/>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3"/>
      <c r="AJ584" s="1"/>
      <c r="AK584" s="295"/>
      <c r="AL584" s="1"/>
      <c r="AM584" s="1"/>
      <c r="AN584" s="1"/>
      <c r="AO584" s="1"/>
      <c r="AP584" s="1"/>
      <c r="AQ584" s="1"/>
      <c r="AR584" s="1"/>
      <c r="AS584" s="1"/>
      <c r="AT584" s="1"/>
      <c r="AU584" s="1"/>
      <c r="AV584" s="1"/>
      <c r="AW584" s="1"/>
      <c r="AX584" s="1"/>
      <c r="AY584" s="1"/>
      <c r="AZ584" s="1"/>
      <c r="BA584" s="1"/>
      <c r="BB584" s="1"/>
      <c r="BC584" s="1"/>
      <c r="BD584" s="296"/>
      <c r="BE584" s="1"/>
      <c r="BF584" s="1"/>
      <c r="BG584" s="20"/>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row>
    <row r="585" spans="1:115" ht="15.75" customHeight="1">
      <c r="A585" s="1"/>
      <c r="B585" s="1"/>
      <c r="C585" s="1"/>
      <c r="D585" s="1"/>
      <c r="E585" s="1"/>
      <c r="F585" s="1"/>
      <c r="G585" s="1"/>
      <c r="H585" s="1"/>
      <c r="I585" s="294"/>
      <c r="J585" s="294"/>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3"/>
      <c r="AJ585" s="1"/>
      <c r="AK585" s="295"/>
      <c r="AL585" s="1"/>
      <c r="AM585" s="1"/>
      <c r="AN585" s="1"/>
      <c r="AO585" s="1"/>
      <c r="AP585" s="1"/>
      <c r="AQ585" s="1"/>
      <c r="AR585" s="1"/>
      <c r="AS585" s="1"/>
      <c r="AT585" s="1"/>
      <c r="AU585" s="1"/>
      <c r="AV585" s="1"/>
      <c r="AW585" s="1"/>
      <c r="AX585" s="1"/>
      <c r="AY585" s="1"/>
      <c r="AZ585" s="1"/>
      <c r="BA585" s="1"/>
      <c r="BB585" s="1"/>
      <c r="BC585" s="1"/>
      <c r="BD585" s="296"/>
      <c r="BE585" s="1"/>
      <c r="BF585" s="1"/>
      <c r="BG585" s="20"/>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row>
    <row r="586" spans="1:115" ht="15.75" customHeight="1">
      <c r="A586" s="1"/>
      <c r="B586" s="1"/>
      <c r="C586" s="1"/>
      <c r="D586" s="1"/>
      <c r="E586" s="1"/>
      <c r="F586" s="1"/>
      <c r="G586" s="1"/>
      <c r="H586" s="1"/>
      <c r="I586" s="294"/>
      <c r="J586" s="294"/>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3"/>
      <c r="AJ586" s="1"/>
      <c r="AK586" s="295"/>
      <c r="AL586" s="1"/>
      <c r="AM586" s="1"/>
      <c r="AN586" s="1"/>
      <c r="AO586" s="1"/>
      <c r="AP586" s="1"/>
      <c r="AQ586" s="1"/>
      <c r="AR586" s="1"/>
      <c r="AS586" s="1"/>
      <c r="AT586" s="1"/>
      <c r="AU586" s="1"/>
      <c r="AV586" s="1"/>
      <c r="AW586" s="1"/>
      <c r="AX586" s="1"/>
      <c r="AY586" s="1"/>
      <c r="AZ586" s="1"/>
      <c r="BA586" s="1"/>
      <c r="BB586" s="1"/>
      <c r="BC586" s="1"/>
      <c r="BD586" s="296"/>
      <c r="BE586" s="1"/>
      <c r="BF586" s="1"/>
      <c r="BG586" s="20"/>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row>
    <row r="587" spans="1:115" ht="15.75" customHeight="1">
      <c r="A587" s="1"/>
      <c r="B587" s="1"/>
      <c r="C587" s="1"/>
      <c r="D587" s="1"/>
      <c r="E587" s="1"/>
      <c r="F587" s="1"/>
      <c r="G587" s="1"/>
      <c r="H587" s="1"/>
      <c r="I587" s="294"/>
      <c r="J587" s="294"/>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3"/>
      <c r="AJ587" s="1"/>
      <c r="AK587" s="295"/>
      <c r="AL587" s="1"/>
      <c r="AM587" s="1"/>
      <c r="AN587" s="1"/>
      <c r="AO587" s="1"/>
      <c r="AP587" s="1"/>
      <c r="AQ587" s="1"/>
      <c r="AR587" s="1"/>
      <c r="AS587" s="1"/>
      <c r="AT587" s="1"/>
      <c r="AU587" s="1"/>
      <c r="AV587" s="1"/>
      <c r="AW587" s="1"/>
      <c r="AX587" s="1"/>
      <c r="AY587" s="1"/>
      <c r="AZ587" s="1"/>
      <c r="BA587" s="1"/>
      <c r="BB587" s="1"/>
      <c r="BC587" s="1"/>
      <c r="BD587" s="296"/>
      <c r="BE587" s="1"/>
      <c r="BF587" s="1"/>
      <c r="BG587" s="20"/>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row>
    <row r="588" spans="1:115" ht="15.75" customHeight="1">
      <c r="A588" s="1"/>
      <c r="B588" s="1"/>
      <c r="C588" s="1"/>
      <c r="D588" s="1"/>
      <c r="E588" s="1"/>
      <c r="F588" s="1"/>
      <c r="G588" s="1"/>
      <c r="H588" s="1"/>
      <c r="I588" s="294"/>
      <c r="J588" s="294"/>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3"/>
      <c r="AJ588" s="1"/>
      <c r="AK588" s="295"/>
      <c r="AL588" s="1"/>
      <c r="AM588" s="1"/>
      <c r="AN588" s="1"/>
      <c r="AO588" s="1"/>
      <c r="AP588" s="1"/>
      <c r="AQ588" s="1"/>
      <c r="AR588" s="1"/>
      <c r="AS588" s="1"/>
      <c r="AT588" s="1"/>
      <c r="AU588" s="1"/>
      <c r="AV588" s="1"/>
      <c r="AW588" s="1"/>
      <c r="AX588" s="1"/>
      <c r="AY588" s="1"/>
      <c r="AZ588" s="1"/>
      <c r="BA588" s="1"/>
      <c r="BB588" s="1"/>
      <c r="BC588" s="1"/>
      <c r="BD588" s="296"/>
      <c r="BE588" s="1"/>
      <c r="BF588" s="1"/>
      <c r="BG588" s="20"/>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row>
    <row r="589" spans="1:115" ht="15.75" customHeight="1">
      <c r="A589" s="1"/>
      <c r="B589" s="1"/>
      <c r="C589" s="1"/>
      <c r="D589" s="1"/>
      <c r="E589" s="1"/>
      <c r="F589" s="1"/>
      <c r="G589" s="1"/>
      <c r="H589" s="1"/>
      <c r="I589" s="294"/>
      <c r="J589" s="294"/>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3"/>
      <c r="AJ589" s="1"/>
      <c r="AK589" s="295"/>
      <c r="AL589" s="1"/>
      <c r="AM589" s="1"/>
      <c r="AN589" s="1"/>
      <c r="AO589" s="1"/>
      <c r="AP589" s="1"/>
      <c r="AQ589" s="1"/>
      <c r="AR589" s="1"/>
      <c r="AS589" s="1"/>
      <c r="AT589" s="1"/>
      <c r="AU589" s="1"/>
      <c r="AV589" s="1"/>
      <c r="AW589" s="1"/>
      <c r="AX589" s="1"/>
      <c r="AY589" s="1"/>
      <c r="AZ589" s="1"/>
      <c r="BA589" s="1"/>
      <c r="BB589" s="1"/>
      <c r="BC589" s="1"/>
      <c r="BD589" s="296"/>
      <c r="BE589" s="1"/>
      <c r="BF589" s="1"/>
      <c r="BG589" s="20"/>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row>
    <row r="590" spans="1:115" ht="15.75" customHeight="1">
      <c r="A590" s="1"/>
      <c r="B590" s="1"/>
      <c r="C590" s="1"/>
      <c r="D590" s="1"/>
      <c r="E590" s="1"/>
      <c r="F590" s="1"/>
      <c r="G590" s="1"/>
      <c r="H590" s="1"/>
      <c r="I590" s="294"/>
      <c r="J590" s="294"/>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3"/>
      <c r="AJ590" s="1"/>
      <c r="AK590" s="295"/>
      <c r="AL590" s="1"/>
      <c r="AM590" s="1"/>
      <c r="AN590" s="1"/>
      <c r="AO590" s="1"/>
      <c r="AP590" s="1"/>
      <c r="AQ590" s="1"/>
      <c r="AR590" s="1"/>
      <c r="AS590" s="1"/>
      <c r="AT590" s="1"/>
      <c r="AU590" s="1"/>
      <c r="AV590" s="1"/>
      <c r="AW590" s="1"/>
      <c r="AX590" s="1"/>
      <c r="AY590" s="1"/>
      <c r="AZ590" s="1"/>
      <c r="BA590" s="1"/>
      <c r="BB590" s="1"/>
      <c r="BC590" s="1"/>
      <c r="BD590" s="296"/>
      <c r="BE590" s="1"/>
      <c r="BF590" s="1"/>
      <c r="BG590" s="20"/>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row>
    <row r="591" spans="1:115" ht="15.75" customHeight="1">
      <c r="A591" s="1"/>
      <c r="B591" s="1"/>
      <c r="C591" s="1"/>
      <c r="D591" s="1"/>
      <c r="E591" s="1"/>
      <c r="F591" s="1"/>
      <c r="G591" s="1"/>
      <c r="H591" s="1"/>
      <c r="I591" s="294"/>
      <c r="J591" s="294"/>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3"/>
      <c r="AJ591" s="1"/>
      <c r="AK591" s="295"/>
      <c r="AL591" s="1"/>
      <c r="AM591" s="1"/>
      <c r="AN591" s="1"/>
      <c r="AO591" s="1"/>
      <c r="AP591" s="1"/>
      <c r="AQ591" s="1"/>
      <c r="AR591" s="1"/>
      <c r="AS591" s="1"/>
      <c r="AT591" s="1"/>
      <c r="AU591" s="1"/>
      <c r="AV591" s="1"/>
      <c r="AW591" s="1"/>
      <c r="AX591" s="1"/>
      <c r="AY591" s="1"/>
      <c r="AZ591" s="1"/>
      <c r="BA591" s="1"/>
      <c r="BB591" s="1"/>
      <c r="BC591" s="1"/>
      <c r="BD591" s="296"/>
      <c r="BE591" s="1"/>
      <c r="BF591" s="1"/>
      <c r="BG591" s="20"/>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row>
    <row r="592" spans="1:115" ht="15.75" customHeight="1">
      <c r="A592" s="1"/>
      <c r="B592" s="1"/>
      <c r="C592" s="1"/>
      <c r="D592" s="1"/>
      <c r="E592" s="1"/>
      <c r="F592" s="1"/>
      <c r="G592" s="1"/>
      <c r="H592" s="1"/>
      <c r="I592" s="294"/>
      <c r="J592" s="294"/>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3"/>
      <c r="AJ592" s="1"/>
      <c r="AK592" s="295"/>
      <c r="AL592" s="1"/>
      <c r="AM592" s="1"/>
      <c r="AN592" s="1"/>
      <c r="AO592" s="1"/>
      <c r="AP592" s="1"/>
      <c r="AQ592" s="1"/>
      <c r="AR592" s="1"/>
      <c r="AS592" s="1"/>
      <c r="AT592" s="1"/>
      <c r="AU592" s="1"/>
      <c r="AV592" s="1"/>
      <c r="AW592" s="1"/>
      <c r="AX592" s="1"/>
      <c r="AY592" s="1"/>
      <c r="AZ592" s="1"/>
      <c r="BA592" s="1"/>
      <c r="BB592" s="1"/>
      <c r="BC592" s="1"/>
      <c r="BD592" s="296"/>
      <c r="BE592" s="1"/>
      <c r="BF592" s="1"/>
      <c r="BG592" s="20"/>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row>
    <row r="593" spans="1:115" ht="15.75" customHeight="1">
      <c r="A593" s="1"/>
      <c r="B593" s="1"/>
      <c r="C593" s="1"/>
      <c r="D593" s="1"/>
      <c r="E593" s="1"/>
      <c r="F593" s="1"/>
      <c r="G593" s="1"/>
      <c r="H593" s="1"/>
      <c r="I593" s="294"/>
      <c r="J593" s="294"/>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3"/>
      <c r="AJ593" s="1"/>
      <c r="AK593" s="295"/>
      <c r="AL593" s="1"/>
      <c r="AM593" s="1"/>
      <c r="AN593" s="1"/>
      <c r="AO593" s="1"/>
      <c r="AP593" s="1"/>
      <c r="AQ593" s="1"/>
      <c r="AR593" s="1"/>
      <c r="AS593" s="1"/>
      <c r="AT593" s="1"/>
      <c r="AU593" s="1"/>
      <c r="AV593" s="1"/>
      <c r="AW593" s="1"/>
      <c r="AX593" s="1"/>
      <c r="AY593" s="1"/>
      <c r="AZ593" s="1"/>
      <c r="BA593" s="1"/>
      <c r="BB593" s="1"/>
      <c r="BC593" s="1"/>
      <c r="BD593" s="296"/>
      <c r="BE593" s="1"/>
      <c r="BF593" s="1"/>
      <c r="BG593" s="20"/>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row>
    <row r="594" spans="1:115" ht="15.75" customHeight="1">
      <c r="A594" s="1"/>
      <c r="B594" s="1"/>
      <c r="C594" s="1"/>
      <c r="D594" s="1"/>
      <c r="E594" s="1"/>
      <c r="F594" s="1"/>
      <c r="G594" s="1"/>
      <c r="H594" s="1"/>
      <c r="I594" s="294"/>
      <c r="J594" s="294"/>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3"/>
      <c r="AJ594" s="1"/>
      <c r="AK594" s="295"/>
      <c r="AL594" s="1"/>
      <c r="AM594" s="1"/>
      <c r="AN594" s="1"/>
      <c r="AO594" s="1"/>
      <c r="AP594" s="1"/>
      <c r="AQ594" s="1"/>
      <c r="AR594" s="1"/>
      <c r="AS594" s="1"/>
      <c r="AT594" s="1"/>
      <c r="AU594" s="1"/>
      <c r="AV594" s="1"/>
      <c r="AW594" s="1"/>
      <c r="AX594" s="1"/>
      <c r="AY594" s="1"/>
      <c r="AZ594" s="1"/>
      <c r="BA594" s="1"/>
      <c r="BB594" s="1"/>
      <c r="BC594" s="1"/>
      <c r="BD594" s="296"/>
      <c r="BE594" s="1"/>
      <c r="BF594" s="1"/>
      <c r="BG594" s="20"/>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row>
    <row r="595" spans="1:115" ht="15.75" customHeight="1">
      <c r="A595" s="1"/>
      <c r="B595" s="1"/>
      <c r="C595" s="1"/>
      <c r="D595" s="1"/>
      <c r="E595" s="1"/>
      <c r="F595" s="1"/>
      <c r="G595" s="1"/>
      <c r="H595" s="1"/>
      <c r="I595" s="294"/>
      <c r="J595" s="294"/>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3"/>
      <c r="AJ595" s="1"/>
      <c r="AK595" s="295"/>
      <c r="AL595" s="1"/>
      <c r="AM595" s="1"/>
      <c r="AN595" s="1"/>
      <c r="AO595" s="1"/>
      <c r="AP595" s="1"/>
      <c r="AQ595" s="1"/>
      <c r="AR595" s="1"/>
      <c r="AS595" s="1"/>
      <c r="AT595" s="1"/>
      <c r="AU595" s="1"/>
      <c r="AV595" s="1"/>
      <c r="AW595" s="1"/>
      <c r="AX595" s="1"/>
      <c r="AY595" s="1"/>
      <c r="AZ595" s="1"/>
      <c r="BA595" s="1"/>
      <c r="BB595" s="1"/>
      <c r="BC595" s="1"/>
      <c r="BD595" s="296"/>
      <c r="BE595" s="1"/>
      <c r="BF595" s="1"/>
      <c r="BG595" s="20"/>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row>
    <row r="596" spans="1:115" ht="15.75" customHeight="1">
      <c r="A596" s="1"/>
      <c r="B596" s="1"/>
      <c r="C596" s="1"/>
      <c r="D596" s="1"/>
      <c r="E596" s="1"/>
      <c r="F596" s="1"/>
      <c r="G596" s="1"/>
      <c r="H596" s="1"/>
      <c r="I596" s="294"/>
      <c r="J596" s="294"/>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3"/>
      <c r="AJ596" s="1"/>
      <c r="AK596" s="295"/>
      <c r="AL596" s="1"/>
      <c r="AM596" s="1"/>
      <c r="AN596" s="1"/>
      <c r="AO596" s="1"/>
      <c r="AP596" s="1"/>
      <c r="AQ596" s="1"/>
      <c r="AR596" s="1"/>
      <c r="AS596" s="1"/>
      <c r="AT596" s="1"/>
      <c r="AU596" s="1"/>
      <c r="AV596" s="1"/>
      <c r="AW596" s="1"/>
      <c r="AX596" s="1"/>
      <c r="AY596" s="1"/>
      <c r="AZ596" s="1"/>
      <c r="BA596" s="1"/>
      <c r="BB596" s="1"/>
      <c r="BC596" s="1"/>
      <c r="BD596" s="296"/>
      <c r="BE596" s="1"/>
      <c r="BF596" s="1"/>
      <c r="BG596" s="20"/>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row>
    <row r="597" spans="1:115" ht="15.75" customHeight="1">
      <c r="A597" s="1"/>
      <c r="B597" s="1"/>
      <c r="C597" s="1"/>
      <c r="D597" s="1"/>
      <c r="E597" s="1"/>
      <c r="F597" s="1"/>
      <c r="G597" s="1"/>
      <c r="H597" s="1"/>
      <c r="I597" s="294"/>
      <c r="J597" s="294"/>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3"/>
      <c r="AJ597" s="1"/>
      <c r="AK597" s="295"/>
      <c r="AL597" s="1"/>
      <c r="AM597" s="1"/>
      <c r="AN597" s="1"/>
      <c r="AO597" s="1"/>
      <c r="AP597" s="1"/>
      <c r="AQ597" s="1"/>
      <c r="AR597" s="1"/>
      <c r="AS597" s="1"/>
      <c r="AT597" s="1"/>
      <c r="AU597" s="1"/>
      <c r="AV597" s="1"/>
      <c r="AW597" s="1"/>
      <c r="AX597" s="1"/>
      <c r="AY597" s="1"/>
      <c r="AZ597" s="1"/>
      <c r="BA597" s="1"/>
      <c r="BB597" s="1"/>
      <c r="BC597" s="1"/>
      <c r="BD597" s="296"/>
      <c r="BE597" s="1"/>
      <c r="BF597" s="1"/>
      <c r="BG597" s="20"/>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row>
    <row r="598" spans="1:115" ht="15.75" customHeight="1">
      <c r="A598" s="1"/>
      <c r="B598" s="1"/>
      <c r="C598" s="1"/>
      <c r="D598" s="1"/>
      <c r="E598" s="1"/>
      <c r="F598" s="1"/>
      <c r="G598" s="1"/>
      <c r="H598" s="1"/>
      <c r="I598" s="294"/>
      <c r="J598" s="294"/>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3"/>
      <c r="AJ598" s="1"/>
      <c r="AK598" s="295"/>
      <c r="AL598" s="1"/>
      <c r="AM598" s="1"/>
      <c r="AN598" s="1"/>
      <c r="AO598" s="1"/>
      <c r="AP598" s="1"/>
      <c r="AQ598" s="1"/>
      <c r="AR598" s="1"/>
      <c r="AS598" s="1"/>
      <c r="AT598" s="1"/>
      <c r="AU598" s="1"/>
      <c r="AV598" s="1"/>
      <c r="AW598" s="1"/>
      <c r="AX598" s="1"/>
      <c r="AY598" s="1"/>
      <c r="AZ598" s="1"/>
      <c r="BA598" s="1"/>
      <c r="BB598" s="1"/>
      <c r="BC598" s="1"/>
      <c r="BD598" s="296"/>
      <c r="BE598" s="1"/>
      <c r="BF598" s="1"/>
      <c r="BG598" s="20"/>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row>
    <row r="599" spans="1:115" ht="15.75" customHeight="1">
      <c r="A599" s="1"/>
      <c r="B599" s="1"/>
      <c r="C599" s="1"/>
      <c r="D599" s="1"/>
      <c r="E599" s="1"/>
      <c r="F599" s="1"/>
      <c r="G599" s="1"/>
      <c r="H599" s="1"/>
      <c r="I599" s="294"/>
      <c r="J599" s="294"/>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3"/>
      <c r="AJ599" s="1"/>
      <c r="AK599" s="295"/>
      <c r="AL599" s="1"/>
      <c r="AM599" s="1"/>
      <c r="AN599" s="1"/>
      <c r="AO599" s="1"/>
      <c r="AP599" s="1"/>
      <c r="AQ599" s="1"/>
      <c r="AR599" s="1"/>
      <c r="AS599" s="1"/>
      <c r="AT599" s="1"/>
      <c r="AU599" s="1"/>
      <c r="AV599" s="1"/>
      <c r="AW599" s="1"/>
      <c r="AX599" s="1"/>
      <c r="AY599" s="1"/>
      <c r="AZ599" s="1"/>
      <c r="BA599" s="1"/>
      <c r="BB599" s="1"/>
      <c r="BC599" s="1"/>
      <c r="BD599" s="296"/>
      <c r="BE599" s="1"/>
      <c r="BF599" s="1"/>
      <c r="BG599" s="20"/>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row>
    <row r="600" spans="1:115" ht="15.75" customHeight="1">
      <c r="A600" s="1"/>
      <c r="B600" s="1"/>
      <c r="C600" s="1"/>
      <c r="D600" s="1"/>
      <c r="E600" s="1"/>
      <c r="F600" s="1"/>
      <c r="G600" s="1"/>
      <c r="H600" s="1"/>
      <c r="I600" s="294"/>
      <c r="J600" s="294"/>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3"/>
      <c r="AJ600" s="1"/>
      <c r="AK600" s="295"/>
      <c r="AL600" s="1"/>
      <c r="AM600" s="1"/>
      <c r="AN600" s="1"/>
      <c r="AO600" s="1"/>
      <c r="AP600" s="1"/>
      <c r="AQ600" s="1"/>
      <c r="AR600" s="1"/>
      <c r="AS600" s="1"/>
      <c r="AT600" s="1"/>
      <c r="AU600" s="1"/>
      <c r="AV600" s="1"/>
      <c r="AW600" s="1"/>
      <c r="AX600" s="1"/>
      <c r="AY600" s="1"/>
      <c r="AZ600" s="1"/>
      <c r="BA600" s="1"/>
      <c r="BB600" s="1"/>
      <c r="BC600" s="1"/>
      <c r="BD600" s="296"/>
      <c r="BE600" s="1"/>
      <c r="BF600" s="1"/>
      <c r="BG600" s="20"/>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row>
    <row r="601" spans="1:115" ht="15.75" customHeight="1">
      <c r="A601" s="1"/>
      <c r="B601" s="1"/>
      <c r="C601" s="1"/>
      <c r="D601" s="1"/>
      <c r="E601" s="1"/>
      <c r="F601" s="1"/>
      <c r="G601" s="1"/>
      <c r="H601" s="1"/>
      <c r="I601" s="294"/>
      <c r="J601" s="294"/>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3"/>
      <c r="AJ601" s="1"/>
      <c r="AK601" s="295"/>
      <c r="AL601" s="1"/>
      <c r="AM601" s="1"/>
      <c r="AN601" s="1"/>
      <c r="AO601" s="1"/>
      <c r="AP601" s="1"/>
      <c r="AQ601" s="1"/>
      <c r="AR601" s="1"/>
      <c r="AS601" s="1"/>
      <c r="AT601" s="1"/>
      <c r="AU601" s="1"/>
      <c r="AV601" s="1"/>
      <c r="AW601" s="1"/>
      <c r="AX601" s="1"/>
      <c r="AY601" s="1"/>
      <c r="AZ601" s="1"/>
      <c r="BA601" s="1"/>
      <c r="BB601" s="1"/>
      <c r="BC601" s="1"/>
      <c r="BD601" s="296"/>
      <c r="BE601" s="1"/>
      <c r="BF601" s="1"/>
      <c r="BG601" s="20"/>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row>
    <row r="602" spans="1:115" ht="15.75" customHeight="1">
      <c r="A602" s="1"/>
      <c r="B602" s="1"/>
      <c r="C602" s="1"/>
      <c r="D602" s="1"/>
      <c r="E602" s="1"/>
      <c r="F602" s="1"/>
      <c r="G602" s="1"/>
      <c r="H602" s="1"/>
      <c r="I602" s="294"/>
      <c r="J602" s="294"/>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3"/>
      <c r="AJ602" s="1"/>
      <c r="AK602" s="295"/>
      <c r="AL602" s="1"/>
      <c r="AM602" s="1"/>
      <c r="AN602" s="1"/>
      <c r="AO602" s="1"/>
      <c r="AP602" s="1"/>
      <c r="AQ602" s="1"/>
      <c r="AR602" s="1"/>
      <c r="AS602" s="1"/>
      <c r="AT602" s="1"/>
      <c r="AU602" s="1"/>
      <c r="AV602" s="1"/>
      <c r="AW602" s="1"/>
      <c r="AX602" s="1"/>
      <c r="AY602" s="1"/>
      <c r="AZ602" s="1"/>
      <c r="BA602" s="1"/>
      <c r="BB602" s="1"/>
      <c r="BC602" s="1"/>
      <c r="BD602" s="296"/>
      <c r="BE602" s="1"/>
      <c r="BF602" s="1"/>
      <c r="BG602" s="20"/>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row>
    <row r="603" spans="1:115" ht="15.75" customHeight="1">
      <c r="A603" s="1"/>
      <c r="B603" s="1"/>
      <c r="C603" s="1"/>
      <c r="D603" s="1"/>
      <c r="E603" s="1"/>
      <c r="F603" s="1"/>
      <c r="G603" s="1"/>
      <c r="H603" s="1"/>
      <c r="I603" s="294"/>
      <c r="J603" s="294"/>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3"/>
      <c r="AJ603" s="1"/>
      <c r="AK603" s="295"/>
      <c r="AL603" s="1"/>
      <c r="AM603" s="1"/>
      <c r="AN603" s="1"/>
      <c r="AO603" s="1"/>
      <c r="AP603" s="1"/>
      <c r="AQ603" s="1"/>
      <c r="AR603" s="1"/>
      <c r="AS603" s="1"/>
      <c r="AT603" s="1"/>
      <c r="AU603" s="1"/>
      <c r="AV603" s="1"/>
      <c r="AW603" s="1"/>
      <c r="AX603" s="1"/>
      <c r="AY603" s="1"/>
      <c r="AZ603" s="1"/>
      <c r="BA603" s="1"/>
      <c r="BB603" s="1"/>
      <c r="BC603" s="1"/>
      <c r="BD603" s="296"/>
      <c r="BE603" s="1"/>
      <c r="BF603" s="1"/>
      <c r="BG603" s="20"/>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row>
    <row r="604" spans="1:115" ht="15.75" customHeight="1">
      <c r="A604" s="1"/>
      <c r="B604" s="1"/>
      <c r="C604" s="1"/>
      <c r="D604" s="1"/>
      <c r="E604" s="1"/>
      <c r="F604" s="1"/>
      <c r="G604" s="1"/>
      <c r="H604" s="1"/>
      <c r="I604" s="294"/>
      <c r="J604" s="294"/>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3"/>
      <c r="AJ604" s="1"/>
      <c r="AK604" s="295"/>
      <c r="AL604" s="1"/>
      <c r="AM604" s="1"/>
      <c r="AN604" s="1"/>
      <c r="AO604" s="1"/>
      <c r="AP604" s="1"/>
      <c r="AQ604" s="1"/>
      <c r="AR604" s="1"/>
      <c r="AS604" s="1"/>
      <c r="AT604" s="1"/>
      <c r="AU604" s="1"/>
      <c r="AV604" s="1"/>
      <c r="AW604" s="1"/>
      <c r="AX604" s="1"/>
      <c r="AY604" s="1"/>
      <c r="AZ604" s="1"/>
      <c r="BA604" s="1"/>
      <c r="BB604" s="1"/>
      <c r="BC604" s="1"/>
      <c r="BD604" s="296"/>
      <c r="BE604" s="1"/>
      <c r="BF604" s="1"/>
      <c r="BG604" s="20"/>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row>
    <row r="605" spans="1:115" ht="15.75" customHeight="1">
      <c r="A605" s="1"/>
      <c r="B605" s="1"/>
      <c r="C605" s="1"/>
      <c r="D605" s="1"/>
      <c r="E605" s="1"/>
      <c r="F605" s="1"/>
      <c r="G605" s="1"/>
      <c r="H605" s="1"/>
      <c r="I605" s="294"/>
      <c r="J605" s="294"/>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3"/>
      <c r="AJ605" s="1"/>
      <c r="AK605" s="295"/>
      <c r="AL605" s="1"/>
      <c r="AM605" s="1"/>
      <c r="AN605" s="1"/>
      <c r="AO605" s="1"/>
      <c r="AP605" s="1"/>
      <c r="AQ605" s="1"/>
      <c r="AR605" s="1"/>
      <c r="AS605" s="1"/>
      <c r="AT605" s="1"/>
      <c r="AU605" s="1"/>
      <c r="AV605" s="1"/>
      <c r="AW605" s="1"/>
      <c r="AX605" s="1"/>
      <c r="AY605" s="1"/>
      <c r="AZ605" s="1"/>
      <c r="BA605" s="1"/>
      <c r="BB605" s="1"/>
      <c r="BC605" s="1"/>
      <c r="BD605" s="296"/>
      <c r="BE605" s="1"/>
      <c r="BF605" s="1"/>
      <c r="BG605" s="20"/>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row>
    <row r="606" spans="1:115" ht="15.75" customHeight="1">
      <c r="A606" s="1"/>
      <c r="B606" s="1"/>
      <c r="C606" s="1"/>
      <c r="D606" s="1"/>
      <c r="E606" s="1"/>
      <c r="F606" s="1"/>
      <c r="G606" s="1"/>
      <c r="H606" s="1"/>
      <c r="I606" s="294"/>
      <c r="J606" s="294"/>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3"/>
      <c r="AJ606" s="1"/>
      <c r="AK606" s="295"/>
      <c r="AL606" s="1"/>
      <c r="AM606" s="1"/>
      <c r="AN606" s="1"/>
      <c r="AO606" s="1"/>
      <c r="AP606" s="1"/>
      <c r="AQ606" s="1"/>
      <c r="AR606" s="1"/>
      <c r="AS606" s="1"/>
      <c r="AT606" s="1"/>
      <c r="AU606" s="1"/>
      <c r="AV606" s="1"/>
      <c r="AW606" s="1"/>
      <c r="AX606" s="1"/>
      <c r="AY606" s="1"/>
      <c r="AZ606" s="1"/>
      <c r="BA606" s="1"/>
      <c r="BB606" s="1"/>
      <c r="BC606" s="1"/>
      <c r="BD606" s="296"/>
      <c r="BE606" s="1"/>
      <c r="BF606" s="1"/>
      <c r="BG606" s="20"/>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row>
    <row r="607" spans="1:115" ht="15.75" customHeight="1">
      <c r="A607" s="1"/>
      <c r="B607" s="1"/>
      <c r="C607" s="1"/>
      <c r="D607" s="1"/>
      <c r="E607" s="1"/>
      <c r="F607" s="1"/>
      <c r="G607" s="1"/>
      <c r="H607" s="1"/>
      <c r="I607" s="294"/>
      <c r="J607" s="294"/>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3"/>
      <c r="AJ607" s="1"/>
      <c r="AK607" s="295"/>
      <c r="AL607" s="1"/>
      <c r="AM607" s="1"/>
      <c r="AN607" s="1"/>
      <c r="AO607" s="1"/>
      <c r="AP607" s="1"/>
      <c r="AQ607" s="1"/>
      <c r="AR607" s="1"/>
      <c r="AS607" s="1"/>
      <c r="AT607" s="1"/>
      <c r="AU607" s="1"/>
      <c r="AV607" s="1"/>
      <c r="AW607" s="1"/>
      <c r="AX607" s="1"/>
      <c r="AY607" s="1"/>
      <c r="AZ607" s="1"/>
      <c r="BA607" s="1"/>
      <c r="BB607" s="1"/>
      <c r="BC607" s="1"/>
      <c r="BD607" s="296"/>
      <c r="BE607" s="1"/>
      <c r="BF607" s="1"/>
      <c r="BG607" s="20"/>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row>
    <row r="608" spans="1:115" ht="15.75" customHeight="1">
      <c r="A608" s="1"/>
      <c r="B608" s="1"/>
      <c r="C608" s="1"/>
      <c r="D608" s="1"/>
      <c r="E608" s="1"/>
      <c r="F608" s="1"/>
      <c r="G608" s="1"/>
      <c r="H608" s="1"/>
      <c r="I608" s="294"/>
      <c r="J608" s="294"/>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3"/>
      <c r="AJ608" s="1"/>
      <c r="AK608" s="295"/>
      <c r="AL608" s="1"/>
      <c r="AM608" s="1"/>
      <c r="AN608" s="1"/>
      <c r="AO608" s="1"/>
      <c r="AP608" s="1"/>
      <c r="AQ608" s="1"/>
      <c r="AR608" s="1"/>
      <c r="AS608" s="1"/>
      <c r="AT608" s="1"/>
      <c r="AU608" s="1"/>
      <c r="AV608" s="1"/>
      <c r="AW608" s="1"/>
      <c r="AX608" s="1"/>
      <c r="AY608" s="1"/>
      <c r="AZ608" s="1"/>
      <c r="BA608" s="1"/>
      <c r="BB608" s="1"/>
      <c r="BC608" s="1"/>
      <c r="BD608" s="296"/>
      <c r="BE608" s="1"/>
      <c r="BF608" s="1"/>
      <c r="BG608" s="20"/>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row>
    <row r="609" spans="1:115" ht="15.75" customHeight="1">
      <c r="A609" s="1"/>
      <c r="B609" s="1"/>
      <c r="C609" s="1"/>
      <c r="D609" s="1"/>
      <c r="E609" s="1"/>
      <c r="F609" s="1"/>
      <c r="G609" s="1"/>
      <c r="H609" s="1"/>
      <c r="I609" s="294"/>
      <c r="J609" s="294"/>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3"/>
      <c r="AJ609" s="1"/>
      <c r="AK609" s="295"/>
      <c r="AL609" s="1"/>
      <c r="AM609" s="1"/>
      <c r="AN609" s="1"/>
      <c r="AO609" s="1"/>
      <c r="AP609" s="1"/>
      <c r="AQ609" s="1"/>
      <c r="AR609" s="1"/>
      <c r="AS609" s="1"/>
      <c r="AT609" s="1"/>
      <c r="AU609" s="1"/>
      <c r="AV609" s="1"/>
      <c r="AW609" s="1"/>
      <c r="AX609" s="1"/>
      <c r="AY609" s="1"/>
      <c r="AZ609" s="1"/>
      <c r="BA609" s="1"/>
      <c r="BB609" s="1"/>
      <c r="BC609" s="1"/>
      <c r="BD609" s="296"/>
      <c r="BE609" s="1"/>
      <c r="BF609" s="1"/>
      <c r="BG609" s="20"/>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row>
    <row r="610" spans="1:115" ht="15.75" customHeight="1">
      <c r="A610" s="1"/>
      <c r="B610" s="1"/>
      <c r="C610" s="1"/>
      <c r="D610" s="1"/>
      <c r="E610" s="1"/>
      <c r="F610" s="1"/>
      <c r="G610" s="1"/>
      <c r="H610" s="1"/>
      <c r="I610" s="294"/>
      <c r="J610" s="294"/>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3"/>
      <c r="AJ610" s="1"/>
      <c r="AK610" s="295"/>
      <c r="AL610" s="1"/>
      <c r="AM610" s="1"/>
      <c r="AN610" s="1"/>
      <c r="AO610" s="1"/>
      <c r="AP610" s="1"/>
      <c r="AQ610" s="1"/>
      <c r="AR610" s="1"/>
      <c r="AS610" s="1"/>
      <c r="AT610" s="1"/>
      <c r="AU610" s="1"/>
      <c r="AV610" s="1"/>
      <c r="AW610" s="1"/>
      <c r="AX610" s="1"/>
      <c r="AY610" s="1"/>
      <c r="AZ610" s="1"/>
      <c r="BA610" s="1"/>
      <c r="BB610" s="1"/>
      <c r="BC610" s="1"/>
      <c r="BD610" s="296"/>
      <c r="BE610" s="1"/>
      <c r="BF610" s="1"/>
      <c r="BG610" s="20"/>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row>
    <row r="611" spans="1:115" ht="15.75" customHeight="1">
      <c r="A611" s="1"/>
      <c r="B611" s="1"/>
      <c r="C611" s="1"/>
      <c r="D611" s="1"/>
      <c r="E611" s="1"/>
      <c r="F611" s="1"/>
      <c r="G611" s="1"/>
      <c r="H611" s="1"/>
      <c r="I611" s="294"/>
      <c r="J611" s="294"/>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3"/>
      <c r="AJ611" s="1"/>
      <c r="AK611" s="295"/>
      <c r="AL611" s="1"/>
      <c r="AM611" s="1"/>
      <c r="AN611" s="1"/>
      <c r="AO611" s="1"/>
      <c r="AP611" s="1"/>
      <c r="AQ611" s="1"/>
      <c r="AR611" s="1"/>
      <c r="AS611" s="1"/>
      <c r="AT611" s="1"/>
      <c r="AU611" s="1"/>
      <c r="AV611" s="1"/>
      <c r="AW611" s="1"/>
      <c r="AX611" s="1"/>
      <c r="AY611" s="1"/>
      <c r="AZ611" s="1"/>
      <c r="BA611" s="1"/>
      <c r="BB611" s="1"/>
      <c r="BC611" s="1"/>
      <c r="BD611" s="296"/>
      <c r="BE611" s="1"/>
      <c r="BF611" s="1"/>
      <c r="BG611" s="20"/>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row>
    <row r="612" spans="1:115" ht="15.75" customHeight="1">
      <c r="A612" s="1"/>
      <c r="B612" s="1"/>
      <c r="C612" s="1"/>
      <c r="D612" s="1"/>
      <c r="E612" s="1"/>
      <c r="F612" s="1"/>
      <c r="G612" s="1"/>
      <c r="H612" s="1"/>
      <c r="I612" s="294"/>
      <c r="J612" s="294"/>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3"/>
      <c r="AJ612" s="1"/>
      <c r="AK612" s="295"/>
      <c r="AL612" s="1"/>
      <c r="AM612" s="1"/>
      <c r="AN612" s="1"/>
      <c r="AO612" s="1"/>
      <c r="AP612" s="1"/>
      <c r="AQ612" s="1"/>
      <c r="AR612" s="1"/>
      <c r="AS612" s="1"/>
      <c r="AT612" s="1"/>
      <c r="AU612" s="1"/>
      <c r="AV612" s="1"/>
      <c r="AW612" s="1"/>
      <c r="AX612" s="1"/>
      <c r="AY612" s="1"/>
      <c r="AZ612" s="1"/>
      <c r="BA612" s="1"/>
      <c r="BB612" s="1"/>
      <c r="BC612" s="1"/>
      <c r="BD612" s="296"/>
      <c r="BE612" s="1"/>
      <c r="BF612" s="1"/>
      <c r="BG612" s="20"/>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row>
    <row r="613" spans="1:115" ht="15.75" customHeight="1">
      <c r="A613" s="1"/>
      <c r="B613" s="1"/>
      <c r="C613" s="1"/>
      <c r="D613" s="1"/>
      <c r="E613" s="1"/>
      <c r="F613" s="1"/>
      <c r="G613" s="1"/>
      <c r="H613" s="1"/>
      <c r="I613" s="294"/>
      <c r="J613" s="294"/>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3"/>
      <c r="AJ613" s="1"/>
      <c r="AK613" s="295"/>
      <c r="AL613" s="1"/>
      <c r="AM613" s="1"/>
      <c r="AN613" s="1"/>
      <c r="AO613" s="1"/>
      <c r="AP613" s="1"/>
      <c r="AQ613" s="1"/>
      <c r="AR613" s="1"/>
      <c r="AS613" s="1"/>
      <c r="AT613" s="1"/>
      <c r="AU613" s="1"/>
      <c r="AV613" s="1"/>
      <c r="AW613" s="1"/>
      <c r="AX613" s="1"/>
      <c r="AY613" s="1"/>
      <c r="AZ613" s="1"/>
      <c r="BA613" s="1"/>
      <c r="BB613" s="1"/>
      <c r="BC613" s="1"/>
      <c r="BD613" s="296"/>
      <c r="BE613" s="1"/>
      <c r="BF613" s="1"/>
      <c r="BG613" s="20"/>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row>
    <row r="614" spans="1:115" ht="15.75" customHeight="1">
      <c r="A614" s="1"/>
      <c r="B614" s="1"/>
      <c r="C614" s="1"/>
      <c r="D614" s="1"/>
      <c r="E614" s="1"/>
      <c r="F614" s="1"/>
      <c r="G614" s="1"/>
      <c r="H614" s="1"/>
      <c r="I614" s="294"/>
      <c r="J614" s="294"/>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3"/>
      <c r="AJ614" s="1"/>
      <c r="AK614" s="295"/>
      <c r="AL614" s="1"/>
      <c r="AM614" s="1"/>
      <c r="AN614" s="1"/>
      <c r="AO614" s="1"/>
      <c r="AP614" s="1"/>
      <c r="AQ614" s="1"/>
      <c r="AR614" s="1"/>
      <c r="AS614" s="1"/>
      <c r="AT614" s="1"/>
      <c r="AU614" s="1"/>
      <c r="AV614" s="1"/>
      <c r="AW614" s="1"/>
      <c r="AX614" s="1"/>
      <c r="AY614" s="1"/>
      <c r="AZ614" s="1"/>
      <c r="BA614" s="1"/>
      <c r="BB614" s="1"/>
      <c r="BC614" s="1"/>
      <c r="BD614" s="296"/>
      <c r="BE614" s="1"/>
      <c r="BF614" s="1"/>
      <c r="BG614" s="20"/>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row>
    <row r="615" spans="1:115" ht="15.75" customHeight="1">
      <c r="A615" s="1"/>
      <c r="B615" s="1"/>
      <c r="C615" s="1"/>
      <c r="D615" s="1"/>
      <c r="E615" s="1"/>
      <c r="F615" s="1"/>
      <c r="G615" s="1"/>
      <c r="H615" s="1"/>
      <c r="I615" s="294"/>
      <c r="J615" s="294"/>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3"/>
      <c r="AJ615" s="1"/>
      <c r="AK615" s="295"/>
      <c r="AL615" s="1"/>
      <c r="AM615" s="1"/>
      <c r="AN615" s="1"/>
      <c r="AO615" s="1"/>
      <c r="AP615" s="1"/>
      <c r="AQ615" s="1"/>
      <c r="AR615" s="1"/>
      <c r="AS615" s="1"/>
      <c r="AT615" s="1"/>
      <c r="AU615" s="1"/>
      <c r="AV615" s="1"/>
      <c r="AW615" s="1"/>
      <c r="AX615" s="1"/>
      <c r="AY615" s="1"/>
      <c r="AZ615" s="1"/>
      <c r="BA615" s="1"/>
      <c r="BB615" s="1"/>
      <c r="BC615" s="1"/>
      <c r="BD615" s="296"/>
      <c r="BE615" s="1"/>
      <c r="BF615" s="1"/>
      <c r="BG615" s="20"/>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row>
    <row r="616" spans="1:115" ht="15.75" customHeight="1">
      <c r="A616" s="1"/>
      <c r="B616" s="1"/>
      <c r="C616" s="1"/>
      <c r="D616" s="1"/>
      <c r="E616" s="1"/>
      <c r="F616" s="1"/>
      <c r="G616" s="1"/>
      <c r="H616" s="1"/>
      <c r="I616" s="294"/>
      <c r="J616" s="294"/>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3"/>
      <c r="AJ616" s="1"/>
      <c r="AK616" s="295"/>
      <c r="AL616" s="1"/>
      <c r="AM616" s="1"/>
      <c r="AN616" s="1"/>
      <c r="AO616" s="1"/>
      <c r="AP616" s="1"/>
      <c r="AQ616" s="1"/>
      <c r="AR616" s="1"/>
      <c r="AS616" s="1"/>
      <c r="AT616" s="1"/>
      <c r="AU616" s="1"/>
      <c r="AV616" s="1"/>
      <c r="AW616" s="1"/>
      <c r="AX616" s="1"/>
      <c r="AY616" s="1"/>
      <c r="AZ616" s="1"/>
      <c r="BA616" s="1"/>
      <c r="BB616" s="1"/>
      <c r="BC616" s="1"/>
      <c r="BD616" s="296"/>
      <c r="BE616" s="1"/>
      <c r="BF616" s="1"/>
      <c r="BG616" s="20"/>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row>
    <row r="617" spans="1:115" ht="15.75" customHeight="1">
      <c r="A617" s="1"/>
      <c r="B617" s="1"/>
      <c r="C617" s="1"/>
      <c r="D617" s="1"/>
      <c r="E617" s="1"/>
      <c r="F617" s="1"/>
      <c r="G617" s="1"/>
      <c r="H617" s="1"/>
      <c r="I617" s="294"/>
      <c r="J617" s="294"/>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3"/>
      <c r="AJ617" s="1"/>
      <c r="AK617" s="295"/>
      <c r="AL617" s="1"/>
      <c r="AM617" s="1"/>
      <c r="AN617" s="1"/>
      <c r="AO617" s="1"/>
      <c r="AP617" s="1"/>
      <c r="AQ617" s="1"/>
      <c r="AR617" s="1"/>
      <c r="AS617" s="1"/>
      <c r="AT617" s="1"/>
      <c r="AU617" s="1"/>
      <c r="AV617" s="1"/>
      <c r="AW617" s="1"/>
      <c r="AX617" s="1"/>
      <c r="AY617" s="1"/>
      <c r="AZ617" s="1"/>
      <c r="BA617" s="1"/>
      <c r="BB617" s="1"/>
      <c r="BC617" s="1"/>
      <c r="BD617" s="296"/>
      <c r="BE617" s="1"/>
      <c r="BF617" s="1"/>
      <c r="BG617" s="20"/>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row>
    <row r="618" spans="1:115" ht="15.75" customHeight="1">
      <c r="A618" s="1"/>
      <c r="B618" s="1"/>
      <c r="C618" s="1"/>
      <c r="D618" s="1"/>
      <c r="E618" s="1"/>
      <c r="F618" s="1"/>
      <c r="G618" s="1"/>
      <c r="H618" s="1"/>
      <c r="I618" s="294"/>
      <c r="J618" s="294"/>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3"/>
      <c r="AJ618" s="1"/>
      <c r="AK618" s="295"/>
      <c r="AL618" s="1"/>
      <c r="AM618" s="1"/>
      <c r="AN618" s="1"/>
      <c r="AO618" s="1"/>
      <c r="AP618" s="1"/>
      <c r="AQ618" s="1"/>
      <c r="AR618" s="1"/>
      <c r="AS618" s="1"/>
      <c r="AT618" s="1"/>
      <c r="AU618" s="1"/>
      <c r="AV618" s="1"/>
      <c r="AW618" s="1"/>
      <c r="AX618" s="1"/>
      <c r="AY618" s="1"/>
      <c r="AZ618" s="1"/>
      <c r="BA618" s="1"/>
      <c r="BB618" s="1"/>
      <c r="BC618" s="1"/>
      <c r="BD618" s="296"/>
      <c r="BE618" s="1"/>
      <c r="BF618" s="1"/>
      <c r="BG618" s="20"/>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row>
    <row r="619" spans="1:115" ht="15.75" customHeight="1">
      <c r="A619" s="1"/>
      <c r="B619" s="1"/>
      <c r="C619" s="1"/>
      <c r="D619" s="1"/>
      <c r="E619" s="1"/>
      <c r="F619" s="1"/>
      <c r="G619" s="1"/>
      <c r="H619" s="1"/>
      <c r="I619" s="294"/>
      <c r="J619" s="294"/>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3"/>
      <c r="AJ619" s="1"/>
      <c r="AK619" s="295"/>
      <c r="AL619" s="1"/>
      <c r="AM619" s="1"/>
      <c r="AN619" s="1"/>
      <c r="AO619" s="1"/>
      <c r="AP619" s="1"/>
      <c r="AQ619" s="1"/>
      <c r="AR619" s="1"/>
      <c r="AS619" s="1"/>
      <c r="AT619" s="1"/>
      <c r="AU619" s="1"/>
      <c r="AV619" s="1"/>
      <c r="AW619" s="1"/>
      <c r="AX619" s="1"/>
      <c r="AY619" s="1"/>
      <c r="AZ619" s="1"/>
      <c r="BA619" s="1"/>
      <c r="BB619" s="1"/>
      <c r="BC619" s="1"/>
      <c r="BD619" s="296"/>
      <c r="BE619" s="1"/>
      <c r="BF619" s="1"/>
      <c r="BG619" s="20"/>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row>
    <row r="620" spans="1:115" ht="15.75" customHeight="1">
      <c r="A620" s="1"/>
      <c r="B620" s="1"/>
      <c r="C620" s="1"/>
      <c r="D620" s="1"/>
      <c r="E620" s="1"/>
      <c r="F620" s="1"/>
      <c r="G620" s="1"/>
      <c r="H620" s="1"/>
      <c r="I620" s="294"/>
      <c r="J620" s="294"/>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3"/>
      <c r="AJ620" s="1"/>
      <c r="AK620" s="295"/>
      <c r="AL620" s="1"/>
      <c r="AM620" s="1"/>
      <c r="AN620" s="1"/>
      <c r="AO620" s="1"/>
      <c r="AP620" s="1"/>
      <c r="AQ620" s="1"/>
      <c r="AR620" s="1"/>
      <c r="AS620" s="1"/>
      <c r="AT620" s="1"/>
      <c r="AU620" s="1"/>
      <c r="AV620" s="1"/>
      <c r="AW620" s="1"/>
      <c r="AX620" s="1"/>
      <c r="AY620" s="1"/>
      <c r="AZ620" s="1"/>
      <c r="BA620" s="1"/>
      <c r="BB620" s="1"/>
      <c r="BC620" s="1"/>
      <c r="BD620" s="296"/>
      <c r="BE620" s="1"/>
      <c r="BF620" s="1"/>
      <c r="BG620" s="20"/>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row>
    <row r="621" spans="1:115" ht="15.75" customHeight="1">
      <c r="A621" s="1"/>
      <c r="B621" s="1"/>
      <c r="C621" s="1"/>
      <c r="D621" s="1"/>
      <c r="E621" s="1"/>
      <c r="F621" s="1"/>
      <c r="G621" s="1"/>
      <c r="H621" s="1"/>
      <c r="I621" s="294"/>
      <c r="J621" s="294"/>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3"/>
      <c r="AJ621" s="1"/>
      <c r="AK621" s="295"/>
      <c r="AL621" s="1"/>
      <c r="AM621" s="1"/>
      <c r="AN621" s="1"/>
      <c r="AO621" s="1"/>
      <c r="AP621" s="1"/>
      <c r="AQ621" s="1"/>
      <c r="AR621" s="1"/>
      <c r="AS621" s="1"/>
      <c r="AT621" s="1"/>
      <c r="AU621" s="1"/>
      <c r="AV621" s="1"/>
      <c r="AW621" s="1"/>
      <c r="AX621" s="1"/>
      <c r="AY621" s="1"/>
      <c r="AZ621" s="1"/>
      <c r="BA621" s="1"/>
      <c r="BB621" s="1"/>
      <c r="BC621" s="1"/>
      <c r="BD621" s="296"/>
      <c r="BE621" s="1"/>
      <c r="BF621" s="1"/>
      <c r="BG621" s="20"/>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row>
    <row r="622" spans="1:115" ht="15.75" customHeight="1">
      <c r="A622" s="1"/>
      <c r="B622" s="1"/>
      <c r="C622" s="1"/>
      <c r="D622" s="1"/>
      <c r="E622" s="1"/>
      <c r="F622" s="1"/>
      <c r="G622" s="1"/>
      <c r="H622" s="1"/>
      <c r="I622" s="294"/>
      <c r="J622" s="294"/>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3"/>
      <c r="AJ622" s="1"/>
      <c r="AK622" s="295"/>
      <c r="AL622" s="1"/>
      <c r="AM622" s="1"/>
      <c r="AN622" s="1"/>
      <c r="AO622" s="1"/>
      <c r="AP622" s="1"/>
      <c r="AQ622" s="1"/>
      <c r="AR622" s="1"/>
      <c r="AS622" s="1"/>
      <c r="AT622" s="1"/>
      <c r="AU622" s="1"/>
      <c r="AV622" s="1"/>
      <c r="AW622" s="1"/>
      <c r="AX622" s="1"/>
      <c r="AY622" s="1"/>
      <c r="AZ622" s="1"/>
      <c r="BA622" s="1"/>
      <c r="BB622" s="1"/>
      <c r="BC622" s="1"/>
      <c r="BD622" s="296"/>
      <c r="BE622" s="1"/>
      <c r="BF622" s="1"/>
      <c r="BG622" s="20"/>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row>
    <row r="623" spans="1:115" ht="15.75" customHeight="1">
      <c r="A623" s="1"/>
      <c r="B623" s="1"/>
      <c r="C623" s="1"/>
      <c r="D623" s="1"/>
      <c r="E623" s="1"/>
      <c r="F623" s="1"/>
      <c r="G623" s="1"/>
      <c r="H623" s="1"/>
      <c r="I623" s="294"/>
      <c r="J623" s="294"/>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3"/>
      <c r="AJ623" s="1"/>
      <c r="AK623" s="295"/>
      <c r="AL623" s="1"/>
      <c r="AM623" s="1"/>
      <c r="AN623" s="1"/>
      <c r="AO623" s="1"/>
      <c r="AP623" s="1"/>
      <c r="AQ623" s="1"/>
      <c r="AR623" s="1"/>
      <c r="AS623" s="1"/>
      <c r="AT623" s="1"/>
      <c r="AU623" s="1"/>
      <c r="AV623" s="1"/>
      <c r="AW623" s="1"/>
      <c r="AX623" s="1"/>
      <c r="AY623" s="1"/>
      <c r="AZ623" s="1"/>
      <c r="BA623" s="1"/>
      <c r="BB623" s="1"/>
      <c r="BC623" s="1"/>
      <c r="BD623" s="296"/>
      <c r="BE623" s="1"/>
      <c r="BF623" s="1"/>
      <c r="BG623" s="20"/>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row>
    <row r="624" spans="1:115" ht="15.75" customHeight="1">
      <c r="A624" s="1"/>
      <c r="B624" s="1"/>
      <c r="C624" s="1"/>
      <c r="D624" s="1"/>
      <c r="E624" s="1"/>
      <c r="F624" s="1"/>
      <c r="G624" s="1"/>
      <c r="H624" s="1"/>
      <c r="I624" s="294"/>
      <c r="J624" s="294"/>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3"/>
      <c r="AJ624" s="1"/>
      <c r="AK624" s="295"/>
      <c r="AL624" s="1"/>
      <c r="AM624" s="1"/>
      <c r="AN624" s="1"/>
      <c r="AO624" s="1"/>
      <c r="AP624" s="1"/>
      <c r="AQ624" s="1"/>
      <c r="AR624" s="1"/>
      <c r="AS624" s="1"/>
      <c r="AT624" s="1"/>
      <c r="AU624" s="1"/>
      <c r="AV624" s="1"/>
      <c r="AW624" s="1"/>
      <c r="AX624" s="1"/>
      <c r="AY624" s="1"/>
      <c r="AZ624" s="1"/>
      <c r="BA624" s="1"/>
      <c r="BB624" s="1"/>
      <c r="BC624" s="1"/>
      <c r="BD624" s="296"/>
      <c r="BE624" s="1"/>
      <c r="BF624" s="1"/>
      <c r="BG624" s="20"/>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row>
    <row r="625" spans="1:115" ht="15.75" customHeight="1">
      <c r="A625" s="1"/>
      <c r="B625" s="1"/>
      <c r="C625" s="1"/>
      <c r="D625" s="1"/>
      <c r="E625" s="1"/>
      <c r="F625" s="1"/>
      <c r="G625" s="1"/>
      <c r="H625" s="1"/>
      <c r="I625" s="294"/>
      <c r="J625" s="294"/>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3"/>
      <c r="AJ625" s="1"/>
      <c r="AK625" s="295"/>
      <c r="AL625" s="1"/>
      <c r="AM625" s="1"/>
      <c r="AN625" s="1"/>
      <c r="AO625" s="1"/>
      <c r="AP625" s="1"/>
      <c r="AQ625" s="1"/>
      <c r="AR625" s="1"/>
      <c r="AS625" s="1"/>
      <c r="AT625" s="1"/>
      <c r="AU625" s="1"/>
      <c r="AV625" s="1"/>
      <c r="AW625" s="1"/>
      <c r="AX625" s="1"/>
      <c r="AY625" s="1"/>
      <c r="AZ625" s="1"/>
      <c r="BA625" s="1"/>
      <c r="BB625" s="1"/>
      <c r="BC625" s="1"/>
      <c r="BD625" s="296"/>
      <c r="BE625" s="1"/>
      <c r="BF625" s="1"/>
      <c r="BG625" s="20"/>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row>
    <row r="626" spans="1:115" ht="15.75" customHeight="1">
      <c r="A626" s="1"/>
      <c r="B626" s="1"/>
      <c r="C626" s="1"/>
      <c r="D626" s="1"/>
      <c r="E626" s="1"/>
      <c r="F626" s="1"/>
      <c r="G626" s="1"/>
      <c r="H626" s="1"/>
      <c r="I626" s="294"/>
      <c r="J626" s="294"/>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3"/>
      <c r="AJ626" s="1"/>
      <c r="AK626" s="295"/>
      <c r="AL626" s="1"/>
      <c r="AM626" s="1"/>
      <c r="AN626" s="1"/>
      <c r="AO626" s="1"/>
      <c r="AP626" s="1"/>
      <c r="AQ626" s="1"/>
      <c r="AR626" s="1"/>
      <c r="AS626" s="1"/>
      <c r="AT626" s="1"/>
      <c r="AU626" s="1"/>
      <c r="AV626" s="1"/>
      <c r="AW626" s="1"/>
      <c r="AX626" s="1"/>
      <c r="AY626" s="1"/>
      <c r="AZ626" s="1"/>
      <c r="BA626" s="1"/>
      <c r="BB626" s="1"/>
      <c r="BC626" s="1"/>
      <c r="BD626" s="296"/>
      <c r="BE626" s="1"/>
      <c r="BF626" s="1"/>
      <c r="BG626" s="20"/>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row>
    <row r="627" spans="1:115" ht="15.75" customHeight="1">
      <c r="A627" s="1"/>
      <c r="B627" s="1"/>
      <c r="C627" s="1"/>
      <c r="D627" s="1"/>
      <c r="E627" s="1"/>
      <c r="F627" s="1"/>
      <c r="G627" s="1"/>
      <c r="H627" s="1"/>
      <c r="I627" s="294"/>
      <c r="J627" s="294"/>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3"/>
      <c r="AJ627" s="1"/>
      <c r="AK627" s="295"/>
      <c r="AL627" s="1"/>
      <c r="AM627" s="1"/>
      <c r="AN627" s="1"/>
      <c r="AO627" s="1"/>
      <c r="AP627" s="1"/>
      <c r="AQ627" s="1"/>
      <c r="AR627" s="1"/>
      <c r="AS627" s="1"/>
      <c r="AT627" s="1"/>
      <c r="AU627" s="1"/>
      <c r="AV627" s="1"/>
      <c r="AW627" s="1"/>
      <c r="AX627" s="1"/>
      <c r="AY627" s="1"/>
      <c r="AZ627" s="1"/>
      <c r="BA627" s="1"/>
      <c r="BB627" s="1"/>
      <c r="BC627" s="1"/>
      <c r="BD627" s="296"/>
      <c r="BE627" s="1"/>
      <c r="BF627" s="1"/>
      <c r="BG627" s="20"/>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row>
    <row r="628" spans="1:115" ht="15.75" customHeight="1">
      <c r="A628" s="1"/>
      <c r="B628" s="1"/>
      <c r="C628" s="1"/>
      <c r="D628" s="1"/>
      <c r="E628" s="1"/>
      <c r="F628" s="1"/>
      <c r="G628" s="1"/>
      <c r="H628" s="1"/>
      <c r="I628" s="294"/>
      <c r="J628" s="294"/>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3"/>
      <c r="AJ628" s="1"/>
      <c r="AK628" s="295"/>
      <c r="AL628" s="1"/>
      <c r="AM628" s="1"/>
      <c r="AN628" s="1"/>
      <c r="AO628" s="1"/>
      <c r="AP628" s="1"/>
      <c r="AQ628" s="1"/>
      <c r="AR628" s="1"/>
      <c r="AS628" s="1"/>
      <c r="AT628" s="1"/>
      <c r="AU628" s="1"/>
      <c r="AV628" s="1"/>
      <c r="AW628" s="1"/>
      <c r="AX628" s="1"/>
      <c r="AY628" s="1"/>
      <c r="AZ628" s="1"/>
      <c r="BA628" s="1"/>
      <c r="BB628" s="1"/>
      <c r="BC628" s="1"/>
      <c r="BD628" s="296"/>
      <c r="BE628" s="1"/>
      <c r="BF628" s="1"/>
      <c r="BG628" s="20"/>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row>
    <row r="629" spans="1:115" ht="15.75" customHeight="1">
      <c r="A629" s="1"/>
      <c r="B629" s="1"/>
      <c r="C629" s="1"/>
      <c r="D629" s="1"/>
      <c r="E629" s="1"/>
      <c r="F629" s="1"/>
      <c r="G629" s="1"/>
      <c r="H629" s="1"/>
      <c r="I629" s="294"/>
      <c r="J629" s="294"/>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3"/>
      <c r="AJ629" s="1"/>
      <c r="AK629" s="295"/>
      <c r="AL629" s="1"/>
      <c r="AM629" s="1"/>
      <c r="AN629" s="1"/>
      <c r="AO629" s="1"/>
      <c r="AP629" s="1"/>
      <c r="AQ629" s="1"/>
      <c r="AR629" s="1"/>
      <c r="AS629" s="1"/>
      <c r="AT629" s="1"/>
      <c r="AU629" s="1"/>
      <c r="AV629" s="1"/>
      <c r="AW629" s="1"/>
      <c r="AX629" s="1"/>
      <c r="AY629" s="1"/>
      <c r="AZ629" s="1"/>
      <c r="BA629" s="1"/>
      <c r="BB629" s="1"/>
      <c r="BC629" s="1"/>
      <c r="BD629" s="296"/>
      <c r="BE629" s="1"/>
      <c r="BF629" s="1"/>
      <c r="BG629" s="20"/>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row>
    <row r="630" spans="1:115" ht="15.75" customHeight="1">
      <c r="A630" s="1"/>
      <c r="B630" s="1"/>
      <c r="C630" s="1"/>
      <c r="D630" s="1"/>
      <c r="E630" s="1"/>
      <c r="F630" s="1"/>
      <c r="G630" s="1"/>
      <c r="H630" s="1"/>
      <c r="I630" s="294"/>
      <c r="J630" s="294"/>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3"/>
      <c r="AJ630" s="1"/>
      <c r="AK630" s="295"/>
      <c r="AL630" s="1"/>
      <c r="AM630" s="1"/>
      <c r="AN630" s="1"/>
      <c r="AO630" s="1"/>
      <c r="AP630" s="1"/>
      <c r="AQ630" s="1"/>
      <c r="AR630" s="1"/>
      <c r="AS630" s="1"/>
      <c r="AT630" s="1"/>
      <c r="AU630" s="1"/>
      <c r="AV630" s="1"/>
      <c r="AW630" s="1"/>
      <c r="AX630" s="1"/>
      <c r="AY630" s="1"/>
      <c r="AZ630" s="1"/>
      <c r="BA630" s="1"/>
      <c r="BB630" s="1"/>
      <c r="BC630" s="1"/>
      <c r="BD630" s="296"/>
      <c r="BE630" s="1"/>
      <c r="BF630" s="1"/>
      <c r="BG630" s="20"/>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row>
    <row r="631" spans="1:115" ht="15.75" customHeight="1">
      <c r="A631" s="1"/>
      <c r="B631" s="1"/>
      <c r="C631" s="1"/>
      <c r="D631" s="1"/>
      <c r="E631" s="1"/>
      <c r="F631" s="1"/>
      <c r="G631" s="1"/>
      <c r="H631" s="1"/>
      <c r="I631" s="294"/>
      <c r="J631" s="294"/>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3"/>
      <c r="AJ631" s="1"/>
      <c r="AK631" s="295"/>
      <c r="AL631" s="1"/>
      <c r="AM631" s="1"/>
      <c r="AN631" s="1"/>
      <c r="AO631" s="1"/>
      <c r="AP631" s="1"/>
      <c r="AQ631" s="1"/>
      <c r="AR631" s="1"/>
      <c r="AS631" s="1"/>
      <c r="AT631" s="1"/>
      <c r="AU631" s="1"/>
      <c r="AV631" s="1"/>
      <c r="AW631" s="1"/>
      <c r="AX631" s="1"/>
      <c r="AY631" s="1"/>
      <c r="AZ631" s="1"/>
      <c r="BA631" s="1"/>
      <c r="BB631" s="1"/>
      <c r="BC631" s="1"/>
      <c r="BD631" s="296"/>
      <c r="BE631" s="1"/>
      <c r="BF631" s="1"/>
      <c r="BG631" s="20"/>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row>
    <row r="632" spans="1:115" ht="15.75" customHeight="1">
      <c r="A632" s="1"/>
      <c r="B632" s="1"/>
      <c r="C632" s="1"/>
      <c r="D632" s="1"/>
      <c r="E632" s="1"/>
      <c r="F632" s="1"/>
      <c r="G632" s="1"/>
      <c r="H632" s="1"/>
      <c r="I632" s="294"/>
      <c r="J632" s="294"/>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3"/>
      <c r="AJ632" s="1"/>
      <c r="AK632" s="295"/>
      <c r="AL632" s="1"/>
      <c r="AM632" s="1"/>
      <c r="AN632" s="1"/>
      <c r="AO632" s="1"/>
      <c r="AP632" s="1"/>
      <c r="AQ632" s="1"/>
      <c r="AR632" s="1"/>
      <c r="AS632" s="1"/>
      <c r="AT632" s="1"/>
      <c r="AU632" s="1"/>
      <c r="AV632" s="1"/>
      <c r="AW632" s="1"/>
      <c r="AX632" s="1"/>
      <c r="AY632" s="1"/>
      <c r="AZ632" s="1"/>
      <c r="BA632" s="1"/>
      <c r="BB632" s="1"/>
      <c r="BC632" s="1"/>
      <c r="BD632" s="296"/>
      <c r="BE632" s="1"/>
      <c r="BF632" s="1"/>
      <c r="BG632" s="20"/>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row>
    <row r="633" spans="1:115" ht="15.75" customHeight="1">
      <c r="A633" s="1"/>
      <c r="B633" s="1"/>
      <c r="C633" s="1"/>
      <c r="D633" s="1"/>
      <c r="E633" s="1"/>
      <c r="F633" s="1"/>
      <c r="G633" s="1"/>
      <c r="H633" s="1"/>
      <c r="I633" s="294"/>
      <c r="J633" s="294"/>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3"/>
      <c r="AJ633" s="1"/>
      <c r="AK633" s="295"/>
      <c r="AL633" s="1"/>
      <c r="AM633" s="1"/>
      <c r="AN633" s="1"/>
      <c r="AO633" s="1"/>
      <c r="AP633" s="1"/>
      <c r="AQ633" s="1"/>
      <c r="AR633" s="1"/>
      <c r="AS633" s="1"/>
      <c r="AT633" s="1"/>
      <c r="AU633" s="1"/>
      <c r="AV633" s="1"/>
      <c r="AW633" s="1"/>
      <c r="AX633" s="1"/>
      <c r="AY633" s="1"/>
      <c r="AZ633" s="1"/>
      <c r="BA633" s="1"/>
      <c r="BB633" s="1"/>
      <c r="BC633" s="1"/>
      <c r="BD633" s="296"/>
      <c r="BE633" s="1"/>
      <c r="BF633" s="1"/>
      <c r="BG633" s="20"/>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row>
    <row r="634" spans="1:115" ht="15.75" customHeight="1">
      <c r="A634" s="1"/>
      <c r="B634" s="1"/>
      <c r="C634" s="1"/>
      <c r="D634" s="1"/>
      <c r="E634" s="1"/>
      <c r="F634" s="1"/>
      <c r="G634" s="1"/>
      <c r="H634" s="1"/>
      <c r="I634" s="294"/>
      <c r="J634" s="294"/>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3"/>
      <c r="AJ634" s="1"/>
      <c r="AK634" s="295"/>
      <c r="AL634" s="1"/>
      <c r="AM634" s="1"/>
      <c r="AN634" s="1"/>
      <c r="AO634" s="1"/>
      <c r="AP634" s="1"/>
      <c r="AQ634" s="1"/>
      <c r="AR634" s="1"/>
      <c r="AS634" s="1"/>
      <c r="AT634" s="1"/>
      <c r="AU634" s="1"/>
      <c r="AV634" s="1"/>
      <c r="AW634" s="1"/>
      <c r="AX634" s="1"/>
      <c r="AY634" s="1"/>
      <c r="AZ634" s="1"/>
      <c r="BA634" s="1"/>
      <c r="BB634" s="1"/>
      <c r="BC634" s="1"/>
      <c r="BD634" s="296"/>
      <c r="BE634" s="1"/>
      <c r="BF634" s="1"/>
      <c r="BG634" s="20"/>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row>
    <row r="635" spans="1:115" ht="15.75" customHeight="1">
      <c r="A635" s="1"/>
      <c r="B635" s="1"/>
      <c r="C635" s="1"/>
      <c r="D635" s="1"/>
      <c r="E635" s="1"/>
      <c r="F635" s="1"/>
      <c r="G635" s="1"/>
      <c r="H635" s="1"/>
      <c r="I635" s="294"/>
      <c r="J635" s="294"/>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3"/>
      <c r="AJ635" s="1"/>
      <c r="AK635" s="295"/>
      <c r="AL635" s="1"/>
      <c r="AM635" s="1"/>
      <c r="AN635" s="1"/>
      <c r="AO635" s="1"/>
      <c r="AP635" s="1"/>
      <c r="AQ635" s="1"/>
      <c r="AR635" s="1"/>
      <c r="AS635" s="1"/>
      <c r="AT635" s="1"/>
      <c r="AU635" s="1"/>
      <c r="AV635" s="1"/>
      <c r="AW635" s="1"/>
      <c r="AX635" s="1"/>
      <c r="AY635" s="1"/>
      <c r="AZ635" s="1"/>
      <c r="BA635" s="1"/>
      <c r="BB635" s="1"/>
      <c r="BC635" s="1"/>
      <c r="BD635" s="296"/>
      <c r="BE635" s="1"/>
      <c r="BF635" s="1"/>
      <c r="BG635" s="20"/>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row>
    <row r="636" spans="1:115" ht="15.75" customHeight="1">
      <c r="A636" s="1"/>
      <c r="B636" s="1"/>
      <c r="C636" s="1"/>
      <c r="D636" s="1"/>
      <c r="E636" s="1"/>
      <c r="F636" s="1"/>
      <c r="G636" s="1"/>
      <c r="H636" s="1"/>
      <c r="I636" s="294"/>
      <c r="J636" s="294"/>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3"/>
      <c r="AJ636" s="1"/>
      <c r="AK636" s="295"/>
      <c r="AL636" s="1"/>
      <c r="AM636" s="1"/>
      <c r="AN636" s="1"/>
      <c r="AO636" s="1"/>
      <c r="AP636" s="1"/>
      <c r="AQ636" s="1"/>
      <c r="AR636" s="1"/>
      <c r="AS636" s="1"/>
      <c r="AT636" s="1"/>
      <c r="AU636" s="1"/>
      <c r="AV636" s="1"/>
      <c r="AW636" s="1"/>
      <c r="AX636" s="1"/>
      <c r="AY636" s="1"/>
      <c r="AZ636" s="1"/>
      <c r="BA636" s="1"/>
      <c r="BB636" s="1"/>
      <c r="BC636" s="1"/>
      <c r="BD636" s="296"/>
      <c r="BE636" s="1"/>
      <c r="BF636" s="1"/>
      <c r="BG636" s="20"/>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row>
    <row r="637" spans="1:115" ht="15.75" customHeight="1">
      <c r="A637" s="1"/>
      <c r="B637" s="1"/>
      <c r="C637" s="1"/>
      <c r="D637" s="1"/>
      <c r="E637" s="1"/>
      <c r="F637" s="1"/>
      <c r="G637" s="1"/>
      <c r="H637" s="1"/>
      <c r="I637" s="294"/>
      <c r="J637" s="294"/>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3"/>
      <c r="AJ637" s="1"/>
      <c r="AK637" s="295"/>
      <c r="AL637" s="1"/>
      <c r="AM637" s="1"/>
      <c r="AN637" s="1"/>
      <c r="AO637" s="1"/>
      <c r="AP637" s="1"/>
      <c r="AQ637" s="1"/>
      <c r="AR637" s="1"/>
      <c r="AS637" s="1"/>
      <c r="AT637" s="1"/>
      <c r="AU637" s="1"/>
      <c r="AV637" s="1"/>
      <c r="AW637" s="1"/>
      <c r="AX637" s="1"/>
      <c r="AY637" s="1"/>
      <c r="AZ637" s="1"/>
      <c r="BA637" s="1"/>
      <c r="BB637" s="1"/>
      <c r="BC637" s="1"/>
      <c r="BD637" s="296"/>
      <c r="BE637" s="1"/>
      <c r="BF637" s="1"/>
      <c r="BG637" s="20"/>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row>
    <row r="638" spans="1:115" ht="15.75" customHeight="1">
      <c r="A638" s="1"/>
      <c r="B638" s="1"/>
      <c r="C638" s="1"/>
      <c r="D638" s="1"/>
      <c r="E638" s="1"/>
      <c r="F638" s="1"/>
      <c r="G638" s="1"/>
      <c r="H638" s="1"/>
      <c r="I638" s="294"/>
      <c r="J638" s="294"/>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3"/>
      <c r="AJ638" s="1"/>
      <c r="AK638" s="295"/>
      <c r="AL638" s="1"/>
      <c r="AM638" s="1"/>
      <c r="AN638" s="1"/>
      <c r="AO638" s="1"/>
      <c r="AP638" s="1"/>
      <c r="AQ638" s="1"/>
      <c r="AR638" s="1"/>
      <c r="AS638" s="1"/>
      <c r="AT638" s="1"/>
      <c r="AU638" s="1"/>
      <c r="AV638" s="1"/>
      <c r="AW638" s="1"/>
      <c r="AX638" s="1"/>
      <c r="AY638" s="1"/>
      <c r="AZ638" s="1"/>
      <c r="BA638" s="1"/>
      <c r="BB638" s="1"/>
      <c r="BC638" s="1"/>
      <c r="BD638" s="296"/>
      <c r="BE638" s="1"/>
      <c r="BF638" s="1"/>
      <c r="BG638" s="20"/>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row>
    <row r="639" spans="1:115" ht="15.75" customHeight="1">
      <c r="A639" s="1"/>
      <c r="B639" s="1"/>
      <c r="C639" s="1"/>
      <c r="D639" s="1"/>
      <c r="E639" s="1"/>
      <c r="F639" s="1"/>
      <c r="G639" s="1"/>
      <c r="H639" s="1"/>
      <c r="I639" s="294"/>
      <c r="J639" s="294"/>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3"/>
      <c r="AJ639" s="1"/>
      <c r="AK639" s="295"/>
      <c r="AL639" s="1"/>
      <c r="AM639" s="1"/>
      <c r="AN639" s="1"/>
      <c r="AO639" s="1"/>
      <c r="AP639" s="1"/>
      <c r="AQ639" s="1"/>
      <c r="AR639" s="1"/>
      <c r="AS639" s="1"/>
      <c r="AT639" s="1"/>
      <c r="AU639" s="1"/>
      <c r="AV639" s="1"/>
      <c r="AW639" s="1"/>
      <c r="AX639" s="1"/>
      <c r="AY639" s="1"/>
      <c r="AZ639" s="1"/>
      <c r="BA639" s="1"/>
      <c r="BB639" s="1"/>
      <c r="BC639" s="1"/>
      <c r="BD639" s="296"/>
      <c r="BE639" s="1"/>
      <c r="BF639" s="1"/>
      <c r="BG639" s="20"/>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row>
    <row r="640" spans="1:115" ht="15.75" customHeight="1">
      <c r="A640" s="1"/>
      <c r="B640" s="1"/>
      <c r="C640" s="1"/>
      <c r="D640" s="1"/>
      <c r="E640" s="1"/>
      <c r="F640" s="1"/>
      <c r="G640" s="1"/>
      <c r="H640" s="1"/>
      <c r="I640" s="294"/>
      <c r="J640" s="294"/>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3"/>
      <c r="AJ640" s="1"/>
      <c r="AK640" s="295"/>
      <c r="AL640" s="1"/>
      <c r="AM640" s="1"/>
      <c r="AN640" s="1"/>
      <c r="AO640" s="1"/>
      <c r="AP640" s="1"/>
      <c r="AQ640" s="1"/>
      <c r="AR640" s="1"/>
      <c r="AS640" s="1"/>
      <c r="AT640" s="1"/>
      <c r="AU640" s="1"/>
      <c r="AV640" s="1"/>
      <c r="AW640" s="1"/>
      <c r="AX640" s="1"/>
      <c r="AY640" s="1"/>
      <c r="AZ640" s="1"/>
      <c r="BA640" s="1"/>
      <c r="BB640" s="1"/>
      <c r="BC640" s="1"/>
      <c r="BD640" s="296"/>
      <c r="BE640" s="1"/>
      <c r="BF640" s="1"/>
      <c r="BG640" s="20"/>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row>
    <row r="641" spans="1:115" ht="15.75" customHeight="1">
      <c r="A641" s="1"/>
      <c r="B641" s="1"/>
      <c r="C641" s="1"/>
      <c r="D641" s="1"/>
      <c r="E641" s="1"/>
      <c r="F641" s="1"/>
      <c r="G641" s="1"/>
      <c r="H641" s="1"/>
      <c r="I641" s="294"/>
      <c r="J641" s="294"/>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3"/>
      <c r="AJ641" s="1"/>
      <c r="AK641" s="295"/>
      <c r="AL641" s="1"/>
      <c r="AM641" s="1"/>
      <c r="AN641" s="1"/>
      <c r="AO641" s="1"/>
      <c r="AP641" s="1"/>
      <c r="AQ641" s="1"/>
      <c r="AR641" s="1"/>
      <c r="AS641" s="1"/>
      <c r="AT641" s="1"/>
      <c r="AU641" s="1"/>
      <c r="AV641" s="1"/>
      <c r="AW641" s="1"/>
      <c r="AX641" s="1"/>
      <c r="AY641" s="1"/>
      <c r="AZ641" s="1"/>
      <c r="BA641" s="1"/>
      <c r="BB641" s="1"/>
      <c r="BC641" s="1"/>
      <c r="BD641" s="296"/>
      <c r="BE641" s="1"/>
      <c r="BF641" s="1"/>
      <c r="BG641" s="20"/>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row>
    <row r="642" spans="1:115" ht="15.75" customHeight="1">
      <c r="A642" s="1"/>
      <c r="B642" s="1"/>
      <c r="C642" s="1"/>
      <c r="D642" s="1"/>
      <c r="E642" s="1"/>
      <c r="F642" s="1"/>
      <c r="G642" s="1"/>
      <c r="H642" s="1"/>
      <c r="I642" s="294"/>
      <c r="J642" s="294"/>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3"/>
      <c r="AJ642" s="1"/>
      <c r="AK642" s="295"/>
      <c r="AL642" s="1"/>
      <c r="AM642" s="1"/>
      <c r="AN642" s="1"/>
      <c r="AO642" s="1"/>
      <c r="AP642" s="1"/>
      <c r="AQ642" s="1"/>
      <c r="AR642" s="1"/>
      <c r="AS642" s="1"/>
      <c r="AT642" s="1"/>
      <c r="AU642" s="1"/>
      <c r="AV642" s="1"/>
      <c r="AW642" s="1"/>
      <c r="AX642" s="1"/>
      <c r="AY642" s="1"/>
      <c r="AZ642" s="1"/>
      <c r="BA642" s="1"/>
      <c r="BB642" s="1"/>
      <c r="BC642" s="1"/>
      <c r="BD642" s="296"/>
      <c r="BE642" s="1"/>
      <c r="BF642" s="1"/>
      <c r="BG642" s="20"/>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row>
    <row r="643" spans="1:115" ht="15.75" customHeight="1">
      <c r="A643" s="1"/>
      <c r="B643" s="1"/>
      <c r="C643" s="1"/>
      <c r="D643" s="1"/>
      <c r="E643" s="1"/>
      <c r="F643" s="1"/>
      <c r="G643" s="1"/>
      <c r="H643" s="1"/>
      <c r="I643" s="294"/>
      <c r="J643" s="294"/>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3"/>
      <c r="AJ643" s="1"/>
      <c r="AK643" s="295"/>
      <c r="AL643" s="1"/>
      <c r="AM643" s="1"/>
      <c r="AN643" s="1"/>
      <c r="AO643" s="1"/>
      <c r="AP643" s="1"/>
      <c r="AQ643" s="1"/>
      <c r="AR643" s="1"/>
      <c r="AS643" s="1"/>
      <c r="AT643" s="1"/>
      <c r="AU643" s="1"/>
      <c r="AV643" s="1"/>
      <c r="AW643" s="1"/>
      <c r="AX643" s="1"/>
      <c r="AY643" s="1"/>
      <c r="AZ643" s="1"/>
      <c r="BA643" s="1"/>
      <c r="BB643" s="1"/>
      <c r="BC643" s="1"/>
      <c r="BD643" s="296"/>
      <c r="BE643" s="1"/>
      <c r="BF643" s="1"/>
      <c r="BG643" s="20"/>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row>
    <row r="644" spans="1:115" ht="15.75" customHeight="1">
      <c r="A644" s="1"/>
      <c r="B644" s="1"/>
      <c r="C644" s="1"/>
      <c r="D644" s="1"/>
      <c r="E644" s="1"/>
      <c r="F644" s="1"/>
      <c r="G644" s="1"/>
      <c r="H644" s="1"/>
      <c r="I644" s="294"/>
      <c r="J644" s="294"/>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3"/>
      <c r="AJ644" s="1"/>
      <c r="AK644" s="295"/>
      <c r="AL644" s="1"/>
      <c r="AM644" s="1"/>
      <c r="AN644" s="1"/>
      <c r="AO644" s="1"/>
      <c r="AP644" s="1"/>
      <c r="AQ644" s="1"/>
      <c r="AR644" s="1"/>
      <c r="AS644" s="1"/>
      <c r="AT644" s="1"/>
      <c r="AU644" s="1"/>
      <c r="AV644" s="1"/>
      <c r="AW644" s="1"/>
      <c r="AX644" s="1"/>
      <c r="AY644" s="1"/>
      <c r="AZ644" s="1"/>
      <c r="BA644" s="1"/>
      <c r="BB644" s="1"/>
      <c r="BC644" s="1"/>
      <c r="BD644" s="296"/>
      <c r="BE644" s="1"/>
      <c r="BF644" s="1"/>
      <c r="BG644" s="20"/>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row>
    <row r="645" spans="1:115" ht="15.75" customHeight="1">
      <c r="A645" s="1"/>
      <c r="B645" s="1"/>
      <c r="C645" s="1"/>
      <c r="D645" s="1"/>
      <c r="E645" s="1"/>
      <c r="F645" s="1"/>
      <c r="G645" s="1"/>
      <c r="H645" s="1"/>
      <c r="I645" s="294"/>
      <c r="J645" s="294"/>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3"/>
      <c r="AJ645" s="1"/>
      <c r="AK645" s="295"/>
      <c r="AL645" s="1"/>
      <c r="AM645" s="1"/>
      <c r="AN645" s="1"/>
      <c r="AO645" s="1"/>
      <c r="AP645" s="1"/>
      <c r="AQ645" s="1"/>
      <c r="AR645" s="1"/>
      <c r="AS645" s="1"/>
      <c r="AT645" s="1"/>
      <c r="AU645" s="1"/>
      <c r="AV645" s="1"/>
      <c r="AW645" s="1"/>
      <c r="AX645" s="1"/>
      <c r="AY645" s="1"/>
      <c r="AZ645" s="1"/>
      <c r="BA645" s="1"/>
      <c r="BB645" s="1"/>
      <c r="BC645" s="1"/>
      <c r="BD645" s="296"/>
      <c r="BE645" s="1"/>
      <c r="BF645" s="1"/>
      <c r="BG645" s="20"/>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row>
    <row r="646" spans="1:115" ht="15.75" customHeight="1">
      <c r="A646" s="1"/>
      <c r="B646" s="1"/>
      <c r="C646" s="1"/>
      <c r="D646" s="1"/>
      <c r="E646" s="1"/>
      <c r="F646" s="1"/>
      <c r="G646" s="1"/>
      <c r="H646" s="1"/>
      <c r="I646" s="294"/>
      <c r="J646" s="294"/>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3"/>
      <c r="AJ646" s="1"/>
      <c r="AK646" s="295"/>
      <c r="AL646" s="1"/>
      <c r="AM646" s="1"/>
      <c r="AN646" s="1"/>
      <c r="AO646" s="1"/>
      <c r="AP646" s="1"/>
      <c r="AQ646" s="1"/>
      <c r="AR646" s="1"/>
      <c r="AS646" s="1"/>
      <c r="AT646" s="1"/>
      <c r="AU646" s="1"/>
      <c r="AV646" s="1"/>
      <c r="AW646" s="1"/>
      <c r="AX646" s="1"/>
      <c r="AY646" s="1"/>
      <c r="AZ646" s="1"/>
      <c r="BA646" s="1"/>
      <c r="BB646" s="1"/>
      <c r="BC646" s="1"/>
      <c r="BD646" s="296"/>
      <c r="BE646" s="1"/>
      <c r="BF646" s="1"/>
      <c r="BG646" s="20"/>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row>
    <row r="647" spans="1:115" ht="15.75" customHeight="1">
      <c r="A647" s="1"/>
      <c r="B647" s="1"/>
      <c r="C647" s="1"/>
      <c r="D647" s="1"/>
      <c r="E647" s="1"/>
      <c r="F647" s="1"/>
      <c r="G647" s="1"/>
      <c r="H647" s="1"/>
      <c r="I647" s="294"/>
      <c r="J647" s="294"/>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3"/>
      <c r="AJ647" s="1"/>
      <c r="AK647" s="295"/>
      <c r="AL647" s="1"/>
      <c r="AM647" s="1"/>
      <c r="AN647" s="1"/>
      <c r="AO647" s="1"/>
      <c r="AP647" s="1"/>
      <c r="AQ647" s="1"/>
      <c r="AR647" s="1"/>
      <c r="AS647" s="1"/>
      <c r="AT647" s="1"/>
      <c r="AU647" s="1"/>
      <c r="AV647" s="1"/>
      <c r="AW647" s="1"/>
      <c r="AX647" s="1"/>
      <c r="AY647" s="1"/>
      <c r="AZ647" s="1"/>
      <c r="BA647" s="1"/>
      <c r="BB647" s="1"/>
      <c r="BC647" s="1"/>
      <c r="BD647" s="296"/>
      <c r="BE647" s="1"/>
      <c r="BF647" s="1"/>
      <c r="BG647" s="20"/>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row>
    <row r="648" spans="1:115" ht="15.75" customHeight="1">
      <c r="A648" s="1"/>
      <c r="B648" s="1"/>
      <c r="C648" s="1"/>
      <c r="D648" s="1"/>
      <c r="E648" s="1"/>
      <c r="F648" s="1"/>
      <c r="G648" s="1"/>
      <c r="H648" s="1"/>
      <c r="I648" s="294"/>
      <c r="J648" s="294"/>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3"/>
      <c r="AJ648" s="1"/>
      <c r="AK648" s="295"/>
      <c r="AL648" s="1"/>
      <c r="AM648" s="1"/>
      <c r="AN648" s="1"/>
      <c r="AO648" s="1"/>
      <c r="AP648" s="1"/>
      <c r="AQ648" s="1"/>
      <c r="AR648" s="1"/>
      <c r="AS648" s="1"/>
      <c r="AT648" s="1"/>
      <c r="AU648" s="1"/>
      <c r="AV648" s="1"/>
      <c r="AW648" s="1"/>
      <c r="AX648" s="1"/>
      <c r="AY648" s="1"/>
      <c r="AZ648" s="1"/>
      <c r="BA648" s="1"/>
      <c r="BB648" s="1"/>
      <c r="BC648" s="1"/>
      <c r="BD648" s="296"/>
      <c r="BE648" s="1"/>
      <c r="BF648" s="1"/>
      <c r="BG648" s="20"/>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row>
    <row r="649" spans="1:115" ht="15.75" customHeight="1">
      <c r="A649" s="1"/>
      <c r="B649" s="1"/>
      <c r="C649" s="1"/>
      <c r="D649" s="1"/>
      <c r="E649" s="1"/>
      <c r="F649" s="1"/>
      <c r="G649" s="1"/>
      <c r="H649" s="1"/>
      <c r="I649" s="294"/>
      <c r="J649" s="294"/>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3"/>
      <c r="AJ649" s="1"/>
      <c r="AK649" s="295"/>
      <c r="AL649" s="1"/>
      <c r="AM649" s="1"/>
      <c r="AN649" s="1"/>
      <c r="AO649" s="1"/>
      <c r="AP649" s="1"/>
      <c r="AQ649" s="1"/>
      <c r="AR649" s="1"/>
      <c r="AS649" s="1"/>
      <c r="AT649" s="1"/>
      <c r="AU649" s="1"/>
      <c r="AV649" s="1"/>
      <c r="AW649" s="1"/>
      <c r="AX649" s="1"/>
      <c r="AY649" s="1"/>
      <c r="AZ649" s="1"/>
      <c r="BA649" s="1"/>
      <c r="BB649" s="1"/>
      <c r="BC649" s="1"/>
      <c r="BD649" s="296"/>
      <c r="BE649" s="1"/>
      <c r="BF649" s="1"/>
      <c r="BG649" s="20"/>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row>
    <row r="650" spans="1:115" ht="15.75" customHeight="1">
      <c r="A650" s="1"/>
      <c r="B650" s="1"/>
      <c r="C650" s="1"/>
      <c r="D650" s="1"/>
      <c r="E650" s="1"/>
      <c r="F650" s="1"/>
      <c r="G650" s="1"/>
      <c r="H650" s="1"/>
      <c r="I650" s="294"/>
      <c r="J650" s="294"/>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3"/>
      <c r="AJ650" s="1"/>
      <c r="AK650" s="295"/>
      <c r="AL650" s="1"/>
      <c r="AM650" s="1"/>
      <c r="AN650" s="1"/>
      <c r="AO650" s="1"/>
      <c r="AP650" s="1"/>
      <c r="AQ650" s="1"/>
      <c r="AR650" s="1"/>
      <c r="AS650" s="1"/>
      <c r="AT650" s="1"/>
      <c r="AU650" s="1"/>
      <c r="AV650" s="1"/>
      <c r="AW650" s="1"/>
      <c r="AX650" s="1"/>
      <c r="AY650" s="1"/>
      <c r="AZ650" s="1"/>
      <c r="BA650" s="1"/>
      <c r="BB650" s="1"/>
      <c r="BC650" s="1"/>
      <c r="BD650" s="296"/>
      <c r="BE650" s="1"/>
      <c r="BF650" s="1"/>
      <c r="BG650" s="20"/>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row>
    <row r="651" spans="1:115" ht="15.75" customHeight="1">
      <c r="A651" s="1"/>
      <c r="B651" s="1"/>
      <c r="C651" s="1"/>
      <c r="D651" s="1"/>
      <c r="E651" s="1"/>
      <c r="F651" s="1"/>
      <c r="G651" s="1"/>
      <c r="H651" s="1"/>
      <c r="I651" s="294"/>
      <c r="J651" s="294"/>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3"/>
      <c r="AJ651" s="1"/>
      <c r="AK651" s="295"/>
      <c r="AL651" s="1"/>
      <c r="AM651" s="1"/>
      <c r="AN651" s="1"/>
      <c r="AO651" s="1"/>
      <c r="AP651" s="1"/>
      <c r="AQ651" s="1"/>
      <c r="AR651" s="1"/>
      <c r="AS651" s="1"/>
      <c r="AT651" s="1"/>
      <c r="AU651" s="1"/>
      <c r="AV651" s="1"/>
      <c r="AW651" s="1"/>
      <c r="AX651" s="1"/>
      <c r="AY651" s="1"/>
      <c r="AZ651" s="1"/>
      <c r="BA651" s="1"/>
      <c r="BB651" s="1"/>
      <c r="BC651" s="1"/>
      <c r="BD651" s="296"/>
      <c r="BE651" s="1"/>
      <c r="BF651" s="1"/>
      <c r="BG651" s="20"/>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row>
    <row r="652" spans="1:115" ht="15.75" customHeight="1">
      <c r="A652" s="1"/>
      <c r="B652" s="1"/>
      <c r="C652" s="1"/>
      <c r="D652" s="1"/>
      <c r="E652" s="1"/>
      <c r="F652" s="1"/>
      <c r="G652" s="1"/>
      <c r="H652" s="1"/>
      <c r="I652" s="294"/>
      <c r="J652" s="294"/>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3"/>
      <c r="AJ652" s="1"/>
      <c r="AK652" s="295"/>
      <c r="AL652" s="1"/>
      <c r="AM652" s="1"/>
      <c r="AN652" s="1"/>
      <c r="AO652" s="1"/>
      <c r="AP652" s="1"/>
      <c r="AQ652" s="1"/>
      <c r="AR652" s="1"/>
      <c r="AS652" s="1"/>
      <c r="AT652" s="1"/>
      <c r="AU652" s="1"/>
      <c r="AV652" s="1"/>
      <c r="AW652" s="1"/>
      <c r="AX652" s="1"/>
      <c r="AY652" s="1"/>
      <c r="AZ652" s="1"/>
      <c r="BA652" s="1"/>
      <c r="BB652" s="1"/>
      <c r="BC652" s="1"/>
      <c r="BD652" s="296"/>
      <c r="BE652" s="1"/>
      <c r="BF652" s="1"/>
      <c r="BG652" s="20"/>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row>
    <row r="653" spans="1:115" ht="15.75" customHeight="1">
      <c r="A653" s="1"/>
      <c r="B653" s="1"/>
      <c r="C653" s="1"/>
      <c r="D653" s="1"/>
      <c r="E653" s="1"/>
      <c r="F653" s="1"/>
      <c r="G653" s="1"/>
      <c r="H653" s="1"/>
      <c r="I653" s="294"/>
      <c r="J653" s="294"/>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3"/>
      <c r="AJ653" s="1"/>
      <c r="AK653" s="295"/>
      <c r="AL653" s="1"/>
      <c r="AM653" s="1"/>
      <c r="AN653" s="1"/>
      <c r="AO653" s="1"/>
      <c r="AP653" s="1"/>
      <c r="AQ653" s="1"/>
      <c r="AR653" s="1"/>
      <c r="AS653" s="1"/>
      <c r="AT653" s="1"/>
      <c r="AU653" s="1"/>
      <c r="AV653" s="1"/>
      <c r="AW653" s="1"/>
      <c r="AX653" s="1"/>
      <c r="AY653" s="1"/>
      <c r="AZ653" s="1"/>
      <c r="BA653" s="1"/>
      <c r="BB653" s="1"/>
      <c r="BC653" s="1"/>
      <c r="BD653" s="296"/>
      <c r="BE653" s="1"/>
      <c r="BF653" s="1"/>
      <c r="BG653" s="20"/>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row>
    <row r="654" spans="1:115" ht="15.75" customHeight="1">
      <c r="A654" s="1"/>
      <c r="B654" s="1"/>
      <c r="C654" s="1"/>
      <c r="D654" s="1"/>
      <c r="E654" s="1"/>
      <c r="F654" s="1"/>
      <c r="G654" s="1"/>
      <c r="H654" s="1"/>
      <c r="I654" s="294"/>
      <c r="J654" s="294"/>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3"/>
      <c r="AJ654" s="1"/>
      <c r="AK654" s="295"/>
      <c r="AL654" s="1"/>
      <c r="AM654" s="1"/>
      <c r="AN654" s="1"/>
      <c r="AO654" s="1"/>
      <c r="AP654" s="1"/>
      <c r="AQ654" s="1"/>
      <c r="AR654" s="1"/>
      <c r="AS654" s="1"/>
      <c r="AT654" s="1"/>
      <c r="AU654" s="1"/>
      <c r="AV654" s="1"/>
      <c r="AW654" s="1"/>
      <c r="AX654" s="1"/>
      <c r="AY654" s="1"/>
      <c r="AZ654" s="1"/>
      <c r="BA654" s="1"/>
      <c r="BB654" s="1"/>
      <c r="BC654" s="1"/>
      <c r="BD654" s="296"/>
      <c r="BE654" s="1"/>
      <c r="BF654" s="1"/>
      <c r="BG654" s="20"/>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row>
    <row r="655" spans="1:115" ht="15.75" customHeight="1">
      <c r="A655" s="1"/>
      <c r="B655" s="1"/>
      <c r="C655" s="1"/>
      <c r="D655" s="1"/>
      <c r="E655" s="1"/>
      <c r="F655" s="1"/>
      <c r="G655" s="1"/>
      <c r="H655" s="1"/>
      <c r="I655" s="294"/>
      <c r="J655" s="294"/>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3"/>
      <c r="AJ655" s="1"/>
      <c r="AK655" s="295"/>
      <c r="AL655" s="1"/>
      <c r="AM655" s="1"/>
      <c r="AN655" s="1"/>
      <c r="AO655" s="1"/>
      <c r="AP655" s="1"/>
      <c r="AQ655" s="1"/>
      <c r="AR655" s="1"/>
      <c r="AS655" s="1"/>
      <c r="AT655" s="1"/>
      <c r="AU655" s="1"/>
      <c r="AV655" s="1"/>
      <c r="AW655" s="1"/>
      <c r="AX655" s="1"/>
      <c r="AY655" s="1"/>
      <c r="AZ655" s="1"/>
      <c r="BA655" s="1"/>
      <c r="BB655" s="1"/>
      <c r="BC655" s="1"/>
      <c r="BD655" s="296"/>
      <c r="BE655" s="1"/>
      <c r="BF655" s="1"/>
      <c r="BG655" s="20"/>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row>
    <row r="656" spans="1:115" ht="15.75" customHeight="1">
      <c r="A656" s="1"/>
      <c r="B656" s="1"/>
      <c r="C656" s="1"/>
      <c r="D656" s="1"/>
      <c r="E656" s="1"/>
      <c r="F656" s="1"/>
      <c r="G656" s="1"/>
      <c r="H656" s="1"/>
      <c r="I656" s="294"/>
      <c r="J656" s="294"/>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3"/>
      <c r="AJ656" s="1"/>
      <c r="AK656" s="295"/>
      <c r="AL656" s="1"/>
      <c r="AM656" s="1"/>
      <c r="AN656" s="1"/>
      <c r="AO656" s="1"/>
      <c r="AP656" s="1"/>
      <c r="AQ656" s="1"/>
      <c r="AR656" s="1"/>
      <c r="AS656" s="1"/>
      <c r="AT656" s="1"/>
      <c r="AU656" s="1"/>
      <c r="AV656" s="1"/>
      <c r="AW656" s="1"/>
      <c r="AX656" s="1"/>
      <c r="AY656" s="1"/>
      <c r="AZ656" s="1"/>
      <c r="BA656" s="1"/>
      <c r="BB656" s="1"/>
      <c r="BC656" s="1"/>
      <c r="BD656" s="296"/>
      <c r="BE656" s="1"/>
      <c r="BF656" s="1"/>
      <c r="BG656" s="20"/>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row>
    <row r="657" spans="1:115" ht="15.75" customHeight="1">
      <c r="A657" s="1"/>
      <c r="B657" s="1"/>
      <c r="C657" s="1"/>
      <c r="D657" s="1"/>
      <c r="E657" s="1"/>
      <c r="F657" s="1"/>
      <c r="G657" s="1"/>
      <c r="H657" s="1"/>
      <c r="I657" s="294"/>
      <c r="J657" s="294"/>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3"/>
      <c r="AJ657" s="1"/>
      <c r="AK657" s="295"/>
      <c r="AL657" s="1"/>
      <c r="AM657" s="1"/>
      <c r="AN657" s="1"/>
      <c r="AO657" s="1"/>
      <c r="AP657" s="1"/>
      <c r="AQ657" s="1"/>
      <c r="AR657" s="1"/>
      <c r="AS657" s="1"/>
      <c r="AT657" s="1"/>
      <c r="AU657" s="1"/>
      <c r="AV657" s="1"/>
      <c r="AW657" s="1"/>
      <c r="AX657" s="1"/>
      <c r="AY657" s="1"/>
      <c r="AZ657" s="1"/>
      <c r="BA657" s="1"/>
      <c r="BB657" s="1"/>
      <c r="BC657" s="1"/>
      <c r="BD657" s="296"/>
      <c r="BE657" s="1"/>
      <c r="BF657" s="1"/>
      <c r="BG657" s="20"/>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row>
    <row r="658" spans="1:115" ht="15.75" customHeight="1">
      <c r="A658" s="1"/>
      <c r="B658" s="1"/>
      <c r="C658" s="1"/>
      <c r="D658" s="1"/>
      <c r="E658" s="1"/>
      <c r="F658" s="1"/>
      <c r="G658" s="1"/>
      <c r="H658" s="1"/>
      <c r="I658" s="294"/>
      <c r="J658" s="294"/>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3"/>
      <c r="AJ658" s="1"/>
      <c r="AK658" s="295"/>
      <c r="AL658" s="1"/>
      <c r="AM658" s="1"/>
      <c r="AN658" s="1"/>
      <c r="AO658" s="1"/>
      <c r="AP658" s="1"/>
      <c r="AQ658" s="1"/>
      <c r="AR658" s="1"/>
      <c r="AS658" s="1"/>
      <c r="AT658" s="1"/>
      <c r="AU658" s="1"/>
      <c r="AV658" s="1"/>
      <c r="AW658" s="1"/>
      <c r="AX658" s="1"/>
      <c r="AY658" s="1"/>
      <c r="AZ658" s="1"/>
      <c r="BA658" s="1"/>
      <c r="BB658" s="1"/>
      <c r="BC658" s="1"/>
      <c r="BD658" s="296"/>
      <c r="BE658" s="1"/>
      <c r="BF658" s="1"/>
      <c r="BG658" s="20"/>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row>
    <row r="659" spans="1:115" ht="15.75" customHeight="1">
      <c r="A659" s="1"/>
      <c r="B659" s="1"/>
      <c r="C659" s="1"/>
      <c r="D659" s="1"/>
      <c r="E659" s="1"/>
      <c r="F659" s="1"/>
      <c r="G659" s="1"/>
      <c r="H659" s="1"/>
      <c r="I659" s="294"/>
      <c r="J659" s="294"/>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3"/>
      <c r="AJ659" s="1"/>
      <c r="AK659" s="295"/>
      <c r="AL659" s="1"/>
      <c r="AM659" s="1"/>
      <c r="AN659" s="1"/>
      <c r="AO659" s="1"/>
      <c r="AP659" s="1"/>
      <c r="AQ659" s="1"/>
      <c r="AR659" s="1"/>
      <c r="AS659" s="1"/>
      <c r="AT659" s="1"/>
      <c r="AU659" s="1"/>
      <c r="AV659" s="1"/>
      <c r="AW659" s="1"/>
      <c r="AX659" s="1"/>
      <c r="AY659" s="1"/>
      <c r="AZ659" s="1"/>
      <c r="BA659" s="1"/>
      <c r="BB659" s="1"/>
      <c r="BC659" s="1"/>
      <c r="BD659" s="296"/>
      <c r="BE659" s="1"/>
      <c r="BF659" s="1"/>
      <c r="BG659" s="20"/>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row>
    <row r="660" spans="1:115" ht="15.75" customHeight="1">
      <c r="A660" s="1"/>
      <c r="B660" s="1"/>
      <c r="C660" s="1"/>
      <c r="D660" s="1"/>
      <c r="E660" s="1"/>
      <c r="F660" s="1"/>
      <c r="G660" s="1"/>
      <c r="H660" s="1"/>
      <c r="I660" s="294"/>
      <c r="J660" s="294"/>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3"/>
      <c r="AJ660" s="1"/>
      <c r="AK660" s="295"/>
      <c r="AL660" s="1"/>
      <c r="AM660" s="1"/>
      <c r="AN660" s="1"/>
      <c r="AO660" s="1"/>
      <c r="AP660" s="1"/>
      <c r="AQ660" s="1"/>
      <c r="AR660" s="1"/>
      <c r="AS660" s="1"/>
      <c r="AT660" s="1"/>
      <c r="AU660" s="1"/>
      <c r="AV660" s="1"/>
      <c r="AW660" s="1"/>
      <c r="AX660" s="1"/>
      <c r="AY660" s="1"/>
      <c r="AZ660" s="1"/>
      <c r="BA660" s="1"/>
      <c r="BB660" s="1"/>
      <c r="BC660" s="1"/>
      <c r="BD660" s="296"/>
      <c r="BE660" s="1"/>
      <c r="BF660" s="1"/>
      <c r="BG660" s="20"/>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row>
    <row r="661" spans="1:115" ht="15.75" customHeight="1">
      <c r="A661" s="1"/>
      <c r="B661" s="1"/>
      <c r="C661" s="1"/>
      <c r="D661" s="1"/>
      <c r="E661" s="1"/>
      <c r="F661" s="1"/>
      <c r="G661" s="1"/>
      <c r="H661" s="1"/>
      <c r="I661" s="294"/>
      <c r="J661" s="294"/>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3"/>
      <c r="AJ661" s="1"/>
      <c r="AK661" s="295"/>
      <c r="AL661" s="1"/>
      <c r="AM661" s="1"/>
      <c r="AN661" s="1"/>
      <c r="AO661" s="1"/>
      <c r="AP661" s="1"/>
      <c r="AQ661" s="1"/>
      <c r="AR661" s="1"/>
      <c r="AS661" s="1"/>
      <c r="AT661" s="1"/>
      <c r="AU661" s="1"/>
      <c r="AV661" s="1"/>
      <c r="AW661" s="1"/>
      <c r="AX661" s="1"/>
      <c r="AY661" s="1"/>
      <c r="AZ661" s="1"/>
      <c r="BA661" s="1"/>
      <c r="BB661" s="1"/>
      <c r="BC661" s="1"/>
      <c r="BD661" s="296"/>
      <c r="BE661" s="1"/>
      <c r="BF661" s="1"/>
      <c r="BG661" s="20"/>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row>
    <row r="662" spans="1:115" ht="15.75" customHeight="1">
      <c r="A662" s="1"/>
      <c r="B662" s="1"/>
      <c r="C662" s="1"/>
      <c r="D662" s="1"/>
      <c r="E662" s="1"/>
      <c r="F662" s="1"/>
      <c r="G662" s="1"/>
      <c r="H662" s="1"/>
      <c r="I662" s="294"/>
      <c r="J662" s="294"/>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3"/>
      <c r="AJ662" s="1"/>
      <c r="AK662" s="295"/>
      <c r="AL662" s="1"/>
      <c r="AM662" s="1"/>
      <c r="AN662" s="1"/>
      <c r="AO662" s="1"/>
      <c r="AP662" s="1"/>
      <c r="AQ662" s="1"/>
      <c r="AR662" s="1"/>
      <c r="AS662" s="1"/>
      <c r="AT662" s="1"/>
      <c r="AU662" s="1"/>
      <c r="AV662" s="1"/>
      <c r="AW662" s="1"/>
      <c r="AX662" s="1"/>
      <c r="AY662" s="1"/>
      <c r="AZ662" s="1"/>
      <c r="BA662" s="1"/>
      <c r="BB662" s="1"/>
      <c r="BC662" s="1"/>
      <c r="BD662" s="296"/>
      <c r="BE662" s="1"/>
      <c r="BF662" s="1"/>
      <c r="BG662" s="20"/>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row>
    <row r="663" spans="1:115" ht="15.75" customHeight="1">
      <c r="A663" s="1"/>
      <c r="B663" s="1"/>
      <c r="C663" s="1"/>
      <c r="D663" s="1"/>
      <c r="E663" s="1"/>
      <c r="F663" s="1"/>
      <c r="G663" s="1"/>
      <c r="H663" s="1"/>
      <c r="I663" s="294"/>
      <c r="J663" s="294"/>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3"/>
      <c r="AJ663" s="1"/>
      <c r="AK663" s="295"/>
      <c r="AL663" s="1"/>
      <c r="AM663" s="1"/>
      <c r="AN663" s="1"/>
      <c r="AO663" s="1"/>
      <c r="AP663" s="1"/>
      <c r="AQ663" s="1"/>
      <c r="AR663" s="1"/>
      <c r="AS663" s="1"/>
      <c r="AT663" s="1"/>
      <c r="AU663" s="1"/>
      <c r="AV663" s="1"/>
      <c r="AW663" s="1"/>
      <c r="AX663" s="1"/>
      <c r="AY663" s="1"/>
      <c r="AZ663" s="1"/>
      <c r="BA663" s="1"/>
      <c r="BB663" s="1"/>
      <c r="BC663" s="1"/>
      <c r="BD663" s="296"/>
      <c r="BE663" s="1"/>
      <c r="BF663" s="1"/>
      <c r="BG663" s="20"/>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row>
    <row r="664" spans="1:115" ht="15.75" customHeight="1">
      <c r="A664" s="1"/>
      <c r="B664" s="1"/>
      <c r="C664" s="1"/>
      <c r="D664" s="1"/>
      <c r="E664" s="1"/>
      <c r="F664" s="1"/>
      <c r="G664" s="1"/>
      <c r="H664" s="1"/>
      <c r="I664" s="294"/>
      <c r="J664" s="294"/>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3"/>
      <c r="AJ664" s="1"/>
      <c r="AK664" s="295"/>
      <c r="AL664" s="1"/>
      <c r="AM664" s="1"/>
      <c r="AN664" s="1"/>
      <c r="AO664" s="1"/>
      <c r="AP664" s="1"/>
      <c r="AQ664" s="1"/>
      <c r="AR664" s="1"/>
      <c r="AS664" s="1"/>
      <c r="AT664" s="1"/>
      <c r="AU664" s="1"/>
      <c r="AV664" s="1"/>
      <c r="AW664" s="1"/>
      <c r="AX664" s="1"/>
      <c r="AY664" s="1"/>
      <c r="AZ664" s="1"/>
      <c r="BA664" s="1"/>
      <c r="BB664" s="1"/>
      <c r="BC664" s="1"/>
      <c r="BD664" s="296"/>
      <c r="BE664" s="1"/>
      <c r="BF664" s="1"/>
      <c r="BG664" s="20"/>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row>
    <row r="665" spans="1:115" ht="15.75" customHeight="1">
      <c r="A665" s="1"/>
      <c r="B665" s="1"/>
      <c r="C665" s="1"/>
      <c r="D665" s="1"/>
      <c r="E665" s="1"/>
      <c r="F665" s="1"/>
      <c r="G665" s="1"/>
      <c r="H665" s="1"/>
      <c r="I665" s="294"/>
      <c r="J665" s="294"/>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3"/>
      <c r="AJ665" s="1"/>
      <c r="AK665" s="295"/>
      <c r="AL665" s="1"/>
      <c r="AM665" s="1"/>
      <c r="AN665" s="1"/>
      <c r="AO665" s="1"/>
      <c r="AP665" s="1"/>
      <c r="AQ665" s="1"/>
      <c r="AR665" s="1"/>
      <c r="AS665" s="1"/>
      <c r="AT665" s="1"/>
      <c r="AU665" s="1"/>
      <c r="AV665" s="1"/>
      <c r="AW665" s="1"/>
      <c r="AX665" s="1"/>
      <c r="AY665" s="1"/>
      <c r="AZ665" s="1"/>
      <c r="BA665" s="1"/>
      <c r="BB665" s="1"/>
      <c r="BC665" s="1"/>
      <c r="BD665" s="296"/>
      <c r="BE665" s="1"/>
      <c r="BF665" s="1"/>
      <c r="BG665" s="20"/>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row>
    <row r="666" spans="1:115" ht="15.75" customHeight="1">
      <c r="A666" s="1"/>
      <c r="B666" s="1"/>
      <c r="C666" s="1"/>
      <c r="D666" s="1"/>
      <c r="E666" s="1"/>
      <c r="F666" s="1"/>
      <c r="G666" s="1"/>
      <c r="H666" s="1"/>
      <c r="I666" s="294"/>
      <c r="J666" s="294"/>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3"/>
      <c r="AJ666" s="1"/>
      <c r="AK666" s="295"/>
      <c r="AL666" s="1"/>
      <c r="AM666" s="1"/>
      <c r="AN666" s="1"/>
      <c r="AO666" s="1"/>
      <c r="AP666" s="1"/>
      <c r="AQ666" s="1"/>
      <c r="AR666" s="1"/>
      <c r="AS666" s="1"/>
      <c r="AT666" s="1"/>
      <c r="AU666" s="1"/>
      <c r="AV666" s="1"/>
      <c r="AW666" s="1"/>
      <c r="AX666" s="1"/>
      <c r="AY666" s="1"/>
      <c r="AZ666" s="1"/>
      <c r="BA666" s="1"/>
      <c r="BB666" s="1"/>
      <c r="BC666" s="1"/>
      <c r="BD666" s="296"/>
      <c r="BE666" s="1"/>
      <c r="BF666" s="1"/>
      <c r="BG666" s="20"/>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row>
    <row r="667" spans="1:115" ht="15.75" customHeight="1">
      <c r="A667" s="1"/>
      <c r="B667" s="1"/>
      <c r="C667" s="1"/>
      <c r="D667" s="1"/>
      <c r="E667" s="1"/>
      <c r="F667" s="1"/>
      <c r="G667" s="1"/>
      <c r="H667" s="1"/>
      <c r="I667" s="294"/>
      <c r="J667" s="294"/>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3"/>
      <c r="AJ667" s="1"/>
      <c r="AK667" s="295"/>
      <c r="AL667" s="1"/>
      <c r="AM667" s="1"/>
      <c r="AN667" s="1"/>
      <c r="AO667" s="1"/>
      <c r="AP667" s="1"/>
      <c r="AQ667" s="1"/>
      <c r="AR667" s="1"/>
      <c r="AS667" s="1"/>
      <c r="AT667" s="1"/>
      <c r="AU667" s="1"/>
      <c r="AV667" s="1"/>
      <c r="AW667" s="1"/>
      <c r="AX667" s="1"/>
      <c r="AY667" s="1"/>
      <c r="AZ667" s="1"/>
      <c r="BA667" s="1"/>
      <c r="BB667" s="1"/>
      <c r="BC667" s="1"/>
      <c r="BD667" s="296"/>
      <c r="BE667" s="1"/>
      <c r="BF667" s="1"/>
      <c r="BG667" s="20"/>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row>
    <row r="668" spans="1:115" ht="15.75" customHeight="1">
      <c r="A668" s="1"/>
      <c r="B668" s="1"/>
      <c r="C668" s="1"/>
      <c r="D668" s="1"/>
      <c r="E668" s="1"/>
      <c r="F668" s="1"/>
      <c r="G668" s="1"/>
      <c r="H668" s="1"/>
      <c r="I668" s="294"/>
      <c r="J668" s="294"/>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3"/>
      <c r="AJ668" s="1"/>
      <c r="AK668" s="295"/>
      <c r="AL668" s="1"/>
      <c r="AM668" s="1"/>
      <c r="AN668" s="1"/>
      <c r="AO668" s="1"/>
      <c r="AP668" s="1"/>
      <c r="AQ668" s="1"/>
      <c r="AR668" s="1"/>
      <c r="AS668" s="1"/>
      <c r="AT668" s="1"/>
      <c r="AU668" s="1"/>
      <c r="AV668" s="1"/>
      <c r="AW668" s="1"/>
      <c r="AX668" s="1"/>
      <c r="AY668" s="1"/>
      <c r="AZ668" s="1"/>
      <c r="BA668" s="1"/>
      <c r="BB668" s="1"/>
      <c r="BC668" s="1"/>
      <c r="BD668" s="296"/>
      <c r="BE668" s="1"/>
      <c r="BF668" s="1"/>
      <c r="BG668" s="20"/>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row>
    <row r="669" spans="1:115" ht="15.75" customHeight="1">
      <c r="A669" s="1"/>
      <c r="B669" s="1"/>
      <c r="C669" s="1"/>
      <c r="D669" s="1"/>
      <c r="E669" s="1"/>
      <c r="F669" s="1"/>
      <c r="G669" s="1"/>
      <c r="H669" s="1"/>
      <c r="I669" s="294"/>
      <c r="J669" s="294"/>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3"/>
      <c r="AJ669" s="1"/>
      <c r="AK669" s="295"/>
      <c r="AL669" s="1"/>
      <c r="AM669" s="1"/>
      <c r="AN669" s="1"/>
      <c r="AO669" s="1"/>
      <c r="AP669" s="1"/>
      <c r="AQ669" s="1"/>
      <c r="AR669" s="1"/>
      <c r="AS669" s="1"/>
      <c r="AT669" s="1"/>
      <c r="AU669" s="1"/>
      <c r="AV669" s="1"/>
      <c r="AW669" s="1"/>
      <c r="AX669" s="1"/>
      <c r="AY669" s="1"/>
      <c r="AZ669" s="1"/>
      <c r="BA669" s="1"/>
      <c r="BB669" s="1"/>
      <c r="BC669" s="1"/>
      <c r="BD669" s="296"/>
      <c r="BE669" s="1"/>
      <c r="BF669" s="1"/>
      <c r="BG669" s="20"/>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row>
    <row r="670" spans="1:115" ht="15.75" customHeight="1">
      <c r="A670" s="1"/>
      <c r="B670" s="1"/>
      <c r="C670" s="1"/>
      <c r="D670" s="1"/>
      <c r="E670" s="1"/>
      <c r="F670" s="1"/>
      <c r="G670" s="1"/>
      <c r="H670" s="1"/>
      <c r="I670" s="294"/>
      <c r="J670" s="294"/>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3"/>
      <c r="AJ670" s="1"/>
      <c r="AK670" s="295"/>
      <c r="AL670" s="1"/>
      <c r="AM670" s="1"/>
      <c r="AN670" s="1"/>
      <c r="AO670" s="1"/>
      <c r="AP670" s="1"/>
      <c r="AQ670" s="1"/>
      <c r="AR670" s="1"/>
      <c r="AS670" s="1"/>
      <c r="AT670" s="1"/>
      <c r="AU670" s="1"/>
      <c r="AV670" s="1"/>
      <c r="AW670" s="1"/>
      <c r="AX670" s="1"/>
      <c r="AY670" s="1"/>
      <c r="AZ670" s="1"/>
      <c r="BA670" s="1"/>
      <c r="BB670" s="1"/>
      <c r="BC670" s="1"/>
      <c r="BD670" s="296"/>
      <c r="BE670" s="1"/>
      <c r="BF670" s="1"/>
      <c r="BG670" s="20"/>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row>
    <row r="671" spans="1:115" ht="15.75" customHeight="1">
      <c r="A671" s="1"/>
      <c r="B671" s="1"/>
      <c r="C671" s="1"/>
      <c r="D671" s="1"/>
      <c r="E671" s="1"/>
      <c r="F671" s="1"/>
      <c r="G671" s="1"/>
      <c r="H671" s="1"/>
      <c r="I671" s="294"/>
      <c r="J671" s="294"/>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3"/>
      <c r="AJ671" s="1"/>
      <c r="AK671" s="295"/>
      <c r="AL671" s="1"/>
      <c r="AM671" s="1"/>
      <c r="AN671" s="1"/>
      <c r="AO671" s="1"/>
      <c r="AP671" s="1"/>
      <c r="AQ671" s="1"/>
      <c r="AR671" s="1"/>
      <c r="AS671" s="1"/>
      <c r="AT671" s="1"/>
      <c r="AU671" s="1"/>
      <c r="AV671" s="1"/>
      <c r="AW671" s="1"/>
      <c r="AX671" s="1"/>
      <c r="AY671" s="1"/>
      <c r="AZ671" s="1"/>
      <c r="BA671" s="1"/>
      <c r="BB671" s="1"/>
      <c r="BC671" s="1"/>
      <c r="BD671" s="296"/>
      <c r="BE671" s="1"/>
      <c r="BF671" s="1"/>
      <c r="BG671" s="20"/>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row>
    <row r="672" spans="1:115" ht="15.75" customHeight="1">
      <c r="A672" s="1"/>
      <c r="B672" s="1"/>
      <c r="C672" s="1"/>
      <c r="D672" s="1"/>
      <c r="E672" s="1"/>
      <c r="F672" s="1"/>
      <c r="G672" s="1"/>
      <c r="H672" s="1"/>
      <c r="I672" s="294"/>
      <c r="J672" s="294"/>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3"/>
      <c r="AJ672" s="1"/>
      <c r="AK672" s="295"/>
      <c r="AL672" s="1"/>
      <c r="AM672" s="1"/>
      <c r="AN672" s="1"/>
      <c r="AO672" s="1"/>
      <c r="AP672" s="1"/>
      <c r="AQ672" s="1"/>
      <c r="AR672" s="1"/>
      <c r="AS672" s="1"/>
      <c r="AT672" s="1"/>
      <c r="AU672" s="1"/>
      <c r="AV672" s="1"/>
      <c r="AW672" s="1"/>
      <c r="AX672" s="1"/>
      <c r="AY672" s="1"/>
      <c r="AZ672" s="1"/>
      <c r="BA672" s="1"/>
      <c r="BB672" s="1"/>
      <c r="BC672" s="1"/>
      <c r="BD672" s="296"/>
      <c r="BE672" s="1"/>
      <c r="BF672" s="1"/>
      <c r="BG672" s="20"/>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row>
    <row r="673" spans="1:115" ht="15.75" customHeight="1">
      <c r="A673" s="1"/>
      <c r="B673" s="1"/>
      <c r="C673" s="1"/>
      <c r="D673" s="1"/>
      <c r="E673" s="1"/>
      <c r="F673" s="1"/>
      <c r="G673" s="1"/>
      <c r="H673" s="1"/>
      <c r="I673" s="294"/>
      <c r="J673" s="294"/>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3"/>
      <c r="AJ673" s="1"/>
      <c r="AK673" s="295"/>
      <c r="AL673" s="1"/>
      <c r="AM673" s="1"/>
      <c r="AN673" s="1"/>
      <c r="AO673" s="1"/>
      <c r="AP673" s="1"/>
      <c r="AQ673" s="1"/>
      <c r="AR673" s="1"/>
      <c r="AS673" s="1"/>
      <c r="AT673" s="1"/>
      <c r="AU673" s="1"/>
      <c r="AV673" s="1"/>
      <c r="AW673" s="1"/>
      <c r="AX673" s="1"/>
      <c r="AY673" s="1"/>
      <c r="AZ673" s="1"/>
      <c r="BA673" s="1"/>
      <c r="BB673" s="1"/>
      <c r="BC673" s="1"/>
      <c r="BD673" s="296"/>
      <c r="BE673" s="1"/>
      <c r="BF673" s="1"/>
      <c r="BG673" s="20"/>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row>
    <row r="674" spans="1:115" ht="15.75" customHeight="1">
      <c r="A674" s="1"/>
      <c r="B674" s="1"/>
      <c r="C674" s="1"/>
      <c r="D674" s="1"/>
      <c r="E674" s="1"/>
      <c r="F674" s="1"/>
      <c r="G674" s="1"/>
      <c r="H674" s="1"/>
      <c r="I674" s="294"/>
      <c r="J674" s="294"/>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3"/>
      <c r="AJ674" s="1"/>
      <c r="AK674" s="295"/>
      <c r="AL674" s="1"/>
      <c r="AM674" s="1"/>
      <c r="AN674" s="1"/>
      <c r="AO674" s="1"/>
      <c r="AP674" s="1"/>
      <c r="AQ674" s="1"/>
      <c r="AR674" s="1"/>
      <c r="AS674" s="1"/>
      <c r="AT674" s="1"/>
      <c r="AU674" s="1"/>
      <c r="AV674" s="1"/>
      <c r="AW674" s="1"/>
      <c r="AX674" s="1"/>
      <c r="AY674" s="1"/>
      <c r="AZ674" s="1"/>
      <c r="BA674" s="1"/>
      <c r="BB674" s="1"/>
      <c r="BC674" s="1"/>
      <c r="BD674" s="296"/>
      <c r="BE674" s="1"/>
      <c r="BF674" s="1"/>
      <c r="BG674" s="20"/>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row>
    <row r="675" spans="1:115" ht="15.75" customHeight="1">
      <c r="A675" s="1"/>
      <c r="B675" s="1"/>
      <c r="C675" s="1"/>
      <c r="D675" s="1"/>
      <c r="E675" s="1"/>
      <c r="F675" s="1"/>
      <c r="G675" s="1"/>
      <c r="H675" s="1"/>
      <c r="I675" s="294"/>
      <c r="J675" s="294"/>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3"/>
      <c r="AJ675" s="1"/>
      <c r="AK675" s="295"/>
      <c r="AL675" s="1"/>
      <c r="AM675" s="1"/>
      <c r="AN675" s="1"/>
      <c r="AO675" s="1"/>
      <c r="AP675" s="1"/>
      <c r="AQ675" s="1"/>
      <c r="AR675" s="1"/>
      <c r="AS675" s="1"/>
      <c r="AT675" s="1"/>
      <c r="AU675" s="1"/>
      <c r="AV675" s="1"/>
      <c r="AW675" s="1"/>
      <c r="AX675" s="1"/>
      <c r="AY675" s="1"/>
      <c r="AZ675" s="1"/>
      <c r="BA675" s="1"/>
      <c r="BB675" s="1"/>
      <c r="BC675" s="1"/>
      <c r="BD675" s="296"/>
      <c r="BE675" s="1"/>
      <c r="BF675" s="1"/>
      <c r="BG675" s="20"/>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row>
    <row r="676" spans="1:115" ht="15.75" customHeight="1">
      <c r="A676" s="1"/>
      <c r="B676" s="1"/>
      <c r="C676" s="1"/>
      <c r="D676" s="1"/>
      <c r="E676" s="1"/>
      <c r="F676" s="1"/>
      <c r="G676" s="1"/>
      <c r="H676" s="1"/>
      <c r="I676" s="294"/>
      <c r="J676" s="294"/>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3"/>
      <c r="AJ676" s="1"/>
      <c r="AK676" s="295"/>
      <c r="AL676" s="1"/>
      <c r="AM676" s="1"/>
      <c r="AN676" s="1"/>
      <c r="AO676" s="1"/>
      <c r="AP676" s="1"/>
      <c r="AQ676" s="1"/>
      <c r="AR676" s="1"/>
      <c r="AS676" s="1"/>
      <c r="AT676" s="1"/>
      <c r="AU676" s="1"/>
      <c r="AV676" s="1"/>
      <c r="AW676" s="1"/>
      <c r="AX676" s="1"/>
      <c r="AY676" s="1"/>
      <c r="AZ676" s="1"/>
      <c r="BA676" s="1"/>
      <c r="BB676" s="1"/>
      <c r="BC676" s="1"/>
      <c r="BD676" s="296"/>
      <c r="BE676" s="1"/>
      <c r="BF676" s="1"/>
      <c r="BG676" s="20"/>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row>
    <row r="677" spans="1:115" ht="15.75" customHeight="1">
      <c r="A677" s="1"/>
      <c r="B677" s="1"/>
      <c r="C677" s="1"/>
      <c r="D677" s="1"/>
      <c r="E677" s="1"/>
      <c r="F677" s="1"/>
      <c r="G677" s="1"/>
      <c r="H677" s="1"/>
      <c r="I677" s="294"/>
      <c r="J677" s="294"/>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3"/>
      <c r="AJ677" s="1"/>
      <c r="AK677" s="295"/>
      <c r="AL677" s="1"/>
      <c r="AM677" s="1"/>
      <c r="AN677" s="1"/>
      <c r="AO677" s="1"/>
      <c r="AP677" s="1"/>
      <c r="AQ677" s="1"/>
      <c r="AR677" s="1"/>
      <c r="AS677" s="1"/>
      <c r="AT677" s="1"/>
      <c r="AU677" s="1"/>
      <c r="AV677" s="1"/>
      <c r="AW677" s="1"/>
      <c r="AX677" s="1"/>
      <c r="AY677" s="1"/>
      <c r="AZ677" s="1"/>
      <c r="BA677" s="1"/>
      <c r="BB677" s="1"/>
      <c r="BC677" s="1"/>
      <c r="BD677" s="296"/>
      <c r="BE677" s="1"/>
      <c r="BF677" s="1"/>
      <c r="BG677" s="20"/>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row>
    <row r="678" spans="1:115" ht="15.75" customHeight="1">
      <c r="A678" s="1"/>
      <c r="B678" s="1"/>
      <c r="C678" s="1"/>
      <c r="D678" s="1"/>
      <c r="E678" s="1"/>
      <c r="F678" s="1"/>
      <c r="G678" s="1"/>
      <c r="H678" s="1"/>
      <c r="I678" s="294"/>
      <c r="J678" s="294"/>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3"/>
      <c r="AJ678" s="1"/>
      <c r="AK678" s="295"/>
      <c r="AL678" s="1"/>
      <c r="AM678" s="1"/>
      <c r="AN678" s="1"/>
      <c r="AO678" s="1"/>
      <c r="AP678" s="1"/>
      <c r="AQ678" s="1"/>
      <c r="AR678" s="1"/>
      <c r="AS678" s="1"/>
      <c r="AT678" s="1"/>
      <c r="AU678" s="1"/>
      <c r="AV678" s="1"/>
      <c r="AW678" s="1"/>
      <c r="AX678" s="1"/>
      <c r="AY678" s="1"/>
      <c r="AZ678" s="1"/>
      <c r="BA678" s="1"/>
      <c r="BB678" s="1"/>
      <c r="BC678" s="1"/>
      <c r="BD678" s="296"/>
      <c r="BE678" s="1"/>
      <c r="BF678" s="1"/>
      <c r="BG678" s="20"/>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row>
    <row r="679" spans="1:115" ht="15.75" customHeight="1">
      <c r="A679" s="1"/>
      <c r="B679" s="1"/>
      <c r="C679" s="1"/>
      <c r="D679" s="1"/>
      <c r="E679" s="1"/>
      <c r="F679" s="1"/>
      <c r="G679" s="1"/>
      <c r="H679" s="1"/>
      <c r="I679" s="294"/>
      <c r="J679" s="294"/>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3"/>
      <c r="AJ679" s="1"/>
      <c r="AK679" s="295"/>
      <c r="AL679" s="1"/>
      <c r="AM679" s="1"/>
      <c r="AN679" s="1"/>
      <c r="AO679" s="1"/>
      <c r="AP679" s="1"/>
      <c r="AQ679" s="1"/>
      <c r="AR679" s="1"/>
      <c r="AS679" s="1"/>
      <c r="AT679" s="1"/>
      <c r="AU679" s="1"/>
      <c r="AV679" s="1"/>
      <c r="AW679" s="1"/>
      <c r="AX679" s="1"/>
      <c r="AY679" s="1"/>
      <c r="AZ679" s="1"/>
      <c r="BA679" s="1"/>
      <c r="BB679" s="1"/>
      <c r="BC679" s="1"/>
      <c r="BD679" s="296"/>
      <c r="BE679" s="1"/>
      <c r="BF679" s="1"/>
      <c r="BG679" s="20"/>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row>
    <row r="680" spans="1:115" ht="15.75" customHeight="1">
      <c r="A680" s="1"/>
      <c r="B680" s="1"/>
      <c r="C680" s="1"/>
      <c r="D680" s="1"/>
      <c r="E680" s="1"/>
      <c r="F680" s="1"/>
      <c r="G680" s="1"/>
      <c r="H680" s="1"/>
      <c r="I680" s="294"/>
      <c r="J680" s="294"/>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3"/>
      <c r="AJ680" s="1"/>
      <c r="AK680" s="295"/>
      <c r="AL680" s="1"/>
      <c r="AM680" s="1"/>
      <c r="AN680" s="1"/>
      <c r="AO680" s="1"/>
      <c r="AP680" s="1"/>
      <c r="AQ680" s="1"/>
      <c r="AR680" s="1"/>
      <c r="AS680" s="1"/>
      <c r="AT680" s="1"/>
      <c r="AU680" s="1"/>
      <c r="AV680" s="1"/>
      <c r="AW680" s="1"/>
      <c r="AX680" s="1"/>
      <c r="AY680" s="1"/>
      <c r="AZ680" s="1"/>
      <c r="BA680" s="1"/>
      <c r="BB680" s="1"/>
      <c r="BC680" s="1"/>
      <c r="BD680" s="296"/>
      <c r="BE680" s="1"/>
      <c r="BF680" s="1"/>
      <c r="BG680" s="20"/>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row>
    <row r="681" spans="1:115" ht="15.75" customHeight="1">
      <c r="A681" s="1"/>
      <c r="B681" s="1"/>
      <c r="C681" s="1"/>
      <c r="D681" s="1"/>
      <c r="E681" s="1"/>
      <c r="F681" s="1"/>
      <c r="G681" s="1"/>
      <c r="H681" s="1"/>
      <c r="I681" s="294"/>
      <c r="J681" s="294"/>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3"/>
      <c r="AJ681" s="1"/>
      <c r="AK681" s="295"/>
      <c r="AL681" s="1"/>
      <c r="AM681" s="1"/>
      <c r="AN681" s="1"/>
      <c r="AO681" s="1"/>
      <c r="AP681" s="1"/>
      <c r="AQ681" s="1"/>
      <c r="AR681" s="1"/>
      <c r="AS681" s="1"/>
      <c r="AT681" s="1"/>
      <c r="AU681" s="1"/>
      <c r="AV681" s="1"/>
      <c r="AW681" s="1"/>
      <c r="AX681" s="1"/>
      <c r="AY681" s="1"/>
      <c r="AZ681" s="1"/>
      <c r="BA681" s="1"/>
      <c r="BB681" s="1"/>
      <c r="BC681" s="1"/>
      <c r="BD681" s="296"/>
      <c r="BE681" s="1"/>
      <c r="BF681" s="1"/>
      <c r="BG681" s="20"/>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row>
    <row r="682" spans="1:115" ht="15.75" customHeight="1">
      <c r="A682" s="1"/>
      <c r="B682" s="1"/>
      <c r="C682" s="1"/>
      <c r="D682" s="1"/>
      <c r="E682" s="1"/>
      <c r="F682" s="1"/>
      <c r="G682" s="1"/>
      <c r="H682" s="1"/>
      <c r="I682" s="294"/>
      <c r="J682" s="294"/>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3"/>
      <c r="AJ682" s="1"/>
      <c r="AK682" s="295"/>
      <c r="AL682" s="1"/>
      <c r="AM682" s="1"/>
      <c r="AN682" s="1"/>
      <c r="AO682" s="1"/>
      <c r="AP682" s="1"/>
      <c r="AQ682" s="1"/>
      <c r="AR682" s="1"/>
      <c r="AS682" s="1"/>
      <c r="AT682" s="1"/>
      <c r="AU682" s="1"/>
      <c r="AV682" s="1"/>
      <c r="AW682" s="1"/>
      <c r="AX682" s="1"/>
      <c r="AY682" s="1"/>
      <c r="AZ682" s="1"/>
      <c r="BA682" s="1"/>
      <c r="BB682" s="1"/>
      <c r="BC682" s="1"/>
      <c r="BD682" s="296"/>
      <c r="BE682" s="1"/>
      <c r="BF682" s="1"/>
      <c r="BG682" s="20"/>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row>
    <row r="683" spans="1:115" ht="15.75" customHeight="1">
      <c r="A683" s="1"/>
      <c r="B683" s="1"/>
      <c r="C683" s="1"/>
      <c r="D683" s="1"/>
      <c r="E683" s="1"/>
      <c r="F683" s="1"/>
      <c r="G683" s="1"/>
      <c r="H683" s="1"/>
      <c r="I683" s="294"/>
      <c r="J683" s="294"/>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3"/>
      <c r="AJ683" s="1"/>
      <c r="AK683" s="295"/>
      <c r="AL683" s="1"/>
      <c r="AM683" s="1"/>
      <c r="AN683" s="1"/>
      <c r="AO683" s="1"/>
      <c r="AP683" s="1"/>
      <c r="AQ683" s="1"/>
      <c r="AR683" s="1"/>
      <c r="AS683" s="1"/>
      <c r="AT683" s="1"/>
      <c r="AU683" s="1"/>
      <c r="AV683" s="1"/>
      <c r="AW683" s="1"/>
      <c r="AX683" s="1"/>
      <c r="AY683" s="1"/>
      <c r="AZ683" s="1"/>
      <c r="BA683" s="1"/>
      <c r="BB683" s="1"/>
      <c r="BC683" s="1"/>
      <c r="BD683" s="296"/>
      <c r="BE683" s="1"/>
      <c r="BF683" s="1"/>
      <c r="BG683" s="20"/>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row>
    <row r="684" spans="1:115" ht="15.75" customHeight="1">
      <c r="A684" s="1"/>
      <c r="B684" s="1"/>
      <c r="C684" s="1"/>
      <c r="D684" s="1"/>
      <c r="E684" s="1"/>
      <c r="F684" s="1"/>
      <c r="G684" s="1"/>
      <c r="H684" s="1"/>
      <c r="I684" s="294"/>
      <c r="J684" s="294"/>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3"/>
      <c r="AJ684" s="1"/>
      <c r="AK684" s="295"/>
      <c r="AL684" s="1"/>
      <c r="AM684" s="1"/>
      <c r="AN684" s="1"/>
      <c r="AO684" s="1"/>
      <c r="AP684" s="1"/>
      <c r="AQ684" s="1"/>
      <c r="AR684" s="1"/>
      <c r="AS684" s="1"/>
      <c r="AT684" s="1"/>
      <c r="AU684" s="1"/>
      <c r="AV684" s="1"/>
      <c r="AW684" s="1"/>
      <c r="AX684" s="1"/>
      <c r="AY684" s="1"/>
      <c r="AZ684" s="1"/>
      <c r="BA684" s="1"/>
      <c r="BB684" s="1"/>
      <c r="BC684" s="1"/>
      <c r="BD684" s="296"/>
      <c r="BE684" s="1"/>
      <c r="BF684" s="1"/>
      <c r="BG684" s="20"/>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row>
    <row r="685" spans="1:115" ht="15.75" customHeight="1">
      <c r="A685" s="1"/>
      <c r="B685" s="1"/>
      <c r="C685" s="1"/>
      <c r="D685" s="1"/>
      <c r="E685" s="1"/>
      <c r="F685" s="1"/>
      <c r="G685" s="1"/>
      <c r="H685" s="1"/>
      <c r="I685" s="294"/>
      <c r="J685" s="294"/>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3"/>
      <c r="AJ685" s="1"/>
      <c r="AK685" s="295"/>
      <c r="AL685" s="1"/>
      <c r="AM685" s="1"/>
      <c r="AN685" s="1"/>
      <c r="AO685" s="1"/>
      <c r="AP685" s="1"/>
      <c r="AQ685" s="1"/>
      <c r="AR685" s="1"/>
      <c r="AS685" s="1"/>
      <c r="AT685" s="1"/>
      <c r="AU685" s="1"/>
      <c r="AV685" s="1"/>
      <c r="AW685" s="1"/>
      <c r="AX685" s="1"/>
      <c r="AY685" s="1"/>
      <c r="AZ685" s="1"/>
      <c r="BA685" s="1"/>
      <c r="BB685" s="1"/>
      <c r="BC685" s="1"/>
      <c r="BD685" s="296"/>
      <c r="BE685" s="1"/>
      <c r="BF685" s="1"/>
      <c r="BG685" s="20"/>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row>
    <row r="686" spans="1:115" ht="15.75" customHeight="1">
      <c r="A686" s="1"/>
      <c r="B686" s="1"/>
      <c r="C686" s="1"/>
      <c r="D686" s="1"/>
      <c r="E686" s="1"/>
      <c r="F686" s="1"/>
      <c r="G686" s="1"/>
      <c r="H686" s="1"/>
      <c r="I686" s="294"/>
      <c r="J686" s="294"/>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3"/>
      <c r="AJ686" s="1"/>
      <c r="AK686" s="295"/>
      <c r="AL686" s="1"/>
      <c r="AM686" s="1"/>
      <c r="AN686" s="1"/>
      <c r="AO686" s="1"/>
      <c r="AP686" s="1"/>
      <c r="AQ686" s="1"/>
      <c r="AR686" s="1"/>
      <c r="AS686" s="1"/>
      <c r="AT686" s="1"/>
      <c r="AU686" s="1"/>
      <c r="AV686" s="1"/>
      <c r="AW686" s="1"/>
      <c r="AX686" s="1"/>
      <c r="AY686" s="1"/>
      <c r="AZ686" s="1"/>
      <c r="BA686" s="1"/>
      <c r="BB686" s="1"/>
      <c r="BC686" s="1"/>
      <c r="BD686" s="296"/>
      <c r="BE686" s="1"/>
      <c r="BF686" s="1"/>
      <c r="BG686" s="20"/>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row>
    <row r="687" spans="1:115" ht="15.75" customHeight="1">
      <c r="A687" s="1"/>
      <c r="B687" s="1"/>
      <c r="C687" s="1"/>
      <c r="D687" s="1"/>
      <c r="E687" s="1"/>
      <c r="F687" s="1"/>
      <c r="G687" s="1"/>
      <c r="H687" s="1"/>
      <c r="I687" s="294"/>
      <c r="J687" s="294"/>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3"/>
      <c r="AJ687" s="1"/>
      <c r="AK687" s="295"/>
      <c r="AL687" s="1"/>
      <c r="AM687" s="1"/>
      <c r="AN687" s="1"/>
      <c r="AO687" s="1"/>
      <c r="AP687" s="1"/>
      <c r="AQ687" s="1"/>
      <c r="AR687" s="1"/>
      <c r="AS687" s="1"/>
      <c r="AT687" s="1"/>
      <c r="AU687" s="1"/>
      <c r="AV687" s="1"/>
      <c r="AW687" s="1"/>
      <c r="AX687" s="1"/>
      <c r="AY687" s="1"/>
      <c r="AZ687" s="1"/>
      <c r="BA687" s="1"/>
      <c r="BB687" s="1"/>
      <c r="BC687" s="1"/>
      <c r="BD687" s="296"/>
      <c r="BE687" s="1"/>
      <c r="BF687" s="1"/>
      <c r="BG687" s="20"/>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row>
    <row r="688" spans="1:115" ht="15.75" customHeight="1">
      <c r="A688" s="1"/>
      <c r="B688" s="1"/>
      <c r="C688" s="1"/>
      <c r="D688" s="1"/>
      <c r="E688" s="1"/>
      <c r="F688" s="1"/>
      <c r="G688" s="1"/>
      <c r="H688" s="1"/>
      <c r="I688" s="294"/>
      <c r="J688" s="294"/>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3"/>
      <c r="AJ688" s="1"/>
      <c r="AK688" s="295"/>
      <c r="AL688" s="1"/>
      <c r="AM688" s="1"/>
      <c r="AN688" s="1"/>
      <c r="AO688" s="1"/>
      <c r="AP688" s="1"/>
      <c r="AQ688" s="1"/>
      <c r="AR688" s="1"/>
      <c r="AS688" s="1"/>
      <c r="AT688" s="1"/>
      <c r="AU688" s="1"/>
      <c r="AV688" s="1"/>
      <c r="AW688" s="1"/>
      <c r="AX688" s="1"/>
      <c r="AY688" s="1"/>
      <c r="AZ688" s="1"/>
      <c r="BA688" s="1"/>
      <c r="BB688" s="1"/>
      <c r="BC688" s="1"/>
      <c r="BD688" s="296"/>
      <c r="BE688" s="1"/>
      <c r="BF688" s="1"/>
      <c r="BG688" s="20"/>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row>
    <row r="689" spans="1:115" ht="15.75" customHeight="1">
      <c r="A689" s="1"/>
      <c r="B689" s="1"/>
      <c r="C689" s="1"/>
      <c r="D689" s="1"/>
      <c r="E689" s="1"/>
      <c r="F689" s="1"/>
      <c r="G689" s="1"/>
      <c r="H689" s="1"/>
      <c r="I689" s="294"/>
      <c r="J689" s="294"/>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3"/>
      <c r="AJ689" s="1"/>
      <c r="AK689" s="295"/>
      <c r="AL689" s="1"/>
      <c r="AM689" s="1"/>
      <c r="AN689" s="1"/>
      <c r="AO689" s="1"/>
      <c r="AP689" s="1"/>
      <c r="AQ689" s="1"/>
      <c r="AR689" s="1"/>
      <c r="AS689" s="1"/>
      <c r="AT689" s="1"/>
      <c r="AU689" s="1"/>
      <c r="AV689" s="1"/>
      <c r="AW689" s="1"/>
      <c r="AX689" s="1"/>
      <c r="AY689" s="1"/>
      <c r="AZ689" s="1"/>
      <c r="BA689" s="1"/>
      <c r="BB689" s="1"/>
      <c r="BC689" s="1"/>
      <c r="BD689" s="296"/>
      <c r="BE689" s="1"/>
      <c r="BF689" s="1"/>
      <c r="BG689" s="20"/>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row>
    <row r="690" spans="1:115" ht="15.75" customHeight="1">
      <c r="A690" s="1"/>
      <c r="B690" s="1"/>
      <c r="C690" s="1"/>
      <c r="D690" s="1"/>
      <c r="E690" s="1"/>
      <c r="F690" s="1"/>
      <c r="G690" s="1"/>
      <c r="H690" s="1"/>
      <c r="I690" s="294"/>
      <c r="J690" s="294"/>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3"/>
      <c r="AJ690" s="1"/>
      <c r="AK690" s="295"/>
      <c r="AL690" s="1"/>
      <c r="AM690" s="1"/>
      <c r="AN690" s="1"/>
      <c r="AO690" s="1"/>
      <c r="AP690" s="1"/>
      <c r="AQ690" s="1"/>
      <c r="AR690" s="1"/>
      <c r="AS690" s="1"/>
      <c r="AT690" s="1"/>
      <c r="AU690" s="1"/>
      <c r="AV690" s="1"/>
      <c r="AW690" s="1"/>
      <c r="AX690" s="1"/>
      <c r="AY690" s="1"/>
      <c r="AZ690" s="1"/>
      <c r="BA690" s="1"/>
      <c r="BB690" s="1"/>
      <c r="BC690" s="1"/>
      <c r="BD690" s="296"/>
      <c r="BE690" s="1"/>
      <c r="BF690" s="1"/>
      <c r="BG690" s="20"/>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row>
    <row r="691" spans="1:115" ht="15.75" customHeight="1">
      <c r="A691" s="1"/>
      <c r="B691" s="1"/>
      <c r="C691" s="1"/>
      <c r="D691" s="1"/>
      <c r="E691" s="1"/>
      <c r="F691" s="1"/>
      <c r="G691" s="1"/>
      <c r="H691" s="1"/>
      <c r="I691" s="294"/>
      <c r="J691" s="294"/>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3"/>
      <c r="AJ691" s="1"/>
      <c r="AK691" s="295"/>
      <c r="AL691" s="1"/>
      <c r="AM691" s="1"/>
      <c r="AN691" s="1"/>
      <c r="AO691" s="1"/>
      <c r="AP691" s="1"/>
      <c r="AQ691" s="1"/>
      <c r="AR691" s="1"/>
      <c r="AS691" s="1"/>
      <c r="AT691" s="1"/>
      <c r="AU691" s="1"/>
      <c r="AV691" s="1"/>
      <c r="AW691" s="1"/>
      <c r="AX691" s="1"/>
      <c r="AY691" s="1"/>
      <c r="AZ691" s="1"/>
      <c r="BA691" s="1"/>
      <c r="BB691" s="1"/>
      <c r="BC691" s="1"/>
      <c r="BD691" s="296"/>
      <c r="BE691" s="1"/>
      <c r="BF691" s="1"/>
      <c r="BG691" s="20"/>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row>
    <row r="692" spans="1:115" ht="15.75" customHeight="1">
      <c r="A692" s="1"/>
      <c r="B692" s="1"/>
      <c r="C692" s="1"/>
      <c r="D692" s="1"/>
      <c r="E692" s="1"/>
      <c r="F692" s="1"/>
      <c r="G692" s="1"/>
      <c r="H692" s="1"/>
      <c r="I692" s="294"/>
      <c r="J692" s="294"/>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3"/>
      <c r="AJ692" s="1"/>
      <c r="AK692" s="295"/>
      <c r="AL692" s="1"/>
      <c r="AM692" s="1"/>
      <c r="AN692" s="1"/>
      <c r="AO692" s="1"/>
      <c r="AP692" s="1"/>
      <c r="AQ692" s="1"/>
      <c r="AR692" s="1"/>
      <c r="AS692" s="1"/>
      <c r="AT692" s="1"/>
      <c r="AU692" s="1"/>
      <c r="AV692" s="1"/>
      <c r="AW692" s="1"/>
      <c r="AX692" s="1"/>
      <c r="AY692" s="1"/>
      <c r="AZ692" s="1"/>
      <c r="BA692" s="1"/>
      <c r="BB692" s="1"/>
      <c r="BC692" s="1"/>
      <c r="BD692" s="296"/>
      <c r="BE692" s="1"/>
      <c r="BF692" s="1"/>
      <c r="BG692" s="20"/>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row>
    <row r="693" spans="1:115" ht="15.75" customHeight="1">
      <c r="A693" s="1"/>
      <c r="B693" s="1"/>
      <c r="C693" s="1"/>
      <c r="D693" s="1"/>
      <c r="E693" s="1"/>
      <c r="F693" s="1"/>
      <c r="G693" s="1"/>
      <c r="H693" s="1"/>
      <c r="I693" s="294"/>
      <c r="J693" s="294"/>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3"/>
      <c r="AJ693" s="1"/>
      <c r="AK693" s="295"/>
      <c r="AL693" s="1"/>
      <c r="AM693" s="1"/>
      <c r="AN693" s="1"/>
      <c r="AO693" s="1"/>
      <c r="AP693" s="1"/>
      <c r="AQ693" s="1"/>
      <c r="AR693" s="1"/>
      <c r="AS693" s="1"/>
      <c r="AT693" s="1"/>
      <c r="AU693" s="1"/>
      <c r="AV693" s="1"/>
      <c r="AW693" s="1"/>
      <c r="AX693" s="1"/>
      <c r="AY693" s="1"/>
      <c r="AZ693" s="1"/>
      <c r="BA693" s="1"/>
      <c r="BB693" s="1"/>
      <c r="BC693" s="1"/>
      <c r="BD693" s="296"/>
      <c r="BE693" s="1"/>
      <c r="BF693" s="1"/>
      <c r="BG693" s="20"/>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row>
    <row r="694" spans="1:115" ht="15.75" customHeight="1">
      <c r="A694" s="1"/>
      <c r="B694" s="1"/>
      <c r="C694" s="1"/>
      <c r="D694" s="1"/>
      <c r="E694" s="1"/>
      <c r="F694" s="1"/>
      <c r="G694" s="1"/>
      <c r="H694" s="1"/>
      <c r="I694" s="294"/>
      <c r="J694" s="294"/>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3"/>
      <c r="AJ694" s="1"/>
      <c r="AK694" s="295"/>
      <c r="AL694" s="1"/>
      <c r="AM694" s="1"/>
      <c r="AN694" s="1"/>
      <c r="AO694" s="1"/>
      <c r="AP694" s="1"/>
      <c r="AQ694" s="1"/>
      <c r="AR694" s="1"/>
      <c r="AS694" s="1"/>
      <c r="AT694" s="1"/>
      <c r="AU694" s="1"/>
      <c r="AV694" s="1"/>
      <c r="AW694" s="1"/>
      <c r="AX694" s="1"/>
      <c r="AY694" s="1"/>
      <c r="AZ694" s="1"/>
      <c r="BA694" s="1"/>
      <c r="BB694" s="1"/>
      <c r="BC694" s="1"/>
      <c r="BD694" s="296"/>
      <c r="BE694" s="1"/>
      <c r="BF694" s="1"/>
      <c r="BG694" s="20"/>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row>
    <row r="695" spans="1:115" ht="15.75" customHeight="1">
      <c r="A695" s="1"/>
      <c r="B695" s="1"/>
      <c r="C695" s="1"/>
      <c r="D695" s="1"/>
      <c r="E695" s="1"/>
      <c r="F695" s="1"/>
      <c r="G695" s="1"/>
      <c r="H695" s="1"/>
      <c r="I695" s="294"/>
      <c r="J695" s="294"/>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3"/>
      <c r="AJ695" s="1"/>
      <c r="AK695" s="295"/>
      <c r="AL695" s="1"/>
      <c r="AM695" s="1"/>
      <c r="AN695" s="1"/>
      <c r="AO695" s="1"/>
      <c r="AP695" s="1"/>
      <c r="AQ695" s="1"/>
      <c r="AR695" s="1"/>
      <c r="AS695" s="1"/>
      <c r="AT695" s="1"/>
      <c r="AU695" s="1"/>
      <c r="AV695" s="1"/>
      <c r="AW695" s="1"/>
      <c r="AX695" s="1"/>
      <c r="AY695" s="1"/>
      <c r="AZ695" s="1"/>
      <c r="BA695" s="1"/>
      <c r="BB695" s="1"/>
      <c r="BC695" s="1"/>
      <c r="BD695" s="296"/>
      <c r="BE695" s="1"/>
      <c r="BF695" s="1"/>
      <c r="BG695" s="20"/>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row>
    <row r="696" spans="1:115" ht="15.75" customHeight="1">
      <c r="A696" s="1"/>
      <c r="B696" s="1"/>
      <c r="C696" s="1"/>
      <c r="D696" s="1"/>
      <c r="E696" s="1"/>
      <c r="F696" s="1"/>
      <c r="G696" s="1"/>
      <c r="H696" s="1"/>
      <c r="I696" s="294"/>
      <c r="J696" s="294"/>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3"/>
      <c r="AJ696" s="1"/>
      <c r="AK696" s="295"/>
      <c r="AL696" s="1"/>
      <c r="AM696" s="1"/>
      <c r="AN696" s="1"/>
      <c r="AO696" s="1"/>
      <c r="AP696" s="1"/>
      <c r="AQ696" s="1"/>
      <c r="AR696" s="1"/>
      <c r="AS696" s="1"/>
      <c r="AT696" s="1"/>
      <c r="AU696" s="1"/>
      <c r="AV696" s="1"/>
      <c r="AW696" s="1"/>
      <c r="AX696" s="1"/>
      <c r="AY696" s="1"/>
      <c r="AZ696" s="1"/>
      <c r="BA696" s="1"/>
      <c r="BB696" s="1"/>
      <c r="BC696" s="1"/>
      <c r="BD696" s="296"/>
      <c r="BE696" s="1"/>
      <c r="BF696" s="1"/>
      <c r="BG696" s="20"/>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row>
    <row r="697" spans="1:115" ht="15.75" customHeight="1">
      <c r="A697" s="1"/>
      <c r="B697" s="1"/>
      <c r="C697" s="1"/>
      <c r="D697" s="1"/>
      <c r="E697" s="1"/>
      <c r="F697" s="1"/>
      <c r="G697" s="1"/>
      <c r="H697" s="1"/>
      <c r="I697" s="294"/>
      <c r="J697" s="294"/>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3"/>
      <c r="AJ697" s="1"/>
      <c r="AK697" s="295"/>
      <c r="AL697" s="1"/>
      <c r="AM697" s="1"/>
      <c r="AN697" s="1"/>
      <c r="AO697" s="1"/>
      <c r="AP697" s="1"/>
      <c r="AQ697" s="1"/>
      <c r="AR697" s="1"/>
      <c r="AS697" s="1"/>
      <c r="AT697" s="1"/>
      <c r="AU697" s="1"/>
      <c r="AV697" s="1"/>
      <c r="AW697" s="1"/>
      <c r="AX697" s="1"/>
      <c r="AY697" s="1"/>
      <c r="AZ697" s="1"/>
      <c r="BA697" s="1"/>
      <c r="BB697" s="1"/>
      <c r="BC697" s="1"/>
      <c r="BD697" s="296"/>
      <c r="BE697" s="1"/>
      <c r="BF697" s="1"/>
      <c r="BG697" s="20"/>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row>
    <row r="698" spans="1:115" ht="15.75" customHeight="1">
      <c r="A698" s="1"/>
      <c r="B698" s="1"/>
      <c r="C698" s="1"/>
      <c r="D698" s="1"/>
      <c r="E698" s="1"/>
      <c r="F698" s="1"/>
      <c r="G698" s="1"/>
      <c r="H698" s="1"/>
      <c r="I698" s="294"/>
      <c r="J698" s="294"/>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3"/>
      <c r="AJ698" s="1"/>
      <c r="AK698" s="295"/>
      <c r="AL698" s="1"/>
      <c r="AM698" s="1"/>
      <c r="AN698" s="1"/>
      <c r="AO698" s="1"/>
      <c r="AP698" s="1"/>
      <c r="AQ698" s="1"/>
      <c r="AR698" s="1"/>
      <c r="AS698" s="1"/>
      <c r="AT698" s="1"/>
      <c r="AU698" s="1"/>
      <c r="AV698" s="1"/>
      <c r="AW698" s="1"/>
      <c r="AX698" s="1"/>
      <c r="AY698" s="1"/>
      <c r="AZ698" s="1"/>
      <c r="BA698" s="1"/>
      <c r="BB698" s="1"/>
      <c r="BC698" s="1"/>
      <c r="BD698" s="296"/>
      <c r="BE698" s="1"/>
      <c r="BF698" s="1"/>
      <c r="BG698" s="20"/>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row>
    <row r="699" spans="1:115" ht="15.75" customHeight="1">
      <c r="A699" s="1"/>
      <c r="B699" s="1"/>
      <c r="C699" s="1"/>
      <c r="D699" s="1"/>
      <c r="E699" s="1"/>
      <c r="F699" s="1"/>
      <c r="G699" s="1"/>
      <c r="H699" s="1"/>
      <c r="I699" s="294"/>
      <c r="J699" s="294"/>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3"/>
      <c r="AJ699" s="1"/>
      <c r="AK699" s="295"/>
      <c r="AL699" s="1"/>
      <c r="AM699" s="1"/>
      <c r="AN699" s="1"/>
      <c r="AO699" s="1"/>
      <c r="AP699" s="1"/>
      <c r="AQ699" s="1"/>
      <c r="AR699" s="1"/>
      <c r="AS699" s="1"/>
      <c r="AT699" s="1"/>
      <c r="AU699" s="1"/>
      <c r="AV699" s="1"/>
      <c r="AW699" s="1"/>
      <c r="AX699" s="1"/>
      <c r="AY699" s="1"/>
      <c r="AZ699" s="1"/>
      <c r="BA699" s="1"/>
      <c r="BB699" s="1"/>
      <c r="BC699" s="1"/>
      <c r="BD699" s="296"/>
      <c r="BE699" s="1"/>
      <c r="BF699" s="1"/>
      <c r="BG699" s="20"/>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row>
    <row r="700" spans="1:115" ht="15.75" customHeight="1">
      <c r="A700" s="1"/>
      <c r="B700" s="1"/>
      <c r="C700" s="1"/>
      <c r="D700" s="1"/>
      <c r="E700" s="1"/>
      <c r="F700" s="1"/>
      <c r="G700" s="1"/>
      <c r="H700" s="1"/>
      <c r="I700" s="294"/>
      <c r="J700" s="294"/>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3"/>
      <c r="AJ700" s="1"/>
      <c r="AK700" s="295"/>
      <c r="AL700" s="1"/>
      <c r="AM700" s="1"/>
      <c r="AN700" s="1"/>
      <c r="AO700" s="1"/>
      <c r="AP700" s="1"/>
      <c r="AQ700" s="1"/>
      <c r="AR700" s="1"/>
      <c r="AS700" s="1"/>
      <c r="AT700" s="1"/>
      <c r="AU700" s="1"/>
      <c r="AV700" s="1"/>
      <c r="AW700" s="1"/>
      <c r="AX700" s="1"/>
      <c r="AY700" s="1"/>
      <c r="AZ700" s="1"/>
      <c r="BA700" s="1"/>
      <c r="BB700" s="1"/>
      <c r="BC700" s="1"/>
      <c r="BD700" s="296"/>
      <c r="BE700" s="1"/>
      <c r="BF700" s="1"/>
      <c r="BG700" s="20"/>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row>
    <row r="701" spans="1:115" ht="15.75" customHeight="1">
      <c r="A701" s="1"/>
      <c r="B701" s="1"/>
      <c r="C701" s="1"/>
      <c r="D701" s="1"/>
      <c r="E701" s="1"/>
      <c r="F701" s="1"/>
      <c r="G701" s="1"/>
      <c r="H701" s="1"/>
      <c r="I701" s="294"/>
      <c r="J701" s="294"/>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3"/>
      <c r="AJ701" s="1"/>
      <c r="AK701" s="295"/>
      <c r="AL701" s="1"/>
      <c r="AM701" s="1"/>
      <c r="AN701" s="1"/>
      <c r="AO701" s="1"/>
      <c r="AP701" s="1"/>
      <c r="AQ701" s="1"/>
      <c r="AR701" s="1"/>
      <c r="AS701" s="1"/>
      <c r="AT701" s="1"/>
      <c r="AU701" s="1"/>
      <c r="AV701" s="1"/>
      <c r="AW701" s="1"/>
      <c r="AX701" s="1"/>
      <c r="AY701" s="1"/>
      <c r="AZ701" s="1"/>
      <c r="BA701" s="1"/>
      <c r="BB701" s="1"/>
      <c r="BC701" s="1"/>
      <c r="BD701" s="296"/>
      <c r="BE701" s="1"/>
      <c r="BF701" s="1"/>
      <c r="BG701" s="20"/>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row>
    <row r="702" spans="1:115" ht="15.75" customHeight="1">
      <c r="A702" s="1"/>
      <c r="B702" s="1"/>
      <c r="C702" s="1"/>
      <c r="D702" s="1"/>
      <c r="E702" s="1"/>
      <c r="F702" s="1"/>
      <c r="G702" s="1"/>
      <c r="H702" s="1"/>
      <c r="I702" s="294"/>
      <c r="J702" s="294"/>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3"/>
      <c r="AJ702" s="1"/>
      <c r="AK702" s="295"/>
      <c r="AL702" s="1"/>
      <c r="AM702" s="1"/>
      <c r="AN702" s="1"/>
      <c r="AO702" s="1"/>
      <c r="AP702" s="1"/>
      <c r="AQ702" s="1"/>
      <c r="AR702" s="1"/>
      <c r="AS702" s="1"/>
      <c r="AT702" s="1"/>
      <c r="AU702" s="1"/>
      <c r="AV702" s="1"/>
      <c r="AW702" s="1"/>
      <c r="AX702" s="1"/>
      <c r="AY702" s="1"/>
      <c r="AZ702" s="1"/>
      <c r="BA702" s="1"/>
      <c r="BB702" s="1"/>
      <c r="BC702" s="1"/>
      <c r="BD702" s="296"/>
      <c r="BE702" s="1"/>
      <c r="BF702" s="1"/>
      <c r="BG702" s="20"/>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row>
    <row r="703" spans="1:115" ht="15.75" customHeight="1">
      <c r="A703" s="1"/>
      <c r="B703" s="1"/>
      <c r="C703" s="1"/>
      <c r="D703" s="1"/>
      <c r="E703" s="1"/>
      <c r="F703" s="1"/>
      <c r="G703" s="1"/>
      <c r="H703" s="1"/>
      <c r="I703" s="294"/>
      <c r="J703" s="294"/>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3"/>
      <c r="AJ703" s="1"/>
      <c r="AK703" s="295"/>
      <c r="AL703" s="1"/>
      <c r="AM703" s="1"/>
      <c r="AN703" s="1"/>
      <c r="AO703" s="1"/>
      <c r="AP703" s="1"/>
      <c r="AQ703" s="1"/>
      <c r="AR703" s="1"/>
      <c r="AS703" s="1"/>
      <c r="AT703" s="1"/>
      <c r="AU703" s="1"/>
      <c r="AV703" s="1"/>
      <c r="AW703" s="1"/>
      <c r="AX703" s="1"/>
      <c r="AY703" s="1"/>
      <c r="AZ703" s="1"/>
      <c r="BA703" s="1"/>
      <c r="BB703" s="1"/>
      <c r="BC703" s="1"/>
      <c r="BD703" s="296"/>
      <c r="BE703" s="1"/>
      <c r="BF703" s="1"/>
      <c r="BG703" s="20"/>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row>
    <row r="704" spans="1:115" ht="15.75" customHeight="1">
      <c r="A704" s="1"/>
      <c r="B704" s="1"/>
      <c r="C704" s="1"/>
      <c r="D704" s="1"/>
      <c r="E704" s="1"/>
      <c r="F704" s="1"/>
      <c r="G704" s="1"/>
      <c r="H704" s="1"/>
      <c r="I704" s="294"/>
      <c r="J704" s="294"/>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3"/>
      <c r="AJ704" s="1"/>
      <c r="AK704" s="295"/>
      <c r="AL704" s="1"/>
      <c r="AM704" s="1"/>
      <c r="AN704" s="1"/>
      <c r="AO704" s="1"/>
      <c r="AP704" s="1"/>
      <c r="AQ704" s="1"/>
      <c r="AR704" s="1"/>
      <c r="AS704" s="1"/>
      <c r="AT704" s="1"/>
      <c r="AU704" s="1"/>
      <c r="AV704" s="1"/>
      <c r="AW704" s="1"/>
      <c r="AX704" s="1"/>
      <c r="AY704" s="1"/>
      <c r="AZ704" s="1"/>
      <c r="BA704" s="1"/>
      <c r="BB704" s="1"/>
      <c r="BC704" s="1"/>
      <c r="BD704" s="296"/>
      <c r="BE704" s="1"/>
      <c r="BF704" s="1"/>
      <c r="BG704" s="20"/>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row>
    <row r="705" spans="1:115" ht="15.75" customHeight="1">
      <c r="A705" s="1"/>
      <c r="B705" s="1"/>
      <c r="C705" s="1"/>
      <c r="D705" s="1"/>
      <c r="E705" s="1"/>
      <c r="F705" s="1"/>
      <c r="G705" s="1"/>
      <c r="H705" s="1"/>
      <c r="I705" s="294"/>
      <c r="J705" s="294"/>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3"/>
      <c r="AJ705" s="1"/>
      <c r="AK705" s="295"/>
      <c r="AL705" s="1"/>
      <c r="AM705" s="1"/>
      <c r="AN705" s="1"/>
      <c r="AO705" s="1"/>
      <c r="AP705" s="1"/>
      <c r="AQ705" s="1"/>
      <c r="AR705" s="1"/>
      <c r="AS705" s="1"/>
      <c r="AT705" s="1"/>
      <c r="AU705" s="1"/>
      <c r="AV705" s="1"/>
      <c r="AW705" s="1"/>
      <c r="AX705" s="1"/>
      <c r="AY705" s="1"/>
      <c r="AZ705" s="1"/>
      <c r="BA705" s="1"/>
      <c r="BB705" s="1"/>
      <c r="BC705" s="1"/>
      <c r="BD705" s="296"/>
      <c r="BE705" s="1"/>
      <c r="BF705" s="1"/>
      <c r="BG705" s="20"/>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row>
    <row r="706" spans="1:115" ht="15.75" customHeight="1">
      <c r="A706" s="1"/>
      <c r="B706" s="1"/>
      <c r="C706" s="1"/>
      <c r="D706" s="1"/>
      <c r="E706" s="1"/>
      <c r="F706" s="1"/>
      <c r="G706" s="1"/>
      <c r="H706" s="1"/>
      <c r="I706" s="294"/>
      <c r="J706" s="294"/>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3"/>
      <c r="AJ706" s="1"/>
      <c r="AK706" s="295"/>
      <c r="AL706" s="1"/>
      <c r="AM706" s="1"/>
      <c r="AN706" s="1"/>
      <c r="AO706" s="1"/>
      <c r="AP706" s="1"/>
      <c r="AQ706" s="1"/>
      <c r="AR706" s="1"/>
      <c r="AS706" s="1"/>
      <c r="AT706" s="1"/>
      <c r="AU706" s="1"/>
      <c r="AV706" s="1"/>
      <c r="AW706" s="1"/>
      <c r="AX706" s="1"/>
      <c r="AY706" s="1"/>
      <c r="AZ706" s="1"/>
      <c r="BA706" s="1"/>
      <c r="BB706" s="1"/>
      <c r="BC706" s="1"/>
      <c r="BD706" s="296"/>
      <c r="BE706" s="1"/>
      <c r="BF706" s="1"/>
      <c r="BG706" s="20"/>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row>
    <row r="707" spans="1:115" ht="15.75" customHeight="1">
      <c r="A707" s="1"/>
      <c r="B707" s="1"/>
      <c r="C707" s="1"/>
      <c r="D707" s="1"/>
      <c r="E707" s="1"/>
      <c r="F707" s="1"/>
      <c r="G707" s="1"/>
      <c r="H707" s="1"/>
      <c r="I707" s="294"/>
      <c r="J707" s="294"/>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3"/>
      <c r="AJ707" s="1"/>
      <c r="AK707" s="295"/>
      <c r="AL707" s="1"/>
      <c r="AM707" s="1"/>
      <c r="AN707" s="1"/>
      <c r="AO707" s="1"/>
      <c r="AP707" s="1"/>
      <c r="AQ707" s="1"/>
      <c r="AR707" s="1"/>
      <c r="AS707" s="1"/>
      <c r="AT707" s="1"/>
      <c r="AU707" s="1"/>
      <c r="AV707" s="1"/>
      <c r="AW707" s="1"/>
      <c r="AX707" s="1"/>
      <c r="AY707" s="1"/>
      <c r="AZ707" s="1"/>
      <c r="BA707" s="1"/>
      <c r="BB707" s="1"/>
      <c r="BC707" s="1"/>
      <c r="BD707" s="296"/>
      <c r="BE707" s="1"/>
      <c r="BF707" s="1"/>
      <c r="BG707" s="20"/>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row>
    <row r="708" spans="1:115" ht="15.75" customHeight="1">
      <c r="A708" s="1"/>
      <c r="B708" s="1"/>
      <c r="C708" s="1"/>
      <c r="D708" s="1"/>
      <c r="E708" s="1"/>
      <c r="F708" s="1"/>
      <c r="G708" s="1"/>
      <c r="H708" s="1"/>
      <c r="I708" s="294"/>
      <c r="J708" s="294"/>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3"/>
      <c r="AJ708" s="1"/>
      <c r="AK708" s="295"/>
      <c r="AL708" s="1"/>
      <c r="AM708" s="1"/>
      <c r="AN708" s="1"/>
      <c r="AO708" s="1"/>
      <c r="AP708" s="1"/>
      <c r="AQ708" s="1"/>
      <c r="AR708" s="1"/>
      <c r="AS708" s="1"/>
      <c r="AT708" s="1"/>
      <c r="AU708" s="1"/>
      <c r="AV708" s="1"/>
      <c r="AW708" s="1"/>
      <c r="AX708" s="1"/>
      <c r="AY708" s="1"/>
      <c r="AZ708" s="1"/>
      <c r="BA708" s="1"/>
      <c r="BB708" s="1"/>
      <c r="BC708" s="1"/>
      <c r="BD708" s="296"/>
      <c r="BE708" s="1"/>
      <c r="BF708" s="1"/>
      <c r="BG708" s="20"/>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row>
    <row r="709" spans="1:115" ht="15.75" customHeight="1">
      <c r="A709" s="1"/>
      <c r="B709" s="1"/>
      <c r="C709" s="1"/>
      <c r="D709" s="1"/>
      <c r="E709" s="1"/>
      <c r="F709" s="1"/>
      <c r="G709" s="1"/>
      <c r="H709" s="1"/>
      <c r="I709" s="294"/>
      <c r="J709" s="294"/>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3"/>
      <c r="AJ709" s="1"/>
      <c r="AK709" s="295"/>
      <c r="AL709" s="1"/>
      <c r="AM709" s="1"/>
      <c r="AN709" s="1"/>
      <c r="AO709" s="1"/>
      <c r="AP709" s="1"/>
      <c r="AQ709" s="1"/>
      <c r="AR709" s="1"/>
      <c r="AS709" s="1"/>
      <c r="AT709" s="1"/>
      <c r="AU709" s="1"/>
      <c r="AV709" s="1"/>
      <c r="AW709" s="1"/>
      <c r="AX709" s="1"/>
      <c r="AY709" s="1"/>
      <c r="AZ709" s="1"/>
      <c r="BA709" s="1"/>
      <c r="BB709" s="1"/>
      <c r="BC709" s="1"/>
      <c r="BD709" s="296"/>
      <c r="BE709" s="1"/>
      <c r="BF709" s="1"/>
      <c r="BG709" s="20"/>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row>
    <row r="710" spans="1:115" ht="15.75" customHeight="1">
      <c r="A710" s="1"/>
      <c r="B710" s="1"/>
      <c r="C710" s="1"/>
      <c r="D710" s="1"/>
      <c r="E710" s="1"/>
      <c r="F710" s="1"/>
      <c r="G710" s="1"/>
      <c r="H710" s="1"/>
      <c r="I710" s="294"/>
      <c r="J710" s="294"/>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3"/>
      <c r="AJ710" s="1"/>
      <c r="AK710" s="295"/>
      <c r="AL710" s="1"/>
      <c r="AM710" s="1"/>
      <c r="AN710" s="1"/>
      <c r="AO710" s="1"/>
      <c r="AP710" s="1"/>
      <c r="AQ710" s="1"/>
      <c r="AR710" s="1"/>
      <c r="AS710" s="1"/>
      <c r="AT710" s="1"/>
      <c r="AU710" s="1"/>
      <c r="AV710" s="1"/>
      <c r="AW710" s="1"/>
      <c r="AX710" s="1"/>
      <c r="AY710" s="1"/>
      <c r="AZ710" s="1"/>
      <c r="BA710" s="1"/>
      <c r="BB710" s="1"/>
      <c r="BC710" s="1"/>
      <c r="BD710" s="296"/>
      <c r="BE710" s="1"/>
      <c r="BF710" s="1"/>
      <c r="BG710" s="20"/>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row>
    <row r="711" spans="1:115" ht="15.75" customHeight="1">
      <c r="A711" s="1"/>
      <c r="B711" s="1"/>
      <c r="C711" s="1"/>
      <c r="D711" s="1"/>
      <c r="E711" s="1"/>
      <c r="F711" s="1"/>
      <c r="G711" s="1"/>
      <c r="H711" s="1"/>
      <c r="I711" s="294"/>
      <c r="J711" s="294"/>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3"/>
      <c r="AJ711" s="1"/>
      <c r="AK711" s="295"/>
      <c r="AL711" s="1"/>
      <c r="AM711" s="1"/>
      <c r="AN711" s="1"/>
      <c r="AO711" s="1"/>
      <c r="AP711" s="1"/>
      <c r="AQ711" s="1"/>
      <c r="AR711" s="1"/>
      <c r="AS711" s="1"/>
      <c r="AT711" s="1"/>
      <c r="AU711" s="1"/>
      <c r="AV711" s="1"/>
      <c r="AW711" s="1"/>
      <c r="AX711" s="1"/>
      <c r="AY711" s="1"/>
      <c r="AZ711" s="1"/>
      <c r="BA711" s="1"/>
      <c r="BB711" s="1"/>
      <c r="BC711" s="1"/>
      <c r="BD711" s="296"/>
      <c r="BE711" s="1"/>
      <c r="BF711" s="1"/>
      <c r="BG711" s="20"/>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row>
    <row r="712" spans="1:115" ht="15.75" customHeight="1">
      <c r="A712" s="1"/>
      <c r="B712" s="1"/>
      <c r="C712" s="1"/>
      <c r="D712" s="1"/>
      <c r="E712" s="1"/>
      <c r="F712" s="1"/>
      <c r="G712" s="1"/>
      <c r="H712" s="1"/>
      <c r="I712" s="294"/>
      <c r="J712" s="294"/>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3"/>
      <c r="AJ712" s="1"/>
      <c r="AK712" s="295"/>
      <c r="AL712" s="1"/>
      <c r="AM712" s="1"/>
      <c r="AN712" s="1"/>
      <c r="AO712" s="1"/>
      <c r="AP712" s="1"/>
      <c r="AQ712" s="1"/>
      <c r="AR712" s="1"/>
      <c r="AS712" s="1"/>
      <c r="AT712" s="1"/>
      <c r="AU712" s="1"/>
      <c r="AV712" s="1"/>
      <c r="AW712" s="1"/>
      <c r="AX712" s="1"/>
      <c r="AY712" s="1"/>
      <c r="AZ712" s="1"/>
      <c r="BA712" s="1"/>
      <c r="BB712" s="1"/>
      <c r="BC712" s="1"/>
      <c r="BD712" s="296"/>
      <c r="BE712" s="1"/>
      <c r="BF712" s="1"/>
      <c r="BG712" s="20"/>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row>
    <row r="713" spans="1:115" ht="15.75" customHeight="1">
      <c r="A713" s="1"/>
      <c r="B713" s="1"/>
      <c r="C713" s="1"/>
      <c r="D713" s="1"/>
      <c r="E713" s="1"/>
      <c r="F713" s="1"/>
      <c r="G713" s="1"/>
      <c r="H713" s="1"/>
      <c r="I713" s="294"/>
      <c r="J713" s="294"/>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3"/>
      <c r="AJ713" s="1"/>
      <c r="AK713" s="295"/>
      <c r="AL713" s="1"/>
      <c r="AM713" s="1"/>
      <c r="AN713" s="1"/>
      <c r="AO713" s="1"/>
      <c r="AP713" s="1"/>
      <c r="AQ713" s="1"/>
      <c r="AR713" s="1"/>
      <c r="AS713" s="1"/>
      <c r="AT713" s="1"/>
      <c r="AU713" s="1"/>
      <c r="AV713" s="1"/>
      <c r="AW713" s="1"/>
      <c r="AX713" s="1"/>
      <c r="AY713" s="1"/>
      <c r="AZ713" s="1"/>
      <c r="BA713" s="1"/>
      <c r="BB713" s="1"/>
      <c r="BC713" s="1"/>
      <c r="BD713" s="296"/>
      <c r="BE713" s="1"/>
      <c r="BF713" s="1"/>
      <c r="BG713" s="20"/>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row>
    <row r="714" spans="1:115" ht="15.75" customHeight="1">
      <c r="A714" s="1"/>
      <c r="B714" s="1"/>
      <c r="C714" s="1"/>
      <c r="D714" s="1"/>
      <c r="E714" s="1"/>
      <c r="F714" s="1"/>
      <c r="G714" s="1"/>
      <c r="H714" s="1"/>
      <c r="I714" s="294"/>
      <c r="J714" s="294"/>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3"/>
      <c r="AJ714" s="1"/>
      <c r="AK714" s="295"/>
      <c r="AL714" s="1"/>
      <c r="AM714" s="1"/>
      <c r="AN714" s="1"/>
      <c r="AO714" s="1"/>
      <c r="AP714" s="1"/>
      <c r="AQ714" s="1"/>
      <c r="AR714" s="1"/>
      <c r="AS714" s="1"/>
      <c r="AT714" s="1"/>
      <c r="AU714" s="1"/>
      <c r="AV714" s="1"/>
      <c r="AW714" s="1"/>
      <c r="AX714" s="1"/>
      <c r="AY714" s="1"/>
      <c r="AZ714" s="1"/>
      <c r="BA714" s="1"/>
      <c r="BB714" s="1"/>
      <c r="BC714" s="1"/>
      <c r="BD714" s="296"/>
      <c r="BE714" s="1"/>
      <c r="BF714" s="1"/>
      <c r="BG714" s="20"/>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row>
    <row r="715" spans="1:115" ht="15.75" customHeight="1">
      <c r="A715" s="1"/>
      <c r="B715" s="1"/>
      <c r="C715" s="1"/>
      <c r="D715" s="1"/>
      <c r="E715" s="1"/>
      <c r="F715" s="1"/>
      <c r="G715" s="1"/>
      <c r="H715" s="1"/>
      <c r="I715" s="294"/>
      <c r="J715" s="294"/>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3"/>
      <c r="AJ715" s="1"/>
      <c r="AK715" s="295"/>
      <c r="AL715" s="1"/>
      <c r="AM715" s="1"/>
      <c r="AN715" s="1"/>
      <c r="AO715" s="1"/>
      <c r="AP715" s="1"/>
      <c r="AQ715" s="1"/>
      <c r="AR715" s="1"/>
      <c r="AS715" s="1"/>
      <c r="AT715" s="1"/>
      <c r="AU715" s="1"/>
      <c r="AV715" s="1"/>
      <c r="AW715" s="1"/>
      <c r="AX715" s="1"/>
      <c r="AY715" s="1"/>
      <c r="AZ715" s="1"/>
      <c r="BA715" s="1"/>
      <c r="BB715" s="1"/>
      <c r="BC715" s="1"/>
      <c r="BD715" s="296"/>
      <c r="BE715" s="1"/>
      <c r="BF715" s="1"/>
      <c r="BG715" s="20"/>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row>
    <row r="716" spans="1:115" ht="15.75" customHeight="1">
      <c r="A716" s="1"/>
      <c r="B716" s="1"/>
      <c r="C716" s="1"/>
      <c r="D716" s="1"/>
      <c r="E716" s="1"/>
      <c r="F716" s="1"/>
      <c r="G716" s="1"/>
      <c r="H716" s="1"/>
      <c r="I716" s="294"/>
      <c r="J716" s="294"/>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3"/>
      <c r="AJ716" s="1"/>
      <c r="AK716" s="295"/>
      <c r="AL716" s="1"/>
      <c r="AM716" s="1"/>
      <c r="AN716" s="1"/>
      <c r="AO716" s="1"/>
      <c r="AP716" s="1"/>
      <c r="AQ716" s="1"/>
      <c r="AR716" s="1"/>
      <c r="AS716" s="1"/>
      <c r="AT716" s="1"/>
      <c r="AU716" s="1"/>
      <c r="AV716" s="1"/>
      <c r="AW716" s="1"/>
      <c r="AX716" s="1"/>
      <c r="AY716" s="1"/>
      <c r="AZ716" s="1"/>
      <c r="BA716" s="1"/>
      <c r="BB716" s="1"/>
      <c r="BC716" s="1"/>
      <c r="BD716" s="296"/>
      <c r="BE716" s="1"/>
      <c r="BF716" s="1"/>
      <c r="BG716" s="20"/>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row>
    <row r="717" spans="1:115" ht="15.75" customHeight="1">
      <c r="A717" s="1"/>
      <c r="B717" s="1"/>
      <c r="C717" s="1"/>
      <c r="D717" s="1"/>
      <c r="E717" s="1"/>
      <c r="F717" s="1"/>
      <c r="G717" s="1"/>
      <c r="H717" s="1"/>
      <c r="I717" s="294"/>
      <c r="J717" s="294"/>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3"/>
      <c r="AJ717" s="1"/>
      <c r="AK717" s="295"/>
      <c r="AL717" s="1"/>
      <c r="AM717" s="1"/>
      <c r="AN717" s="1"/>
      <c r="AO717" s="1"/>
      <c r="AP717" s="1"/>
      <c r="AQ717" s="1"/>
      <c r="AR717" s="1"/>
      <c r="AS717" s="1"/>
      <c r="AT717" s="1"/>
      <c r="AU717" s="1"/>
      <c r="AV717" s="1"/>
      <c r="AW717" s="1"/>
      <c r="AX717" s="1"/>
      <c r="AY717" s="1"/>
      <c r="AZ717" s="1"/>
      <c r="BA717" s="1"/>
      <c r="BB717" s="1"/>
      <c r="BC717" s="1"/>
      <c r="BD717" s="296"/>
      <c r="BE717" s="1"/>
      <c r="BF717" s="1"/>
      <c r="BG717" s="20"/>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row>
    <row r="718" spans="1:115" ht="15.75" customHeight="1">
      <c r="A718" s="1"/>
      <c r="B718" s="1"/>
      <c r="C718" s="1"/>
      <c r="D718" s="1"/>
      <c r="E718" s="1"/>
      <c r="F718" s="1"/>
      <c r="G718" s="1"/>
      <c r="H718" s="1"/>
      <c r="I718" s="294"/>
      <c r="J718" s="294"/>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3"/>
      <c r="AJ718" s="1"/>
      <c r="AK718" s="295"/>
      <c r="AL718" s="1"/>
      <c r="AM718" s="1"/>
      <c r="AN718" s="1"/>
      <c r="AO718" s="1"/>
      <c r="AP718" s="1"/>
      <c r="AQ718" s="1"/>
      <c r="AR718" s="1"/>
      <c r="AS718" s="1"/>
      <c r="AT718" s="1"/>
      <c r="AU718" s="1"/>
      <c r="AV718" s="1"/>
      <c r="AW718" s="1"/>
      <c r="AX718" s="1"/>
      <c r="AY718" s="1"/>
      <c r="AZ718" s="1"/>
      <c r="BA718" s="1"/>
      <c r="BB718" s="1"/>
      <c r="BC718" s="1"/>
      <c r="BD718" s="296"/>
      <c r="BE718" s="1"/>
      <c r="BF718" s="1"/>
      <c r="BG718" s="20"/>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row>
    <row r="719" spans="1:115" ht="15.75" customHeight="1">
      <c r="A719" s="1"/>
      <c r="B719" s="1"/>
      <c r="C719" s="1"/>
      <c r="D719" s="1"/>
      <c r="E719" s="1"/>
      <c r="F719" s="1"/>
      <c r="G719" s="1"/>
      <c r="H719" s="1"/>
      <c r="I719" s="294"/>
      <c r="J719" s="294"/>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3"/>
      <c r="AJ719" s="1"/>
      <c r="AK719" s="295"/>
      <c r="AL719" s="1"/>
      <c r="AM719" s="1"/>
      <c r="AN719" s="1"/>
      <c r="AO719" s="1"/>
      <c r="AP719" s="1"/>
      <c r="AQ719" s="1"/>
      <c r="AR719" s="1"/>
      <c r="AS719" s="1"/>
      <c r="AT719" s="1"/>
      <c r="AU719" s="1"/>
      <c r="AV719" s="1"/>
      <c r="AW719" s="1"/>
      <c r="AX719" s="1"/>
      <c r="AY719" s="1"/>
      <c r="AZ719" s="1"/>
      <c r="BA719" s="1"/>
      <c r="BB719" s="1"/>
      <c r="BC719" s="1"/>
      <c r="BD719" s="296"/>
      <c r="BE719" s="1"/>
      <c r="BF719" s="1"/>
      <c r="BG719" s="20"/>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row>
    <row r="720" spans="1:115" ht="15.75" customHeight="1">
      <c r="A720" s="1"/>
      <c r="B720" s="1"/>
      <c r="C720" s="1"/>
      <c r="D720" s="1"/>
      <c r="E720" s="1"/>
      <c r="F720" s="1"/>
      <c r="G720" s="1"/>
      <c r="H720" s="1"/>
      <c r="I720" s="294"/>
      <c r="J720" s="294"/>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3"/>
      <c r="AJ720" s="1"/>
      <c r="AK720" s="295"/>
      <c r="AL720" s="1"/>
      <c r="AM720" s="1"/>
      <c r="AN720" s="1"/>
      <c r="AO720" s="1"/>
      <c r="AP720" s="1"/>
      <c r="AQ720" s="1"/>
      <c r="AR720" s="1"/>
      <c r="AS720" s="1"/>
      <c r="AT720" s="1"/>
      <c r="AU720" s="1"/>
      <c r="AV720" s="1"/>
      <c r="AW720" s="1"/>
      <c r="AX720" s="1"/>
      <c r="AY720" s="1"/>
      <c r="AZ720" s="1"/>
      <c r="BA720" s="1"/>
      <c r="BB720" s="1"/>
      <c r="BC720" s="1"/>
      <c r="BD720" s="296"/>
      <c r="BE720" s="1"/>
      <c r="BF720" s="1"/>
      <c r="BG720" s="20"/>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row>
    <row r="721" spans="1:115" ht="15.75" customHeight="1">
      <c r="A721" s="1"/>
      <c r="B721" s="1"/>
      <c r="C721" s="1"/>
      <c r="D721" s="1"/>
      <c r="E721" s="1"/>
      <c r="F721" s="1"/>
      <c r="G721" s="1"/>
      <c r="H721" s="1"/>
      <c r="I721" s="294"/>
      <c r="J721" s="294"/>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3"/>
      <c r="AJ721" s="1"/>
      <c r="AK721" s="295"/>
      <c r="AL721" s="1"/>
      <c r="AM721" s="1"/>
      <c r="AN721" s="1"/>
      <c r="AO721" s="1"/>
      <c r="AP721" s="1"/>
      <c r="AQ721" s="1"/>
      <c r="AR721" s="1"/>
      <c r="AS721" s="1"/>
      <c r="AT721" s="1"/>
      <c r="AU721" s="1"/>
      <c r="AV721" s="1"/>
      <c r="AW721" s="1"/>
      <c r="AX721" s="1"/>
      <c r="AY721" s="1"/>
      <c r="AZ721" s="1"/>
      <c r="BA721" s="1"/>
      <c r="BB721" s="1"/>
      <c r="BC721" s="1"/>
      <c r="BD721" s="296"/>
      <c r="BE721" s="1"/>
      <c r="BF721" s="1"/>
      <c r="BG721" s="20"/>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row>
    <row r="722" spans="1:115" ht="15.75" customHeight="1">
      <c r="A722" s="1"/>
      <c r="B722" s="1"/>
      <c r="C722" s="1"/>
      <c r="D722" s="1"/>
      <c r="E722" s="1"/>
      <c r="F722" s="1"/>
      <c r="G722" s="1"/>
      <c r="H722" s="1"/>
      <c r="I722" s="294"/>
      <c r="J722" s="294"/>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3"/>
      <c r="AJ722" s="1"/>
      <c r="AK722" s="295"/>
      <c r="AL722" s="1"/>
      <c r="AM722" s="1"/>
      <c r="AN722" s="1"/>
      <c r="AO722" s="1"/>
      <c r="AP722" s="1"/>
      <c r="AQ722" s="1"/>
      <c r="AR722" s="1"/>
      <c r="AS722" s="1"/>
      <c r="AT722" s="1"/>
      <c r="AU722" s="1"/>
      <c r="AV722" s="1"/>
      <c r="AW722" s="1"/>
      <c r="AX722" s="1"/>
      <c r="AY722" s="1"/>
      <c r="AZ722" s="1"/>
      <c r="BA722" s="1"/>
      <c r="BB722" s="1"/>
      <c r="BC722" s="1"/>
      <c r="BD722" s="296"/>
      <c r="BE722" s="1"/>
      <c r="BF722" s="1"/>
      <c r="BG722" s="20"/>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row>
    <row r="723" spans="1:115" ht="15.75" customHeight="1">
      <c r="A723" s="1"/>
      <c r="B723" s="1"/>
      <c r="C723" s="1"/>
      <c r="D723" s="1"/>
      <c r="E723" s="1"/>
      <c r="F723" s="1"/>
      <c r="G723" s="1"/>
      <c r="H723" s="1"/>
      <c r="I723" s="294"/>
      <c r="J723" s="294"/>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3"/>
      <c r="AJ723" s="1"/>
      <c r="AK723" s="295"/>
      <c r="AL723" s="1"/>
      <c r="AM723" s="1"/>
      <c r="AN723" s="1"/>
      <c r="AO723" s="1"/>
      <c r="AP723" s="1"/>
      <c r="AQ723" s="1"/>
      <c r="AR723" s="1"/>
      <c r="AS723" s="1"/>
      <c r="AT723" s="1"/>
      <c r="AU723" s="1"/>
      <c r="AV723" s="1"/>
      <c r="AW723" s="1"/>
      <c r="AX723" s="1"/>
      <c r="AY723" s="1"/>
      <c r="AZ723" s="1"/>
      <c r="BA723" s="1"/>
      <c r="BB723" s="1"/>
      <c r="BC723" s="1"/>
      <c r="BD723" s="296"/>
      <c r="BE723" s="1"/>
      <c r="BF723" s="1"/>
      <c r="BG723" s="20"/>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row>
    <row r="724" spans="1:115" ht="15.75" customHeight="1">
      <c r="A724" s="1"/>
      <c r="B724" s="1"/>
      <c r="C724" s="1"/>
      <c r="D724" s="1"/>
      <c r="E724" s="1"/>
      <c r="F724" s="1"/>
      <c r="G724" s="1"/>
      <c r="H724" s="1"/>
      <c r="I724" s="294"/>
      <c r="J724" s="294"/>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3"/>
      <c r="AJ724" s="1"/>
      <c r="AK724" s="295"/>
      <c r="AL724" s="1"/>
      <c r="AM724" s="1"/>
      <c r="AN724" s="1"/>
      <c r="AO724" s="1"/>
      <c r="AP724" s="1"/>
      <c r="AQ724" s="1"/>
      <c r="AR724" s="1"/>
      <c r="AS724" s="1"/>
      <c r="AT724" s="1"/>
      <c r="AU724" s="1"/>
      <c r="AV724" s="1"/>
      <c r="AW724" s="1"/>
      <c r="AX724" s="1"/>
      <c r="AY724" s="1"/>
      <c r="AZ724" s="1"/>
      <c r="BA724" s="1"/>
      <c r="BB724" s="1"/>
      <c r="BC724" s="1"/>
      <c r="BD724" s="296"/>
      <c r="BE724" s="1"/>
      <c r="BF724" s="1"/>
      <c r="BG724" s="20"/>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row>
    <row r="725" spans="1:115" ht="15.75" customHeight="1">
      <c r="A725" s="1"/>
      <c r="B725" s="1"/>
      <c r="C725" s="1"/>
      <c r="D725" s="1"/>
      <c r="E725" s="1"/>
      <c r="F725" s="1"/>
      <c r="G725" s="1"/>
      <c r="H725" s="1"/>
      <c r="I725" s="294"/>
      <c r="J725" s="294"/>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3"/>
      <c r="AJ725" s="1"/>
      <c r="AK725" s="295"/>
      <c r="AL725" s="1"/>
      <c r="AM725" s="1"/>
      <c r="AN725" s="1"/>
      <c r="AO725" s="1"/>
      <c r="AP725" s="1"/>
      <c r="AQ725" s="1"/>
      <c r="AR725" s="1"/>
      <c r="AS725" s="1"/>
      <c r="AT725" s="1"/>
      <c r="AU725" s="1"/>
      <c r="AV725" s="1"/>
      <c r="AW725" s="1"/>
      <c r="AX725" s="1"/>
      <c r="AY725" s="1"/>
      <c r="AZ725" s="1"/>
      <c r="BA725" s="1"/>
      <c r="BB725" s="1"/>
      <c r="BC725" s="1"/>
      <c r="BD725" s="296"/>
      <c r="BE725" s="1"/>
      <c r="BF725" s="1"/>
      <c r="BG725" s="20"/>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row>
    <row r="726" spans="1:115" ht="15.75" customHeight="1">
      <c r="A726" s="1"/>
      <c r="B726" s="1"/>
      <c r="C726" s="1"/>
      <c r="D726" s="1"/>
      <c r="E726" s="1"/>
      <c r="F726" s="1"/>
      <c r="G726" s="1"/>
      <c r="H726" s="1"/>
      <c r="I726" s="294"/>
      <c r="J726" s="294"/>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3"/>
      <c r="AJ726" s="1"/>
      <c r="AK726" s="295"/>
      <c r="AL726" s="1"/>
      <c r="AM726" s="1"/>
      <c r="AN726" s="1"/>
      <c r="AO726" s="1"/>
      <c r="AP726" s="1"/>
      <c r="AQ726" s="1"/>
      <c r="AR726" s="1"/>
      <c r="AS726" s="1"/>
      <c r="AT726" s="1"/>
      <c r="AU726" s="1"/>
      <c r="AV726" s="1"/>
      <c r="AW726" s="1"/>
      <c r="AX726" s="1"/>
      <c r="AY726" s="1"/>
      <c r="AZ726" s="1"/>
      <c r="BA726" s="1"/>
      <c r="BB726" s="1"/>
      <c r="BC726" s="1"/>
      <c r="BD726" s="296"/>
      <c r="BE726" s="1"/>
      <c r="BF726" s="1"/>
      <c r="BG726" s="20"/>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row>
    <row r="727" spans="1:115" ht="15.75" customHeight="1">
      <c r="A727" s="1"/>
      <c r="B727" s="1"/>
      <c r="C727" s="1"/>
      <c r="D727" s="1"/>
      <c r="E727" s="1"/>
      <c r="F727" s="1"/>
      <c r="G727" s="1"/>
      <c r="H727" s="1"/>
      <c r="I727" s="294"/>
      <c r="J727" s="294"/>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3"/>
      <c r="AJ727" s="1"/>
      <c r="AK727" s="295"/>
      <c r="AL727" s="1"/>
      <c r="AM727" s="1"/>
      <c r="AN727" s="1"/>
      <c r="AO727" s="1"/>
      <c r="AP727" s="1"/>
      <c r="AQ727" s="1"/>
      <c r="AR727" s="1"/>
      <c r="AS727" s="1"/>
      <c r="AT727" s="1"/>
      <c r="AU727" s="1"/>
      <c r="AV727" s="1"/>
      <c r="AW727" s="1"/>
      <c r="AX727" s="1"/>
      <c r="AY727" s="1"/>
      <c r="AZ727" s="1"/>
      <c r="BA727" s="1"/>
      <c r="BB727" s="1"/>
      <c r="BC727" s="1"/>
      <c r="BD727" s="296"/>
      <c r="BE727" s="1"/>
      <c r="BF727" s="1"/>
      <c r="BG727" s="20"/>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row>
    <row r="728" spans="1:115" ht="15.75" customHeight="1">
      <c r="A728" s="1"/>
      <c r="B728" s="1"/>
      <c r="C728" s="1"/>
      <c r="D728" s="1"/>
      <c r="E728" s="1"/>
      <c r="F728" s="1"/>
      <c r="G728" s="1"/>
      <c r="H728" s="1"/>
      <c r="I728" s="294"/>
      <c r="J728" s="294"/>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3"/>
      <c r="AJ728" s="1"/>
      <c r="AK728" s="295"/>
      <c r="AL728" s="1"/>
      <c r="AM728" s="1"/>
      <c r="AN728" s="1"/>
      <c r="AO728" s="1"/>
      <c r="AP728" s="1"/>
      <c r="AQ728" s="1"/>
      <c r="AR728" s="1"/>
      <c r="AS728" s="1"/>
      <c r="AT728" s="1"/>
      <c r="AU728" s="1"/>
      <c r="AV728" s="1"/>
      <c r="AW728" s="1"/>
      <c r="AX728" s="1"/>
      <c r="AY728" s="1"/>
      <c r="AZ728" s="1"/>
      <c r="BA728" s="1"/>
      <c r="BB728" s="1"/>
      <c r="BC728" s="1"/>
      <c r="BD728" s="296"/>
      <c r="BE728" s="1"/>
      <c r="BF728" s="1"/>
      <c r="BG728" s="20"/>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row>
    <row r="729" spans="1:115" ht="15.75" customHeight="1">
      <c r="A729" s="1"/>
      <c r="B729" s="1"/>
      <c r="C729" s="1"/>
      <c r="D729" s="1"/>
      <c r="E729" s="1"/>
      <c r="F729" s="1"/>
      <c r="G729" s="1"/>
      <c r="H729" s="1"/>
      <c r="I729" s="294"/>
      <c r="J729" s="294"/>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3"/>
      <c r="AJ729" s="1"/>
      <c r="AK729" s="295"/>
      <c r="AL729" s="1"/>
      <c r="AM729" s="1"/>
      <c r="AN729" s="1"/>
      <c r="AO729" s="1"/>
      <c r="AP729" s="1"/>
      <c r="AQ729" s="1"/>
      <c r="AR729" s="1"/>
      <c r="AS729" s="1"/>
      <c r="AT729" s="1"/>
      <c r="AU729" s="1"/>
      <c r="AV729" s="1"/>
      <c r="AW729" s="1"/>
      <c r="AX729" s="1"/>
      <c r="AY729" s="1"/>
      <c r="AZ729" s="1"/>
      <c r="BA729" s="1"/>
      <c r="BB729" s="1"/>
      <c r="BC729" s="1"/>
      <c r="BD729" s="296"/>
      <c r="BE729" s="1"/>
      <c r="BF729" s="1"/>
      <c r="BG729" s="20"/>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row>
    <row r="730" spans="1:115" ht="15.75" customHeight="1">
      <c r="A730" s="1"/>
      <c r="B730" s="1"/>
      <c r="C730" s="1"/>
      <c r="D730" s="1"/>
      <c r="E730" s="1"/>
      <c r="F730" s="1"/>
      <c r="G730" s="1"/>
      <c r="H730" s="1"/>
      <c r="I730" s="294"/>
      <c r="J730" s="294"/>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3"/>
      <c r="AJ730" s="1"/>
      <c r="AK730" s="295"/>
      <c r="AL730" s="1"/>
      <c r="AM730" s="1"/>
      <c r="AN730" s="1"/>
      <c r="AO730" s="1"/>
      <c r="AP730" s="1"/>
      <c r="AQ730" s="1"/>
      <c r="AR730" s="1"/>
      <c r="AS730" s="1"/>
      <c r="AT730" s="1"/>
      <c r="AU730" s="1"/>
      <c r="AV730" s="1"/>
      <c r="AW730" s="1"/>
      <c r="AX730" s="1"/>
      <c r="AY730" s="1"/>
      <c r="AZ730" s="1"/>
      <c r="BA730" s="1"/>
      <c r="BB730" s="1"/>
      <c r="BC730" s="1"/>
      <c r="BD730" s="296"/>
      <c r="BE730" s="1"/>
      <c r="BF730" s="1"/>
      <c r="BG730" s="20"/>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row>
    <row r="731" spans="1:115" ht="15.75" customHeight="1">
      <c r="A731" s="1"/>
      <c r="B731" s="1"/>
      <c r="C731" s="1"/>
      <c r="D731" s="1"/>
      <c r="E731" s="1"/>
      <c r="F731" s="1"/>
      <c r="G731" s="1"/>
      <c r="H731" s="1"/>
      <c r="I731" s="294"/>
      <c r="J731" s="294"/>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3"/>
      <c r="AJ731" s="1"/>
      <c r="AK731" s="295"/>
      <c r="AL731" s="1"/>
      <c r="AM731" s="1"/>
      <c r="AN731" s="1"/>
      <c r="AO731" s="1"/>
      <c r="AP731" s="1"/>
      <c r="AQ731" s="1"/>
      <c r="AR731" s="1"/>
      <c r="AS731" s="1"/>
      <c r="AT731" s="1"/>
      <c r="AU731" s="1"/>
      <c r="AV731" s="1"/>
      <c r="AW731" s="1"/>
      <c r="AX731" s="1"/>
      <c r="AY731" s="1"/>
      <c r="AZ731" s="1"/>
      <c r="BA731" s="1"/>
      <c r="BB731" s="1"/>
      <c r="BC731" s="1"/>
      <c r="BD731" s="296"/>
      <c r="BE731" s="1"/>
      <c r="BF731" s="1"/>
      <c r="BG731" s="20"/>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row>
    <row r="732" spans="1:115" ht="15.75" customHeight="1">
      <c r="A732" s="1"/>
      <c r="B732" s="1"/>
      <c r="C732" s="1"/>
      <c r="D732" s="1"/>
      <c r="E732" s="1"/>
      <c r="F732" s="1"/>
      <c r="G732" s="1"/>
      <c r="H732" s="1"/>
      <c r="I732" s="294"/>
      <c r="J732" s="294"/>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3"/>
      <c r="AJ732" s="1"/>
      <c r="AK732" s="295"/>
      <c r="AL732" s="1"/>
      <c r="AM732" s="1"/>
      <c r="AN732" s="1"/>
      <c r="AO732" s="1"/>
      <c r="AP732" s="1"/>
      <c r="AQ732" s="1"/>
      <c r="AR732" s="1"/>
      <c r="AS732" s="1"/>
      <c r="AT732" s="1"/>
      <c r="AU732" s="1"/>
      <c r="AV732" s="1"/>
      <c r="AW732" s="1"/>
      <c r="AX732" s="1"/>
      <c r="AY732" s="1"/>
      <c r="AZ732" s="1"/>
      <c r="BA732" s="1"/>
      <c r="BB732" s="1"/>
      <c r="BC732" s="1"/>
      <c r="BD732" s="296"/>
      <c r="BE732" s="1"/>
      <c r="BF732" s="1"/>
      <c r="BG732" s="20"/>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row>
    <row r="733" spans="1:115" ht="15.75" customHeight="1">
      <c r="A733" s="1"/>
      <c r="B733" s="1"/>
      <c r="C733" s="1"/>
      <c r="D733" s="1"/>
      <c r="E733" s="1"/>
      <c r="F733" s="1"/>
      <c r="G733" s="1"/>
      <c r="H733" s="1"/>
      <c r="I733" s="294"/>
      <c r="J733" s="294"/>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3"/>
      <c r="AJ733" s="1"/>
      <c r="AK733" s="295"/>
      <c r="AL733" s="1"/>
      <c r="AM733" s="1"/>
      <c r="AN733" s="1"/>
      <c r="AO733" s="1"/>
      <c r="AP733" s="1"/>
      <c r="AQ733" s="1"/>
      <c r="AR733" s="1"/>
      <c r="AS733" s="1"/>
      <c r="AT733" s="1"/>
      <c r="AU733" s="1"/>
      <c r="AV733" s="1"/>
      <c r="AW733" s="1"/>
      <c r="AX733" s="1"/>
      <c r="AY733" s="1"/>
      <c r="AZ733" s="1"/>
      <c r="BA733" s="1"/>
      <c r="BB733" s="1"/>
      <c r="BC733" s="1"/>
      <c r="BD733" s="296"/>
      <c r="BE733" s="1"/>
      <c r="BF733" s="1"/>
      <c r="BG733" s="20"/>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row>
    <row r="734" spans="1:115" ht="15.75" customHeight="1">
      <c r="A734" s="1"/>
      <c r="B734" s="1"/>
      <c r="C734" s="1"/>
      <c r="D734" s="1"/>
      <c r="E734" s="1"/>
      <c r="F734" s="1"/>
      <c r="G734" s="1"/>
      <c r="H734" s="1"/>
      <c r="I734" s="294"/>
      <c r="J734" s="294"/>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3"/>
      <c r="AJ734" s="1"/>
      <c r="AK734" s="295"/>
      <c r="AL734" s="1"/>
      <c r="AM734" s="1"/>
      <c r="AN734" s="1"/>
      <c r="AO734" s="1"/>
      <c r="AP734" s="1"/>
      <c r="AQ734" s="1"/>
      <c r="AR734" s="1"/>
      <c r="AS734" s="1"/>
      <c r="AT734" s="1"/>
      <c r="AU734" s="1"/>
      <c r="AV734" s="1"/>
      <c r="AW734" s="1"/>
      <c r="AX734" s="1"/>
      <c r="AY734" s="1"/>
      <c r="AZ734" s="1"/>
      <c r="BA734" s="1"/>
      <c r="BB734" s="1"/>
      <c r="BC734" s="1"/>
      <c r="BD734" s="296"/>
      <c r="BE734" s="1"/>
      <c r="BF734" s="1"/>
      <c r="BG734" s="20"/>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row>
    <row r="735" spans="1:115" ht="15.75" customHeight="1">
      <c r="A735" s="1"/>
      <c r="B735" s="1"/>
      <c r="C735" s="1"/>
      <c r="D735" s="1"/>
      <c r="E735" s="1"/>
      <c r="F735" s="1"/>
      <c r="G735" s="1"/>
      <c r="H735" s="1"/>
      <c r="I735" s="294"/>
      <c r="J735" s="294"/>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3"/>
      <c r="AJ735" s="1"/>
      <c r="AK735" s="295"/>
      <c r="AL735" s="1"/>
      <c r="AM735" s="1"/>
      <c r="AN735" s="1"/>
      <c r="AO735" s="1"/>
      <c r="AP735" s="1"/>
      <c r="AQ735" s="1"/>
      <c r="AR735" s="1"/>
      <c r="AS735" s="1"/>
      <c r="AT735" s="1"/>
      <c r="AU735" s="1"/>
      <c r="AV735" s="1"/>
      <c r="AW735" s="1"/>
      <c r="AX735" s="1"/>
      <c r="AY735" s="1"/>
      <c r="AZ735" s="1"/>
      <c r="BA735" s="1"/>
      <c r="BB735" s="1"/>
      <c r="BC735" s="1"/>
      <c r="BD735" s="296"/>
      <c r="BE735" s="1"/>
      <c r="BF735" s="1"/>
      <c r="BG735" s="20"/>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row>
    <row r="736" spans="1:115" ht="15.75" customHeight="1">
      <c r="A736" s="1"/>
      <c r="B736" s="1"/>
      <c r="C736" s="1"/>
      <c r="D736" s="1"/>
      <c r="E736" s="1"/>
      <c r="F736" s="1"/>
      <c r="G736" s="1"/>
      <c r="H736" s="1"/>
      <c r="I736" s="294"/>
      <c r="J736" s="294"/>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3"/>
      <c r="AJ736" s="1"/>
      <c r="AK736" s="295"/>
      <c r="AL736" s="1"/>
      <c r="AM736" s="1"/>
      <c r="AN736" s="1"/>
      <c r="AO736" s="1"/>
      <c r="AP736" s="1"/>
      <c r="AQ736" s="1"/>
      <c r="AR736" s="1"/>
      <c r="AS736" s="1"/>
      <c r="AT736" s="1"/>
      <c r="AU736" s="1"/>
      <c r="AV736" s="1"/>
      <c r="AW736" s="1"/>
      <c r="AX736" s="1"/>
      <c r="AY736" s="1"/>
      <c r="AZ736" s="1"/>
      <c r="BA736" s="1"/>
      <c r="BB736" s="1"/>
      <c r="BC736" s="1"/>
      <c r="BD736" s="296"/>
      <c r="BE736" s="1"/>
      <c r="BF736" s="1"/>
      <c r="BG736" s="20"/>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row>
    <row r="737" spans="1:115" ht="15.75" customHeight="1">
      <c r="A737" s="1"/>
      <c r="B737" s="1"/>
      <c r="C737" s="1"/>
      <c r="D737" s="1"/>
      <c r="E737" s="1"/>
      <c r="F737" s="1"/>
      <c r="G737" s="1"/>
      <c r="H737" s="1"/>
      <c r="I737" s="294"/>
      <c r="J737" s="294"/>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3"/>
      <c r="AJ737" s="1"/>
      <c r="AK737" s="295"/>
      <c r="AL737" s="1"/>
      <c r="AM737" s="1"/>
      <c r="AN737" s="1"/>
      <c r="AO737" s="1"/>
      <c r="AP737" s="1"/>
      <c r="AQ737" s="1"/>
      <c r="AR737" s="1"/>
      <c r="AS737" s="1"/>
      <c r="AT737" s="1"/>
      <c r="AU737" s="1"/>
      <c r="AV737" s="1"/>
      <c r="AW737" s="1"/>
      <c r="AX737" s="1"/>
      <c r="AY737" s="1"/>
      <c r="AZ737" s="1"/>
      <c r="BA737" s="1"/>
      <c r="BB737" s="1"/>
      <c r="BC737" s="1"/>
      <c r="BD737" s="296"/>
      <c r="BE737" s="1"/>
      <c r="BF737" s="1"/>
      <c r="BG737" s="20"/>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row>
    <row r="738" spans="1:115" ht="15.75" customHeight="1">
      <c r="A738" s="1"/>
      <c r="B738" s="1"/>
      <c r="C738" s="1"/>
      <c r="D738" s="1"/>
      <c r="E738" s="1"/>
      <c r="F738" s="1"/>
      <c r="G738" s="1"/>
      <c r="H738" s="1"/>
      <c r="I738" s="294"/>
      <c r="J738" s="294"/>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3"/>
      <c r="AJ738" s="1"/>
      <c r="AK738" s="295"/>
      <c r="AL738" s="1"/>
      <c r="AM738" s="1"/>
      <c r="AN738" s="1"/>
      <c r="AO738" s="1"/>
      <c r="AP738" s="1"/>
      <c r="AQ738" s="1"/>
      <c r="AR738" s="1"/>
      <c r="AS738" s="1"/>
      <c r="AT738" s="1"/>
      <c r="AU738" s="1"/>
      <c r="AV738" s="1"/>
      <c r="AW738" s="1"/>
      <c r="AX738" s="1"/>
      <c r="AY738" s="1"/>
      <c r="AZ738" s="1"/>
      <c r="BA738" s="1"/>
      <c r="BB738" s="1"/>
      <c r="BC738" s="1"/>
      <c r="BD738" s="296"/>
      <c r="BE738" s="1"/>
      <c r="BF738" s="1"/>
      <c r="BG738" s="20"/>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row>
    <row r="739" spans="1:115" ht="15.75" customHeight="1">
      <c r="A739" s="1"/>
      <c r="B739" s="1"/>
      <c r="C739" s="1"/>
      <c r="D739" s="1"/>
      <c r="E739" s="1"/>
      <c r="F739" s="1"/>
      <c r="G739" s="1"/>
      <c r="H739" s="1"/>
      <c r="I739" s="294"/>
      <c r="J739" s="294"/>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3"/>
      <c r="AJ739" s="1"/>
      <c r="AK739" s="295"/>
      <c r="AL739" s="1"/>
      <c r="AM739" s="1"/>
      <c r="AN739" s="1"/>
      <c r="AO739" s="1"/>
      <c r="AP739" s="1"/>
      <c r="AQ739" s="1"/>
      <c r="AR739" s="1"/>
      <c r="AS739" s="1"/>
      <c r="AT739" s="1"/>
      <c r="AU739" s="1"/>
      <c r="AV739" s="1"/>
      <c r="AW739" s="1"/>
      <c r="AX739" s="1"/>
      <c r="AY739" s="1"/>
      <c r="AZ739" s="1"/>
      <c r="BA739" s="1"/>
      <c r="BB739" s="1"/>
      <c r="BC739" s="1"/>
      <c r="BD739" s="296"/>
      <c r="BE739" s="1"/>
      <c r="BF739" s="1"/>
      <c r="BG739" s="20"/>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row>
    <row r="740" spans="1:115" ht="15.75" customHeight="1">
      <c r="A740" s="1"/>
      <c r="B740" s="1"/>
      <c r="C740" s="1"/>
      <c r="D740" s="1"/>
      <c r="E740" s="1"/>
      <c r="F740" s="1"/>
      <c r="G740" s="1"/>
      <c r="H740" s="1"/>
      <c r="I740" s="294"/>
      <c r="J740" s="294"/>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3"/>
      <c r="AJ740" s="1"/>
      <c r="AK740" s="295"/>
      <c r="AL740" s="1"/>
      <c r="AM740" s="1"/>
      <c r="AN740" s="1"/>
      <c r="AO740" s="1"/>
      <c r="AP740" s="1"/>
      <c r="AQ740" s="1"/>
      <c r="AR740" s="1"/>
      <c r="AS740" s="1"/>
      <c r="AT740" s="1"/>
      <c r="AU740" s="1"/>
      <c r="AV740" s="1"/>
      <c r="AW740" s="1"/>
      <c r="AX740" s="1"/>
      <c r="AY740" s="1"/>
      <c r="AZ740" s="1"/>
      <c r="BA740" s="1"/>
      <c r="BB740" s="1"/>
      <c r="BC740" s="1"/>
      <c r="BD740" s="296"/>
      <c r="BE740" s="1"/>
      <c r="BF740" s="1"/>
      <c r="BG740" s="20"/>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row>
    <row r="741" spans="1:115" ht="15.75" customHeight="1">
      <c r="A741" s="1"/>
      <c r="B741" s="1"/>
      <c r="C741" s="1"/>
      <c r="D741" s="1"/>
      <c r="E741" s="1"/>
      <c r="F741" s="1"/>
      <c r="G741" s="1"/>
      <c r="H741" s="1"/>
      <c r="I741" s="294"/>
      <c r="J741" s="294"/>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3"/>
      <c r="AJ741" s="1"/>
      <c r="AK741" s="295"/>
      <c r="AL741" s="1"/>
      <c r="AM741" s="1"/>
      <c r="AN741" s="1"/>
      <c r="AO741" s="1"/>
      <c r="AP741" s="1"/>
      <c r="AQ741" s="1"/>
      <c r="AR741" s="1"/>
      <c r="AS741" s="1"/>
      <c r="AT741" s="1"/>
      <c r="AU741" s="1"/>
      <c r="AV741" s="1"/>
      <c r="AW741" s="1"/>
      <c r="AX741" s="1"/>
      <c r="AY741" s="1"/>
      <c r="AZ741" s="1"/>
      <c r="BA741" s="1"/>
      <c r="BB741" s="1"/>
      <c r="BC741" s="1"/>
      <c r="BD741" s="296"/>
      <c r="BE741" s="1"/>
      <c r="BF741" s="1"/>
      <c r="BG741" s="20"/>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row>
    <row r="742" spans="1:115" ht="15.75" customHeight="1">
      <c r="A742" s="1"/>
      <c r="B742" s="1"/>
      <c r="C742" s="1"/>
      <c r="D742" s="1"/>
      <c r="E742" s="1"/>
      <c r="F742" s="1"/>
      <c r="G742" s="1"/>
      <c r="H742" s="1"/>
      <c r="I742" s="294"/>
      <c r="J742" s="294"/>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3"/>
      <c r="AJ742" s="1"/>
      <c r="AK742" s="295"/>
      <c r="AL742" s="1"/>
      <c r="AM742" s="1"/>
      <c r="AN742" s="1"/>
      <c r="AO742" s="1"/>
      <c r="AP742" s="1"/>
      <c r="AQ742" s="1"/>
      <c r="AR742" s="1"/>
      <c r="AS742" s="1"/>
      <c r="AT742" s="1"/>
      <c r="AU742" s="1"/>
      <c r="AV742" s="1"/>
      <c r="AW742" s="1"/>
      <c r="AX742" s="1"/>
      <c r="AY742" s="1"/>
      <c r="AZ742" s="1"/>
      <c r="BA742" s="1"/>
      <c r="BB742" s="1"/>
      <c r="BC742" s="1"/>
      <c r="BD742" s="296"/>
      <c r="BE742" s="1"/>
      <c r="BF742" s="1"/>
      <c r="BG742" s="20"/>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row>
    <row r="743" spans="1:115" ht="15.75" customHeight="1">
      <c r="A743" s="1"/>
      <c r="B743" s="1"/>
      <c r="C743" s="1"/>
      <c r="D743" s="1"/>
      <c r="E743" s="1"/>
      <c r="F743" s="1"/>
      <c r="G743" s="1"/>
      <c r="H743" s="1"/>
      <c r="I743" s="294"/>
      <c r="J743" s="294"/>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3"/>
      <c r="AJ743" s="1"/>
      <c r="AK743" s="295"/>
      <c r="AL743" s="1"/>
      <c r="AM743" s="1"/>
      <c r="AN743" s="1"/>
      <c r="AO743" s="1"/>
      <c r="AP743" s="1"/>
      <c r="AQ743" s="1"/>
      <c r="AR743" s="1"/>
      <c r="AS743" s="1"/>
      <c r="AT743" s="1"/>
      <c r="AU743" s="1"/>
      <c r="AV743" s="1"/>
      <c r="AW743" s="1"/>
      <c r="AX743" s="1"/>
      <c r="AY743" s="1"/>
      <c r="AZ743" s="1"/>
      <c r="BA743" s="1"/>
      <c r="BB743" s="1"/>
      <c r="BC743" s="1"/>
      <c r="BD743" s="296"/>
      <c r="BE743" s="1"/>
      <c r="BF743" s="1"/>
      <c r="BG743" s="20"/>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row>
    <row r="744" spans="1:115" ht="15.75" customHeight="1">
      <c r="A744" s="1"/>
      <c r="B744" s="1"/>
      <c r="C744" s="1"/>
      <c r="D744" s="1"/>
      <c r="E744" s="1"/>
      <c r="F744" s="1"/>
      <c r="G744" s="1"/>
      <c r="H744" s="1"/>
      <c r="I744" s="294"/>
      <c r="J744" s="294"/>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3"/>
      <c r="AJ744" s="1"/>
      <c r="AK744" s="295"/>
      <c r="AL744" s="1"/>
      <c r="AM744" s="1"/>
      <c r="AN744" s="1"/>
      <c r="AO744" s="1"/>
      <c r="AP744" s="1"/>
      <c r="AQ744" s="1"/>
      <c r="AR744" s="1"/>
      <c r="AS744" s="1"/>
      <c r="AT744" s="1"/>
      <c r="AU744" s="1"/>
      <c r="AV744" s="1"/>
      <c r="AW744" s="1"/>
      <c r="AX744" s="1"/>
      <c r="AY744" s="1"/>
      <c r="AZ744" s="1"/>
      <c r="BA744" s="1"/>
      <c r="BB744" s="1"/>
      <c r="BC744" s="1"/>
      <c r="BD744" s="296"/>
      <c r="BE744" s="1"/>
      <c r="BF744" s="1"/>
      <c r="BG744" s="20"/>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row>
    <row r="745" spans="1:115" ht="15.75" customHeight="1">
      <c r="A745" s="1"/>
      <c r="B745" s="1"/>
      <c r="C745" s="1"/>
      <c r="D745" s="1"/>
      <c r="E745" s="1"/>
      <c r="F745" s="1"/>
      <c r="G745" s="1"/>
      <c r="H745" s="1"/>
      <c r="I745" s="294"/>
      <c r="J745" s="294"/>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3"/>
      <c r="AJ745" s="1"/>
      <c r="AK745" s="295"/>
      <c r="AL745" s="1"/>
      <c r="AM745" s="1"/>
      <c r="AN745" s="1"/>
      <c r="AO745" s="1"/>
      <c r="AP745" s="1"/>
      <c r="AQ745" s="1"/>
      <c r="AR745" s="1"/>
      <c r="AS745" s="1"/>
      <c r="AT745" s="1"/>
      <c r="AU745" s="1"/>
      <c r="AV745" s="1"/>
      <c r="AW745" s="1"/>
      <c r="AX745" s="1"/>
      <c r="AY745" s="1"/>
      <c r="AZ745" s="1"/>
      <c r="BA745" s="1"/>
      <c r="BB745" s="1"/>
      <c r="BC745" s="1"/>
      <c r="BD745" s="296"/>
      <c r="BE745" s="1"/>
      <c r="BF745" s="1"/>
      <c r="BG745" s="20"/>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row>
    <row r="746" spans="1:115" ht="15.75" customHeight="1">
      <c r="A746" s="1"/>
      <c r="B746" s="1"/>
      <c r="C746" s="1"/>
      <c r="D746" s="1"/>
      <c r="E746" s="1"/>
      <c r="F746" s="1"/>
      <c r="G746" s="1"/>
      <c r="H746" s="1"/>
      <c r="I746" s="294"/>
      <c r="J746" s="294"/>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3"/>
      <c r="AJ746" s="1"/>
      <c r="AK746" s="295"/>
      <c r="AL746" s="1"/>
      <c r="AM746" s="1"/>
      <c r="AN746" s="1"/>
      <c r="AO746" s="1"/>
      <c r="AP746" s="1"/>
      <c r="AQ746" s="1"/>
      <c r="AR746" s="1"/>
      <c r="AS746" s="1"/>
      <c r="AT746" s="1"/>
      <c r="AU746" s="1"/>
      <c r="AV746" s="1"/>
      <c r="AW746" s="1"/>
      <c r="AX746" s="1"/>
      <c r="AY746" s="1"/>
      <c r="AZ746" s="1"/>
      <c r="BA746" s="1"/>
      <c r="BB746" s="1"/>
      <c r="BC746" s="1"/>
      <c r="BD746" s="296"/>
      <c r="BE746" s="1"/>
      <c r="BF746" s="1"/>
      <c r="BG746" s="20"/>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row>
    <row r="747" spans="1:115" ht="15.75" customHeight="1">
      <c r="A747" s="1"/>
      <c r="B747" s="1"/>
      <c r="C747" s="1"/>
      <c r="D747" s="1"/>
      <c r="E747" s="1"/>
      <c r="F747" s="1"/>
      <c r="G747" s="1"/>
      <c r="H747" s="1"/>
      <c r="I747" s="294"/>
      <c r="J747" s="294"/>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3"/>
      <c r="AJ747" s="1"/>
      <c r="AK747" s="295"/>
      <c r="AL747" s="1"/>
      <c r="AM747" s="1"/>
      <c r="AN747" s="1"/>
      <c r="AO747" s="1"/>
      <c r="AP747" s="1"/>
      <c r="AQ747" s="1"/>
      <c r="AR747" s="1"/>
      <c r="AS747" s="1"/>
      <c r="AT747" s="1"/>
      <c r="AU747" s="1"/>
      <c r="AV747" s="1"/>
      <c r="AW747" s="1"/>
      <c r="AX747" s="1"/>
      <c r="AY747" s="1"/>
      <c r="AZ747" s="1"/>
      <c r="BA747" s="1"/>
      <c r="BB747" s="1"/>
      <c r="BC747" s="1"/>
      <c r="BD747" s="296"/>
      <c r="BE747" s="1"/>
      <c r="BF747" s="1"/>
      <c r="BG747" s="20"/>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row>
    <row r="748" spans="1:115" ht="15.75" customHeight="1">
      <c r="A748" s="1"/>
      <c r="B748" s="1"/>
      <c r="C748" s="1"/>
      <c r="D748" s="1"/>
      <c r="E748" s="1"/>
      <c r="F748" s="1"/>
      <c r="G748" s="1"/>
      <c r="H748" s="1"/>
      <c r="I748" s="294"/>
      <c r="J748" s="294"/>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3"/>
      <c r="AJ748" s="1"/>
      <c r="AK748" s="295"/>
      <c r="AL748" s="1"/>
      <c r="AM748" s="1"/>
      <c r="AN748" s="1"/>
      <c r="AO748" s="1"/>
      <c r="AP748" s="1"/>
      <c r="AQ748" s="1"/>
      <c r="AR748" s="1"/>
      <c r="AS748" s="1"/>
      <c r="AT748" s="1"/>
      <c r="AU748" s="1"/>
      <c r="AV748" s="1"/>
      <c r="AW748" s="1"/>
      <c r="AX748" s="1"/>
      <c r="AY748" s="1"/>
      <c r="AZ748" s="1"/>
      <c r="BA748" s="1"/>
      <c r="BB748" s="1"/>
      <c r="BC748" s="1"/>
      <c r="BD748" s="296"/>
      <c r="BE748" s="1"/>
      <c r="BF748" s="1"/>
      <c r="BG748" s="20"/>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row>
    <row r="749" spans="1:115" ht="15.75" customHeight="1">
      <c r="A749" s="1"/>
      <c r="B749" s="1"/>
      <c r="C749" s="1"/>
      <c r="D749" s="1"/>
      <c r="E749" s="1"/>
      <c r="F749" s="1"/>
      <c r="G749" s="1"/>
      <c r="H749" s="1"/>
      <c r="I749" s="294"/>
      <c r="J749" s="294"/>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3"/>
      <c r="AJ749" s="1"/>
      <c r="AK749" s="295"/>
      <c r="AL749" s="1"/>
      <c r="AM749" s="1"/>
      <c r="AN749" s="1"/>
      <c r="AO749" s="1"/>
      <c r="AP749" s="1"/>
      <c r="AQ749" s="1"/>
      <c r="AR749" s="1"/>
      <c r="AS749" s="1"/>
      <c r="AT749" s="1"/>
      <c r="AU749" s="1"/>
      <c r="AV749" s="1"/>
      <c r="AW749" s="1"/>
      <c r="AX749" s="1"/>
      <c r="AY749" s="1"/>
      <c r="AZ749" s="1"/>
      <c r="BA749" s="1"/>
      <c r="BB749" s="1"/>
      <c r="BC749" s="1"/>
      <c r="BD749" s="296"/>
      <c r="BE749" s="1"/>
      <c r="BF749" s="1"/>
      <c r="BG749" s="20"/>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row>
    <row r="750" spans="1:115" ht="15.75" customHeight="1">
      <c r="A750" s="1"/>
      <c r="B750" s="1"/>
      <c r="C750" s="1"/>
      <c r="D750" s="1"/>
      <c r="E750" s="1"/>
      <c r="F750" s="1"/>
      <c r="G750" s="1"/>
      <c r="H750" s="1"/>
      <c r="I750" s="294"/>
      <c r="J750" s="294"/>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3"/>
      <c r="AJ750" s="1"/>
      <c r="AK750" s="295"/>
      <c r="AL750" s="1"/>
      <c r="AM750" s="1"/>
      <c r="AN750" s="1"/>
      <c r="AO750" s="1"/>
      <c r="AP750" s="1"/>
      <c r="AQ750" s="1"/>
      <c r="AR750" s="1"/>
      <c r="AS750" s="1"/>
      <c r="AT750" s="1"/>
      <c r="AU750" s="1"/>
      <c r="AV750" s="1"/>
      <c r="AW750" s="1"/>
      <c r="AX750" s="1"/>
      <c r="AY750" s="1"/>
      <c r="AZ750" s="1"/>
      <c r="BA750" s="1"/>
      <c r="BB750" s="1"/>
      <c r="BC750" s="1"/>
      <c r="BD750" s="296"/>
      <c r="BE750" s="1"/>
      <c r="BF750" s="1"/>
      <c r="BG750" s="20"/>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row>
    <row r="751" spans="1:115" ht="15.75" customHeight="1">
      <c r="A751" s="1"/>
      <c r="B751" s="1"/>
      <c r="C751" s="1"/>
      <c r="D751" s="1"/>
      <c r="E751" s="1"/>
      <c r="F751" s="1"/>
      <c r="G751" s="1"/>
      <c r="H751" s="1"/>
      <c r="I751" s="294"/>
      <c r="J751" s="294"/>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3"/>
      <c r="AJ751" s="1"/>
      <c r="AK751" s="295"/>
      <c r="AL751" s="1"/>
      <c r="AM751" s="1"/>
      <c r="AN751" s="1"/>
      <c r="AO751" s="1"/>
      <c r="AP751" s="1"/>
      <c r="AQ751" s="1"/>
      <c r="AR751" s="1"/>
      <c r="AS751" s="1"/>
      <c r="AT751" s="1"/>
      <c r="AU751" s="1"/>
      <c r="AV751" s="1"/>
      <c r="AW751" s="1"/>
      <c r="AX751" s="1"/>
      <c r="AY751" s="1"/>
      <c r="AZ751" s="1"/>
      <c r="BA751" s="1"/>
      <c r="BB751" s="1"/>
      <c r="BC751" s="1"/>
      <c r="BD751" s="296"/>
      <c r="BE751" s="1"/>
      <c r="BF751" s="1"/>
      <c r="BG751" s="20"/>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row>
    <row r="752" spans="1:115" ht="15.75" customHeight="1">
      <c r="A752" s="1"/>
      <c r="B752" s="1"/>
      <c r="C752" s="1"/>
      <c r="D752" s="1"/>
      <c r="E752" s="1"/>
      <c r="F752" s="1"/>
      <c r="G752" s="1"/>
      <c r="H752" s="1"/>
      <c r="I752" s="294"/>
      <c r="J752" s="294"/>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3"/>
      <c r="AJ752" s="1"/>
      <c r="AK752" s="295"/>
      <c r="AL752" s="1"/>
      <c r="AM752" s="1"/>
      <c r="AN752" s="1"/>
      <c r="AO752" s="1"/>
      <c r="AP752" s="1"/>
      <c r="AQ752" s="1"/>
      <c r="AR752" s="1"/>
      <c r="AS752" s="1"/>
      <c r="AT752" s="1"/>
      <c r="AU752" s="1"/>
      <c r="AV752" s="1"/>
      <c r="AW752" s="1"/>
      <c r="AX752" s="1"/>
      <c r="AY752" s="1"/>
      <c r="AZ752" s="1"/>
      <c r="BA752" s="1"/>
      <c r="BB752" s="1"/>
      <c r="BC752" s="1"/>
      <c r="BD752" s="296"/>
      <c r="BE752" s="1"/>
      <c r="BF752" s="1"/>
      <c r="BG752" s="20"/>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row>
    <row r="753" spans="1:115" ht="15.75" customHeight="1">
      <c r="A753" s="1"/>
      <c r="B753" s="1"/>
      <c r="C753" s="1"/>
      <c r="D753" s="1"/>
      <c r="E753" s="1"/>
      <c r="F753" s="1"/>
      <c r="G753" s="1"/>
      <c r="H753" s="1"/>
      <c r="I753" s="294"/>
      <c r="J753" s="294"/>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3"/>
      <c r="AJ753" s="1"/>
      <c r="AK753" s="295"/>
      <c r="AL753" s="1"/>
      <c r="AM753" s="1"/>
      <c r="AN753" s="1"/>
      <c r="AO753" s="1"/>
      <c r="AP753" s="1"/>
      <c r="AQ753" s="1"/>
      <c r="AR753" s="1"/>
      <c r="AS753" s="1"/>
      <c r="AT753" s="1"/>
      <c r="AU753" s="1"/>
      <c r="AV753" s="1"/>
      <c r="AW753" s="1"/>
      <c r="AX753" s="1"/>
      <c r="AY753" s="1"/>
      <c r="AZ753" s="1"/>
      <c r="BA753" s="1"/>
      <c r="BB753" s="1"/>
      <c r="BC753" s="1"/>
      <c r="BD753" s="296"/>
      <c r="BE753" s="1"/>
      <c r="BF753" s="1"/>
      <c r="BG753" s="20"/>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row>
    <row r="754" spans="1:115" ht="15.75" customHeight="1">
      <c r="A754" s="1"/>
      <c r="B754" s="1"/>
      <c r="C754" s="1"/>
      <c r="D754" s="1"/>
      <c r="E754" s="1"/>
      <c r="F754" s="1"/>
      <c r="G754" s="1"/>
      <c r="H754" s="1"/>
      <c r="I754" s="294"/>
      <c r="J754" s="294"/>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3"/>
      <c r="AJ754" s="1"/>
      <c r="AK754" s="295"/>
      <c r="AL754" s="1"/>
      <c r="AM754" s="1"/>
      <c r="AN754" s="1"/>
      <c r="AO754" s="1"/>
      <c r="AP754" s="1"/>
      <c r="AQ754" s="1"/>
      <c r="AR754" s="1"/>
      <c r="AS754" s="1"/>
      <c r="AT754" s="1"/>
      <c r="AU754" s="1"/>
      <c r="AV754" s="1"/>
      <c r="AW754" s="1"/>
      <c r="AX754" s="1"/>
      <c r="AY754" s="1"/>
      <c r="AZ754" s="1"/>
      <c r="BA754" s="1"/>
      <c r="BB754" s="1"/>
      <c r="BC754" s="1"/>
      <c r="BD754" s="296"/>
      <c r="BE754" s="1"/>
      <c r="BF754" s="1"/>
      <c r="BG754" s="20"/>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row>
    <row r="755" spans="1:115" ht="15.75" customHeight="1">
      <c r="A755" s="1"/>
      <c r="B755" s="1"/>
      <c r="C755" s="1"/>
      <c r="D755" s="1"/>
      <c r="E755" s="1"/>
      <c r="F755" s="1"/>
      <c r="G755" s="1"/>
      <c r="H755" s="1"/>
      <c r="I755" s="294"/>
      <c r="J755" s="294"/>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3"/>
      <c r="AJ755" s="1"/>
      <c r="AK755" s="295"/>
      <c r="AL755" s="1"/>
      <c r="AM755" s="1"/>
      <c r="AN755" s="1"/>
      <c r="AO755" s="1"/>
      <c r="AP755" s="1"/>
      <c r="AQ755" s="1"/>
      <c r="AR755" s="1"/>
      <c r="AS755" s="1"/>
      <c r="AT755" s="1"/>
      <c r="AU755" s="1"/>
      <c r="AV755" s="1"/>
      <c r="AW755" s="1"/>
      <c r="AX755" s="1"/>
      <c r="AY755" s="1"/>
      <c r="AZ755" s="1"/>
      <c r="BA755" s="1"/>
      <c r="BB755" s="1"/>
      <c r="BC755" s="1"/>
      <c r="BD755" s="296"/>
      <c r="BE755" s="1"/>
      <c r="BF755" s="1"/>
      <c r="BG755" s="20"/>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row>
    <row r="756" spans="1:115" ht="15.75" customHeight="1">
      <c r="A756" s="1"/>
      <c r="B756" s="1"/>
      <c r="C756" s="1"/>
      <c r="D756" s="1"/>
      <c r="E756" s="1"/>
      <c r="F756" s="1"/>
      <c r="G756" s="1"/>
      <c r="H756" s="1"/>
      <c r="I756" s="294"/>
      <c r="J756" s="294"/>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3"/>
      <c r="AJ756" s="1"/>
      <c r="AK756" s="295"/>
      <c r="AL756" s="1"/>
      <c r="AM756" s="1"/>
      <c r="AN756" s="1"/>
      <c r="AO756" s="1"/>
      <c r="AP756" s="1"/>
      <c r="AQ756" s="1"/>
      <c r="AR756" s="1"/>
      <c r="AS756" s="1"/>
      <c r="AT756" s="1"/>
      <c r="AU756" s="1"/>
      <c r="AV756" s="1"/>
      <c r="AW756" s="1"/>
      <c r="AX756" s="1"/>
      <c r="AY756" s="1"/>
      <c r="AZ756" s="1"/>
      <c r="BA756" s="1"/>
      <c r="BB756" s="1"/>
      <c r="BC756" s="1"/>
      <c r="BD756" s="296"/>
      <c r="BE756" s="1"/>
      <c r="BF756" s="1"/>
      <c r="BG756" s="20"/>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row>
    <row r="757" spans="1:115" ht="15.75" customHeight="1">
      <c r="A757" s="1"/>
      <c r="B757" s="1"/>
      <c r="C757" s="1"/>
      <c r="D757" s="1"/>
      <c r="E757" s="1"/>
      <c r="F757" s="1"/>
      <c r="G757" s="1"/>
      <c r="H757" s="1"/>
      <c r="I757" s="294"/>
      <c r="J757" s="294"/>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3"/>
      <c r="AJ757" s="1"/>
      <c r="AK757" s="295"/>
      <c r="AL757" s="1"/>
      <c r="AM757" s="1"/>
      <c r="AN757" s="1"/>
      <c r="AO757" s="1"/>
      <c r="AP757" s="1"/>
      <c r="AQ757" s="1"/>
      <c r="AR757" s="1"/>
      <c r="AS757" s="1"/>
      <c r="AT757" s="1"/>
      <c r="AU757" s="1"/>
      <c r="AV757" s="1"/>
      <c r="AW757" s="1"/>
      <c r="AX757" s="1"/>
      <c r="AY757" s="1"/>
      <c r="AZ757" s="1"/>
      <c r="BA757" s="1"/>
      <c r="BB757" s="1"/>
      <c r="BC757" s="1"/>
      <c r="BD757" s="296"/>
      <c r="BE757" s="1"/>
      <c r="BF757" s="1"/>
      <c r="BG757" s="20"/>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row>
    <row r="758" spans="1:115" ht="15.75" customHeight="1">
      <c r="A758" s="1"/>
      <c r="B758" s="1"/>
      <c r="C758" s="1"/>
      <c r="D758" s="1"/>
      <c r="E758" s="1"/>
      <c r="F758" s="1"/>
      <c r="G758" s="1"/>
      <c r="H758" s="1"/>
      <c r="I758" s="294"/>
      <c r="J758" s="294"/>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3"/>
      <c r="AJ758" s="1"/>
      <c r="AK758" s="295"/>
      <c r="AL758" s="1"/>
      <c r="AM758" s="1"/>
      <c r="AN758" s="1"/>
      <c r="AO758" s="1"/>
      <c r="AP758" s="1"/>
      <c r="AQ758" s="1"/>
      <c r="AR758" s="1"/>
      <c r="AS758" s="1"/>
      <c r="AT758" s="1"/>
      <c r="AU758" s="1"/>
      <c r="AV758" s="1"/>
      <c r="AW758" s="1"/>
      <c r="AX758" s="1"/>
      <c r="AY758" s="1"/>
      <c r="AZ758" s="1"/>
      <c r="BA758" s="1"/>
      <c r="BB758" s="1"/>
      <c r="BC758" s="1"/>
      <c r="BD758" s="296"/>
      <c r="BE758" s="1"/>
      <c r="BF758" s="1"/>
      <c r="BG758" s="20"/>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row>
    <row r="759" spans="1:115" ht="15.75" customHeight="1">
      <c r="A759" s="1"/>
      <c r="B759" s="1"/>
      <c r="C759" s="1"/>
      <c r="D759" s="1"/>
      <c r="E759" s="1"/>
      <c r="F759" s="1"/>
      <c r="G759" s="1"/>
      <c r="H759" s="1"/>
      <c r="I759" s="294"/>
      <c r="J759" s="294"/>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3"/>
      <c r="AJ759" s="1"/>
      <c r="AK759" s="295"/>
      <c r="AL759" s="1"/>
      <c r="AM759" s="1"/>
      <c r="AN759" s="1"/>
      <c r="AO759" s="1"/>
      <c r="AP759" s="1"/>
      <c r="AQ759" s="1"/>
      <c r="AR759" s="1"/>
      <c r="AS759" s="1"/>
      <c r="AT759" s="1"/>
      <c r="AU759" s="1"/>
      <c r="AV759" s="1"/>
      <c r="AW759" s="1"/>
      <c r="AX759" s="1"/>
      <c r="AY759" s="1"/>
      <c r="AZ759" s="1"/>
      <c r="BA759" s="1"/>
      <c r="BB759" s="1"/>
      <c r="BC759" s="1"/>
      <c r="BD759" s="296"/>
      <c r="BE759" s="1"/>
      <c r="BF759" s="1"/>
      <c r="BG759" s="20"/>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row>
    <row r="760" spans="1:115" ht="15.75" customHeight="1">
      <c r="A760" s="1"/>
      <c r="B760" s="1"/>
      <c r="C760" s="1"/>
      <c r="D760" s="1"/>
      <c r="E760" s="1"/>
      <c r="F760" s="1"/>
      <c r="G760" s="1"/>
      <c r="H760" s="1"/>
      <c r="I760" s="294"/>
      <c r="J760" s="294"/>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3"/>
      <c r="AJ760" s="1"/>
      <c r="AK760" s="295"/>
      <c r="AL760" s="1"/>
      <c r="AM760" s="1"/>
      <c r="AN760" s="1"/>
      <c r="AO760" s="1"/>
      <c r="AP760" s="1"/>
      <c r="AQ760" s="1"/>
      <c r="AR760" s="1"/>
      <c r="AS760" s="1"/>
      <c r="AT760" s="1"/>
      <c r="AU760" s="1"/>
      <c r="AV760" s="1"/>
      <c r="AW760" s="1"/>
      <c r="AX760" s="1"/>
      <c r="AY760" s="1"/>
      <c r="AZ760" s="1"/>
      <c r="BA760" s="1"/>
      <c r="BB760" s="1"/>
      <c r="BC760" s="1"/>
      <c r="BD760" s="296"/>
      <c r="BE760" s="1"/>
      <c r="BF760" s="1"/>
      <c r="BG760" s="20"/>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row>
    <row r="761" spans="1:115" ht="15.75" customHeight="1">
      <c r="A761" s="1"/>
      <c r="B761" s="1"/>
      <c r="C761" s="1"/>
      <c r="D761" s="1"/>
      <c r="E761" s="1"/>
      <c r="F761" s="1"/>
      <c r="G761" s="1"/>
      <c r="H761" s="1"/>
      <c r="I761" s="294"/>
      <c r="J761" s="294"/>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3"/>
      <c r="AJ761" s="1"/>
      <c r="AK761" s="295"/>
      <c r="AL761" s="1"/>
      <c r="AM761" s="1"/>
      <c r="AN761" s="1"/>
      <c r="AO761" s="1"/>
      <c r="AP761" s="1"/>
      <c r="AQ761" s="1"/>
      <c r="AR761" s="1"/>
      <c r="AS761" s="1"/>
      <c r="AT761" s="1"/>
      <c r="AU761" s="1"/>
      <c r="AV761" s="1"/>
      <c r="AW761" s="1"/>
      <c r="AX761" s="1"/>
      <c r="AY761" s="1"/>
      <c r="AZ761" s="1"/>
      <c r="BA761" s="1"/>
      <c r="BB761" s="1"/>
      <c r="BC761" s="1"/>
      <c r="BD761" s="296"/>
      <c r="BE761" s="1"/>
      <c r="BF761" s="1"/>
      <c r="BG761" s="20"/>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row>
    <row r="762" spans="1:115" ht="15.75" customHeight="1">
      <c r="A762" s="1"/>
      <c r="B762" s="1"/>
      <c r="C762" s="1"/>
      <c r="D762" s="1"/>
      <c r="E762" s="1"/>
      <c r="F762" s="1"/>
      <c r="G762" s="1"/>
      <c r="H762" s="1"/>
      <c r="I762" s="294"/>
      <c r="J762" s="294"/>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3"/>
      <c r="AJ762" s="1"/>
      <c r="AK762" s="295"/>
      <c r="AL762" s="1"/>
      <c r="AM762" s="1"/>
      <c r="AN762" s="1"/>
      <c r="AO762" s="1"/>
      <c r="AP762" s="1"/>
      <c r="AQ762" s="1"/>
      <c r="AR762" s="1"/>
      <c r="AS762" s="1"/>
      <c r="AT762" s="1"/>
      <c r="AU762" s="1"/>
      <c r="AV762" s="1"/>
      <c r="AW762" s="1"/>
      <c r="AX762" s="1"/>
      <c r="AY762" s="1"/>
      <c r="AZ762" s="1"/>
      <c r="BA762" s="1"/>
      <c r="BB762" s="1"/>
      <c r="BC762" s="1"/>
      <c r="BD762" s="296"/>
      <c r="BE762" s="1"/>
      <c r="BF762" s="1"/>
      <c r="BG762" s="20"/>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row>
    <row r="763" spans="1:115" ht="15.75" customHeight="1">
      <c r="A763" s="1"/>
      <c r="B763" s="1"/>
      <c r="C763" s="1"/>
      <c r="D763" s="1"/>
      <c r="E763" s="1"/>
      <c r="F763" s="1"/>
      <c r="G763" s="1"/>
      <c r="H763" s="1"/>
      <c r="I763" s="294"/>
      <c r="J763" s="294"/>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3"/>
      <c r="AJ763" s="1"/>
      <c r="AK763" s="295"/>
      <c r="AL763" s="1"/>
      <c r="AM763" s="1"/>
      <c r="AN763" s="1"/>
      <c r="AO763" s="1"/>
      <c r="AP763" s="1"/>
      <c r="AQ763" s="1"/>
      <c r="AR763" s="1"/>
      <c r="AS763" s="1"/>
      <c r="AT763" s="1"/>
      <c r="AU763" s="1"/>
      <c r="AV763" s="1"/>
      <c r="AW763" s="1"/>
      <c r="AX763" s="1"/>
      <c r="AY763" s="1"/>
      <c r="AZ763" s="1"/>
      <c r="BA763" s="1"/>
      <c r="BB763" s="1"/>
      <c r="BC763" s="1"/>
      <c r="BD763" s="296"/>
      <c r="BE763" s="1"/>
      <c r="BF763" s="1"/>
      <c r="BG763" s="20"/>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row>
    <row r="764" spans="1:115" ht="15.75" customHeight="1">
      <c r="A764" s="1"/>
      <c r="B764" s="1"/>
      <c r="C764" s="1"/>
      <c r="D764" s="1"/>
      <c r="E764" s="1"/>
      <c r="F764" s="1"/>
      <c r="G764" s="1"/>
      <c r="H764" s="1"/>
      <c r="I764" s="294"/>
      <c r="J764" s="294"/>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3"/>
      <c r="AJ764" s="1"/>
      <c r="AK764" s="295"/>
      <c r="AL764" s="1"/>
      <c r="AM764" s="1"/>
      <c r="AN764" s="1"/>
      <c r="AO764" s="1"/>
      <c r="AP764" s="1"/>
      <c r="AQ764" s="1"/>
      <c r="AR764" s="1"/>
      <c r="AS764" s="1"/>
      <c r="AT764" s="1"/>
      <c r="AU764" s="1"/>
      <c r="AV764" s="1"/>
      <c r="AW764" s="1"/>
      <c r="AX764" s="1"/>
      <c r="AY764" s="1"/>
      <c r="AZ764" s="1"/>
      <c r="BA764" s="1"/>
      <c r="BB764" s="1"/>
      <c r="BC764" s="1"/>
      <c r="BD764" s="296"/>
      <c r="BE764" s="1"/>
      <c r="BF764" s="1"/>
      <c r="BG764" s="20"/>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row>
    <row r="765" spans="1:115" ht="15.75" customHeight="1">
      <c r="A765" s="1"/>
      <c r="B765" s="1"/>
      <c r="C765" s="1"/>
      <c r="D765" s="1"/>
      <c r="E765" s="1"/>
      <c r="F765" s="1"/>
      <c r="G765" s="1"/>
      <c r="H765" s="1"/>
      <c r="I765" s="294"/>
      <c r="J765" s="294"/>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3"/>
      <c r="AJ765" s="1"/>
      <c r="AK765" s="295"/>
      <c r="AL765" s="1"/>
      <c r="AM765" s="1"/>
      <c r="AN765" s="1"/>
      <c r="AO765" s="1"/>
      <c r="AP765" s="1"/>
      <c r="AQ765" s="1"/>
      <c r="AR765" s="1"/>
      <c r="AS765" s="1"/>
      <c r="AT765" s="1"/>
      <c r="AU765" s="1"/>
      <c r="AV765" s="1"/>
      <c r="AW765" s="1"/>
      <c r="AX765" s="1"/>
      <c r="AY765" s="1"/>
      <c r="AZ765" s="1"/>
      <c r="BA765" s="1"/>
      <c r="BB765" s="1"/>
      <c r="BC765" s="1"/>
      <c r="BD765" s="296"/>
      <c r="BE765" s="1"/>
      <c r="BF765" s="1"/>
      <c r="BG765" s="20"/>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row>
    <row r="766" spans="1:115" ht="15.75" customHeight="1">
      <c r="A766" s="1"/>
      <c r="B766" s="1"/>
      <c r="C766" s="1"/>
      <c r="D766" s="1"/>
      <c r="E766" s="1"/>
      <c r="F766" s="1"/>
      <c r="G766" s="1"/>
      <c r="H766" s="1"/>
      <c r="I766" s="294"/>
      <c r="J766" s="294"/>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3"/>
      <c r="AJ766" s="1"/>
      <c r="AK766" s="295"/>
      <c r="AL766" s="1"/>
      <c r="AM766" s="1"/>
      <c r="AN766" s="1"/>
      <c r="AO766" s="1"/>
      <c r="AP766" s="1"/>
      <c r="AQ766" s="1"/>
      <c r="AR766" s="1"/>
      <c r="AS766" s="1"/>
      <c r="AT766" s="1"/>
      <c r="AU766" s="1"/>
      <c r="AV766" s="1"/>
      <c r="AW766" s="1"/>
      <c r="AX766" s="1"/>
      <c r="AY766" s="1"/>
      <c r="AZ766" s="1"/>
      <c r="BA766" s="1"/>
      <c r="BB766" s="1"/>
      <c r="BC766" s="1"/>
      <c r="BD766" s="296"/>
      <c r="BE766" s="1"/>
      <c r="BF766" s="1"/>
      <c r="BG766" s="20"/>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row>
    <row r="767" spans="1:115" ht="15.75" customHeight="1">
      <c r="A767" s="1"/>
      <c r="B767" s="1"/>
      <c r="C767" s="1"/>
      <c r="D767" s="1"/>
      <c r="E767" s="1"/>
      <c r="F767" s="1"/>
      <c r="G767" s="1"/>
      <c r="H767" s="1"/>
      <c r="I767" s="294"/>
      <c r="J767" s="294"/>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3"/>
      <c r="AJ767" s="1"/>
      <c r="AK767" s="295"/>
      <c r="AL767" s="1"/>
      <c r="AM767" s="1"/>
      <c r="AN767" s="1"/>
      <c r="AO767" s="1"/>
      <c r="AP767" s="1"/>
      <c r="AQ767" s="1"/>
      <c r="AR767" s="1"/>
      <c r="AS767" s="1"/>
      <c r="AT767" s="1"/>
      <c r="AU767" s="1"/>
      <c r="AV767" s="1"/>
      <c r="AW767" s="1"/>
      <c r="AX767" s="1"/>
      <c r="AY767" s="1"/>
      <c r="AZ767" s="1"/>
      <c r="BA767" s="1"/>
      <c r="BB767" s="1"/>
      <c r="BC767" s="1"/>
      <c r="BD767" s="296"/>
      <c r="BE767" s="1"/>
      <c r="BF767" s="1"/>
      <c r="BG767" s="20"/>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row>
    <row r="768" spans="1:115" ht="15.75" customHeight="1">
      <c r="A768" s="1"/>
      <c r="B768" s="1"/>
      <c r="C768" s="1"/>
      <c r="D768" s="1"/>
      <c r="E768" s="1"/>
      <c r="F768" s="1"/>
      <c r="G768" s="1"/>
      <c r="H768" s="1"/>
      <c r="I768" s="294"/>
      <c r="J768" s="294"/>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3"/>
      <c r="AJ768" s="1"/>
      <c r="AK768" s="295"/>
      <c r="AL768" s="1"/>
      <c r="AM768" s="1"/>
      <c r="AN768" s="1"/>
      <c r="AO768" s="1"/>
      <c r="AP768" s="1"/>
      <c r="AQ768" s="1"/>
      <c r="AR768" s="1"/>
      <c r="AS768" s="1"/>
      <c r="AT768" s="1"/>
      <c r="AU768" s="1"/>
      <c r="AV768" s="1"/>
      <c r="AW768" s="1"/>
      <c r="AX768" s="1"/>
      <c r="AY768" s="1"/>
      <c r="AZ768" s="1"/>
      <c r="BA768" s="1"/>
      <c r="BB768" s="1"/>
      <c r="BC768" s="1"/>
      <c r="BD768" s="296"/>
      <c r="BE768" s="1"/>
      <c r="BF768" s="1"/>
      <c r="BG768" s="20"/>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row>
    <row r="769" spans="1:115" ht="15.75" customHeight="1">
      <c r="A769" s="1"/>
      <c r="B769" s="1"/>
      <c r="C769" s="1"/>
      <c r="D769" s="1"/>
      <c r="E769" s="1"/>
      <c r="F769" s="1"/>
      <c r="G769" s="1"/>
      <c r="H769" s="1"/>
      <c r="I769" s="294"/>
      <c r="J769" s="294"/>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3"/>
      <c r="AJ769" s="1"/>
      <c r="AK769" s="295"/>
      <c r="AL769" s="1"/>
      <c r="AM769" s="1"/>
      <c r="AN769" s="1"/>
      <c r="AO769" s="1"/>
      <c r="AP769" s="1"/>
      <c r="AQ769" s="1"/>
      <c r="AR769" s="1"/>
      <c r="AS769" s="1"/>
      <c r="AT769" s="1"/>
      <c r="AU769" s="1"/>
      <c r="AV769" s="1"/>
      <c r="AW769" s="1"/>
      <c r="AX769" s="1"/>
      <c r="AY769" s="1"/>
      <c r="AZ769" s="1"/>
      <c r="BA769" s="1"/>
      <c r="BB769" s="1"/>
      <c r="BC769" s="1"/>
      <c r="BD769" s="296"/>
      <c r="BE769" s="1"/>
      <c r="BF769" s="1"/>
      <c r="BG769" s="20"/>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row>
    <row r="770" spans="1:115" ht="15.75" customHeight="1">
      <c r="A770" s="1"/>
      <c r="B770" s="1"/>
      <c r="C770" s="1"/>
      <c r="D770" s="1"/>
      <c r="E770" s="1"/>
      <c r="F770" s="1"/>
      <c r="G770" s="1"/>
      <c r="H770" s="1"/>
      <c r="I770" s="294"/>
      <c r="J770" s="294"/>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3"/>
      <c r="AJ770" s="1"/>
      <c r="AK770" s="295"/>
      <c r="AL770" s="1"/>
      <c r="AM770" s="1"/>
      <c r="AN770" s="1"/>
      <c r="AO770" s="1"/>
      <c r="AP770" s="1"/>
      <c r="AQ770" s="1"/>
      <c r="AR770" s="1"/>
      <c r="AS770" s="1"/>
      <c r="AT770" s="1"/>
      <c r="AU770" s="1"/>
      <c r="AV770" s="1"/>
      <c r="AW770" s="1"/>
      <c r="AX770" s="1"/>
      <c r="AY770" s="1"/>
      <c r="AZ770" s="1"/>
      <c r="BA770" s="1"/>
      <c r="BB770" s="1"/>
      <c r="BC770" s="1"/>
      <c r="BD770" s="296"/>
      <c r="BE770" s="1"/>
      <c r="BF770" s="1"/>
      <c r="BG770" s="20"/>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row>
    <row r="771" spans="1:115" ht="15.75" customHeight="1">
      <c r="A771" s="1"/>
      <c r="B771" s="1"/>
      <c r="C771" s="1"/>
      <c r="D771" s="1"/>
      <c r="E771" s="1"/>
      <c r="F771" s="1"/>
      <c r="G771" s="1"/>
      <c r="H771" s="1"/>
      <c r="I771" s="294"/>
      <c r="J771" s="294"/>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3"/>
      <c r="AJ771" s="1"/>
      <c r="AK771" s="295"/>
      <c r="AL771" s="1"/>
      <c r="AM771" s="1"/>
      <c r="AN771" s="1"/>
      <c r="AO771" s="1"/>
      <c r="AP771" s="1"/>
      <c r="AQ771" s="1"/>
      <c r="AR771" s="1"/>
      <c r="AS771" s="1"/>
      <c r="AT771" s="1"/>
      <c r="AU771" s="1"/>
      <c r="AV771" s="1"/>
      <c r="AW771" s="1"/>
      <c r="AX771" s="1"/>
      <c r="AY771" s="1"/>
      <c r="AZ771" s="1"/>
      <c r="BA771" s="1"/>
      <c r="BB771" s="1"/>
      <c r="BC771" s="1"/>
      <c r="BD771" s="296"/>
      <c r="BE771" s="1"/>
      <c r="BF771" s="1"/>
      <c r="BG771" s="20"/>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row>
    <row r="772" spans="1:115" ht="15.75" customHeight="1">
      <c r="A772" s="1"/>
      <c r="B772" s="1"/>
      <c r="C772" s="1"/>
      <c r="D772" s="1"/>
      <c r="E772" s="1"/>
      <c r="F772" s="1"/>
      <c r="G772" s="1"/>
      <c r="H772" s="1"/>
      <c r="I772" s="294"/>
      <c r="J772" s="294"/>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3"/>
      <c r="AJ772" s="1"/>
      <c r="AK772" s="295"/>
      <c r="AL772" s="1"/>
      <c r="AM772" s="1"/>
      <c r="AN772" s="1"/>
      <c r="AO772" s="1"/>
      <c r="AP772" s="1"/>
      <c r="AQ772" s="1"/>
      <c r="AR772" s="1"/>
      <c r="AS772" s="1"/>
      <c r="AT772" s="1"/>
      <c r="AU772" s="1"/>
      <c r="AV772" s="1"/>
      <c r="AW772" s="1"/>
      <c r="AX772" s="1"/>
      <c r="AY772" s="1"/>
      <c r="AZ772" s="1"/>
      <c r="BA772" s="1"/>
      <c r="BB772" s="1"/>
      <c r="BC772" s="1"/>
      <c r="BD772" s="296"/>
      <c r="BE772" s="1"/>
      <c r="BF772" s="1"/>
      <c r="BG772" s="20"/>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row>
    <row r="773" spans="1:115" ht="15.75" customHeight="1">
      <c r="A773" s="1"/>
      <c r="B773" s="1"/>
      <c r="C773" s="1"/>
      <c r="D773" s="1"/>
      <c r="E773" s="1"/>
      <c r="F773" s="1"/>
      <c r="G773" s="1"/>
      <c r="H773" s="1"/>
      <c r="I773" s="294"/>
      <c r="J773" s="294"/>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3"/>
      <c r="AJ773" s="1"/>
      <c r="AK773" s="295"/>
      <c r="AL773" s="1"/>
      <c r="AM773" s="1"/>
      <c r="AN773" s="1"/>
      <c r="AO773" s="1"/>
      <c r="AP773" s="1"/>
      <c r="AQ773" s="1"/>
      <c r="AR773" s="1"/>
      <c r="AS773" s="1"/>
      <c r="AT773" s="1"/>
      <c r="AU773" s="1"/>
      <c r="AV773" s="1"/>
      <c r="AW773" s="1"/>
      <c r="AX773" s="1"/>
      <c r="AY773" s="1"/>
      <c r="AZ773" s="1"/>
      <c r="BA773" s="1"/>
      <c r="BB773" s="1"/>
      <c r="BC773" s="1"/>
      <c r="BD773" s="296"/>
      <c r="BE773" s="1"/>
      <c r="BF773" s="1"/>
      <c r="BG773" s="20"/>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row>
    <row r="774" spans="1:115" ht="15.75" customHeight="1">
      <c r="A774" s="1"/>
      <c r="B774" s="1"/>
      <c r="C774" s="1"/>
      <c r="D774" s="1"/>
      <c r="E774" s="1"/>
      <c r="F774" s="1"/>
      <c r="G774" s="1"/>
      <c r="H774" s="1"/>
      <c r="I774" s="294"/>
      <c r="J774" s="294"/>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3"/>
      <c r="AJ774" s="1"/>
      <c r="AK774" s="295"/>
      <c r="AL774" s="1"/>
      <c r="AM774" s="1"/>
      <c r="AN774" s="1"/>
      <c r="AO774" s="1"/>
      <c r="AP774" s="1"/>
      <c r="AQ774" s="1"/>
      <c r="AR774" s="1"/>
      <c r="AS774" s="1"/>
      <c r="AT774" s="1"/>
      <c r="AU774" s="1"/>
      <c r="AV774" s="1"/>
      <c r="AW774" s="1"/>
      <c r="AX774" s="1"/>
      <c r="AY774" s="1"/>
      <c r="AZ774" s="1"/>
      <c r="BA774" s="1"/>
      <c r="BB774" s="1"/>
      <c r="BC774" s="1"/>
      <c r="BD774" s="296"/>
      <c r="BE774" s="1"/>
      <c r="BF774" s="1"/>
      <c r="BG774" s="20"/>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row>
    <row r="775" spans="1:115" ht="15.75" customHeight="1">
      <c r="A775" s="1"/>
      <c r="B775" s="1"/>
      <c r="C775" s="1"/>
      <c r="D775" s="1"/>
      <c r="E775" s="1"/>
      <c r="F775" s="1"/>
      <c r="G775" s="1"/>
      <c r="H775" s="1"/>
      <c r="I775" s="294"/>
      <c r="J775" s="294"/>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3"/>
      <c r="AJ775" s="1"/>
      <c r="AK775" s="295"/>
      <c r="AL775" s="1"/>
      <c r="AM775" s="1"/>
      <c r="AN775" s="1"/>
      <c r="AO775" s="1"/>
      <c r="AP775" s="1"/>
      <c r="AQ775" s="1"/>
      <c r="AR775" s="1"/>
      <c r="AS775" s="1"/>
      <c r="AT775" s="1"/>
      <c r="AU775" s="1"/>
      <c r="AV775" s="1"/>
      <c r="AW775" s="1"/>
      <c r="AX775" s="1"/>
      <c r="AY775" s="1"/>
      <c r="AZ775" s="1"/>
      <c r="BA775" s="1"/>
      <c r="BB775" s="1"/>
      <c r="BC775" s="1"/>
      <c r="BD775" s="296"/>
      <c r="BE775" s="1"/>
      <c r="BF775" s="1"/>
      <c r="BG775" s="20"/>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row>
    <row r="776" spans="1:115" ht="15.75" customHeight="1">
      <c r="A776" s="1"/>
      <c r="B776" s="1"/>
      <c r="C776" s="1"/>
      <c r="D776" s="1"/>
      <c r="E776" s="1"/>
      <c r="F776" s="1"/>
      <c r="G776" s="1"/>
      <c r="H776" s="1"/>
      <c r="I776" s="294"/>
      <c r="J776" s="294"/>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3"/>
      <c r="AJ776" s="1"/>
      <c r="AK776" s="295"/>
      <c r="AL776" s="1"/>
      <c r="AM776" s="1"/>
      <c r="AN776" s="1"/>
      <c r="AO776" s="1"/>
      <c r="AP776" s="1"/>
      <c r="AQ776" s="1"/>
      <c r="AR776" s="1"/>
      <c r="AS776" s="1"/>
      <c r="AT776" s="1"/>
      <c r="AU776" s="1"/>
      <c r="AV776" s="1"/>
      <c r="AW776" s="1"/>
      <c r="AX776" s="1"/>
      <c r="AY776" s="1"/>
      <c r="AZ776" s="1"/>
      <c r="BA776" s="1"/>
      <c r="BB776" s="1"/>
      <c r="BC776" s="1"/>
      <c r="BD776" s="296"/>
      <c r="BE776" s="1"/>
      <c r="BF776" s="1"/>
      <c r="BG776" s="20"/>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row>
    <row r="777" spans="1:115" ht="15.75" customHeight="1">
      <c r="A777" s="1"/>
      <c r="B777" s="1"/>
      <c r="C777" s="1"/>
      <c r="D777" s="1"/>
      <c r="E777" s="1"/>
      <c r="F777" s="1"/>
      <c r="G777" s="1"/>
      <c r="H777" s="1"/>
      <c r="I777" s="294"/>
      <c r="J777" s="294"/>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3"/>
      <c r="AJ777" s="1"/>
      <c r="AK777" s="295"/>
      <c r="AL777" s="1"/>
      <c r="AM777" s="1"/>
      <c r="AN777" s="1"/>
      <c r="AO777" s="1"/>
      <c r="AP777" s="1"/>
      <c r="AQ777" s="1"/>
      <c r="AR777" s="1"/>
      <c r="AS777" s="1"/>
      <c r="AT777" s="1"/>
      <c r="AU777" s="1"/>
      <c r="AV777" s="1"/>
      <c r="AW777" s="1"/>
      <c r="AX777" s="1"/>
      <c r="AY777" s="1"/>
      <c r="AZ777" s="1"/>
      <c r="BA777" s="1"/>
      <c r="BB777" s="1"/>
      <c r="BC777" s="1"/>
      <c r="BD777" s="296"/>
      <c r="BE777" s="1"/>
      <c r="BF777" s="1"/>
      <c r="BG777" s="20"/>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row>
    <row r="778" spans="1:115" ht="15.75" customHeight="1">
      <c r="A778" s="1"/>
      <c r="B778" s="1"/>
      <c r="C778" s="1"/>
      <c r="D778" s="1"/>
      <c r="E778" s="1"/>
      <c r="F778" s="1"/>
      <c r="G778" s="1"/>
      <c r="H778" s="1"/>
      <c r="I778" s="294"/>
      <c r="J778" s="294"/>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3"/>
      <c r="AJ778" s="1"/>
      <c r="AK778" s="295"/>
      <c r="AL778" s="1"/>
      <c r="AM778" s="1"/>
      <c r="AN778" s="1"/>
      <c r="AO778" s="1"/>
      <c r="AP778" s="1"/>
      <c r="AQ778" s="1"/>
      <c r="AR778" s="1"/>
      <c r="AS778" s="1"/>
      <c r="AT778" s="1"/>
      <c r="AU778" s="1"/>
      <c r="AV778" s="1"/>
      <c r="AW778" s="1"/>
      <c r="AX778" s="1"/>
      <c r="AY778" s="1"/>
      <c r="AZ778" s="1"/>
      <c r="BA778" s="1"/>
      <c r="BB778" s="1"/>
      <c r="BC778" s="1"/>
      <c r="BD778" s="296"/>
      <c r="BE778" s="1"/>
      <c r="BF778" s="1"/>
      <c r="BG778" s="20"/>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row>
    <row r="779" spans="1:115" ht="15.75" customHeight="1">
      <c r="A779" s="1"/>
      <c r="B779" s="1"/>
      <c r="C779" s="1"/>
      <c r="D779" s="1"/>
      <c r="E779" s="1"/>
      <c r="F779" s="1"/>
      <c r="G779" s="1"/>
      <c r="H779" s="1"/>
      <c r="I779" s="294"/>
      <c r="J779" s="294"/>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3"/>
      <c r="AJ779" s="1"/>
      <c r="AK779" s="295"/>
      <c r="AL779" s="1"/>
      <c r="AM779" s="1"/>
      <c r="AN779" s="1"/>
      <c r="AO779" s="1"/>
      <c r="AP779" s="1"/>
      <c r="AQ779" s="1"/>
      <c r="AR779" s="1"/>
      <c r="AS779" s="1"/>
      <c r="AT779" s="1"/>
      <c r="AU779" s="1"/>
      <c r="AV779" s="1"/>
      <c r="AW779" s="1"/>
      <c r="AX779" s="1"/>
      <c r="AY779" s="1"/>
      <c r="AZ779" s="1"/>
      <c r="BA779" s="1"/>
      <c r="BB779" s="1"/>
      <c r="BC779" s="1"/>
      <c r="BD779" s="296"/>
      <c r="BE779" s="1"/>
      <c r="BF779" s="1"/>
      <c r="BG779" s="20"/>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row>
    <row r="780" spans="1:115" ht="15.75" customHeight="1">
      <c r="A780" s="1"/>
      <c r="B780" s="1"/>
      <c r="C780" s="1"/>
      <c r="D780" s="1"/>
      <c r="E780" s="1"/>
      <c r="F780" s="1"/>
      <c r="G780" s="1"/>
      <c r="H780" s="1"/>
      <c r="I780" s="294"/>
      <c r="J780" s="294"/>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3"/>
      <c r="AJ780" s="1"/>
      <c r="AK780" s="295"/>
      <c r="AL780" s="1"/>
      <c r="AM780" s="1"/>
      <c r="AN780" s="1"/>
      <c r="AO780" s="1"/>
      <c r="AP780" s="1"/>
      <c r="AQ780" s="1"/>
      <c r="AR780" s="1"/>
      <c r="AS780" s="1"/>
      <c r="AT780" s="1"/>
      <c r="AU780" s="1"/>
      <c r="AV780" s="1"/>
      <c r="AW780" s="1"/>
      <c r="AX780" s="1"/>
      <c r="AY780" s="1"/>
      <c r="AZ780" s="1"/>
      <c r="BA780" s="1"/>
      <c r="BB780" s="1"/>
      <c r="BC780" s="1"/>
      <c r="BD780" s="296"/>
      <c r="BE780" s="1"/>
      <c r="BF780" s="1"/>
      <c r="BG780" s="20"/>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row>
    <row r="781" spans="1:115" ht="15.75" customHeight="1">
      <c r="A781" s="1"/>
      <c r="B781" s="1"/>
      <c r="C781" s="1"/>
      <c r="D781" s="1"/>
      <c r="E781" s="1"/>
      <c r="F781" s="1"/>
      <c r="G781" s="1"/>
      <c r="H781" s="1"/>
      <c r="I781" s="294"/>
      <c r="J781" s="294"/>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3"/>
      <c r="AJ781" s="1"/>
      <c r="AK781" s="295"/>
      <c r="AL781" s="1"/>
      <c r="AM781" s="1"/>
      <c r="AN781" s="1"/>
      <c r="AO781" s="1"/>
      <c r="AP781" s="1"/>
      <c r="AQ781" s="1"/>
      <c r="AR781" s="1"/>
      <c r="AS781" s="1"/>
      <c r="AT781" s="1"/>
      <c r="AU781" s="1"/>
      <c r="AV781" s="1"/>
      <c r="AW781" s="1"/>
      <c r="AX781" s="1"/>
      <c r="AY781" s="1"/>
      <c r="AZ781" s="1"/>
      <c r="BA781" s="1"/>
      <c r="BB781" s="1"/>
      <c r="BC781" s="1"/>
      <c r="BD781" s="296"/>
      <c r="BE781" s="1"/>
      <c r="BF781" s="1"/>
      <c r="BG781" s="20"/>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row>
    <row r="782" spans="1:115" ht="15.75" customHeight="1">
      <c r="A782" s="1"/>
      <c r="B782" s="1"/>
      <c r="C782" s="1"/>
      <c r="D782" s="1"/>
      <c r="E782" s="1"/>
      <c r="F782" s="1"/>
      <c r="G782" s="1"/>
      <c r="H782" s="1"/>
      <c r="I782" s="294"/>
      <c r="J782" s="294"/>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3"/>
      <c r="AJ782" s="1"/>
      <c r="AK782" s="295"/>
      <c r="AL782" s="1"/>
      <c r="AM782" s="1"/>
      <c r="AN782" s="1"/>
      <c r="AO782" s="1"/>
      <c r="AP782" s="1"/>
      <c r="AQ782" s="1"/>
      <c r="AR782" s="1"/>
      <c r="AS782" s="1"/>
      <c r="AT782" s="1"/>
      <c r="AU782" s="1"/>
      <c r="AV782" s="1"/>
      <c r="AW782" s="1"/>
      <c r="AX782" s="1"/>
      <c r="AY782" s="1"/>
      <c r="AZ782" s="1"/>
      <c r="BA782" s="1"/>
      <c r="BB782" s="1"/>
      <c r="BC782" s="1"/>
      <c r="BD782" s="296"/>
      <c r="BE782" s="1"/>
      <c r="BF782" s="1"/>
      <c r="BG782" s="20"/>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row>
    <row r="783" spans="1:115" ht="15.75" customHeight="1">
      <c r="A783" s="1"/>
      <c r="B783" s="1"/>
      <c r="C783" s="1"/>
      <c r="D783" s="1"/>
      <c r="E783" s="1"/>
      <c r="F783" s="1"/>
      <c r="G783" s="1"/>
      <c r="H783" s="1"/>
      <c r="I783" s="294"/>
      <c r="J783" s="294"/>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3"/>
      <c r="AJ783" s="1"/>
      <c r="AK783" s="295"/>
      <c r="AL783" s="1"/>
      <c r="AM783" s="1"/>
      <c r="AN783" s="1"/>
      <c r="AO783" s="1"/>
      <c r="AP783" s="1"/>
      <c r="AQ783" s="1"/>
      <c r="AR783" s="1"/>
      <c r="AS783" s="1"/>
      <c r="AT783" s="1"/>
      <c r="AU783" s="1"/>
      <c r="AV783" s="1"/>
      <c r="AW783" s="1"/>
      <c r="AX783" s="1"/>
      <c r="AY783" s="1"/>
      <c r="AZ783" s="1"/>
      <c r="BA783" s="1"/>
      <c r="BB783" s="1"/>
      <c r="BC783" s="1"/>
      <c r="BD783" s="296"/>
      <c r="BE783" s="1"/>
      <c r="BF783" s="1"/>
      <c r="BG783" s="20"/>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row>
    <row r="784" spans="1:115" ht="15.75" customHeight="1">
      <c r="A784" s="1"/>
      <c r="B784" s="1"/>
      <c r="C784" s="1"/>
      <c r="D784" s="1"/>
      <c r="E784" s="1"/>
      <c r="F784" s="1"/>
      <c r="G784" s="1"/>
      <c r="H784" s="1"/>
      <c r="I784" s="294"/>
      <c r="J784" s="294"/>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3"/>
      <c r="AJ784" s="1"/>
      <c r="AK784" s="295"/>
      <c r="AL784" s="1"/>
      <c r="AM784" s="1"/>
      <c r="AN784" s="1"/>
      <c r="AO784" s="1"/>
      <c r="AP784" s="1"/>
      <c r="AQ784" s="1"/>
      <c r="AR784" s="1"/>
      <c r="AS784" s="1"/>
      <c r="AT784" s="1"/>
      <c r="AU784" s="1"/>
      <c r="AV784" s="1"/>
      <c r="AW784" s="1"/>
      <c r="AX784" s="1"/>
      <c r="AY784" s="1"/>
      <c r="AZ784" s="1"/>
      <c r="BA784" s="1"/>
      <c r="BB784" s="1"/>
      <c r="BC784" s="1"/>
      <c r="BD784" s="296"/>
      <c r="BE784" s="1"/>
      <c r="BF784" s="1"/>
      <c r="BG784" s="20"/>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row>
    <row r="785" spans="1:115" ht="15.75" customHeight="1">
      <c r="A785" s="1"/>
      <c r="B785" s="1"/>
      <c r="C785" s="1"/>
      <c r="D785" s="1"/>
      <c r="E785" s="1"/>
      <c r="F785" s="1"/>
      <c r="G785" s="1"/>
      <c r="H785" s="1"/>
      <c r="I785" s="294"/>
      <c r="J785" s="294"/>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3"/>
      <c r="AJ785" s="1"/>
      <c r="AK785" s="295"/>
      <c r="AL785" s="1"/>
      <c r="AM785" s="1"/>
      <c r="AN785" s="1"/>
      <c r="AO785" s="1"/>
      <c r="AP785" s="1"/>
      <c r="AQ785" s="1"/>
      <c r="AR785" s="1"/>
      <c r="AS785" s="1"/>
      <c r="AT785" s="1"/>
      <c r="AU785" s="1"/>
      <c r="AV785" s="1"/>
      <c r="AW785" s="1"/>
      <c r="AX785" s="1"/>
      <c r="AY785" s="1"/>
      <c r="AZ785" s="1"/>
      <c r="BA785" s="1"/>
      <c r="BB785" s="1"/>
      <c r="BC785" s="1"/>
      <c r="BD785" s="296"/>
      <c r="BE785" s="1"/>
      <c r="BF785" s="1"/>
      <c r="BG785" s="20"/>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row>
    <row r="786" spans="1:115" ht="15.75" customHeight="1">
      <c r="A786" s="1"/>
      <c r="B786" s="1"/>
      <c r="C786" s="1"/>
      <c r="D786" s="1"/>
      <c r="E786" s="1"/>
      <c r="F786" s="1"/>
      <c r="G786" s="1"/>
      <c r="H786" s="1"/>
      <c r="I786" s="294"/>
      <c r="J786" s="294"/>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3"/>
      <c r="AJ786" s="1"/>
      <c r="AK786" s="295"/>
      <c r="AL786" s="1"/>
      <c r="AM786" s="1"/>
      <c r="AN786" s="1"/>
      <c r="AO786" s="1"/>
      <c r="AP786" s="1"/>
      <c r="AQ786" s="1"/>
      <c r="AR786" s="1"/>
      <c r="AS786" s="1"/>
      <c r="AT786" s="1"/>
      <c r="AU786" s="1"/>
      <c r="AV786" s="1"/>
      <c r="AW786" s="1"/>
      <c r="AX786" s="1"/>
      <c r="AY786" s="1"/>
      <c r="AZ786" s="1"/>
      <c r="BA786" s="1"/>
      <c r="BB786" s="1"/>
      <c r="BC786" s="1"/>
      <c r="BD786" s="296"/>
      <c r="BE786" s="1"/>
      <c r="BF786" s="1"/>
      <c r="BG786" s="20"/>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row>
    <row r="787" spans="1:115" ht="15.75" customHeight="1">
      <c r="A787" s="1"/>
      <c r="B787" s="1"/>
      <c r="C787" s="1"/>
      <c r="D787" s="1"/>
      <c r="E787" s="1"/>
      <c r="F787" s="1"/>
      <c r="G787" s="1"/>
      <c r="H787" s="1"/>
      <c r="I787" s="294"/>
      <c r="J787" s="294"/>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3"/>
      <c r="AJ787" s="1"/>
      <c r="AK787" s="295"/>
      <c r="AL787" s="1"/>
      <c r="AM787" s="1"/>
      <c r="AN787" s="1"/>
      <c r="AO787" s="1"/>
      <c r="AP787" s="1"/>
      <c r="AQ787" s="1"/>
      <c r="AR787" s="1"/>
      <c r="AS787" s="1"/>
      <c r="AT787" s="1"/>
      <c r="AU787" s="1"/>
      <c r="AV787" s="1"/>
      <c r="AW787" s="1"/>
      <c r="AX787" s="1"/>
      <c r="AY787" s="1"/>
      <c r="AZ787" s="1"/>
      <c r="BA787" s="1"/>
      <c r="BB787" s="1"/>
      <c r="BC787" s="1"/>
      <c r="BD787" s="296"/>
      <c r="BE787" s="1"/>
      <c r="BF787" s="1"/>
      <c r="BG787" s="20"/>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row>
    <row r="788" spans="1:115" ht="15.75" customHeight="1">
      <c r="A788" s="1"/>
      <c r="B788" s="1"/>
      <c r="C788" s="1"/>
      <c r="D788" s="1"/>
      <c r="E788" s="1"/>
      <c r="F788" s="1"/>
      <c r="G788" s="1"/>
      <c r="H788" s="1"/>
      <c r="I788" s="294"/>
      <c r="J788" s="294"/>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3"/>
      <c r="AJ788" s="1"/>
      <c r="AK788" s="295"/>
      <c r="AL788" s="1"/>
      <c r="AM788" s="1"/>
      <c r="AN788" s="1"/>
      <c r="AO788" s="1"/>
      <c r="AP788" s="1"/>
      <c r="AQ788" s="1"/>
      <c r="AR788" s="1"/>
      <c r="AS788" s="1"/>
      <c r="AT788" s="1"/>
      <c r="AU788" s="1"/>
      <c r="AV788" s="1"/>
      <c r="AW788" s="1"/>
      <c r="AX788" s="1"/>
      <c r="AY788" s="1"/>
      <c r="AZ788" s="1"/>
      <c r="BA788" s="1"/>
      <c r="BB788" s="1"/>
      <c r="BC788" s="1"/>
      <c r="BD788" s="296"/>
      <c r="BE788" s="1"/>
      <c r="BF788" s="1"/>
      <c r="BG788" s="20"/>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row>
    <row r="789" spans="1:115" ht="15.75" customHeight="1">
      <c r="A789" s="1"/>
      <c r="B789" s="1"/>
      <c r="C789" s="1"/>
      <c r="D789" s="1"/>
      <c r="E789" s="1"/>
      <c r="F789" s="1"/>
      <c r="G789" s="1"/>
      <c r="H789" s="1"/>
      <c r="I789" s="294"/>
      <c r="J789" s="294"/>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3"/>
      <c r="AJ789" s="1"/>
      <c r="AK789" s="295"/>
      <c r="AL789" s="1"/>
      <c r="AM789" s="1"/>
      <c r="AN789" s="1"/>
      <c r="AO789" s="1"/>
      <c r="AP789" s="1"/>
      <c r="AQ789" s="1"/>
      <c r="AR789" s="1"/>
      <c r="AS789" s="1"/>
      <c r="AT789" s="1"/>
      <c r="AU789" s="1"/>
      <c r="AV789" s="1"/>
      <c r="AW789" s="1"/>
      <c r="AX789" s="1"/>
      <c r="AY789" s="1"/>
      <c r="AZ789" s="1"/>
      <c r="BA789" s="1"/>
      <c r="BB789" s="1"/>
      <c r="BC789" s="1"/>
      <c r="BD789" s="296"/>
      <c r="BE789" s="1"/>
      <c r="BF789" s="1"/>
      <c r="BG789" s="20"/>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row>
    <row r="790" spans="1:115" ht="15.75" customHeight="1">
      <c r="A790" s="1"/>
      <c r="B790" s="1"/>
      <c r="C790" s="1"/>
      <c r="D790" s="1"/>
      <c r="E790" s="1"/>
      <c r="F790" s="1"/>
      <c r="G790" s="1"/>
      <c r="H790" s="1"/>
      <c r="I790" s="294"/>
      <c r="J790" s="294"/>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3"/>
      <c r="AJ790" s="1"/>
      <c r="AK790" s="295"/>
      <c r="AL790" s="1"/>
      <c r="AM790" s="1"/>
      <c r="AN790" s="1"/>
      <c r="AO790" s="1"/>
      <c r="AP790" s="1"/>
      <c r="AQ790" s="1"/>
      <c r="AR790" s="1"/>
      <c r="AS790" s="1"/>
      <c r="AT790" s="1"/>
      <c r="AU790" s="1"/>
      <c r="AV790" s="1"/>
      <c r="AW790" s="1"/>
      <c r="AX790" s="1"/>
      <c r="AY790" s="1"/>
      <c r="AZ790" s="1"/>
      <c r="BA790" s="1"/>
      <c r="BB790" s="1"/>
      <c r="BC790" s="1"/>
      <c r="BD790" s="296"/>
      <c r="BE790" s="1"/>
      <c r="BF790" s="1"/>
      <c r="BG790" s="20"/>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row>
    <row r="791" spans="1:115" ht="15.75" customHeight="1">
      <c r="A791" s="1"/>
      <c r="B791" s="1"/>
      <c r="C791" s="1"/>
      <c r="D791" s="1"/>
      <c r="E791" s="1"/>
      <c r="F791" s="1"/>
      <c r="G791" s="1"/>
      <c r="H791" s="1"/>
      <c r="I791" s="294"/>
      <c r="J791" s="294"/>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3"/>
      <c r="AJ791" s="1"/>
      <c r="AK791" s="295"/>
      <c r="AL791" s="1"/>
      <c r="AM791" s="1"/>
      <c r="AN791" s="1"/>
      <c r="AO791" s="1"/>
      <c r="AP791" s="1"/>
      <c r="AQ791" s="1"/>
      <c r="AR791" s="1"/>
      <c r="AS791" s="1"/>
      <c r="AT791" s="1"/>
      <c r="AU791" s="1"/>
      <c r="AV791" s="1"/>
      <c r="AW791" s="1"/>
      <c r="AX791" s="1"/>
      <c r="AY791" s="1"/>
      <c r="AZ791" s="1"/>
      <c r="BA791" s="1"/>
      <c r="BB791" s="1"/>
      <c r="BC791" s="1"/>
      <c r="BD791" s="296"/>
      <c r="BE791" s="1"/>
      <c r="BF791" s="1"/>
      <c r="BG791" s="20"/>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row>
    <row r="792" spans="1:115" ht="15.75" customHeight="1">
      <c r="A792" s="1"/>
      <c r="B792" s="1"/>
      <c r="C792" s="1"/>
      <c r="D792" s="1"/>
      <c r="E792" s="1"/>
      <c r="F792" s="1"/>
      <c r="G792" s="1"/>
      <c r="H792" s="1"/>
      <c r="I792" s="294"/>
      <c r="J792" s="294"/>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3"/>
      <c r="AJ792" s="1"/>
      <c r="AK792" s="295"/>
      <c r="AL792" s="1"/>
      <c r="AM792" s="1"/>
      <c r="AN792" s="1"/>
      <c r="AO792" s="1"/>
      <c r="AP792" s="1"/>
      <c r="AQ792" s="1"/>
      <c r="AR792" s="1"/>
      <c r="AS792" s="1"/>
      <c r="AT792" s="1"/>
      <c r="AU792" s="1"/>
      <c r="AV792" s="1"/>
      <c r="AW792" s="1"/>
      <c r="AX792" s="1"/>
      <c r="AY792" s="1"/>
      <c r="AZ792" s="1"/>
      <c r="BA792" s="1"/>
      <c r="BB792" s="1"/>
      <c r="BC792" s="1"/>
      <c r="BD792" s="296"/>
      <c r="BE792" s="1"/>
      <c r="BF792" s="1"/>
      <c r="BG792" s="20"/>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row>
    <row r="793" spans="1:115" ht="15.75" customHeight="1">
      <c r="A793" s="1"/>
      <c r="B793" s="1"/>
      <c r="C793" s="1"/>
      <c r="D793" s="1"/>
      <c r="E793" s="1"/>
      <c r="F793" s="1"/>
      <c r="G793" s="1"/>
      <c r="H793" s="1"/>
      <c r="I793" s="294"/>
      <c r="J793" s="294"/>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3"/>
      <c r="AJ793" s="1"/>
      <c r="AK793" s="295"/>
      <c r="AL793" s="1"/>
      <c r="AM793" s="1"/>
      <c r="AN793" s="1"/>
      <c r="AO793" s="1"/>
      <c r="AP793" s="1"/>
      <c r="AQ793" s="1"/>
      <c r="AR793" s="1"/>
      <c r="AS793" s="1"/>
      <c r="AT793" s="1"/>
      <c r="AU793" s="1"/>
      <c r="AV793" s="1"/>
      <c r="AW793" s="1"/>
      <c r="AX793" s="1"/>
      <c r="AY793" s="1"/>
      <c r="AZ793" s="1"/>
      <c r="BA793" s="1"/>
      <c r="BB793" s="1"/>
      <c r="BC793" s="1"/>
      <c r="BD793" s="296"/>
      <c r="BE793" s="1"/>
      <c r="BF793" s="1"/>
      <c r="BG793" s="20"/>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row>
    <row r="794" spans="1:115" ht="15.75" customHeight="1">
      <c r="A794" s="1"/>
      <c r="B794" s="1"/>
      <c r="C794" s="1"/>
      <c r="D794" s="1"/>
      <c r="E794" s="1"/>
      <c r="F794" s="1"/>
      <c r="G794" s="1"/>
      <c r="H794" s="1"/>
      <c r="I794" s="294"/>
      <c r="J794" s="294"/>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3"/>
      <c r="AJ794" s="1"/>
      <c r="AK794" s="295"/>
      <c r="AL794" s="1"/>
      <c r="AM794" s="1"/>
      <c r="AN794" s="1"/>
      <c r="AO794" s="1"/>
      <c r="AP794" s="1"/>
      <c r="AQ794" s="1"/>
      <c r="AR794" s="1"/>
      <c r="AS794" s="1"/>
      <c r="AT794" s="1"/>
      <c r="AU794" s="1"/>
      <c r="AV794" s="1"/>
      <c r="AW794" s="1"/>
      <c r="AX794" s="1"/>
      <c r="AY794" s="1"/>
      <c r="AZ794" s="1"/>
      <c r="BA794" s="1"/>
      <c r="BB794" s="1"/>
      <c r="BC794" s="1"/>
      <c r="BD794" s="296"/>
      <c r="BE794" s="1"/>
      <c r="BF794" s="1"/>
      <c r="BG794" s="20"/>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row>
    <row r="795" spans="1:115" ht="15.75" customHeight="1">
      <c r="A795" s="1"/>
      <c r="B795" s="1"/>
      <c r="C795" s="1"/>
      <c r="D795" s="1"/>
      <c r="E795" s="1"/>
      <c r="F795" s="1"/>
      <c r="G795" s="1"/>
      <c r="H795" s="1"/>
      <c r="I795" s="294"/>
      <c r="J795" s="294"/>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3"/>
      <c r="AJ795" s="1"/>
      <c r="AK795" s="295"/>
      <c r="AL795" s="1"/>
      <c r="AM795" s="1"/>
      <c r="AN795" s="1"/>
      <c r="AO795" s="1"/>
      <c r="AP795" s="1"/>
      <c r="AQ795" s="1"/>
      <c r="AR795" s="1"/>
      <c r="AS795" s="1"/>
      <c r="AT795" s="1"/>
      <c r="AU795" s="1"/>
      <c r="AV795" s="1"/>
      <c r="AW795" s="1"/>
      <c r="AX795" s="1"/>
      <c r="AY795" s="1"/>
      <c r="AZ795" s="1"/>
      <c r="BA795" s="1"/>
      <c r="BB795" s="1"/>
      <c r="BC795" s="1"/>
      <c r="BD795" s="296"/>
      <c r="BE795" s="1"/>
      <c r="BF795" s="1"/>
      <c r="BG795" s="20"/>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row>
    <row r="796" spans="1:115" ht="15.75" customHeight="1">
      <c r="A796" s="1"/>
      <c r="B796" s="1"/>
      <c r="C796" s="1"/>
      <c r="D796" s="1"/>
      <c r="E796" s="1"/>
      <c r="F796" s="1"/>
      <c r="G796" s="1"/>
      <c r="H796" s="1"/>
      <c r="I796" s="294"/>
      <c r="J796" s="294"/>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3"/>
      <c r="AJ796" s="1"/>
      <c r="AK796" s="295"/>
      <c r="AL796" s="1"/>
      <c r="AM796" s="1"/>
      <c r="AN796" s="1"/>
      <c r="AO796" s="1"/>
      <c r="AP796" s="1"/>
      <c r="AQ796" s="1"/>
      <c r="AR796" s="1"/>
      <c r="AS796" s="1"/>
      <c r="AT796" s="1"/>
      <c r="AU796" s="1"/>
      <c r="AV796" s="1"/>
      <c r="AW796" s="1"/>
      <c r="AX796" s="1"/>
      <c r="AY796" s="1"/>
      <c r="AZ796" s="1"/>
      <c r="BA796" s="1"/>
      <c r="BB796" s="1"/>
      <c r="BC796" s="1"/>
      <c r="BD796" s="296"/>
      <c r="BE796" s="1"/>
      <c r="BF796" s="1"/>
      <c r="BG796" s="20"/>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row>
    <row r="797" spans="1:115" ht="15.75" customHeight="1">
      <c r="A797" s="1"/>
      <c r="B797" s="1"/>
      <c r="C797" s="1"/>
      <c r="D797" s="1"/>
      <c r="E797" s="1"/>
      <c r="F797" s="1"/>
      <c r="G797" s="1"/>
      <c r="H797" s="1"/>
      <c r="I797" s="294"/>
      <c r="J797" s="294"/>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3"/>
      <c r="AJ797" s="1"/>
      <c r="AK797" s="295"/>
      <c r="AL797" s="1"/>
      <c r="AM797" s="1"/>
      <c r="AN797" s="1"/>
      <c r="AO797" s="1"/>
      <c r="AP797" s="1"/>
      <c r="AQ797" s="1"/>
      <c r="AR797" s="1"/>
      <c r="AS797" s="1"/>
      <c r="AT797" s="1"/>
      <c r="AU797" s="1"/>
      <c r="AV797" s="1"/>
      <c r="AW797" s="1"/>
      <c r="AX797" s="1"/>
      <c r="AY797" s="1"/>
      <c r="AZ797" s="1"/>
      <c r="BA797" s="1"/>
      <c r="BB797" s="1"/>
      <c r="BC797" s="1"/>
      <c r="BD797" s="296"/>
      <c r="BE797" s="1"/>
      <c r="BF797" s="1"/>
      <c r="BG797" s="20"/>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row>
    <row r="798" spans="1:115" ht="15.75" customHeight="1">
      <c r="A798" s="1"/>
      <c r="B798" s="1"/>
      <c r="C798" s="1"/>
      <c r="D798" s="1"/>
      <c r="E798" s="1"/>
      <c r="F798" s="1"/>
      <c r="G798" s="1"/>
      <c r="H798" s="1"/>
      <c r="I798" s="294"/>
      <c r="J798" s="294"/>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3"/>
      <c r="AJ798" s="1"/>
      <c r="AK798" s="295"/>
      <c r="AL798" s="1"/>
      <c r="AM798" s="1"/>
      <c r="AN798" s="1"/>
      <c r="AO798" s="1"/>
      <c r="AP798" s="1"/>
      <c r="AQ798" s="1"/>
      <c r="AR798" s="1"/>
      <c r="AS798" s="1"/>
      <c r="AT798" s="1"/>
      <c r="AU798" s="1"/>
      <c r="AV798" s="1"/>
      <c r="AW798" s="1"/>
      <c r="AX798" s="1"/>
      <c r="AY798" s="1"/>
      <c r="AZ798" s="1"/>
      <c r="BA798" s="1"/>
      <c r="BB798" s="1"/>
      <c r="BC798" s="1"/>
      <c r="BD798" s="296"/>
      <c r="BE798" s="1"/>
      <c r="BF798" s="1"/>
      <c r="BG798" s="20"/>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row>
    <row r="799" spans="1:115" ht="15.75" customHeight="1">
      <c r="A799" s="1"/>
      <c r="B799" s="1"/>
      <c r="C799" s="1"/>
      <c r="D799" s="1"/>
      <c r="E799" s="1"/>
      <c r="F799" s="1"/>
      <c r="G799" s="1"/>
      <c r="H799" s="1"/>
      <c r="I799" s="294"/>
      <c r="J799" s="294"/>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3"/>
      <c r="AJ799" s="1"/>
      <c r="AK799" s="295"/>
      <c r="AL799" s="1"/>
      <c r="AM799" s="1"/>
      <c r="AN799" s="1"/>
      <c r="AO799" s="1"/>
      <c r="AP799" s="1"/>
      <c r="AQ799" s="1"/>
      <c r="AR799" s="1"/>
      <c r="AS799" s="1"/>
      <c r="AT799" s="1"/>
      <c r="AU799" s="1"/>
      <c r="AV799" s="1"/>
      <c r="AW799" s="1"/>
      <c r="AX799" s="1"/>
      <c r="AY799" s="1"/>
      <c r="AZ799" s="1"/>
      <c r="BA799" s="1"/>
      <c r="BB799" s="1"/>
      <c r="BC799" s="1"/>
      <c r="BD799" s="296"/>
      <c r="BE799" s="1"/>
      <c r="BF799" s="1"/>
      <c r="BG799" s="20"/>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row>
    <row r="800" spans="1:115" ht="15.75" customHeight="1">
      <c r="A800" s="1"/>
      <c r="B800" s="1"/>
      <c r="C800" s="1"/>
      <c r="D800" s="1"/>
      <c r="E800" s="1"/>
      <c r="F800" s="1"/>
      <c r="G800" s="1"/>
      <c r="H800" s="1"/>
      <c r="I800" s="294"/>
      <c r="J800" s="294"/>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3"/>
      <c r="AJ800" s="1"/>
      <c r="AK800" s="295"/>
      <c r="AL800" s="1"/>
      <c r="AM800" s="1"/>
      <c r="AN800" s="1"/>
      <c r="AO800" s="1"/>
      <c r="AP800" s="1"/>
      <c r="AQ800" s="1"/>
      <c r="AR800" s="1"/>
      <c r="AS800" s="1"/>
      <c r="AT800" s="1"/>
      <c r="AU800" s="1"/>
      <c r="AV800" s="1"/>
      <c r="AW800" s="1"/>
      <c r="AX800" s="1"/>
      <c r="AY800" s="1"/>
      <c r="AZ800" s="1"/>
      <c r="BA800" s="1"/>
      <c r="BB800" s="1"/>
      <c r="BC800" s="1"/>
      <c r="BD800" s="296"/>
      <c r="BE800" s="1"/>
      <c r="BF800" s="1"/>
      <c r="BG800" s="20"/>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row>
    <row r="801" spans="1:115" ht="15.75" customHeight="1">
      <c r="A801" s="1"/>
      <c r="B801" s="1"/>
      <c r="C801" s="1"/>
      <c r="D801" s="1"/>
      <c r="E801" s="1"/>
      <c r="F801" s="1"/>
      <c r="G801" s="1"/>
      <c r="H801" s="1"/>
      <c r="I801" s="294"/>
      <c r="J801" s="294"/>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3"/>
      <c r="AJ801" s="1"/>
      <c r="AK801" s="295"/>
      <c r="AL801" s="1"/>
      <c r="AM801" s="1"/>
      <c r="AN801" s="1"/>
      <c r="AO801" s="1"/>
      <c r="AP801" s="1"/>
      <c r="AQ801" s="1"/>
      <c r="AR801" s="1"/>
      <c r="AS801" s="1"/>
      <c r="AT801" s="1"/>
      <c r="AU801" s="1"/>
      <c r="AV801" s="1"/>
      <c r="AW801" s="1"/>
      <c r="AX801" s="1"/>
      <c r="AY801" s="1"/>
      <c r="AZ801" s="1"/>
      <c r="BA801" s="1"/>
      <c r="BB801" s="1"/>
      <c r="BC801" s="1"/>
      <c r="BD801" s="296"/>
      <c r="BE801" s="1"/>
      <c r="BF801" s="1"/>
      <c r="BG801" s="20"/>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row>
    <row r="802" spans="1:115" ht="15.75" customHeight="1">
      <c r="A802" s="1"/>
      <c r="B802" s="1"/>
      <c r="C802" s="1"/>
      <c r="D802" s="1"/>
      <c r="E802" s="1"/>
      <c r="F802" s="1"/>
      <c r="G802" s="1"/>
      <c r="H802" s="1"/>
      <c r="I802" s="294"/>
      <c r="J802" s="294"/>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3"/>
      <c r="AJ802" s="1"/>
      <c r="AK802" s="295"/>
      <c r="AL802" s="1"/>
      <c r="AM802" s="1"/>
      <c r="AN802" s="1"/>
      <c r="AO802" s="1"/>
      <c r="AP802" s="1"/>
      <c r="AQ802" s="1"/>
      <c r="AR802" s="1"/>
      <c r="AS802" s="1"/>
      <c r="AT802" s="1"/>
      <c r="AU802" s="1"/>
      <c r="AV802" s="1"/>
      <c r="AW802" s="1"/>
      <c r="AX802" s="1"/>
      <c r="AY802" s="1"/>
      <c r="AZ802" s="1"/>
      <c r="BA802" s="1"/>
      <c r="BB802" s="1"/>
      <c r="BC802" s="1"/>
      <c r="BD802" s="296"/>
      <c r="BE802" s="1"/>
      <c r="BF802" s="1"/>
      <c r="BG802" s="20"/>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row>
    <row r="803" spans="1:115" ht="15.75" customHeight="1">
      <c r="A803" s="1"/>
      <c r="B803" s="1"/>
      <c r="C803" s="1"/>
      <c r="D803" s="1"/>
      <c r="E803" s="1"/>
      <c r="F803" s="1"/>
      <c r="G803" s="1"/>
      <c r="H803" s="1"/>
      <c r="I803" s="294"/>
      <c r="J803" s="294"/>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3"/>
      <c r="AJ803" s="1"/>
      <c r="AK803" s="295"/>
      <c r="AL803" s="1"/>
      <c r="AM803" s="1"/>
      <c r="AN803" s="1"/>
      <c r="AO803" s="1"/>
      <c r="AP803" s="1"/>
      <c r="AQ803" s="1"/>
      <c r="AR803" s="1"/>
      <c r="AS803" s="1"/>
      <c r="AT803" s="1"/>
      <c r="AU803" s="1"/>
      <c r="AV803" s="1"/>
      <c r="AW803" s="1"/>
      <c r="AX803" s="1"/>
      <c r="AY803" s="1"/>
      <c r="AZ803" s="1"/>
      <c r="BA803" s="1"/>
      <c r="BB803" s="1"/>
      <c r="BC803" s="1"/>
      <c r="BD803" s="296"/>
      <c r="BE803" s="1"/>
      <c r="BF803" s="1"/>
      <c r="BG803" s="20"/>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row>
    <row r="804" spans="1:115" ht="15.75" customHeight="1">
      <c r="A804" s="1"/>
      <c r="B804" s="1"/>
      <c r="C804" s="1"/>
      <c r="D804" s="1"/>
      <c r="E804" s="1"/>
      <c r="F804" s="1"/>
      <c r="G804" s="1"/>
      <c r="H804" s="1"/>
      <c r="I804" s="294"/>
      <c r="J804" s="294"/>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3"/>
      <c r="AJ804" s="1"/>
      <c r="AK804" s="295"/>
      <c r="AL804" s="1"/>
      <c r="AM804" s="1"/>
      <c r="AN804" s="1"/>
      <c r="AO804" s="1"/>
      <c r="AP804" s="1"/>
      <c r="AQ804" s="1"/>
      <c r="AR804" s="1"/>
      <c r="AS804" s="1"/>
      <c r="AT804" s="1"/>
      <c r="AU804" s="1"/>
      <c r="AV804" s="1"/>
      <c r="AW804" s="1"/>
      <c r="AX804" s="1"/>
      <c r="AY804" s="1"/>
      <c r="AZ804" s="1"/>
      <c r="BA804" s="1"/>
      <c r="BB804" s="1"/>
      <c r="BC804" s="1"/>
      <c r="BD804" s="296"/>
      <c r="BE804" s="1"/>
      <c r="BF804" s="1"/>
      <c r="BG804" s="20"/>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row>
    <row r="805" spans="1:115" ht="15.75" customHeight="1">
      <c r="A805" s="1"/>
      <c r="B805" s="1"/>
      <c r="C805" s="1"/>
      <c r="D805" s="1"/>
      <c r="E805" s="1"/>
      <c r="F805" s="1"/>
      <c r="G805" s="1"/>
      <c r="H805" s="1"/>
      <c r="I805" s="294"/>
      <c r="J805" s="294"/>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3"/>
      <c r="AJ805" s="1"/>
      <c r="AK805" s="295"/>
      <c r="AL805" s="1"/>
      <c r="AM805" s="1"/>
      <c r="AN805" s="1"/>
      <c r="AO805" s="1"/>
      <c r="AP805" s="1"/>
      <c r="AQ805" s="1"/>
      <c r="AR805" s="1"/>
      <c r="AS805" s="1"/>
      <c r="AT805" s="1"/>
      <c r="AU805" s="1"/>
      <c r="AV805" s="1"/>
      <c r="AW805" s="1"/>
      <c r="AX805" s="1"/>
      <c r="AY805" s="1"/>
      <c r="AZ805" s="1"/>
      <c r="BA805" s="1"/>
      <c r="BB805" s="1"/>
      <c r="BC805" s="1"/>
      <c r="BD805" s="296"/>
      <c r="BE805" s="1"/>
      <c r="BF805" s="1"/>
      <c r="BG805" s="20"/>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row>
    <row r="806" spans="1:115" ht="15.75" customHeight="1">
      <c r="A806" s="1"/>
      <c r="B806" s="1"/>
      <c r="C806" s="1"/>
      <c r="D806" s="1"/>
      <c r="E806" s="1"/>
      <c r="F806" s="1"/>
      <c r="G806" s="1"/>
      <c r="H806" s="1"/>
      <c r="I806" s="294"/>
      <c r="J806" s="294"/>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3"/>
      <c r="AJ806" s="1"/>
      <c r="AK806" s="295"/>
      <c r="AL806" s="1"/>
      <c r="AM806" s="1"/>
      <c r="AN806" s="1"/>
      <c r="AO806" s="1"/>
      <c r="AP806" s="1"/>
      <c r="AQ806" s="1"/>
      <c r="AR806" s="1"/>
      <c r="AS806" s="1"/>
      <c r="AT806" s="1"/>
      <c r="AU806" s="1"/>
      <c r="AV806" s="1"/>
      <c r="AW806" s="1"/>
      <c r="AX806" s="1"/>
      <c r="AY806" s="1"/>
      <c r="AZ806" s="1"/>
      <c r="BA806" s="1"/>
      <c r="BB806" s="1"/>
      <c r="BC806" s="1"/>
      <c r="BD806" s="296"/>
      <c r="BE806" s="1"/>
      <c r="BF806" s="1"/>
      <c r="BG806" s="20"/>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row>
    <row r="807" spans="1:115" ht="15.75" customHeight="1">
      <c r="A807" s="1"/>
      <c r="B807" s="1"/>
      <c r="C807" s="1"/>
      <c r="D807" s="1"/>
      <c r="E807" s="1"/>
      <c r="F807" s="1"/>
      <c r="G807" s="1"/>
      <c r="H807" s="1"/>
      <c r="I807" s="294"/>
      <c r="J807" s="294"/>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3"/>
      <c r="AJ807" s="1"/>
      <c r="AK807" s="295"/>
      <c r="AL807" s="1"/>
      <c r="AM807" s="1"/>
      <c r="AN807" s="1"/>
      <c r="AO807" s="1"/>
      <c r="AP807" s="1"/>
      <c r="AQ807" s="1"/>
      <c r="AR807" s="1"/>
      <c r="AS807" s="1"/>
      <c r="AT807" s="1"/>
      <c r="AU807" s="1"/>
      <c r="AV807" s="1"/>
      <c r="AW807" s="1"/>
      <c r="AX807" s="1"/>
      <c r="AY807" s="1"/>
      <c r="AZ807" s="1"/>
      <c r="BA807" s="1"/>
      <c r="BB807" s="1"/>
      <c r="BC807" s="1"/>
      <c r="BD807" s="296"/>
      <c r="BE807" s="1"/>
      <c r="BF807" s="1"/>
      <c r="BG807" s="20"/>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row>
    <row r="808" spans="1:115" ht="15.75" customHeight="1">
      <c r="A808" s="1"/>
      <c r="B808" s="1"/>
      <c r="C808" s="1"/>
      <c r="D808" s="1"/>
      <c r="E808" s="1"/>
      <c r="F808" s="1"/>
      <c r="G808" s="1"/>
      <c r="H808" s="1"/>
      <c r="I808" s="294"/>
      <c r="J808" s="294"/>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3"/>
      <c r="AJ808" s="1"/>
      <c r="AK808" s="295"/>
      <c r="AL808" s="1"/>
      <c r="AM808" s="1"/>
      <c r="AN808" s="1"/>
      <c r="AO808" s="1"/>
      <c r="AP808" s="1"/>
      <c r="AQ808" s="1"/>
      <c r="AR808" s="1"/>
      <c r="AS808" s="1"/>
      <c r="AT808" s="1"/>
      <c r="AU808" s="1"/>
      <c r="AV808" s="1"/>
      <c r="AW808" s="1"/>
      <c r="AX808" s="1"/>
      <c r="AY808" s="1"/>
      <c r="AZ808" s="1"/>
      <c r="BA808" s="1"/>
      <c r="BB808" s="1"/>
      <c r="BC808" s="1"/>
      <c r="BD808" s="296"/>
      <c r="BE808" s="1"/>
      <c r="BF808" s="1"/>
      <c r="BG808" s="20"/>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row>
    <row r="809" spans="1:115" ht="15.75" customHeight="1">
      <c r="A809" s="1"/>
      <c r="B809" s="1"/>
      <c r="C809" s="1"/>
      <c r="D809" s="1"/>
      <c r="E809" s="1"/>
      <c r="F809" s="1"/>
      <c r="G809" s="1"/>
      <c r="H809" s="1"/>
      <c r="I809" s="294"/>
      <c r="J809" s="294"/>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3"/>
      <c r="AJ809" s="1"/>
      <c r="AK809" s="295"/>
      <c r="AL809" s="1"/>
      <c r="AM809" s="1"/>
      <c r="AN809" s="1"/>
      <c r="AO809" s="1"/>
      <c r="AP809" s="1"/>
      <c r="AQ809" s="1"/>
      <c r="AR809" s="1"/>
      <c r="AS809" s="1"/>
      <c r="AT809" s="1"/>
      <c r="AU809" s="1"/>
      <c r="AV809" s="1"/>
      <c r="AW809" s="1"/>
      <c r="AX809" s="1"/>
      <c r="AY809" s="1"/>
      <c r="AZ809" s="1"/>
      <c r="BA809" s="1"/>
      <c r="BB809" s="1"/>
      <c r="BC809" s="1"/>
      <c r="BD809" s="296"/>
      <c r="BE809" s="1"/>
      <c r="BF809" s="1"/>
      <c r="BG809" s="20"/>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row>
    <row r="810" spans="1:115" ht="15.75" customHeight="1">
      <c r="A810" s="1"/>
      <c r="B810" s="1"/>
      <c r="C810" s="1"/>
      <c r="D810" s="1"/>
      <c r="E810" s="1"/>
      <c r="F810" s="1"/>
      <c r="G810" s="1"/>
      <c r="H810" s="1"/>
      <c r="I810" s="294"/>
      <c r="J810" s="294"/>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3"/>
      <c r="AJ810" s="1"/>
      <c r="AK810" s="295"/>
      <c r="AL810" s="1"/>
      <c r="AM810" s="1"/>
      <c r="AN810" s="1"/>
      <c r="AO810" s="1"/>
      <c r="AP810" s="1"/>
      <c r="AQ810" s="1"/>
      <c r="AR810" s="1"/>
      <c r="AS810" s="1"/>
      <c r="AT810" s="1"/>
      <c r="AU810" s="1"/>
      <c r="AV810" s="1"/>
      <c r="AW810" s="1"/>
      <c r="AX810" s="1"/>
      <c r="AY810" s="1"/>
      <c r="AZ810" s="1"/>
      <c r="BA810" s="1"/>
      <c r="BB810" s="1"/>
      <c r="BC810" s="1"/>
      <c r="BD810" s="296"/>
      <c r="BE810" s="1"/>
      <c r="BF810" s="1"/>
      <c r="BG810" s="20"/>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row>
    <row r="811" spans="1:115" ht="15.75" customHeight="1">
      <c r="A811" s="1"/>
      <c r="B811" s="1"/>
      <c r="C811" s="1"/>
      <c r="D811" s="1"/>
      <c r="E811" s="1"/>
      <c r="F811" s="1"/>
      <c r="G811" s="1"/>
      <c r="H811" s="1"/>
      <c r="I811" s="294"/>
      <c r="J811" s="294"/>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3"/>
      <c r="AJ811" s="1"/>
      <c r="AK811" s="295"/>
      <c r="AL811" s="1"/>
      <c r="AM811" s="1"/>
      <c r="AN811" s="1"/>
      <c r="AO811" s="1"/>
      <c r="AP811" s="1"/>
      <c r="AQ811" s="1"/>
      <c r="AR811" s="1"/>
      <c r="AS811" s="1"/>
      <c r="AT811" s="1"/>
      <c r="AU811" s="1"/>
      <c r="AV811" s="1"/>
      <c r="AW811" s="1"/>
      <c r="AX811" s="1"/>
      <c r="AY811" s="1"/>
      <c r="AZ811" s="1"/>
      <c r="BA811" s="1"/>
      <c r="BB811" s="1"/>
      <c r="BC811" s="1"/>
      <c r="BD811" s="296"/>
      <c r="BE811" s="1"/>
      <c r="BF811" s="1"/>
      <c r="BG811" s="20"/>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row>
    <row r="812" spans="1:115" ht="15.75" customHeight="1">
      <c r="A812" s="1"/>
      <c r="B812" s="1"/>
      <c r="C812" s="1"/>
      <c r="D812" s="1"/>
      <c r="E812" s="1"/>
      <c r="F812" s="1"/>
      <c r="G812" s="1"/>
      <c r="H812" s="1"/>
      <c r="I812" s="294"/>
      <c r="J812" s="294"/>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3"/>
      <c r="AJ812" s="1"/>
      <c r="AK812" s="295"/>
      <c r="AL812" s="1"/>
      <c r="AM812" s="1"/>
      <c r="AN812" s="1"/>
      <c r="AO812" s="1"/>
      <c r="AP812" s="1"/>
      <c r="AQ812" s="1"/>
      <c r="AR812" s="1"/>
      <c r="AS812" s="1"/>
      <c r="AT812" s="1"/>
      <c r="AU812" s="1"/>
      <c r="AV812" s="1"/>
      <c r="AW812" s="1"/>
      <c r="AX812" s="1"/>
      <c r="AY812" s="1"/>
      <c r="AZ812" s="1"/>
      <c r="BA812" s="1"/>
      <c r="BB812" s="1"/>
      <c r="BC812" s="1"/>
      <c r="BD812" s="296"/>
      <c r="BE812" s="1"/>
      <c r="BF812" s="1"/>
      <c r="BG812" s="20"/>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row>
    <row r="813" spans="1:115" ht="15.75" customHeight="1">
      <c r="A813" s="1"/>
      <c r="B813" s="1"/>
      <c r="C813" s="1"/>
      <c r="D813" s="1"/>
      <c r="E813" s="1"/>
      <c r="F813" s="1"/>
      <c r="G813" s="1"/>
      <c r="H813" s="1"/>
      <c r="I813" s="294"/>
      <c r="J813" s="294"/>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3"/>
      <c r="AJ813" s="1"/>
      <c r="AK813" s="295"/>
      <c r="AL813" s="1"/>
      <c r="AM813" s="1"/>
      <c r="AN813" s="1"/>
      <c r="AO813" s="1"/>
      <c r="AP813" s="1"/>
      <c r="AQ813" s="1"/>
      <c r="AR813" s="1"/>
      <c r="AS813" s="1"/>
      <c r="AT813" s="1"/>
      <c r="AU813" s="1"/>
      <c r="AV813" s="1"/>
      <c r="AW813" s="1"/>
      <c r="AX813" s="1"/>
      <c r="AY813" s="1"/>
      <c r="AZ813" s="1"/>
      <c r="BA813" s="1"/>
      <c r="BB813" s="1"/>
      <c r="BC813" s="1"/>
      <c r="BD813" s="296"/>
      <c r="BE813" s="1"/>
      <c r="BF813" s="1"/>
      <c r="BG813" s="20"/>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row>
    <row r="814" spans="1:115" ht="15.75" customHeight="1">
      <c r="A814" s="1"/>
      <c r="B814" s="1"/>
      <c r="C814" s="1"/>
      <c r="D814" s="1"/>
      <c r="E814" s="1"/>
      <c r="F814" s="1"/>
      <c r="G814" s="1"/>
      <c r="H814" s="1"/>
      <c r="I814" s="294"/>
      <c r="J814" s="294"/>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3"/>
      <c r="AJ814" s="1"/>
      <c r="AK814" s="295"/>
      <c r="AL814" s="1"/>
      <c r="AM814" s="1"/>
      <c r="AN814" s="1"/>
      <c r="AO814" s="1"/>
      <c r="AP814" s="1"/>
      <c r="AQ814" s="1"/>
      <c r="AR814" s="1"/>
      <c r="AS814" s="1"/>
      <c r="AT814" s="1"/>
      <c r="AU814" s="1"/>
      <c r="AV814" s="1"/>
      <c r="AW814" s="1"/>
      <c r="AX814" s="1"/>
      <c r="AY814" s="1"/>
      <c r="AZ814" s="1"/>
      <c r="BA814" s="1"/>
      <c r="BB814" s="1"/>
      <c r="BC814" s="1"/>
      <c r="BD814" s="296"/>
      <c r="BE814" s="1"/>
      <c r="BF814" s="1"/>
      <c r="BG814" s="20"/>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row>
    <row r="815" spans="1:115" ht="15.75" customHeight="1">
      <c r="A815" s="1"/>
      <c r="B815" s="1"/>
      <c r="C815" s="1"/>
      <c r="D815" s="1"/>
      <c r="E815" s="1"/>
      <c r="F815" s="1"/>
      <c r="G815" s="1"/>
      <c r="H815" s="1"/>
      <c r="I815" s="294"/>
      <c r="J815" s="294"/>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3"/>
      <c r="AJ815" s="1"/>
      <c r="AK815" s="295"/>
      <c r="AL815" s="1"/>
      <c r="AM815" s="1"/>
      <c r="AN815" s="1"/>
      <c r="AO815" s="1"/>
      <c r="AP815" s="1"/>
      <c r="AQ815" s="1"/>
      <c r="AR815" s="1"/>
      <c r="AS815" s="1"/>
      <c r="AT815" s="1"/>
      <c r="AU815" s="1"/>
      <c r="AV815" s="1"/>
      <c r="AW815" s="1"/>
      <c r="AX815" s="1"/>
      <c r="AY815" s="1"/>
      <c r="AZ815" s="1"/>
      <c r="BA815" s="1"/>
      <c r="BB815" s="1"/>
      <c r="BC815" s="1"/>
      <c r="BD815" s="296"/>
      <c r="BE815" s="1"/>
      <c r="BF815" s="1"/>
      <c r="BG815" s="20"/>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row>
    <row r="816" spans="1:115" ht="15.75" customHeight="1">
      <c r="A816" s="1"/>
      <c r="B816" s="1"/>
      <c r="C816" s="1"/>
      <c r="D816" s="1"/>
      <c r="E816" s="1"/>
      <c r="F816" s="1"/>
      <c r="G816" s="1"/>
      <c r="H816" s="1"/>
      <c r="I816" s="294"/>
      <c r="J816" s="294"/>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3"/>
      <c r="AJ816" s="1"/>
      <c r="AK816" s="295"/>
      <c r="AL816" s="1"/>
      <c r="AM816" s="1"/>
      <c r="AN816" s="1"/>
      <c r="AO816" s="1"/>
      <c r="AP816" s="1"/>
      <c r="AQ816" s="1"/>
      <c r="AR816" s="1"/>
      <c r="AS816" s="1"/>
      <c r="AT816" s="1"/>
      <c r="AU816" s="1"/>
      <c r="AV816" s="1"/>
      <c r="AW816" s="1"/>
      <c r="AX816" s="1"/>
      <c r="AY816" s="1"/>
      <c r="AZ816" s="1"/>
      <c r="BA816" s="1"/>
      <c r="BB816" s="1"/>
      <c r="BC816" s="1"/>
      <c r="BD816" s="296"/>
      <c r="BE816" s="1"/>
      <c r="BF816" s="1"/>
      <c r="BG816" s="20"/>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row>
    <row r="817" spans="1:115" ht="15.75" customHeight="1">
      <c r="A817" s="1"/>
      <c r="B817" s="1"/>
      <c r="C817" s="1"/>
      <c r="D817" s="1"/>
      <c r="E817" s="1"/>
      <c r="F817" s="1"/>
      <c r="G817" s="1"/>
      <c r="H817" s="1"/>
      <c r="I817" s="294"/>
      <c r="J817" s="294"/>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3"/>
      <c r="AJ817" s="1"/>
      <c r="AK817" s="295"/>
      <c r="AL817" s="1"/>
      <c r="AM817" s="1"/>
      <c r="AN817" s="1"/>
      <c r="AO817" s="1"/>
      <c r="AP817" s="1"/>
      <c r="AQ817" s="1"/>
      <c r="AR817" s="1"/>
      <c r="AS817" s="1"/>
      <c r="AT817" s="1"/>
      <c r="AU817" s="1"/>
      <c r="AV817" s="1"/>
      <c r="AW817" s="1"/>
      <c r="AX817" s="1"/>
      <c r="AY817" s="1"/>
      <c r="AZ817" s="1"/>
      <c r="BA817" s="1"/>
      <c r="BB817" s="1"/>
      <c r="BC817" s="1"/>
      <c r="BD817" s="296"/>
      <c r="BE817" s="1"/>
      <c r="BF817" s="1"/>
      <c r="BG817" s="20"/>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row>
    <row r="818" spans="1:115" ht="15.75" customHeight="1">
      <c r="A818" s="1"/>
      <c r="B818" s="1"/>
      <c r="C818" s="1"/>
      <c r="D818" s="1"/>
      <c r="E818" s="1"/>
      <c r="F818" s="1"/>
      <c r="G818" s="1"/>
      <c r="H818" s="1"/>
      <c r="I818" s="294"/>
      <c r="J818" s="294"/>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3"/>
      <c r="AJ818" s="1"/>
      <c r="AK818" s="295"/>
      <c r="AL818" s="1"/>
      <c r="AM818" s="1"/>
      <c r="AN818" s="1"/>
      <c r="AO818" s="1"/>
      <c r="AP818" s="1"/>
      <c r="AQ818" s="1"/>
      <c r="AR818" s="1"/>
      <c r="AS818" s="1"/>
      <c r="AT818" s="1"/>
      <c r="AU818" s="1"/>
      <c r="AV818" s="1"/>
      <c r="AW818" s="1"/>
      <c r="AX818" s="1"/>
      <c r="AY818" s="1"/>
      <c r="AZ818" s="1"/>
      <c r="BA818" s="1"/>
      <c r="BB818" s="1"/>
      <c r="BC818" s="1"/>
      <c r="BD818" s="296"/>
      <c r="BE818" s="1"/>
      <c r="BF818" s="1"/>
      <c r="BG818" s="20"/>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row>
    <row r="819" spans="1:115" ht="15.75" customHeight="1">
      <c r="A819" s="1"/>
      <c r="B819" s="1"/>
      <c r="C819" s="1"/>
      <c r="D819" s="1"/>
      <c r="E819" s="1"/>
      <c r="F819" s="1"/>
      <c r="G819" s="1"/>
      <c r="H819" s="1"/>
      <c r="I819" s="294"/>
      <c r="J819" s="294"/>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3"/>
      <c r="AJ819" s="1"/>
      <c r="AK819" s="295"/>
      <c r="AL819" s="1"/>
      <c r="AM819" s="1"/>
      <c r="AN819" s="1"/>
      <c r="AO819" s="1"/>
      <c r="AP819" s="1"/>
      <c r="AQ819" s="1"/>
      <c r="AR819" s="1"/>
      <c r="AS819" s="1"/>
      <c r="AT819" s="1"/>
      <c r="AU819" s="1"/>
      <c r="AV819" s="1"/>
      <c r="AW819" s="1"/>
      <c r="AX819" s="1"/>
      <c r="AY819" s="1"/>
      <c r="AZ819" s="1"/>
      <c r="BA819" s="1"/>
      <c r="BB819" s="1"/>
      <c r="BC819" s="1"/>
      <c r="BD819" s="296"/>
      <c r="BE819" s="1"/>
      <c r="BF819" s="1"/>
      <c r="BG819" s="20"/>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row>
    <row r="820" spans="1:115" ht="15.75" customHeight="1">
      <c r="A820" s="1"/>
      <c r="B820" s="1"/>
      <c r="C820" s="1"/>
      <c r="D820" s="1"/>
      <c r="E820" s="1"/>
      <c r="F820" s="1"/>
      <c r="G820" s="1"/>
      <c r="H820" s="1"/>
      <c r="I820" s="294"/>
      <c r="J820" s="294"/>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3"/>
      <c r="AJ820" s="1"/>
      <c r="AK820" s="295"/>
      <c r="AL820" s="1"/>
      <c r="AM820" s="1"/>
      <c r="AN820" s="1"/>
      <c r="AO820" s="1"/>
      <c r="AP820" s="1"/>
      <c r="AQ820" s="1"/>
      <c r="AR820" s="1"/>
      <c r="AS820" s="1"/>
      <c r="AT820" s="1"/>
      <c r="AU820" s="1"/>
      <c r="AV820" s="1"/>
      <c r="AW820" s="1"/>
      <c r="AX820" s="1"/>
      <c r="AY820" s="1"/>
      <c r="AZ820" s="1"/>
      <c r="BA820" s="1"/>
      <c r="BB820" s="1"/>
      <c r="BC820" s="1"/>
      <c r="BD820" s="296"/>
      <c r="BE820" s="1"/>
      <c r="BF820" s="1"/>
      <c r="BG820" s="20"/>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row>
    <row r="821" spans="1:115" ht="15.75" customHeight="1">
      <c r="A821" s="1"/>
      <c r="B821" s="1"/>
      <c r="C821" s="1"/>
      <c r="D821" s="1"/>
      <c r="E821" s="1"/>
      <c r="F821" s="1"/>
      <c r="G821" s="1"/>
      <c r="H821" s="1"/>
      <c r="I821" s="294"/>
      <c r="J821" s="294"/>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3"/>
      <c r="AJ821" s="1"/>
      <c r="AK821" s="295"/>
      <c r="AL821" s="1"/>
      <c r="AM821" s="1"/>
      <c r="AN821" s="1"/>
      <c r="AO821" s="1"/>
      <c r="AP821" s="1"/>
      <c r="AQ821" s="1"/>
      <c r="AR821" s="1"/>
      <c r="AS821" s="1"/>
      <c r="AT821" s="1"/>
      <c r="AU821" s="1"/>
      <c r="AV821" s="1"/>
      <c r="AW821" s="1"/>
      <c r="AX821" s="1"/>
      <c r="AY821" s="1"/>
      <c r="AZ821" s="1"/>
      <c r="BA821" s="1"/>
      <c r="BB821" s="1"/>
      <c r="BC821" s="1"/>
      <c r="BD821" s="296"/>
      <c r="BE821" s="1"/>
      <c r="BF821" s="1"/>
      <c r="BG821" s="20"/>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row>
    <row r="822" spans="1:115" ht="15.75" customHeight="1">
      <c r="A822" s="1"/>
      <c r="B822" s="1"/>
      <c r="C822" s="1"/>
      <c r="D822" s="1"/>
      <c r="E822" s="1"/>
      <c r="F822" s="1"/>
      <c r="G822" s="1"/>
      <c r="H822" s="1"/>
      <c r="I822" s="294"/>
      <c r="J822" s="294"/>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3"/>
      <c r="AJ822" s="1"/>
      <c r="AK822" s="295"/>
      <c r="AL822" s="1"/>
      <c r="AM822" s="1"/>
      <c r="AN822" s="1"/>
      <c r="AO822" s="1"/>
      <c r="AP822" s="1"/>
      <c r="AQ822" s="1"/>
      <c r="AR822" s="1"/>
      <c r="AS822" s="1"/>
      <c r="AT822" s="1"/>
      <c r="AU822" s="1"/>
      <c r="AV822" s="1"/>
      <c r="AW822" s="1"/>
      <c r="AX822" s="1"/>
      <c r="AY822" s="1"/>
      <c r="AZ822" s="1"/>
      <c r="BA822" s="1"/>
      <c r="BB822" s="1"/>
      <c r="BC822" s="1"/>
      <c r="BD822" s="296"/>
      <c r="BE822" s="1"/>
      <c r="BF822" s="1"/>
      <c r="BG822" s="20"/>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row>
    <row r="823" spans="1:115" ht="15.75" customHeight="1">
      <c r="A823" s="1"/>
      <c r="B823" s="1"/>
      <c r="C823" s="1"/>
      <c r="D823" s="1"/>
      <c r="E823" s="1"/>
      <c r="F823" s="1"/>
      <c r="G823" s="1"/>
      <c r="H823" s="1"/>
      <c r="I823" s="294"/>
      <c r="J823" s="294"/>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3"/>
      <c r="AJ823" s="1"/>
      <c r="AK823" s="295"/>
      <c r="AL823" s="1"/>
      <c r="AM823" s="1"/>
      <c r="AN823" s="1"/>
      <c r="AO823" s="1"/>
      <c r="AP823" s="1"/>
      <c r="AQ823" s="1"/>
      <c r="AR823" s="1"/>
      <c r="AS823" s="1"/>
      <c r="AT823" s="1"/>
      <c r="AU823" s="1"/>
      <c r="AV823" s="1"/>
      <c r="AW823" s="1"/>
      <c r="AX823" s="1"/>
      <c r="AY823" s="1"/>
      <c r="AZ823" s="1"/>
      <c r="BA823" s="1"/>
      <c r="BB823" s="1"/>
      <c r="BC823" s="1"/>
      <c r="BD823" s="296"/>
      <c r="BE823" s="1"/>
      <c r="BF823" s="1"/>
      <c r="BG823" s="20"/>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row>
    <row r="824" spans="1:115" ht="15.75" customHeight="1">
      <c r="A824" s="1"/>
      <c r="B824" s="1"/>
      <c r="C824" s="1"/>
      <c r="D824" s="1"/>
      <c r="E824" s="1"/>
      <c r="F824" s="1"/>
      <c r="G824" s="1"/>
      <c r="H824" s="1"/>
      <c r="I824" s="294"/>
      <c r="J824" s="294"/>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3"/>
      <c r="AJ824" s="1"/>
      <c r="AK824" s="295"/>
      <c r="AL824" s="1"/>
      <c r="AM824" s="1"/>
      <c r="AN824" s="1"/>
      <c r="AO824" s="1"/>
      <c r="AP824" s="1"/>
      <c r="AQ824" s="1"/>
      <c r="AR824" s="1"/>
      <c r="AS824" s="1"/>
      <c r="AT824" s="1"/>
      <c r="AU824" s="1"/>
      <c r="AV824" s="1"/>
      <c r="AW824" s="1"/>
      <c r="AX824" s="1"/>
      <c r="AY824" s="1"/>
      <c r="AZ824" s="1"/>
      <c r="BA824" s="1"/>
      <c r="BB824" s="1"/>
      <c r="BC824" s="1"/>
      <c r="BD824" s="296"/>
      <c r="BE824" s="1"/>
      <c r="BF824" s="1"/>
      <c r="BG824" s="20"/>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row>
    <row r="825" spans="1:115" ht="15.75" customHeight="1">
      <c r="A825" s="1"/>
      <c r="B825" s="1"/>
      <c r="C825" s="1"/>
      <c r="D825" s="1"/>
      <c r="E825" s="1"/>
      <c r="F825" s="1"/>
      <c r="G825" s="1"/>
      <c r="H825" s="1"/>
      <c r="I825" s="294"/>
      <c r="J825" s="294"/>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3"/>
      <c r="AJ825" s="1"/>
      <c r="AK825" s="295"/>
      <c r="AL825" s="1"/>
      <c r="AM825" s="1"/>
      <c r="AN825" s="1"/>
      <c r="AO825" s="1"/>
      <c r="AP825" s="1"/>
      <c r="AQ825" s="1"/>
      <c r="AR825" s="1"/>
      <c r="AS825" s="1"/>
      <c r="AT825" s="1"/>
      <c r="AU825" s="1"/>
      <c r="AV825" s="1"/>
      <c r="AW825" s="1"/>
      <c r="AX825" s="1"/>
      <c r="AY825" s="1"/>
      <c r="AZ825" s="1"/>
      <c r="BA825" s="1"/>
      <c r="BB825" s="1"/>
      <c r="BC825" s="1"/>
      <c r="BD825" s="296"/>
      <c r="BE825" s="1"/>
      <c r="BF825" s="1"/>
      <c r="BG825" s="20"/>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row>
    <row r="826" spans="1:115" ht="15.75" customHeight="1">
      <c r="A826" s="1"/>
      <c r="B826" s="1"/>
      <c r="C826" s="1"/>
      <c r="D826" s="1"/>
      <c r="E826" s="1"/>
      <c r="F826" s="1"/>
      <c r="G826" s="1"/>
      <c r="H826" s="1"/>
      <c r="I826" s="294"/>
      <c r="J826" s="294"/>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3"/>
      <c r="AJ826" s="1"/>
      <c r="AK826" s="295"/>
      <c r="AL826" s="1"/>
      <c r="AM826" s="1"/>
      <c r="AN826" s="1"/>
      <c r="AO826" s="1"/>
      <c r="AP826" s="1"/>
      <c r="AQ826" s="1"/>
      <c r="AR826" s="1"/>
      <c r="AS826" s="1"/>
      <c r="AT826" s="1"/>
      <c r="AU826" s="1"/>
      <c r="AV826" s="1"/>
      <c r="AW826" s="1"/>
      <c r="AX826" s="1"/>
      <c r="AY826" s="1"/>
      <c r="AZ826" s="1"/>
      <c r="BA826" s="1"/>
      <c r="BB826" s="1"/>
      <c r="BC826" s="1"/>
      <c r="BD826" s="296"/>
      <c r="BE826" s="1"/>
      <c r="BF826" s="1"/>
      <c r="BG826" s="20"/>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row>
    <row r="827" spans="1:115" ht="15.75" customHeight="1">
      <c r="A827" s="1"/>
      <c r="B827" s="1"/>
      <c r="C827" s="1"/>
      <c r="D827" s="1"/>
      <c r="E827" s="1"/>
      <c r="F827" s="1"/>
      <c r="G827" s="1"/>
      <c r="H827" s="1"/>
      <c r="I827" s="294"/>
      <c r="J827" s="294"/>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3"/>
      <c r="AJ827" s="1"/>
      <c r="AK827" s="295"/>
      <c r="AL827" s="1"/>
      <c r="AM827" s="1"/>
      <c r="AN827" s="1"/>
      <c r="AO827" s="1"/>
      <c r="AP827" s="1"/>
      <c r="AQ827" s="1"/>
      <c r="AR827" s="1"/>
      <c r="AS827" s="1"/>
      <c r="AT827" s="1"/>
      <c r="AU827" s="1"/>
      <c r="AV827" s="1"/>
      <c r="AW827" s="1"/>
      <c r="AX827" s="1"/>
      <c r="AY827" s="1"/>
      <c r="AZ827" s="1"/>
      <c r="BA827" s="1"/>
      <c r="BB827" s="1"/>
      <c r="BC827" s="1"/>
      <c r="BD827" s="296"/>
      <c r="BE827" s="1"/>
      <c r="BF827" s="1"/>
      <c r="BG827" s="20"/>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row>
    <row r="828" spans="1:115" ht="15.75" customHeight="1">
      <c r="A828" s="1"/>
      <c r="B828" s="1"/>
      <c r="C828" s="1"/>
      <c r="D828" s="1"/>
      <c r="E828" s="1"/>
      <c r="F828" s="1"/>
      <c r="G828" s="1"/>
      <c r="H828" s="1"/>
      <c r="I828" s="294"/>
      <c r="J828" s="294"/>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3"/>
      <c r="AJ828" s="1"/>
      <c r="AK828" s="295"/>
      <c r="AL828" s="1"/>
      <c r="AM828" s="1"/>
      <c r="AN828" s="1"/>
      <c r="AO828" s="1"/>
      <c r="AP828" s="1"/>
      <c r="AQ828" s="1"/>
      <c r="AR828" s="1"/>
      <c r="AS828" s="1"/>
      <c r="AT828" s="1"/>
      <c r="AU828" s="1"/>
      <c r="AV828" s="1"/>
      <c r="AW828" s="1"/>
      <c r="AX828" s="1"/>
      <c r="AY828" s="1"/>
      <c r="AZ828" s="1"/>
      <c r="BA828" s="1"/>
      <c r="BB828" s="1"/>
      <c r="BC828" s="1"/>
      <c r="BD828" s="296"/>
      <c r="BE828" s="1"/>
      <c r="BF828" s="1"/>
      <c r="BG828" s="20"/>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row>
    <row r="829" spans="1:115" ht="15.75" customHeight="1">
      <c r="A829" s="1"/>
      <c r="B829" s="1"/>
      <c r="C829" s="1"/>
      <c r="D829" s="1"/>
      <c r="E829" s="1"/>
      <c r="F829" s="1"/>
      <c r="G829" s="1"/>
      <c r="H829" s="1"/>
      <c r="I829" s="294"/>
      <c r="J829" s="294"/>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3"/>
      <c r="AJ829" s="1"/>
      <c r="AK829" s="295"/>
      <c r="AL829" s="1"/>
      <c r="AM829" s="1"/>
      <c r="AN829" s="1"/>
      <c r="AO829" s="1"/>
      <c r="AP829" s="1"/>
      <c r="AQ829" s="1"/>
      <c r="AR829" s="1"/>
      <c r="AS829" s="1"/>
      <c r="AT829" s="1"/>
      <c r="AU829" s="1"/>
      <c r="AV829" s="1"/>
      <c r="AW829" s="1"/>
      <c r="AX829" s="1"/>
      <c r="AY829" s="1"/>
      <c r="AZ829" s="1"/>
      <c r="BA829" s="1"/>
      <c r="BB829" s="1"/>
      <c r="BC829" s="1"/>
      <c r="BD829" s="296"/>
      <c r="BE829" s="1"/>
      <c r="BF829" s="1"/>
      <c r="BG829" s="20"/>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row>
    <row r="830" spans="1:115" ht="15.75" customHeight="1">
      <c r="A830" s="1"/>
      <c r="B830" s="1"/>
      <c r="C830" s="1"/>
      <c r="D830" s="1"/>
      <c r="E830" s="1"/>
      <c r="F830" s="1"/>
      <c r="G830" s="1"/>
      <c r="H830" s="1"/>
      <c r="I830" s="294"/>
      <c r="J830" s="294"/>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3"/>
      <c r="AJ830" s="1"/>
      <c r="AK830" s="295"/>
      <c r="AL830" s="1"/>
      <c r="AM830" s="1"/>
      <c r="AN830" s="1"/>
      <c r="AO830" s="1"/>
      <c r="AP830" s="1"/>
      <c r="AQ830" s="1"/>
      <c r="AR830" s="1"/>
      <c r="AS830" s="1"/>
      <c r="AT830" s="1"/>
      <c r="AU830" s="1"/>
      <c r="AV830" s="1"/>
      <c r="AW830" s="1"/>
      <c r="AX830" s="1"/>
      <c r="AY830" s="1"/>
      <c r="AZ830" s="1"/>
      <c r="BA830" s="1"/>
      <c r="BB830" s="1"/>
      <c r="BC830" s="1"/>
      <c r="BD830" s="296"/>
      <c r="BE830" s="1"/>
      <c r="BF830" s="1"/>
      <c r="BG830" s="20"/>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row>
    <row r="831" spans="1:115" ht="15.75" customHeight="1">
      <c r="A831" s="1"/>
      <c r="B831" s="1"/>
      <c r="C831" s="1"/>
      <c r="D831" s="1"/>
      <c r="E831" s="1"/>
      <c r="F831" s="1"/>
      <c r="G831" s="1"/>
      <c r="H831" s="1"/>
      <c r="I831" s="294"/>
      <c r="J831" s="294"/>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3"/>
      <c r="AJ831" s="1"/>
      <c r="AK831" s="295"/>
      <c r="AL831" s="1"/>
      <c r="AM831" s="1"/>
      <c r="AN831" s="1"/>
      <c r="AO831" s="1"/>
      <c r="AP831" s="1"/>
      <c r="AQ831" s="1"/>
      <c r="AR831" s="1"/>
      <c r="AS831" s="1"/>
      <c r="AT831" s="1"/>
      <c r="AU831" s="1"/>
      <c r="AV831" s="1"/>
      <c r="AW831" s="1"/>
      <c r="AX831" s="1"/>
      <c r="AY831" s="1"/>
      <c r="AZ831" s="1"/>
      <c r="BA831" s="1"/>
      <c r="BB831" s="1"/>
      <c r="BC831" s="1"/>
      <c r="BD831" s="296"/>
      <c r="BE831" s="1"/>
      <c r="BF831" s="1"/>
      <c r="BG831" s="20"/>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row>
    <row r="832" spans="1:115" ht="15.75" customHeight="1">
      <c r="A832" s="1"/>
      <c r="B832" s="1"/>
      <c r="C832" s="1"/>
      <c r="D832" s="1"/>
      <c r="E832" s="1"/>
      <c r="F832" s="1"/>
      <c r="G832" s="1"/>
      <c r="H832" s="1"/>
      <c r="I832" s="294"/>
      <c r="J832" s="294"/>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3"/>
      <c r="AJ832" s="1"/>
      <c r="AK832" s="295"/>
      <c r="AL832" s="1"/>
      <c r="AM832" s="1"/>
      <c r="AN832" s="1"/>
      <c r="AO832" s="1"/>
      <c r="AP832" s="1"/>
      <c r="AQ832" s="1"/>
      <c r="AR832" s="1"/>
      <c r="AS832" s="1"/>
      <c r="AT832" s="1"/>
      <c r="AU832" s="1"/>
      <c r="AV832" s="1"/>
      <c r="AW832" s="1"/>
      <c r="AX832" s="1"/>
      <c r="AY832" s="1"/>
      <c r="AZ832" s="1"/>
      <c r="BA832" s="1"/>
      <c r="BB832" s="1"/>
      <c r="BC832" s="1"/>
      <c r="BD832" s="296"/>
      <c r="BE832" s="1"/>
      <c r="BF832" s="1"/>
      <c r="BG832" s="20"/>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row>
    <row r="833" spans="1:115" ht="15.75" customHeight="1">
      <c r="A833" s="1"/>
      <c r="B833" s="1"/>
      <c r="C833" s="1"/>
      <c r="D833" s="1"/>
      <c r="E833" s="1"/>
      <c r="F833" s="1"/>
      <c r="G833" s="1"/>
      <c r="H833" s="1"/>
      <c r="I833" s="294"/>
      <c r="J833" s="294"/>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3"/>
      <c r="AJ833" s="1"/>
      <c r="AK833" s="295"/>
      <c r="AL833" s="1"/>
      <c r="AM833" s="1"/>
      <c r="AN833" s="1"/>
      <c r="AO833" s="1"/>
      <c r="AP833" s="1"/>
      <c r="AQ833" s="1"/>
      <c r="AR833" s="1"/>
      <c r="AS833" s="1"/>
      <c r="AT833" s="1"/>
      <c r="AU833" s="1"/>
      <c r="AV833" s="1"/>
      <c r="AW833" s="1"/>
      <c r="AX833" s="1"/>
      <c r="AY833" s="1"/>
      <c r="AZ833" s="1"/>
      <c r="BA833" s="1"/>
      <c r="BB833" s="1"/>
      <c r="BC833" s="1"/>
      <c r="BD833" s="296"/>
      <c r="BE833" s="1"/>
      <c r="BF833" s="1"/>
      <c r="BG833" s="20"/>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row>
    <row r="834" spans="1:115" ht="15.75" customHeight="1">
      <c r="A834" s="1"/>
      <c r="B834" s="1"/>
      <c r="C834" s="1"/>
      <c r="D834" s="1"/>
      <c r="E834" s="1"/>
      <c r="F834" s="1"/>
      <c r="G834" s="1"/>
      <c r="H834" s="1"/>
      <c r="I834" s="294"/>
      <c r="J834" s="294"/>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3"/>
      <c r="AJ834" s="1"/>
      <c r="AK834" s="295"/>
      <c r="AL834" s="1"/>
      <c r="AM834" s="1"/>
      <c r="AN834" s="1"/>
      <c r="AO834" s="1"/>
      <c r="AP834" s="1"/>
      <c r="AQ834" s="1"/>
      <c r="AR834" s="1"/>
      <c r="AS834" s="1"/>
      <c r="AT834" s="1"/>
      <c r="AU834" s="1"/>
      <c r="AV834" s="1"/>
      <c r="AW834" s="1"/>
      <c r="AX834" s="1"/>
      <c r="AY834" s="1"/>
      <c r="AZ834" s="1"/>
      <c r="BA834" s="1"/>
      <c r="BB834" s="1"/>
      <c r="BC834" s="1"/>
      <c r="BD834" s="296"/>
      <c r="BE834" s="1"/>
      <c r="BF834" s="1"/>
      <c r="BG834" s="20"/>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row>
    <row r="835" spans="1:115" ht="15.75" customHeight="1">
      <c r="A835" s="1"/>
      <c r="B835" s="1"/>
      <c r="C835" s="1"/>
      <c r="D835" s="1"/>
      <c r="E835" s="1"/>
      <c r="F835" s="1"/>
      <c r="G835" s="1"/>
      <c r="H835" s="1"/>
      <c r="I835" s="294"/>
      <c r="J835" s="294"/>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3"/>
      <c r="AJ835" s="1"/>
      <c r="AK835" s="295"/>
      <c r="AL835" s="1"/>
      <c r="AM835" s="1"/>
      <c r="AN835" s="1"/>
      <c r="AO835" s="1"/>
      <c r="AP835" s="1"/>
      <c r="AQ835" s="1"/>
      <c r="AR835" s="1"/>
      <c r="AS835" s="1"/>
      <c r="AT835" s="1"/>
      <c r="AU835" s="1"/>
      <c r="AV835" s="1"/>
      <c r="AW835" s="1"/>
      <c r="AX835" s="1"/>
      <c r="AY835" s="1"/>
      <c r="AZ835" s="1"/>
      <c r="BA835" s="1"/>
      <c r="BB835" s="1"/>
      <c r="BC835" s="1"/>
      <c r="BD835" s="296"/>
      <c r="BE835" s="1"/>
      <c r="BF835" s="1"/>
      <c r="BG835" s="20"/>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row>
    <row r="836" spans="1:115" ht="15.75" customHeight="1">
      <c r="A836" s="1"/>
      <c r="B836" s="1"/>
      <c r="C836" s="1"/>
      <c r="D836" s="1"/>
      <c r="E836" s="1"/>
      <c r="F836" s="1"/>
      <c r="G836" s="1"/>
      <c r="H836" s="1"/>
      <c r="I836" s="294"/>
      <c r="J836" s="294"/>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3"/>
      <c r="AJ836" s="1"/>
      <c r="AK836" s="295"/>
      <c r="AL836" s="1"/>
      <c r="AM836" s="1"/>
      <c r="AN836" s="1"/>
      <c r="AO836" s="1"/>
      <c r="AP836" s="1"/>
      <c r="AQ836" s="1"/>
      <c r="AR836" s="1"/>
      <c r="AS836" s="1"/>
      <c r="AT836" s="1"/>
      <c r="AU836" s="1"/>
      <c r="AV836" s="1"/>
      <c r="AW836" s="1"/>
      <c r="AX836" s="1"/>
      <c r="AY836" s="1"/>
      <c r="AZ836" s="1"/>
      <c r="BA836" s="1"/>
      <c r="BB836" s="1"/>
      <c r="BC836" s="1"/>
      <c r="BD836" s="296"/>
      <c r="BE836" s="1"/>
      <c r="BF836" s="1"/>
      <c r="BG836" s="20"/>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row>
    <row r="837" spans="1:115" ht="15.75" customHeight="1">
      <c r="A837" s="1"/>
      <c r="B837" s="1"/>
      <c r="C837" s="1"/>
      <c r="D837" s="1"/>
      <c r="E837" s="1"/>
      <c r="F837" s="1"/>
      <c r="G837" s="1"/>
      <c r="H837" s="1"/>
      <c r="I837" s="294"/>
      <c r="J837" s="294"/>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3"/>
      <c r="AJ837" s="1"/>
      <c r="AK837" s="295"/>
      <c r="AL837" s="1"/>
      <c r="AM837" s="1"/>
      <c r="AN837" s="1"/>
      <c r="AO837" s="1"/>
      <c r="AP837" s="1"/>
      <c r="AQ837" s="1"/>
      <c r="AR837" s="1"/>
      <c r="AS837" s="1"/>
      <c r="AT837" s="1"/>
      <c r="AU837" s="1"/>
      <c r="AV837" s="1"/>
      <c r="AW837" s="1"/>
      <c r="AX837" s="1"/>
      <c r="AY837" s="1"/>
      <c r="AZ837" s="1"/>
      <c r="BA837" s="1"/>
      <c r="BB837" s="1"/>
      <c r="BC837" s="1"/>
      <c r="BD837" s="296"/>
      <c r="BE837" s="1"/>
      <c r="BF837" s="1"/>
      <c r="BG837" s="20"/>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row>
    <row r="838" spans="1:115" ht="15.75" customHeight="1">
      <c r="A838" s="1"/>
      <c r="B838" s="1"/>
      <c r="C838" s="1"/>
      <c r="D838" s="1"/>
      <c r="E838" s="1"/>
      <c r="F838" s="1"/>
      <c r="G838" s="1"/>
      <c r="H838" s="1"/>
      <c r="I838" s="294"/>
      <c r="J838" s="294"/>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3"/>
      <c r="AJ838" s="1"/>
      <c r="AK838" s="295"/>
      <c r="AL838" s="1"/>
      <c r="AM838" s="1"/>
      <c r="AN838" s="1"/>
      <c r="AO838" s="1"/>
      <c r="AP838" s="1"/>
      <c r="AQ838" s="1"/>
      <c r="AR838" s="1"/>
      <c r="AS838" s="1"/>
      <c r="AT838" s="1"/>
      <c r="AU838" s="1"/>
      <c r="AV838" s="1"/>
      <c r="AW838" s="1"/>
      <c r="AX838" s="1"/>
      <c r="AY838" s="1"/>
      <c r="AZ838" s="1"/>
      <c r="BA838" s="1"/>
      <c r="BB838" s="1"/>
      <c r="BC838" s="1"/>
      <c r="BD838" s="296"/>
      <c r="BE838" s="1"/>
      <c r="BF838" s="1"/>
      <c r="BG838" s="20"/>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row>
    <row r="839" spans="1:115" ht="15.75" customHeight="1">
      <c r="A839" s="1"/>
      <c r="B839" s="1"/>
      <c r="C839" s="1"/>
      <c r="D839" s="1"/>
      <c r="E839" s="1"/>
      <c r="F839" s="1"/>
      <c r="G839" s="1"/>
      <c r="H839" s="1"/>
      <c r="I839" s="294"/>
      <c r="J839" s="294"/>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3"/>
      <c r="AJ839" s="1"/>
      <c r="AK839" s="295"/>
      <c r="AL839" s="1"/>
      <c r="AM839" s="1"/>
      <c r="AN839" s="1"/>
      <c r="AO839" s="1"/>
      <c r="AP839" s="1"/>
      <c r="AQ839" s="1"/>
      <c r="AR839" s="1"/>
      <c r="AS839" s="1"/>
      <c r="AT839" s="1"/>
      <c r="AU839" s="1"/>
      <c r="AV839" s="1"/>
      <c r="AW839" s="1"/>
      <c r="AX839" s="1"/>
      <c r="AY839" s="1"/>
      <c r="AZ839" s="1"/>
      <c r="BA839" s="1"/>
      <c r="BB839" s="1"/>
      <c r="BC839" s="1"/>
      <c r="BD839" s="296"/>
      <c r="BE839" s="1"/>
      <c r="BF839" s="1"/>
      <c r="BG839" s="20"/>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row>
    <row r="840" spans="1:115" ht="15.75" customHeight="1">
      <c r="A840" s="1"/>
      <c r="B840" s="1"/>
      <c r="C840" s="1"/>
      <c r="D840" s="1"/>
      <c r="E840" s="1"/>
      <c r="F840" s="1"/>
      <c r="G840" s="1"/>
      <c r="H840" s="1"/>
      <c r="I840" s="294"/>
      <c r="J840" s="294"/>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3"/>
      <c r="AJ840" s="1"/>
      <c r="AK840" s="295"/>
      <c r="AL840" s="1"/>
      <c r="AM840" s="1"/>
      <c r="AN840" s="1"/>
      <c r="AO840" s="1"/>
      <c r="AP840" s="1"/>
      <c r="AQ840" s="1"/>
      <c r="AR840" s="1"/>
      <c r="AS840" s="1"/>
      <c r="AT840" s="1"/>
      <c r="AU840" s="1"/>
      <c r="AV840" s="1"/>
      <c r="AW840" s="1"/>
      <c r="AX840" s="1"/>
      <c r="AY840" s="1"/>
      <c r="AZ840" s="1"/>
      <c r="BA840" s="1"/>
      <c r="BB840" s="1"/>
      <c r="BC840" s="1"/>
      <c r="BD840" s="296"/>
      <c r="BE840" s="1"/>
      <c r="BF840" s="1"/>
      <c r="BG840" s="20"/>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row>
    <row r="841" spans="1:115" ht="15.75" customHeight="1">
      <c r="A841" s="1"/>
      <c r="B841" s="1"/>
      <c r="C841" s="1"/>
      <c r="D841" s="1"/>
      <c r="E841" s="1"/>
      <c r="F841" s="1"/>
      <c r="G841" s="1"/>
      <c r="H841" s="1"/>
      <c r="I841" s="294"/>
      <c r="J841" s="294"/>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3"/>
      <c r="AJ841" s="1"/>
      <c r="AK841" s="295"/>
      <c r="AL841" s="1"/>
      <c r="AM841" s="1"/>
      <c r="AN841" s="1"/>
      <c r="AO841" s="1"/>
      <c r="AP841" s="1"/>
      <c r="AQ841" s="1"/>
      <c r="AR841" s="1"/>
      <c r="AS841" s="1"/>
      <c r="AT841" s="1"/>
      <c r="AU841" s="1"/>
      <c r="AV841" s="1"/>
      <c r="AW841" s="1"/>
      <c r="AX841" s="1"/>
      <c r="AY841" s="1"/>
      <c r="AZ841" s="1"/>
      <c r="BA841" s="1"/>
      <c r="BB841" s="1"/>
      <c r="BC841" s="1"/>
      <c r="BD841" s="296"/>
      <c r="BE841" s="1"/>
      <c r="BF841" s="1"/>
      <c r="BG841" s="20"/>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row>
    <row r="842" spans="1:115" ht="15.75" customHeight="1">
      <c r="A842" s="1"/>
      <c r="B842" s="1"/>
      <c r="C842" s="1"/>
      <c r="D842" s="1"/>
      <c r="E842" s="1"/>
      <c r="F842" s="1"/>
      <c r="G842" s="1"/>
      <c r="H842" s="1"/>
      <c r="I842" s="294"/>
      <c r="J842" s="294"/>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3"/>
      <c r="AJ842" s="1"/>
      <c r="AK842" s="295"/>
      <c r="AL842" s="1"/>
      <c r="AM842" s="1"/>
      <c r="AN842" s="1"/>
      <c r="AO842" s="1"/>
      <c r="AP842" s="1"/>
      <c r="AQ842" s="1"/>
      <c r="AR842" s="1"/>
      <c r="AS842" s="1"/>
      <c r="AT842" s="1"/>
      <c r="AU842" s="1"/>
      <c r="AV842" s="1"/>
      <c r="AW842" s="1"/>
      <c r="AX842" s="1"/>
      <c r="AY842" s="1"/>
      <c r="AZ842" s="1"/>
      <c r="BA842" s="1"/>
      <c r="BB842" s="1"/>
      <c r="BC842" s="1"/>
      <c r="BD842" s="296"/>
      <c r="BE842" s="1"/>
      <c r="BF842" s="1"/>
      <c r="BG842" s="20"/>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row>
    <row r="843" spans="1:115" ht="15.75" customHeight="1">
      <c r="A843" s="1"/>
      <c r="B843" s="1"/>
      <c r="C843" s="1"/>
      <c r="D843" s="1"/>
      <c r="E843" s="1"/>
      <c r="F843" s="1"/>
      <c r="G843" s="1"/>
      <c r="H843" s="1"/>
      <c r="I843" s="294"/>
      <c r="J843" s="294"/>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3"/>
      <c r="AJ843" s="1"/>
      <c r="AK843" s="295"/>
      <c r="AL843" s="1"/>
      <c r="AM843" s="1"/>
      <c r="AN843" s="1"/>
      <c r="AO843" s="1"/>
      <c r="AP843" s="1"/>
      <c r="AQ843" s="1"/>
      <c r="AR843" s="1"/>
      <c r="AS843" s="1"/>
      <c r="AT843" s="1"/>
      <c r="AU843" s="1"/>
      <c r="AV843" s="1"/>
      <c r="AW843" s="1"/>
      <c r="AX843" s="1"/>
      <c r="AY843" s="1"/>
      <c r="AZ843" s="1"/>
      <c r="BA843" s="1"/>
      <c r="BB843" s="1"/>
      <c r="BC843" s="1"/>
      <c r="BD843" s="296"/>
      <c r="BE843" s="1"/>
      <c r="BF843" s="1"/>
      <c r="BG843" s="20"/>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row>
    <row r="844" spans="1:115" ht="15.75" customHeight="1">
      <c r="A844" s="1"/>
      <c r="B844" s="1"/>
      <c r="C844" s="1"/>
      <c r="D844" s="1"/>
      <c r="E844" s="1"/>
      <c r="F844" s="1"/>
      <c r="G844" s="1"/>
      <c r="H844" s="1"/>
      <c r="I844" s="294"/>
      <c r="J844" s="294"/>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3"/>
      <c r="AJ844" s="1"/>
      <c r="AK844" s="295"/>
      <c r="AL844" s="1"/>
      <c r="AM844" s="1"/>
      <c r="AN844" s="1"/>
      <c r="AO844" s="1"/>
      <c r="AP844" s="1"/>
      <c r="AQ844" s="1"/>
      <c r="AR844" s="1"/>
      <c r="AS844" s="1"/>
      <c r="AT844" s="1"/>
      <c r="AU844" s="1"/>
      <c r="AV844" s="1"/>
      <c r="AW844" s="1"/>
      <c r="AX844" s="1"/>
      <c r="AY844" s="1"/>
      <c r="AZ844" s="1"/>
      <c r="BA844" s="1"/>
      <c r="BB844" s="1"/>
      <c r="BC844" s="1"/>
      <c r="BD844" s="296"/>
      <c r="BE844" s="1"/>
      <c r="BF844" s="1"/>
      <c r="BG844" s="20"/>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row>
    <row r="845" spans="1:115" ht="15.75" customHeight="1">
      <c r="A845" s="1"/>
      <c r="B845" s="1"/>
      <c r="C845" s="1"/>
      <c r="D845" s="1"/>
      <c r="E845" s="1"/>
      <c r="F845" s="1"/>
      <c r="G845" s="1"/>
      <c r="H845" s="1"/>
      <c r="I845" s="294"/>
      <c r="J845" s="294"/>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3"/>
      <c r="AJ845" s="1"/>
      <c r="AK845" s="295"/>
      <c r="AL845" s="1"/>
      <c r="AM845" s="1"/>
      <c r="AN845" s="1"/>
      <c r="AO845" s="1"/>
      <c r="AP845" s="1"/>
      <c r="AQ845" s="1"/>
      <c r="AR845" s="1"/>
      <c r="AS845" s="1"/>
      <c r="AT845" s="1"/>
      <c r="AU845" s="1"/>
      <c r="AV845" s="1"/>
      <c r="AW845" s="1"/>
      <c r="AX845" s="1"/>
      <c r="AY845" s="1"/>
      <c r="AZ845" s="1"/>
      <c r="BA845" s="1"/>
      <c r="BB845" s="1"/>
      <c r="BC845" s="1"/>
      <c r="BD845" s="296"/>
      <c r="BE845" s="1"/>
      <c r="BF845" s="1"/>
      <c r="BG845" s="20"/>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row>
    <row r="846" spans="1:115" ht="15.75" customHeight="1">
      <c r="A846" s="1"/>
      <c r="B846" s="1"/>
      <c r="C846" s="1"/>
      <c r="D846" s="1"/>
      <c r="E846" s="1"/>
      <c r="F846" s="1"/>
      <c r="G846" s="1"/>
      <c r="H846" s="1"/>
      <c r="I846" s="294"/>
      <c r="J846" s="294"/>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3"/>
      <c r="AJ846" s="1"/>
      <c r="AK846" s="295"/>
      <c r="AL846" s="1"/>
      <c r="AM846" s="1"/>
      <c r="AN846" s="1"/>
      <c r="AO846" s="1"/>
      <c r="AP846" s="1"/>
      <c r="AQ846" s="1"/>
      <c r="AR846" s="1"/>
      <c r="AS846" s="1"/>
      <c r="AT846" s="1"/>
      <c r="AU846" s="1"/>
      <c r="AV846" s="1"/>
      <c r="AW846" s="1"/>
      <c r="AX846" s="1"/>
      <c r="AY846" s="1"/>
      <c r="AZ846" s="1"/>
      <c r="BA846" s="1"/>
      <c r="BB846" s="1"/>
      <c r="BC846" s="1"/>
      <c r="BD846" s="296"/>
      <c r="BE846" s="1"/>
      <c r="BF846" s="1"/>
      <c r="BG846" s="20"/>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row>
    <row r="847" spans="1:115" ht="15.75" customHeight="1">
      <c r="A847" s="1"/>
      <c r="B847" s="1"/>
      <c r="C847" s="1"/>
      <c r="D847" s="1"/>
      <c r="E847" s="1"/>
      <c r="F847" s="1"/>
      <c r="G847" s="1"/>
      <c r="H847" s="1"/>
      <c r="I847" s="294"/>
      <c r="J847" s="294"/>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3"/>
      <c r="AJ847" s="1"/>
      <c r="AK847" s="295"/>
      <c r="AL847" s="1"/>
      <c r="AM847" s="1"/>
      <c r="AN847" s="1"/>
      <c r="AO847" s="1"/>
      <c r="AP847" s="1"/>
      <c r="AQ847" s="1"/>
      <c r="AR847" s="1"/>
      <c r="AS847" s="1"/>
      <c r="AT847" s="1"/>
      <c r="AU847" s="1"/>
      <c r="AV847" s="1"/>
      <c r="AW847" s="1"/>
      <c r="AX847" s="1"/>
      <c r="AY847" s="1"/>
      <c r="AZ847" s="1"/>
      <c r="BA847" s="1"/>
      <c r="BB847" s="1"/>
      <c r="BC847" s="1"/>
      <c r="BD847" s="296"/>
      <c r="BE847" s="1"/>
      <c r="BF847" s="1"/>
      <c r="BG847" s="20"/>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row>
    <row r="848" spans="1:115" ht="15.75" customHeight="1">
      <c r="A848" s="1"/>
      <c r="B848" s="1"/>
      <c r="C848" s="1"/>
      <c r="D848" s="1"/>
      <c r="E848" s="1"/>
      <c r="F848" s="1"/>
      <c r="G848" s="1"/>
      <c r="H848" s="1"/>
      <c r="I848" s="294"/>
      <c r="J848" s="294"/>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3"/>
      <c r="AJ848" s="1"/>
      <c r="AK848" s="295"/>
      <c r="AL848" s="1"/>
      <c r="AM848" s="1"/>
      <c r="AN848" s="1"/>
      <c r="AO848" s="1"/>
      <c r="AP848" s="1"/>
      <c r="AQ848" s="1"/>
      <c r="AR848" s="1"/>
      <c r="AS848" s="1"/>
      <c r="AT848" s="1"/>
      <c r="AU848" s="1"/>
      <c r="AV848" s="1"/>
      <c r="AW848" s="1"/>
      <c r="AX848" s="1"/>
      <c r="AY848" s="1"/>
      <c r="AZ848" s="1"/>
      <c r="BA848" s="1"/>
      <c r="BB848" s="1"/>
      <c r="BC848" s="1"/>
      <c r="BD848" s="296"/>
      <c r="BE848" s="1"/>
      <c r="BF848" s="1"/>
      <c r="BG848" s="20"/>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row>
    <row r="849" spans="1:115" ht="15.75" customHeight="1">
      <c r="A849" s="1"/>
      <c r="B849" s="1"/>
      <c r="C849" s="1"/>
      <c r="D849" s="1"/>
      <c r="E849" s="1"/>
      <c r="F849" s="1"/>
      <c r="G849" s="1"/>
      <c r="H849" s="1"/>
      <c r="I849" s="294"/>
      <c r="J849" s="294"/>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3"/>
      <c r="AJ849" s="1"/>
      <c r="AK849" s="295"/>
      <c r="AL849" s="1"/>
      <c r="AM849" s="1"/>
      <c r="AN849" s="1"/>
      <c r="AO849" s="1"/>
      <c r="AP849" s="1"/>
      <c r="AQ849" s="1"/>
      <c r="AR849" s="1"/>
      <c r="AS849" s="1"/>
      <c r="AT849" s="1"/>
      <c r="AU849" s="1"/>
      <c r="AV849" s="1"/>
      <c r="AW849" s="1"/>
      <c r="AX849" s="1"/>
      <c r="AY849" s="1"/>
      <c r="AZ849" s="1"/>
      <c r="BA849" s="1"/>
      <c r="BB849" s="1"/>
      <c r="BC849" s="1"/>
      <c r="BD849" s="296"/>
      <c r="BE849" s="1"/>
      <c r="BF849" s="1"/>
      <c r="BG849" s="20"/>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row>
    <row r="850" spans="1:115" ht="15.75" customHeight="1">
      <c r="A850" s="1"/>
      <c r="B850" s="1"/>
      <c r="C850" s="1"/>
      <c r="D850" s="1"/>
      <c r="E850" s="1"/>
      <c r="F850" s="1"/>
      <c r="G850" s="1"/>
      <c r="H850" s="1"/>
      <c r="I850" s="294"/>
      <c r="J850" s="294"/>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3"/>
      <c r="AJ850" s="1"/>
      <c r="AK850" s="295"/>
      <c r="AL850" s="1"/>
      <c r="AM850" s="1"/>
      <c r="AN850" s="1"/>
      <c r="AO850" s="1"/>
      <c r="AP850" s="1"/>
      <c r="AQ850" s="1"/>
      <c r="AR850" s="1"/>
      <c r="AS850" s="1"/>
      <c r="AT850" s="1"/>
      <c r="AU850" s="1"/>
      <c r="AV850" s="1"/>
      <c r="AW850" s="1"/>
      <c r="AX850" s="1"/>
      <c r="AY850" s="1"/>
      <c r="AZ850" s="1"/>
      <c r="BA850" s="1"/>
      <c r="BB850" s="1"/>
      <c r="BC850" s="1"/>
      <c r="BD850" s="296"/>
      <c r="BE850" s="1"/>
      <c r="BF850" s="1"/>
      <c r="BG850" s="20"/>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row>
    <row r="851" spans="1:115" ht="15.75" customHeight="1">
      <c r="A851" s="1"/>
      <c r="B851" s="1"/>
      <c r="C851" s="1"/>
      <c r="D851" s="1"/>
      <c r="E851" s="1"/>
      <c r="F851" s="1"/>
      <c r="G851" s="1"/>
      <c r="H851" s="1"/>
      <c r="I851" s="294"/>
      <c r="J851" s="294"/>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3"/>
      <c r="AJ851" s="1"/>
      <c r="AK851" s="295"/>
      <c r="AL851" s="1"/>
      <c r="AM851" s="1"/>
      <c r="AN851" s="1"/>
      <c r="AO851" s="1"/>
      <c r="AP851" s="1"/>
      <c r="AQ851" s="1"/>
      <c r="AR851" s="1"/>
      <c r="AS851" s="1"/>
      <c r="AT851" s="1"/>
      <c r="AU851" s="1"/>
      <c r="AV851" s="1"/>
      <c r="AW851" s="1"/>
      <c r="AX851" s="1"/>
      <c r="AY851" s="1"/>
      <c r="AZ851" s="1"/>
      <c r="BA851" s="1"/>
      <c r="BB851" s="1"/>
      <c r="BC851" s="1"/>
      <c r="BD851" s="296"/>
      <c r="BE851" s="1"/>
      <c r="BF851" s="1"/>
      <c r="BG851" s="20"/>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row>
    <row r="852" spans="1:115" ht="15.75" customHeight="1">
      <c r="A852" s="1"/>
      <c r="B852" s="1"/>
      <c r="C852" s="1"/>
      <c r="D852" s="1"/>
      <c r="E852" s="1"/>
      <c r="F852" s="1"/>
      <c r="G852" s="1"/>
      <c r="H852" s="1"/>
      <c r="I852" s="294"/>
      <c r="J852" s="294"/>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3"/>
      <c r="AJ852" s="1"/>
      <c r="AK852" s="295"/>
      <c r="AL852" s="1"/>
      <c r="AM852" s="1"/>
      <c r="AN852" s="1"/>
      <c r="AO852" s="1"/>
      <c r="AP852" s="1"/>
      <c r="AQ852" s="1"/>
      <c r="AR852" s="1"/>
      <c r="AS852" s="1"/>
      <c r="AT852" s="1"/>
      <c r="AU852" s="1"/>
      <c r="AV852" s="1"/>
      <c r="AW852" s="1"/>
      <c r="AX852" s="1"/>
      <c r="AY852" s="1"/>
      <c r="AZ852" s="1"/>
      <c r="BA852" s="1"/>
      <c r="BB852" s="1"/>
      <c r="BC852" s="1"/>
      <c r="BD852" s="296"/>
      <c r="BE852" s="1"/>
      <c r="BF852" s="1"/>
      <c r="BG852" s="20"/>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row>
    <row r="853" spans="1:115" ht="15.75" customHeight="1">
      <c r="A853" s="1"/>
      <c r="B853" s="1"/>
      <c r="C853" s="1"/>
      <c r="D853" s="1"/>
      <c r="E853" s="1"/>
      <c r="F853" s="1"/>
      <c r="G853" s="1"/>
      <c r="H853" s="1"/>
      <c r="I853" s="294"/>
      <c r="J853" s="294"/>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3"/>
      <c r="AJ853" s="1"/>
      <c r="AK853" s="295"/>
      <c r="AL853" s="1"/>
      <c r="AM853" s="1"/>
      <c r="AN853" s="1"/>
      <c r="AO853" s="1"/>
      <c r="AP853" s="1"/>
      <c r="AQ853" s="1"/>
      <c r="AR853" s="1"/>
      <c r="AS853" s="1"/>
      <c r="AT853" s="1"/>
      <c r="AU853" s="1"/>
      <c r="AV853" s="1"/>
      <c r="AW853" s="1"/>
      <c r="AX853" s="1"/>
      <c r="AY853" s="1"/>
      <c r="AZ853" s="1"/>
      <c r="BA853" s="1"/>
      <c r="BB853" s="1"/>
      <c r="BC853" s="1"/>
      <c r="BD853" s="296"/>
      <c r="BE853" s="1"/>
      <c r="BF853" s="1"/>
      <c r="BG853" s="20"/>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row>
    <row r="854" spans="1:115" ht="15.75" customHeight="1">
      <c r="A854" s="1"/>
      <c r="B854" s="1"/>
      <c r="C854" s="1"/>
      <c r="D854" s="1"/>
      <c r="E854" s="1"/>
      <c r="F854" s="1"/>
      <c r="G854" s="1"/>
      <c r="H854" s="1"/>
      <c r="I854" s="294"/>
      <c r="J854" s="294"/>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3"/>
      <c r="AJ854" s="1"/>
      <c r="AK854" s="295"/>
      <c r="AL854" s="1"/>
      <c r="AM854" s="1"/>
      <c r="AN854" s="1"/>
      <c r="AO854" s="1"/>
      <c r="AP854" s="1"/>
      <c r="AQ854" s="1"/>
      <c r="AR854" s="1"/>
      <c r="AS854" s="1"/>
      <c r="AT854" s="1"/>
      <c r="AU854" s="1"/>
      <c r="AV854" s="1"/>
      <c r="AW854" s="1"/>
      <c r="AX854" s="1"/>
      <c r="AY854" s="1"/>
      <c r="AZ854" s="1"/>
      <c r="BA854" s="1"/>
      <c r="BB854" s="1"/>
      <c r="BC854" s="1"/>
      <c r="BD854" s="296"/>
      <c r="BE854" s="1"/>
      <c r="BF854" s="1"/>
      <c r="BG854" s="20"/>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row>
    <row r="855" spans="1:115" ht="15.75" customHeight="1">
      <c r="A855" s="1"/>
      <c r="B855" s="1"/>
      <c r="C855" s="1"/>
      <c r="D855" s="1"/>
      <c r="E855" s="1"/>
      <c r="F855" s="1"/>
      <c r="G855" s="1"/>
      <c r="H855" s="1"/>
      <c r="I855" s="294"/>
      <c r="J855" s="294"/>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3"/>
      <c r="AJ855" s="1"/>
      <c r="AK855" s="295"/>
      <c r="AL855" s="1"/>
      <c r="AM855" s="1"/>
      <c r="AN855" s="1"/>
      <c r="AO855" s="1"/>
      <c r="AP855" s="1"/>
      <c r="AQ855" s="1"/>
      <c r="AR855" s="1"/>
      <c r="AS855" s="1"/>
      <c r="AT855" s="1"/>
      <c r="AU855" s="1"/>
      <c r="AV855" s="1"/>
      <c r="AW855" s="1"/>
      <c r="AX855" s="1"/>
      <c r="AY855" s="1"/>
      <c r="AZ855" s="1"/>
      <c r="BA855" s="1"/>
      <c r="BB855" s="1"/>
      <c r="BC855" s="1"/>
      <c r="BD855" s="296"/>
      <c r="BE855" s="1"/>
      <c r="BF855" s="1"/>
      <c r="BG855" s="20"/>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row>
    <row r="856" spans="1:115" ht="15.75" customHeight="1">
      <c r="A856" s="1"/>
      <c r="B856" s="1"/>
      <c r="C856" s="1"/>
      <c r="D856" s="1"/>
      <c r="E856" s="1"/>
      <c r="F856" s="1"/>
      <c r="G856" s="1"/>
      <c r="H856" s="1"/>
      <c r="I856" s="294"/>
      <c r="J856" s="294"/>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3"/>
      <c r="AJ856" s="1"/>
      <c r="AK856" s="295"/>
      <c r="AL856" s="1"/>
      <c r="AM856" s="1"/>
      <c r="AN856" s="1"/>
      <c r="AO856" s="1"/>
      <c r="AP856" s="1"/>
      <c r="AQ856" s="1"/>
      <c r="AR856" s="1"/>
      <c r="AS856" s="1"/>
      <c r="AT856" s="1"/>
      <c r="AU856" s="1"/>
      <c r="AV856" s="1"/>
      <c r="AW856" s="1"/>
      <c r="AX856" s="1"/>
      <c r="AY856" s="1"/>
      <c r="AZ856" s="1"/>
      <c r="BA856" s="1"/>
      <c r="BB856" s="1"/>
      <c r="BC856" s="1"/>
      <c r="BD856" s="296"/>
      <c r="BE856" s="1"/>
      <c r="BF856" s="1"/>
      <c r="BG856" s="20"/>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row>
    <row r="857" spans="1:115" ht="15.75" customHeight="1">
      <c r="A857" s="1"/>
      <c r="B857" s="1"/>
      <c r="C857" s="1"/>
      <c r="D857" s="1"/>
      <c r="E857" s="1"/>
      <c r="F857" s="1"/>
      <c r="G857" s="1"/>
      <c r="H857" s="1"/>
      <c r="I857" s="294"/>
      <c r="J857" s="294"/>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3"/>
      <c r="AJ857" s="1"/>
      <c r="AK857" s="295"/>
      <c r="AL857" s="1"/>
      <c r="AM857" s="1"/>
      <c r="AN857" s="1"/>
      <c r="AO857" s="1"/>
      <c r="AP857" s="1"/>
      <c r="AQ857" s="1"/>
      <c r="AR857" s="1"/>
      <c r="AS857" s="1"/>
      <c r="AT857" s="1"/>
      <c r="AU857" s="1"/>
      <c r="AV857" s="1"/>
      <c r="AW857" s="1"/>
      <c r="AX857" s="1"/>
      <c r="AY857" s="1"/>
      <c r="AZ857" s="1"/>
      <c r="BA857" s="1"/>
      <c r="BB857" s="1"/>
      <c r="BC857" s="1"/>
      <c r="BD857" s="296"/>
      <c r="BE857" s="1"/>
      <c r="BF857" s="1"/>
      <c r="BG857" s="20"/>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row>
    <row r="858" spans="1:115" ht="15.75" customHeight="1">
      <c r="A858" s="1"/>
      <c r="B858" s="1"/>
      <c r="C858" s="1"/>
      <c r="D858" s="1"/>
      <c r="E858" s="1"/>
      <c r="F858" s="1"/>
      <c r="G858" s="1"/>
      <c r="H858" s="1"/>
      <c r="I858" s="294"/>
      <c r="J858" s="294"/>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3"/>
      <c r="AJ858" s="1"/>
      <c r="AK858" s="295"/>
      <c r="AL858" s="1"/>
      <c r="AM858" s="1"/>
      <c r="AN858" s="1"/>
      <c r="AO858" s="1"/>
      <c r="AP858" s="1"/>
      <c r="AQ858" s="1"/>
      <c r="AR858" s="1"/>
      <c r="AS858" s="1"/>
      <c r="AT858" s="1"/>
      <c r="AU858" s="1"/>
      <c r="AV858" s="1"/>
      <c r="AW858" s="1"/>
      <c r="AX858" s="1"/>
      <c r="AY858" s="1"/>
      <c r="AZ858" s="1"/>
      <c r="BA858" s="1"/>
      <c r="BB858" s="1"/>
      <c r="BC858" s="1"/>
      <c r="BD858" s="296"/>
      <c r="BE858" s="1"/>
      <c r="BF858" s="1"/>
      <c r="BG858" s="20"/>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row>
    <row r="859" spans="1:115" ht="15.75" customHeight="1">
      <c r="A859" s="1"/>
      <c r="B859" s="1"/>
      <c r="C859" s="1"/>
      <c r="D859" s="1"/>
      <c r="E859" s="1"/>
      <c r="F859" s="1"/>
      <c r="G859" s="1"/>
      <c r="H859" s="1"/>
      <c r="I859" s="294"/>
      <c r="J859" s="294"/>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3"/>
      <c r="AJ859" s="1"/>
      <c r="AK859" s="295"/>
      <c r="AL859" s="1"/>
      <c r="AM859" s="1"/>
      <c r="AN859" s="1"/>
      <c r="AO859" s="1"/>
      <c r="AP859" s="1"/>
      <c r="AQ859" s="1"/>
      <c r="AR859" s="1"/>
      <c r="AS859" s="1"/>
      <c r="AT859" s="1"/>
      <c r="AU859" s="1"/>
      <c r="AV859" s="1"/>
      <c r="AW859" s="1"/>
      <c r="AX859" s="1"/>
      <c r="AY859" s="1"/>
      <c r="AZ859" s="1"/>
      <c r="BA859" s="1"/>
      <c r="BB859" s="1"/>
      <c r="BC859" s="1"/>
      <c r="BD859" s="296"/>
      <c r="BE859" s="1"/>
      <c r="BF859" s="1"/>
      <c r="BG859" s="20"/>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row>
    <row r="860" spans="1:115" ht="15.75" customHeight="1">
      <c r="A860" s="1"/>
      <c r="B860" s="1"/>
      <c r="C860" s="1"/>
      <c r="D860" s="1"/>
      <c r="E860" s="1"/>
      <c r="F860" s="1"/>
      <c r="G860" s="1"/>
      <c r="H860" s="1"/>
      <c r="I860" s="294"/>
      <c r="J860" s="294"/>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3"/>
      <c r="AJ860" s="1"/>
      <c r="AK860" s="295"/>
      <c r="AL860" s="1"/>
      <c r="AM860" s="1"/>
      <c r="AN860" s="1"/>
      <c r="AO860" s="1"/>
      <c r="AP860" s="1"/>
      <c r="AQ860" s="1"/>
      <c r="AR860" s="1"/>
      <c r="AS860" s="1"/>
      <c r="AT860" s="1"/>
      <c r="AU860" s="1"/>
      <c r="AV860" s="1"/>
      <c r="AW860" s="1"/>
      <c r="AX860" s="1"/>
      <c r="AY860" s="1"/>
      <c r="AZ860" s="1"/>
      <c r="BA860" s="1"/>
      <c r="BB860" s="1"/>
      <c r="BC860" s="1"/>
      <c r="BD860" s="296"/>
      <c r="BE860" s="1"/>
      <c r="BF860" s="1"/>
      <c r="BG860" s="20"/>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row>
    <row r="861" spans="1:115" ht="15.75" customHeight="1">
      <c r="A861" s="1"/>
      <c r="B861" s="1"/>
      <c r="C861" s="1"/>
      <c r="D861" s="1"/>
      <c r="E861" s="1"/>
      <c r="F861" s="1"/>
      <c r="G861" s="1"/>
      <c r="H861" s="1"/>
      <c r="I861" s="294"/>
      <c r="J861" s="294"/>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3"/>
      <c r="AJ861" s="1"/>
      <c r="AK861" s="295"/>
      <c r="AL861" s="1"/>
      <c r="AM861" s="1"/>
      <c r="AN861" s="1"/>
      <c r="AO861" s="1"/>
      <c r="AP861" s="1"/>
      <c r="AQ861" s="1"/>
      <c r="AR861" s="1"/>
      <c r="AS861" s="1"/>
      <c r="AT861" s="1"/>
      <c r="AU861" s="1"/>
      <c r="AV861" s="1"/>
      <c r="AW861" s="1"/>
      <c r="AX861" s="1"/>
      <c r="AY861" s="1"/>
      <c r="AZ861" s="1"/>
      <c r="BA861" s="1"/>
      <c r="BB861" s="1"/>
      <c r="BC861" s="1"/>
      <c r="BD861" s="296"/>
      <c r="BE861" s="1"/>
      <c r="BF861" s="1"/>
      <c r="BG861" s="20"/>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row>
    <row r="862" spans="1:115" ht="15.75" customHeight="1">
      <c r="A862" s="1"/>
      <c r="B862" s="1"/>
      <c r="C862" s="1"/>
      <c r="D862" s="1"/>
      <c r="E862" s="1"/>
      <c r="F862" s="1"/>
      <c r="G862" s="1"/>
      <c r="H862" s="1"/>
      <c r="I862" s="294"/>
      <c r="J862" s="294"/>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3"/>
      <c r="AJ862" s="1"/>
      <c r="AK862" s="295"/>
      <c r="AL862" s="1"/>
      <c r="AM862" s="1"/>
      <c r="AN862" s="1"/>
      <c r="AO862" s="1"/>
      <c r="AP862" s="1"/>
      <c r="AQ862" s="1"/>
      <c r="AR862" s="1"/>
      <c r="AS862" s="1"/>
      <c r="AT862" s="1"/>
      <c r="AU862" s="1"/>
      <c r="AV862" s="1"/>
      <c r="AW862" s="1"/>
      <c r="AX862" s="1"/>
      <c r="AY862" s="1"/>
      <c r="AZ862" s="1"/>
      <c r="BA862" s="1"/>
      <c r="BB862" s="1"/>
      <c r="BC862" s="1"/>
      <c r="BD862" s="296"/>
      <c r="BE862" s="1"/>
      <c r="BF862" s="1"/>
      <c r="BG862" s="20"/>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row>
    <row r="863" spans="1:115" ht="15.75" customHeight="1">
      <c r="A863" s="1"/>
      <c r="B863" s="1"/>
      <c r="C863" s="1"/>
      <c r="D863" s="1"/>
      <c r="E863" s="1"/>
      <c r="F863" s="1"/>
      <c r="G863" s="1"/>
      <c r="H863" s="1"/>
      <c r="I863" s="294"/>
      <c r="J863" s="294"/>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3"/>
      <c r="AJ863" s="1"/>
      <c r="AK863" s="295"/>
      <c r="AL863" s="1"/>
      <c r="AM863" s="1"/>
      <c r="AN863" s="1"/>
      <c r="AO863" s="1"/>
      <c r="AP863" s="1"/>
      <c r="AQ863" s="1"/>
      <c r="AR863" s="1"/>
      <c r="AS863" s="1"/>
      <c r="AT863" s="1"/>
      <c r="AU863" s="1"/>
      <c r="AV863" s="1"/>
      <c r="AW863" s="1"/>
      <c r="AX863" s="1"/>
      <c r="AY863" s="1"/>
      <c r="AZ863" s="1"/>
      <c r="BA863" s="1"/>
      <c r="BB863" s="1"/>
      <c r="BC863" s="1"/>
      <c r="BD863" s="296"/>
      <c r="BE863" s="1"/>
      <c r="BF863" s="1"/>
      <c r="BG863" s="20"/>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row>
    <row r="864" spans="1:115" ht="15.75" customHeight="1">
      <c r="A864" s="1"/>
      <c r="B864" s="1"/>
      <c r="C864" s="1"/>
      <c r="D864" s="1"/>
      <c r="E864" s="1"/>
      <c r="F864" s="1"/>
      <c r="G864" s="1"/>
      <c r="H864" s="1"/>
      <c r="I864" s="294"/>
      <c r="J864" s="294"/>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3"/>
      <c r="AJ864" s="1"/>
      <c r="AK864" s="295"/>
      <c r="AL864" s="1"/>
      <c r="AM864" s="1"/>
      <c r="AN864" s="1"/>
      <c r="AO864" s="1"/>
      <c r="AP864" s="1"/>
      <c r="AQ864" s="1"/>
      <c r="AR864" s="1"/>
      <c r="AS864" s="1"/>
      <c r="AT864" s="1"/>
      <c r="AU864" s="1"/>
      <c r="AV864" s="1"/>
      <c r="AW864" s="1"/>
      <c r="AX864" s="1"/>
      <c r="AY864" s="1"/>
      <c r="AZ864" s="1"/>
      <c r="BA864" s="1"/>
      <c r="BB864" s="1"/>
      <c r="BC864" s="1"/>
      <c r="BD864" s="296"/>
      <c r="BE864" s="1"/>
      <c r="BF864" s="1"/>
      <c r="BG864" s="20"/>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row>
    <row r="865" spans="1:115" ht="15.75" customHeight="1">
      <c r="A865" s="1"/>
      <c r="B865" s="1"/>
      <c r="C865" s="1"/>
      <c r="D865" s="1"/>
      <c r="E865" s="1"/>
      <c r="F865" s="1"/>
      <c r="G865" s="1"/>
      <c r="H865" s="1"/>
      <c r="I865" s="294"/>
      <c r="J865" s="294"/>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3"/>
      <c r="AJ865" s="1"/>
      <c r="AK865" s="295"/>
      <c r="AL865" s="1"/>
      <c r="AM865" s="1"/>
      <c r="AN865" s="1"/>
      <c r="AO865" s="1"/>
      <c r="AP865" s="1"/>
      <c r="AQ865" s="1"/>
      <c r="AR865" s="1"/>
      <c r="AS865" s="1"/>
      <c r="AT865" s="1"/>
      <c r="AU865" s="1"/>
      <c r="AV865" s="1"/>
      <c r="AW865" s="1"/>
      <c r="AX865" s="1"/>
      <c r="AY865" s="1"/>
      <c r="AZ865" s="1"/>
      <c r="BA865" s="1"/>
      <c r="BB865" s="1"/>
      <c r="BC865" s="1"/>
      <c r="BD865" s="296"/>
      <c r="BE865" s="1"/>
      <c r="BF865" s="1"/>
      <c r="BG865" s="20"/>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row>
    <row r="866" spans="1:115" ht="15.75" customHeight="1">
      <c r="A866" s="1"/>
      <c r="B866" s="1"/>
      <c r="C866" s="1"/>
      <c r="D866" s="1"/>
      <c r="E866" s="1"/>
      <c r="F866" s="1"/>
      <c r="G866" s="1"/>
      <c r="H866" s="1"/>
      <c r="I866" s="294"/>
      <c r="J866" s="294"/>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3"/>
      <c r="AJ866" s="1"/>
      <c r="AK866" s="295"/>
      <c r="AL866" s="1"/>
      <c r="AM866" s="1"/>
      <c r="AN866" s="1"/>
      <c r="AO866" s="1"/>
      <c r="AP866" s="1"/>
      <c r="AQ866" s="1"/>
      <c r="AR866" s="1"/>
      <c r="AS866" s="1"/>
      <c r="AT866" s="1"/>
      <c r="AU866" s="1"/>
      <c r="AV866" s="1"/>
      <c r="AW866" s="1"/>
      <c r="AX866" s="1"/>
      <c r="AY866" s="1"/>
      <c r="AZ866" s="1"/>
      <c r="BA866" s="1"/>
      <c r="BB866" s="1"/>
      <c r="BC866" s="1"/>
      <c r="BD866" s="296"/>
      <c r="BE866" s="1"/>
      <c r="BF866" s="1"/>
      <c r="BG866" s="20"/>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row>
    <row r="867" spans="1:115" ht="15.75" customHeight="1">
      <c r="A867" s="1"/>
      <c r="B867" s="1"/>
      <c r="C867" s="1"/>
      <c r="D867" s="1"/>
      <c r="E867" s="1"/>
      <c r="F867" s="1"/>
      <c r="G867" s="1"/>
      <c r="H867" s="1"/>
      <c r="I867" s="294"/>
      <c r="J867" s="294"/>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3"/>
      <c r="AJ867" s="1"/>
      <c r="AK867" s="295"/>
      <c r="AL867" s="1"/>
      <c r="AM867" s="1"/>
      <c r="AN867" s="1"/>
      <c r="AO867" s="1"/>
      <c r="AP867" s="1"/>
      <c r="AQ867" s="1"/>
      <c r="AR867" s="1"/>
      <c r="AS867" s="1"/>
      <c r="AT867" s="1"/>
      <c r="AU867" s="1"/>
      <c r="AV867" s="1"/>
      <c r="AW867" s="1"/>
      <c r="AX867" s="1"/>
      <c r="AY867" s="1"/>
      <c r="AZ867" s="1"/>
      <c r="BA867" s="1"/>
      <c r="BB867" s="1"/>
      <c r="BC867" s="1"/>
      <c r="BD867" s="296"/>
      <c r="BE867" s="1"/>
      <c r="BF867" s="1"/>
      <c r="BG867" s="20"/>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row>
    <row r="868" spans="1:115" ht="15.75" customHeight="1">
      <c r="A868" s="1"/>
      <c r="B868" s="1"/>
      <c r="C868" s="1"/>
      <c r="D868" s="1"/>
      <c r="E868" s="1"/>
      <c r="F868" s="1"/>
      <c r="G868" s="1"/>
      <c r="H868" s="1"/>
      <c r="I868" s="294"/>
      <c r="J868" s="294"/>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3"/>
      <c r="AJ868" s="1"/>
      <c r="AK868" s="295"/>
      <c r="AL868" s="1"/>
      <c r="AM868" s="1"/>
      <c r="AN868" s="1"/>
      <c r="AO868" s="1"/>
      <c r="AP868" s="1"/>
      <c r="AQ868" s="1"/>
      <c r="AR868" s="1"/>
      <c r="AS868" s="1"/>
      <c r="AT868" s="1"/>
      <c r="AU868" s="1"/>
      <c r="AV868" s="1"/>
      <c r="AW868" s="1"/>
      <c r="AX868" s="1"/>
      <c r="AY868" s="1"/>
      <c r="AZ868" s="1"/>
      <c r="BA868" s="1"/>
      <c r="BB868" s="1"/>
      <c r="BC868" s="1"/>
      <c r="BD868" s="296"/>
      <c r="BE868" s="1"/>
      <c r="BF868" s="1"/>
      <c r="BG868" s="20"/>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row>
    <row r="869" spans="1:115" ht="15.75" customHeight="1">
      <c r="A869" s="1"/>
      <c r="B869" s="1"/>
      <c r="C869" s="1"/>
      <c r="D869" s="1"/>
      <c r="E869" s="1"/>
      <c r="F869" s="1"/>
      <c r="G869" s="1"/>
      <c r="H869" s="1"/>
      <c r="I869" s="294"/>
      <c r="J869" s="294"/>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3"/>
      <c r="AJ869" s="1"/>
      <c r="AK869" s="295"/>
      <c r="AL869" s="1"/>
      <c r="AM869" s="1"/>
      <c r="AN869" s="1"/>
      <c r="AO869" s="1"/>
      <c r="AP869" s="1"/>
      <c r="AQ869" s="1"/>
      <c r="AR869" s="1"/>
      <c r="AS869" s="1"/>
      <c r="AT869" s="1"/>
      <c r="AU869" s="1"/>
      <c r="AV869" s="1"/>
      <c r="AW869" s="1"/>
      <c r="AX869" s="1"/>
      <c r="AY869" s="1"/>
      <c r="AZ869" s="1"/>
      <c r="BA869" s="1"/>
      <c r="BB869" s="1"/>
      <c r="BC869" s="1"/>
      <c r="BD869" s="296"/>
      <c r="BE869" s="1"/>
      <c r="BF869" s="1"/>
      <c r="BG869" s="20"/>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row>
    <row r="870" spans="1:115" ht="15.75" customHeight="1">
      <c r="A870" s="1"/>
      <c r="B870" s="1"/>
      <c r="C870" s="1"/>
      <c r="D870" s="1"/>
      <c r="E870" s="1"/>
      <c r="F870" s="1"/>
      <c r="G870" s="1"/>
      <c r="H870" s="1"/>
      <c r="I870" s="294"/>
      <c r="J870" s="294"/>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3"/>
      <c r="AJ870" s="1"/>
      <c r="AK870" s="295"/>
      <c r="AL870" s="1"/>
      <c r="AM870" s="1"/>
      <c r="AN870" s="1"/>
      <c r="AO870" s="1"/>
      <c r="AP870" s="1"/>
      <c r="AQ870" s="1"/>
      <c r="AR870" s="1"/>
      <c r="AS870" s="1"/>
      <c r="AT870" s="1"/>
      <c r="AU870" s="1"/>
      <c r="AV870" s="1"/>
      <c r="AW870" s="1"/>
      <c r="AX870" s="1"/>
      <c r="AY870" s="1"/>
      <c r="AZ870" s="1"/>
      <c r="BA870" s="1"/>
      <c r="BB870" s="1"/>
      <c r="BC870" s="1"/>
      <c r="BD870" s="296"/>
      <c r="BE870" s="1"/>
      <c r="BF870" s="1"/>
      <c r="BG870" s="20"/>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row>
    <row r="871" spans="1:115" ht="15.75" customHeight="1">
      <c r="A871" s="1"/>
      <c r="B871" s="1"/>
      <c r="C871" s="1"/>
      <c r="D871" s="1"/>
      <c r="E871" s="1"/>
      <c r="F871" s="1"/>
      <c r="G871" s="1"/>
      <c r="H871" s="1"/>
      <c r="I871" s="294"/>
      <c r="J871" s="294"/>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3"/>
      <c r="AJ871" s="1"/>
      <c r="AK871" s="295"/>
      <c r="AL871" s="1"/>
      <c r="AM871" s="1"/>
      <c r="AN871" s="1"/>
      <c r="AO871" s="1"/>
      <c r="AP871" s="1"/>
      <c r="AQ871" s="1"/>
      <c r="AR871" s="1"/>
      <c r="AS871" s="1"/>
      <c r="AT871" s="1"/>
      <c r="AU871" s="1"/>
      <c r="AV871" s="1"/>
      <c r="AW871" s="1"/>
      <c r="AX871" s="1"/>
      <c r="AY871" s="1"/>
      <c r="AZ871" s="1"/>
      <c r="BA871" s="1"/>
      <c r="BB871" s="1"/>
      <c r="BC871" s="1"/>
      <c r="BD871" s="296"/>
      <c r="BE871" s="1"/>
      <c r="BF871" s="1"/>
      <c r="BG871" s="20"/>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row>
    <row r="872" spans="1:115" ht="15.75" customHeight="1">
      <c r="A872" s="1"/>
      <c r="B872" s="1"/>
      <c r="C872" s="1"/>
      <c r="D872" s="1"/>
      <c r="E872" s="1"/>
      <c r="F872" s="1"/>
      <c r="G872" s="1"/>
      <c r="H872" s="1"/>
      <c r="I872" s="294"/>
      <c r="J872" s="294"/>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3"/>
      <c r="AJ872" s="1"/>
      <c r="AK872" s="295"/>
      <c r="AL872" s="1"/>
      <c r="AM872" s="1"/>
      <c r="AN872" s="1"/>
      <c r="AO872" s="1"/>
      <c r="AP872" s="1"/>
      <c r="AQ872" s="1"/>
      <c r="AR872" s="1"/>
      <c r="AS872" s="1"/>
      <c r="AT872" s="1"/>
      <c r="AU872" s="1"/>
      <c r="AV872" s="1"/>
      <c r="AW872" s="1"/>
      <c r="AX872" s="1"/>
      <c r="AY872" s="1"/>
      <c r="AZ872" s="1"/>
      <c r="BA872" s="1"/>
      <c r="BB872" s="1"/>
      <c r="BC872" s="1"/>
      <c r="BD872" s="296"/>
      <c r="BE872" s="1"/>
      <c r="BF872" s="1"/>
      <c r="BG872" s="20"/>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row>
    <row r="873" spans="1:115" ht="15.75" customHeight="1">
      <c r="A873" s="1"/>
      <c r="B873" s="1"/>
      <c r="C873" s="1"/>
      <c r="D873" s="1"/>
      <c r="E873" s="1"/>
      <c r="F873" s="1"/>
      <c r="G873" s="1"/>
      <c r="H873" s="1"/>
      <c r="I873" s="294"/>
      <c r="J873" s="294"/>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3"/>
      <c r="AJ873" s="1"/>
      <c r="AK873" s="295"/>
      <c r="AL873" s="1"/>
      <c r="AM873" s="1"/>
      <c r="AN873" s="1"/>
      <c r="AO873" s="1"/>
      <c r="AP873" s="1"/>
      <c r="AQ873" s="1"/>
      <c r="AR873" s="1"/>
      <c r="AS873" s="1"/>
      <c r="AT873" s="1"/>
      <c r="AU873" s="1"/>
      <c r="AV873" s="1"/>
      <c r="AW873" s="1"/>
      <c r="AX873" s="1"/>
      <c r="AY873" s="1"/>
      <c r="AZ873" s="1"/>
      <c r="BA873" s="1"/>
      <c r="BB873" s="1"/>
      <c r="BC873" s="1"/>
      <c r="BD873" s="296"/>
      <c r="BE873" s="1"/>
      <c r="BF873" s="1"/>
      <c r="BG873" s="20"/>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row>
    <row r="874" spans="1:115" ht="15.75" customHeight="1">
      <c r="A874" s="1"/>
      <c r="B874" s="1"/>
      <c r="C874" s="1"/>
      <c r="D874" s="1"/>
      <c r="E874" s="1"/>
      <c r="F874" s="1"/>
      <c r="G874" s="1"/>
      <c r="H874" s="1"/>
      <c r="I874" s="294"/>
      <c r="J874" s="294"/>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3"/>
      <c r="AJ874" s="1"/>
      <c r="AK874" s="295"/>
      <c r="AL874" s="1"/>
      <c r="AM874" s="1"/>
      <c r="AN874" s="1"/>
      <c r="AO874" s="1"/>
      <c r="AP874" s="1"/>
      <c r="AQ874" s="1"/>
      <c r="AR874" s="1"/>
      <c r="AS874" s="1"/>
      <c r="AT874" s="1"/>
      <c r="AU874" s="1"/>
      <c r="AV874" s="1"/>
      <c r="AW874" s="1"/>
      <c r="AX874" s="1"/>
      <c r="AY874" s="1"/>
      <c r="AZ874" s="1"/>
      <c r="BA874" s="1"/>
      <c r="BB874" s="1"/>
      <c r="BC874" s="1"/>
      <c r="BD874" s="296"/>
      <c r="BE874" s="1"/>
      <c r="BF874" s="1"/>
      <c r="BG874" s="20"/>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row>
    <row r="875" spans="1:115" ht="15.75" customHeight="1">
      <c r="A875" s="1"/>
      <c r="B875" s="1"/>
      <c r="C875" s="1"/>
      <c r="D875" s="1"/>
      <c r="E875" s="1"/>
      <c r="F875" s="1"/>
      <c r="G875" s="1"/>
      <c r="H875" s="1"/>
      <c r="I875" s="294"/>
      <c r="J875" s="294"/>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3"/>
      <c r="AJ875" s="1"/>
      <c r="AK875" s="295"/>
      <c r="AL875" s="1"/>
      <c r="AM875" s="1"/>
      <c r="AN875" s="1"/>
      <c r="AO875" s="1"/>
      <c r="AP875" s="1"/>
      <c r="AQ875" s="1"/>
      <c r="AR875" s="1"/>
      <c r="AS875" s="1"/>
      <c r="AT875" s="1"/>
      <c r="AU875" s="1"/>
      <c r="AV875" s="1"/>
      <c r="AW875" s="1"/>
      <c r="AX875" s="1"/>
      <c r="AY875" s="1"/>
      <c r="AZ875" s="1"/>
      <c r="BA875" s="1"/>
      <c r="BB875" s="1"/>
      <c r="BC875" s="1"/>
      <c r="BD875" s="296"/>
      <c r="BE875" s="1"/>
      <c r="BF875" s="1"/>
      <c r="BG875" s="20"/>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row>
    <row r="876" spans="1:115" ht="15.75" customHeight="1">
      <c r="A876" s="1"/>
      <c r="B876" s="1"/>
      <c r="C876" s="1"/>
      <c r="D876" s="1"/>
      <c r="E876" s="1"/>
      <c r="F876" s="1"/>
      <c r="G876" s="1"/>
      <c r="H876" s="1"/>
      <c r="I876" s="294"/>
      <c r="J876" s="294"/>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3"/>
      <c r="AJ876" s="1"/>
      <c r="AK876" s="295"/>
      <c r="AL876" s="1"/>
      <c r="AM876" s="1"/>
      <c r="AN876" s="1"/>
      <c r="AO876" s="1"/>
      <c r="AP876" s="1"/>
      <c r="AQ876" s="1"/>
      <c r="AR876" s="1"/>
      <c r="AS876" s="1"/>
      <c r="AT876" s="1"/>
      <c r="AU876" s="1"/>
      <c r="AV876" s="1"/>
      <c r="AW876" s="1"/>
      <c r="AX876" s="1"/>
      <c r="AY876" s="1"/>
      <c r="AZ876" s="1"/>
      <c r="BA876" s="1"/>
      <c r="BB876" s="1"/>
      <c r="BC876" s="1"/>
      <c r="BD876" s="296"/>
      <c r="BE876" s="1"/>
      <c r="BF876" s="1"/>
      <c r="BG876" s="20"/>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row>
    <row r="877" spans="1:115" ht="15.75" customHeight="1">
      <c r="A877" s="1"/>
      <c r="B877" s="1"/>
      <c r="C877" s="1"/>
      <c r="D877" s="1"/>
      <c r="E877" s="1"/>
      <c r="F877" s="1"/>
      <c r="G877" s="1"/>
      <c r="H877" s="1"/>
      <c r="I877" s="294"/>
      <c r="J877" s="294"/>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3"/>
      <c r="AJ877" s="1"/>
      <c r="AK877" s="295"/>
      <c r="AL877" s="1"/>
      <c r="AM877" s="1"/>
      <c r="AN877" s="1"/>
      <c r="AO877" s="1"/>
      <c r="AP877" s="1"/>
      <c r="AQ877" s="1"/>
      <c r="AR877" s="1"/>
      <c r="AS877" s="1"/>
      <c r="AT877" s="1"/>
      <c r="AU877" s="1"/>
      <c r="AV877" s="1"/>
      <c r="AW877" s="1"/>
      <c r="AX877" s="1"/>
      <c r="AY877" s="1"/>
      <c r="AZ877" s="1"/>
      <c r="BA877" s="1"/>
      <c r="BB877" s="1"/>
      <c r="BC877" s="1"/>
      <c r="BD877" s="296"/>
      <c r="BE877" s="1"/>
      <c r="BF877" s="1"/>
      <c r="BG877" s="20"/>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row>
    <row r="878" spans="1:115" ht="15.75" customHeight="1">
      <c r="A878" s="1"/>
      <c r="B878" s="1"/>
      <c r="C878" s="1"/>
      <c r="D878" s="1"/>
      <c r="E878" s="1"/>
      <c r="F878" s="1"/>
      <c r="G878" s="1"/>
      <c r="H878" s="1"/>
      <c r="I878" s="294"/>
      <c r="J878" s="294"/>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3"/>
      <c r="AJ878" s="1"/>
      <c r="AK878" s="295"/>
      <c r="AL878" s="1"/>
      <c r="AM878" s="1"/>
      <c r="AN878" s="1"/>
      <c r="AO878" s="1"/>
      <c r="AP878" s="1"/>
      <c r="AQ878" s="1"/>
      <c r="AR878" s="1"/>
      <c r="AS878" s="1"/>
      <c r="AT878" s="1"/>
      <c r="AU878" s="1"/>
      <c r="AV878" s="1"/>
      <c r="AW878" s="1"/>
      <c r="AX878" s="1"/>
      <c r="AY878" s="1"/>
      <c r="AZ878" s="1"/>
      <c r="BA878" s="1"/>
      <c r="BB878" s="1"/>
      <c r="BC878" s="1"/>
      <c r="BD878" s="296"/>
      <c r="BE878" s="1"/>
      <c r="BF878" s="1"/>
      <c r="BG878" s="20"/>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row>
    <row r="879" spans="1:115" ht="15.75" customHeight="1">
      <c r="A879" s="1"/>
      <c r="B879" s="1"/>
      <c r="C879" s="1"/>
      <c r="D879" s="1"/>
      <c r="E879" s="1"/>
      <c r="F879" s="1"/>
      <c r="G879" s="1"/>
      <c r="H879" s="1"/>
      <c r="I879" s="294"/>
      <c r="J879" s="294"/>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3"/>
      <c r="AJ879" s="1"/>
      <c r="AK879" s="295"/>
      <c r="AL879" s="1"/>
      <c r="AM879" s="1"/>
      <c r="AN879" s="1"/>
      <c r="AO879" s="1"/>
      <c r="AP879" s="1"/>
      <c r="AQ879" s="1"/>
      <c r="AR879" s="1"/>
      <c r="AS879" s="1"/>
      <c r="AT879" s="1"/>
      <c r="AU879" s="1"/>
      <c r="AV879" s="1"/>
      <c r="AW879" s="1"/>
      <c r="AX879" s="1"/>
      <c r="AY879" s="1"/>
      <c r="AZ879" s="1"/>
      <c r="BA879" s="1"/>
      <c r="BB879" s="1"/>
      <c r="BC879" s="1"/>
      <c r="BD879" s="296"/>
      <c r="BE879" s="1"/>
      <c r="BF879" s="1"/>
      <c r="BG879" s="20"/>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row>
    <row r="880" spans="1:115" ht="15.75" customHeight="1">
      <c r="A880" s="1"/>
      <c r="B880" s="1"/>
      <c r="C880" s="1"/>
      <c r="D880" s="1"/>
      <c r="E880" s="1"/>
      <c r="F880" s="1"/>
      <c r="G880" s="1"/>
      <c r="H880" s="1"/>
      <c r="I880" s="294"/>
      <c r="J880" s="294"/>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3"/>
      <c r="AJ880" s="1"/>
      <c r="AK880" s="295"/>
      <c r="AL880" s="1"/>
      <c r="AM880" s="1"/>
      <c r="AN880" s="1"/>
      <c r="AO880" s="1"/>
      <c r="AP880" s="1"/>
      <c r="AQ880" s="1"/>
      <c r="AR880" s="1"/>
      <c r="AS880" s="1"/>
      <c r="AT880" s="1"/>
      <c r="AU880" s="1"/>
      <c r="AV880" s="1"/>
      <c r="AW880" s="1"/>
      <c r="AX880" s="1"/>
      <c r="AY880" s="1"/>
      <c r="AZ880" s="1"/>
      <c r="BA880" s="1"/>
      <c r="BB880" s="1"/>
      <c r="BC880" s="1"/>
      <c r="BD880" s="296"/>
      <c r="BE880" s="1"/>
      <c r="BF880" s="1"/>
      <c r="BG880" s="20"/>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row>
    <row r="881" spans="1:115" ht="15.75" customHeight="1">
      <c r="A881" s="1"/>
      <c r="B881" s="1"/>
      <c r="C881" s="1"/>
      <c r="D881" s="1"/>
      <c r="E881" s="1"/>
      <c r="F881" s="1"/>
      <c r="G881" s="1"/>
      <c r="H881" s="1"/>
      <c r="I881" s="294"/>
      <c r="J881" s="294"/>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3"/>
      <c r="AJ881" s="1"/>
      <c r="AK881" s="295"/>
      <c r="AL881" s="1"/>
      <c r="AM881" s="1"/>
      <c r="AN881" s="1"/>
      <c r="AO881" s="1"/>
      <c r="AP881" s="1"/>
      <c r="AQ881" s="1"/>
      <c r="AR881" s="1"/>
      <c r="AS881" s="1"/>
      <c r="AT881" s="1"/>
      <c r="AU881" s="1"/>
      <c r="AV881" s="1"/>
      <c r="AW881" s="1"/>
      <c r="AX881" s="1"/>
      <c r="AY881" s="1"/>
      <c r="AZ881" s="1"/>
      <c r="BA881" s="1"/>
      <c r="BB881" s="1"/>
      <c r="BC881" s="1"/>
      <c r="BD881" s="296"/>
      <c r="BE881" s="1"/>
      <c r="BF881" s="1"/>
      <c r="BG881" s="20"/>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row>
    <row r="882" spans="1:115" ht="15.75" customHeight="1">
      <c r="A882" s="1"/>
      <c r="B882" s="1"/>
      <c r="C882" s="1"/>
      <c r="D882" s="1"/>
      <c r="E882" s="1"/>
      <c r="F882" s="1"/>
      <c r="G882" s="1"/>
      <c r="H882" s="1"/>
      <c r="I882" s="294"/>
      <c r="J882" s="294"/>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3"/>
      <c r="AJ882" s="1"/>
      <c r="AK882" s="295"/>
      <c r="AL882" s="1"/>
      <c r="AM882" s="1"/>
      <c r="AN882" s="1"/>
      <c r="AO882" s="1"/>
      <c r="AP882" s="1"/>
      <c r="AQ882" s="1"/>
      <c r="AR882" s="1"/>
      <c r="AS882" s="1"/>
      <c r="AT882" s="1"/>
      <c r="AU882" s="1"/>
      <c r="AV882" s="1"/>
      <c r="AW882" s="1"/>
      <c r="AX882" s="1"/>
      <c r="AY882" s="1"/>
      <c r="AZ882" s="1"/>
      <c r="BA882" s="1"/>
      <c r="BB882" s="1"/>
      <c r="BC882" s="1"/>
      <c r="BD882" s="296"/>
      <c r="BE882" s="1"/>
      <c r="BF882" s="1"/>
      <c r="BG882" s="20"/>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row>
    <row r="883" spans="1:115" ht="15.75" customHeight="1">
      <c r="A883" s="1"/>
      <c r="B883" s="1"/>
      <c r="C883" s="1"/>
      <c r="D883" s="1"/>
      <c r="E883" s="1"/>
      <c r="F883" s="1"/>
      <c r="G883" s="1"/>
      <c r="H883" s="1"/>
      <c r="I883" s="294"/>
      <c r="J883" s="294"/>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3"/>
      <c r="AJ883" s="1"/>
      <c r="AK883" s="295"/>
      <c r="AL883" s="1"/>
      <c r="AM883" s="1"/>
      <c r="AN883" s="1"/>
      <c r="AO883" s="1"/>
      <c r="AP883" s="1"/>
      <c r="AQ883" s="1"/>
      <c r="AR883" s="1"/>
      <c r="AS883" s="1"/>
      <c r="AT883" s="1"/>
      <c r="AU883" s="1"/>
      <c r="AV883" s="1"/>
      <c r="AW883" s="1"/>
      <c r="AX883" s="1"/>
      <c r="AY883" s="1"/>
      <c r="AZ883" s="1"/>
      <c r="BA883" s="1"/>
      <c r="BB883" s="1"/>
      <c r="BC883" s="1"/>
      <c r="BD883" s="296"/>
      <c r="BE883" s="1"/>
      <c r="BF883" s="1"/>
      <c r="BG883" s="20"/>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row>
    <row r="884" spans="1:115" ht="15.75" customHeight="1">
      <c r="A884" s="1"/>
      <c r="B884" s="1"/>
      <c r="C884" s="1"/>
      <c r="D884" s="1"/>
      <c r="E884" s="1"/>
      <c r="F884" s="1"/>
      <c r="G884" s="1"/>
      <c r="H884" s="1"/>
      <c r="I884" s="294"/>
      <c r="J884" s="294"/>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3"/>
      <c r="AJ884" s="1"/>
      <c r="AK884" s="295"/>
      <c r="AL884" s="1"/>
      <c r="AM884" s="1"/>
      <c r="AN884" s="1"/>
      <c r="AO884" s="1"/>
      <c r="AP884" s="1"/>
      <c r="AQ884" s="1"/>
      <c r="AR884" s="1"/>
      <c r="AS884" s="1"/>
      <c r="AT884" s="1"/>
      <c r="AU884" s="1"/>
      <c r="AV884" s="1"/>
      <c r="AW884" s="1"/>
      <c r="AX884" s="1"/>
      <c r="AY884" s="1"/>
      <c r="AZ884" s="1"/>
      <c r="BA884" s="1"/>
      <c r="BB884" s="1"/>
      <c r="BC884" s="1"/>
      <c r="BD884" s="296"/>
      <c r="BE884" s="1"/>
      <c r="BF884" s="1"/>
      <c r="BG884" s="20"/>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row>
    <row r="885" spans="1:115" ht="15.75" customHeight="1">
      <c r="A885" s="1"/>
      <c r="B885" s="1"/>
      <c r="C885" s="1"/>
      <c r="D885" s="1"/>
      <c r="E885" s="1"/>
      <c r="F885" s="1"/>
      <c r="G885" s="1"/>
      <c r="H885" s="1"/>
      <c r="I885" s="294"/>
      <c r="J885" s="294"/>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3"/>
      <c r="AJ885" s="1"/>
      <c r="AK885" s="295"/>
      <c r="AL885" s="1"/>
      <c r="AM885" s="1"/>
      <c r="AN885" s="1"/>
      <c r="AO885" s="1"/>
      <c r="AP885" s="1"/>
      <c r="AQ885" s="1"/>
      <c r="AR885" s="1"/>
      <c r="AS885" s="1"/>
      <c r="AT885" s="1"/>
      <c r="AU885" s="1"/>
      <c r="AV885" s="1"/>
      <c r="AW885" s="1"/>
      <c r="AX885" s="1"/>
      <c r="AY885" s="1"/>
      <c r="AZ885" s="1"/>
      <c r="BA885" s="1"/>
      <c r="BB885" s="1"/>
      <c r="BC885" s="1"/>
      <c r="BD885" s="296"/>
      <c r="BE885" s="1"/>
      <c r="BF885" s="1"/>
      <c r="BG885" s="20"/>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row>
    <row r="886" spans="1:115" ht="15.75" customHeight="1">
      <c r="A886" s="1"/>
      <c r="B886" s="1"/>
      <c r="C886" s="1"/>
      <c r="D886" s="1"/>
      <c r="E886" s="1"/>
      <c r="F886" s="1"/>
      <c r="G886" s="1"/>
      <c r="H886" s="1"/>
      <c r="I886" s="294"/>
      <c r="J886" s="294"/>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3"/>
      <c r="AJ886" s="1"/>
      <c r="AK886" s="295"/>
      <c r="AL886" s="1"/>
      <c r="AM886" s="1"/>
      <c r="AN886" s="1"/>
      <c r="AO886" s="1"/>
      <c r="AP886" s="1"/>
      <c r="AQ886" s="1"/>
      <c r="AR886" s="1"/>
      <c r="AS886" s="1"/>
      <c r="AT886" s="1"/>
      <c r="AU886" s="1"/>
      <c r="AV886" s="1"/>
      <c r="AW886" s="1"/>
      <c r="AX886" s="1"/>
      <c r="AY886" s="1"/>
      <c r="AZ886" s="1"/>
      <c r="BA886" s="1"/>
      <c r="BB886" s="1"/>
      <c r="BC886" s="1"/>
      <c r="BD886" s="296"/>
      <c r="BE886" s="1"/>
      <c r="BF886" s="1"/>
      <c r="BG886" s="20"/>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row>
    <row r="887" spans="1:115" ht="15.75" customHeight="1">
      <c r="A887" s="1"/>
      <c r="B887" s="1"/>
      <c r="C887" s="1"/>
      <c r="D887" s="1"/>
      <c r="E887" s="1"/>
      <c r="F887" s="1"/>
      <c r="G887" s="1"/>
      <c r="H887" s="1"/>
      <c r="I887" s="294"/>
      <c r="J887" s="294"/>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3"/>
      <c r="AJ887" s="1"/>
      <c r="AK887" s="295"/>
      <c r="AL887" s="1"/>
      <c r="AM887" s="1"/>
      <c r="AN887" s="1"/>
      <c r="AO887" s="1"/>
      <c r="AP887" s="1"/>
      <c r="AQ887" s="1"/>
      <c r="AR887" s="1"/>
      <c r="AS887" s="1"/>
      <c r="AT887" s="1"/>
      <c r="AU887" s="1"/>
      <c r="AV887" s="1"/>
      <c r="AW887" s="1"/>
      <c r="AX887" s="1"/>
      <c r="AY887" s="1"/>
      <c r="AZ887" s="1"/>
      <c r="BA887" s="1"/>
      <c r="BB887" s="1"/>
      <c r="BC887" s="1"/>
      <c r="BD887" s="296"/>
      <c r="BE887" s="1"/>
      <c r="BF887" s="1"/>
      <c r="BG887" s="20"/>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row>
    <row r="888" spans="1:115" ht="15.75" customHeight="1">
      <c r="A888" s="1"/>
      <c r="B888" s="1"/>
      <c r="C888" s="1"/>
      <c r="D888" s="1"/>
      <c r="E888" s="1"/>
      <c r="F888" s="1"/>
      <c r="G888" s="1"/>
      <c r="H888" s="1"/>
      <c r="I888" s="294"/>
      <c r="J888" s="294"/>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3"/>
      <c r="AJ888" s="1"/>
      <c r="AK888" s="295"/>
      <c r="AL888" s="1"/>
      <c r="AM888" s="1"/>
      <c r="AN888" s="1"/>
      <c r="AO888" s="1"/>
      <c r="AP888" s="1"/>
      <c r="AQ888" s="1"/>
      <c r="AR888" s="1"/>
      <c r="AS888" s="1"/>
      <c r="AT888" s="1"/>
      <c r="AU888" s="1"/>
      <c r="AV888" s="1"/>
      <c r="AW888" s="1"/>
      <c r="AX888" s="1"/>
      <c r="AY888" s="1"/>
      <c r="AZ888" s="1"/>
      <c r="BA888" s="1"/>
      <c r="BB888" s="1"/>
      <c r="BC888" s="1"/>
      <c r="BD888" s="296"/>
      <c r="BE888" s="1"/>
      <c r="BF888" s="1"/>
      <c r="BG888" s="20"/>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row>
    <row r="889" spans="1:115" ht="15.75" customHeight="1">
      <c r="A889" s="1"/>
      <c r="B889" s="1"/>
      <c r="C889" s="1"/>
      <c r="D889" s="1"/>
      <c r="E889" s="1"/>
      <c r="F889" s="1"/>
      <c r="G889" s="1"/>
      <c r="H889" s="1"/>
      <c r="I889" s="294"/>
      <c r="J889" s="294"/>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3"/>
      <c r="AJ889" s="1"/>
      <c r="AK889" s="295"/>
      <c r="AL889" s="1"/>
      <c r="AM889" s="1"/>
      <c r="AN889" s="1"/>
      <c r="AO889" s="1"/>
      <c r="AP889" s="1"/>
      <c r="AQ889" s="1"/>
      <c r="AR889" s="1"/>
      <c r="AS889" s="1"/>
      <c r="AT889" s="1"/>
      <c r="AU889" s="1"/>
      <c r="AV889" s="1"/>
      <c r="AW889" s="1"/>
      <c r="AX889" s="1"/>
      <c r="AY889" s="1"/>
      <c r="AZ889" s="1"/>
      <c r="BA889" s="1"/>
      <c r="BB889" s="1"/>
      <c r="BC889" s="1"/>
      <c r="BD889" s="296"/>
      <c r="BE889" s="1"/>
      <c r="BF889" s="1"/>
      <c r="BG889" s="20"/>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row>
    <row r="890" spans="1:115" ht="15.75" customHeight="1">
      <c r="A890" s="1"/>
      <c r="B890" s="1"/>
      <c r="C890" s="1"/>
      <c r="D890" s="1"/>
      <c r="E890" s="1"/>
      <c r="F890" s="1"/>
      <c r="G890" s="1"/>
      <c r="H890" s="1"/>
      <c r="I890" s="294"/>
      <c r="J890" s="294"/>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3"/>
      <c r="AJ890" s="1"/>
      <c r="AK890" s="295"/>
      <c r="AL890" s="1"/>
      <c r="AM890" s="1"/>
      <c r="AN890" s="1"/>
      <c r="AO890" s="1"/>
      <c r="AP890" s="1"/>
      <c r="AQ890" s="1"/>
      <c r="AR890" s="1"/>
      <c r="AS890" s="1"/>
      <c r="AT890" s="1"/>
      <c r="AU890" s="1"/>
      <c r="AV890" s="1"/>
      <c r="AW890" s="1"/>
      <c r="AX890" s="1"/>
      <c r="AY890" s="1"/>
      <c r="AZ890" s="1"/>
      <c r="BA890" s="1"/>
      <c r="BB890" s="1"/>
      <c r="BC890" s="1"/>
      <c r="BD890" s="296"/>
      <c r="BE890" s="1"/>
      <c r="BF890" s="1"/>
      <c r="BG890" s="20"/>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row>
    <row r="891" spans="1:115" ht="15.75" customHeight="1">
      <c r="A891" s="1"/>
      <c r="B891" s="1"/>
      <c r="C891" s="1"/>
      <c r="D891" s="1"/>
      <c r="E891" s="1"/>
      <c r="F891" s="1"/>
      <c r="G891" s="1"/>
      <c r="H891" s="1"/>
      <c r="I891" s="294"/>
      <c r="J891" s="294"/>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3"/>
      <c r="AJ891" s="1"/>
      <c r="AK891" s="295"/>
      <c r="AL891" s="1"/>
      <c r="AM891" s="1"/>
      <c r="AN891" s="1"/>
      <c r="AO891" s="1"/>
      <c r="AP891" s="1"/>
      <c r="AQ891" s="1"/>
      <c r="AR891" s="1"/>
      <c r="AS891" s="1"/>
      <c r="AT891" s="1"/>
      <c r="AU891" s="1"/>
      <c r="AV891" s="1"/>
      <c r="AW891" s="1"/>
      <c r="AX891" s="1"/>
      <c r="AY891" s="1"/>
      <c r="AZ891" s="1"/>
      <c r="BA891" s="1"/>
      <c r="BB891" s="1"/>
      <c r="BC891" s="1"/>
      <c r="BD891" s="296"/>
      <c r="BE891" s="1"/>
      <c r="BF891" s="1"/>
      <c r="BG891" s="20"/>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row>
    <row r="892" spans="1:115" ht="15.75" customHeight="1">
      <c r="A892" s="1"/>
      <c r="B892" s="1"/>
      <c r="C892" s="1"/>
      <c r="D892" s="1"/>
      <c r="E892" s="1"/>
      <c r="F892" s="1"/>
      <c r="G892" s="1"/>
      <c r="H892" s="1"/>
      <c r="I892" s="294"/>
      <c r="J892" s="294"/>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3"/>
      <c r="AJ892" s="1"/>
      <c r="AK892" s="295"/>
      <c r="AL892" s="1"/>
      <c r="AM892" s="1"/>
      <c r="AN892" s="1"/>
      <c r="AO892" s="1"/>
      <c r="AP892" s="1"/>
      <c r="AQ892" s="1"/>
      <c r="AR892" s="1"/>
      <c r="AS892" s="1"/>
      <c r="AT892" s="1"/>
      <c r="AU892" s="1"/>
      <c r="AV892" s="1"/>
      <c r="AW892" s="1"/>
      <c r="AX892" s="1"/>
      <c r="AY892" s="1"/>
      <c r="AZ892" s="1"/>
      <c r="BA892" s="1"/>
      <c r="BB892" s="1"/>
      <c r="BC892" s="1"/>
      <c r="BD892" s="296"/>
      <c r="BE892" s="1"/>
      <c r="BF892" s="1"/>
      <c r="BG892" s="20"/>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row>
    <row r="893" spans="1:115" ht="15.75" customHeight="1">
      <c r="A893" s="1"/>
      <c r="B893" s="1"/>
      <c r="C893" s="1"/>
      <c r="D893" s="1"/>
      <c r="E893" s="1"/>
      <c r="F893" s="1"/>
      <c r="G893" s="1"/>
      <c r="H893" s="1"/>
      <c r="I893" s="294"/>
      <c r="J893" s="294"/>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3"/>
      <c r="AJ893" s="1"/>
      <c r="AK893" s="295"/>
      <c r="AL893" s="1"/>
      <c r="AM893" s="1"/>
      <c r="AN893" s="1"/>
      <c r="AO893" s="1"/>
      <c r="AP893" s="1"/>
      <c r="AQ893" s="1"/>
      <c r="AR893" s="1"/>
      <c r="AS893" s="1"/>
      <c r="AT893" s="1"/>
      <c r="AU893" s="1"/>
      <c r="AV893" s="1"/>
      <c r="AW893" s="1"/>
      <c r="AX893" s="1"/>
      <c r="AY893" s="1"/>
      <c r="AZ893" s="1"/>
      <c r="BA893" s="1"/>
      <c r="BB893" s="1"/>
      <c r="BC893" s="1"/>
      <c r="BD893" s="296"/>
      <c r="BE893" s="1"/>
      <c r="BF893" s="1"/>
      <c r="BG893" s="20"/>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row>
    <row r="894" spans="1:115" ht="15.75" customHeight="1">
      <c r="A894" s="1"/>
      <c r="B894" s="1"/>
      <c r="C894" s="1"/>
      <c r="D894" s="1"/>
      <c r="E894" s="1"/>
      <c r="F894" s="1"/>
      <c r="G894" s="1"/>
      <c r="H894" s="1"/>
      <c r="I894" s="294"/>
      <c r="J894" s="294"/>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3"/>
      <c r="AJ894" s="1"/>
      <c r="AK894" s="295"/>
      <c r="AL894" s="1"/>
      <c r="AM894" s="1"/>
      <c r="AN894" s="1"/>
      <c r="AO894" s="1"/>
      <c r="AP894" s="1"/>
      <c r="AQ894" s="1"/>
      <c r="AR894" s="1"/>
      <c r="AS894" s="1"/>
      <c r="AT894" s="1"/>
      <c r="AU894" s="1"/>
      <c r="AV894" s="1"/>
      <c r="AW894" s="1"/>
      <c r="AX894" s="1"/>
      <c r="AY894" s="1"/>
      <c r="AZ894" s="1"/>
      <c r="BA894" s="1"/>
      <c r="BB894" s="1"/>
      <c r="BC894" s="1"/>
      <c r="BD894" s="296"/>
      <c r="BE894" s="1"/>
      <c r="BF894" s="1"/>
      <c r="BG894" s="20"/>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row>
    <row r="895" spans="1:115" ht="15.75" customHeight="1">
      <c r="A895" s="1"/>
      <c r="B895" s="1"/>
      <c r="C895" s="1"/>
      <c r="D895" s="1"/>
      <c r="E895" s="1"/>
      <c r="F895" s="1"/>
      <c r="G895" s="1"/>
      <c r="H895" s="1"/>
      <c r="I895" s="294"/>
      <c r="J895" s="294"/>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3"/>
      <c r="AJ895" s="1"/>
      <c r="AK895" s="295"/>
      <c r="AL895" s="1"/>
      <c r="AM895" s="1"/>
      <c r="AN895" s="1"/>
      <c r="AO895" s="1"/>
      <c r="AP895" s="1"/>
      <c r="AQ895" s="1"/>
      <c r="AR895" s="1"/>
      <c r="AS895" s="1"/>
      <c r="AT895" s="1"/>
      <c r="AU895" s="1"/>
      <c r="AV895" s="1"/>
      <c r="AW895" s="1"/>
      <c r="AX895" s="1"/>
      <c r="AY895" s="1"/>
      <c r="AZ895" s="1"/>
      <c r="BA895" s="1"/>
      <c r="BB895" s="1"/>
      <c r="BC895" s="1"/>
      <c r="BD895" s="296"/>
      <c r="BE895" s="1"/>
      <c r="BF895" s="1"/>
      <c r="BG895" s="20"/>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row>
    <row r="896" spans="1:115" ht="15.75" customHeight="1">
      <c r="A896" s="1"/>
      <c r="B896" s="1"/>
      <c r="C896" s="1"/>
      <c r="D896" s="1"/>
      <c r="E896" s="1"/>
      <c r="F896" s="1"/>
      <c r="G896" s="1"/>
      <c r="H896" s="1"/>
      <c r="I896" s="294"/>
      <c r="J896" s="294"/>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3"/>
      <c r="AJ896" s="1"/>
      <c r="AK896" s="295"/>
      <c r="AL896" s="1"/>
      <c r="AM896" s="1"/>
      <c r="AN896" s="1"/>
      <c r="AO896" s="1"/>
      <c r="AP896" s="1"/>
      <c r="AQ896" s="1"/>
      <c r="AR896" s="1"/>
      <c r="AS896" s="1"/>
      <c r="AT896" s="1"/>
      <c r="AU896" s="1"/>
      <c r="AV896" s="1"/>
      <c r="AW896" s="1"/>
      <c r="AX896" s="1"/>
      <c r="AY896" s="1"/>
      <c r="AZ896" s="1"/>
      <c r="BA896" s="1"/>
      <c r="BB896" s="1"/>
      <c r="BC896" s="1"/>
      <c r="BD896" s="296"/>
      <c r="BE896" s="1"/>
      <c r="BF896" s="1"/>
      <c r="BG896" s="20"/>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row>
    <row r="897" spans="1:115" ht="15.75" customHeight="1">
      <c r="A897" s="1"/>
      <c r="B897" s="1"/>
      <c r="C897" s="1"/>
      <c r="D897" s="1"/>
      <c r="E897" s="1"/>
      <c r="F897" s="1"/>
      <c r="G897" s="1"/>
      <c r="H897" s="1"/>
      <c r="I897" s="294"/>
      <c r="J897" s="294"/>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3"/>
      <c r="AJ897" s="1"/>
      <c r="AK897" s="295"/>
      <c r="AL897" s="1"/>
      <c r="AM897" s="1"/>
      <c r="AN897" s="1"/>
      <c r="AO897" s="1"/>
      <c r="AP897" s="1"/>
      <c r="AQ897" s="1"/>
      <c r="AR897" s="1"/>
      <c r="AS897" s="1"/>
      <c r="AT897" s="1"/>
      <c r="AU897" s="1"/>
      <c r="AV897" s="1"/>
      <c r="AW897" s="1"/>
      <c r="AX897" s="1"/>
      <c r="AY897" s="1"/>
      <c r="AZ897" s="1"/>
      <c r="BA897" s="1"/>
      <c r="BB897" s="1"/>
      <c r="BC897" s="1"/>
      <c r="BD897" s="296"/>
      <c r="BE897" s="1"/>
      <c r="BF897" s="1"/>
      <c r="BG897" s="20"/>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row>
    <row r="898" spans="1:115" ht="15.75" customHeight="1">
      <c r="A898" s="1"/>
      <c r="B898" s="1"/>
      <c r="C898" s="1"/>
      <c r="D898" s="1"/>
      <c r="E898" s="1"/>
      <c r="F898" s="1"/>
      <c r="G898" s="1"/>
      <c r="H898" s="1"/>
      <c r="I898" s="294"/>
      <c r="J898" s="294"/>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3"/>
      <c r="AJ898" s="1"/>
      <c r="AK898" s="295"/>
      <c r="AL898" s="1"/>
      <c r="AM898" s="1"/>
      <c r="AN898" s="1"/>
      <c r="AO898" s="1"/>
      <c r="AP898" s="1"/>
      <c r="AQ898" s="1"/>
      <c r="AR898" s="1"/>
      <c r="AS898" s="1"/>
      <c r="AT898" s="1"/>
      <c r="AU898" s="1"/>
      <c r="AV898" s="1"/>
      <c r="AW898" s="1"/>
      <c r="AX898" s="1"/>
      <c r="AY898" s="1"/>
      <c r="AZ898" s="1"/>
      <c r="BA898" s="1"/>
      <c r="BB898" s="1"/>
      <c r="BC898" s="1"/>
      <c r="BD898" s="296"/>
      <c r="BE898" s="1"/>
      <c r="BF898" s="1"/>
      <c r="BG898" s="20"/>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row>
    <row r="899" spans="1:115" ht="15.75" customHeight="1">
      <c r="A899" s="1"/>
      <c r="B899" s="1"/>
      <c r="C899" s="1"/>
      <c r="D899" s="1"/>
      <c r="E899" s="1"/>
      <c r="F899" s="1"/>
      <c r="G899" s="1"/>
      <c r="H899" s="1"/>
      <c r="I899" s="294"/>
      <c r="J899" s="294"/>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3"/>
      <c r="AJ899" s="1"/>
      <c r="AK899" s="295"/>
      <c r="AL899" s="1"/>
      <c r="AM899" s="1"/>
      <c r="AN899" s="1"/>
      <c r="AO899" s="1"/>
      <c r="AP899" s="1"/>
      <c r="AQ899" s="1"/>
      <c r="AR899" s="1"/>
      <c r="AS899" s="1"/>
      <c r="AT899" s="1"/>
      <c r="AU899" s="1"/>
      <c r="AV899" s="1"/>
      <c r="AW899" s="1"/>
      <c r="AX899" s="1"/>
      <c r="AY899" s="1"/>
      <c r="AZ899" s="1"/>
      <c r="BA899" s="1"/>
      <c r="BB899" s="1"/>
      <c r="BC899" s="1"/>
      <c r="BD899" s="296"/>
      <c r="BE899" s="1"/>
      <c r="BF899" s="1"/>
      <c r="BG899" s="20"/>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row>
    <row r="900" spans="1:115" ht="15.75" customHeight="1">
      <c r="A900" s="1"/>
      <c r="B900" s="1"/>
      <c r="C900" s="1"/>
      <c r="D900" s="1"/>
      <c r="E900" s="1"/>
      <c r="F900" s="1"/>
      <c r="G900" s="1"/>
      <c r="H900" s="1"/>
      <c r="I900" s="294"/>
      <c r="J900" s="294"/>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3"/>
      <c r="AJ900" s="1"/>
      <c r="AK900" s="295"/>
      <c r="AL900" s="1"/>
      <c r="AM900" s="1"/>
      <c r="AN900" s="1"/>
      <c r="AO900" s="1"/>
      <c r="AP900" s="1"/>
      <c r="AQ900" s="1"/>
      <c r="AR900" s="1"/>
      <c r="AS900" s="1"/>
      <c r="AT900" s="1"/>
      <c r="AU900" s="1"/>
      <c r="AV900" s="1"/>
      <c r="AW900" s="1"/>
      <c r="AX900" s="1"/>
      <c r="AY900" s="1"/>
      <c r="AZ900" s="1"/>
      <c r="BA900" s="1"/>
      <c r="BB900" s="1"/>
      <c r="BC900" s="1"/>
      <c r="BD900" s="296"/>
      <c r="BE900" s="1"/>
      <c r="BF900" s="1"/>
      <c r="BG900" s="20"/>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row>
    <row r="901" spans="1:115" ht="15.75" customHeight="1">
      <c r="A901" s="1"/>
      <c r="B901" s="1"/>
      <c r="C901" s="1"/>
      <c r="D901" s="1"/>
      <c r="E901" s="1"/>
      <c r="F901" s="1"/>
      <c r="G901" s="1"/>
      <c r="H901" s="1"/>
      <c r="I901" s="294"/>
      <c r="J901" s="294"/>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3"/>
      <c r="AJ901" s="1"/>
      <c r="AK901" s="295"/>
      <c r="AL901" s="1"/>
      <c r="AM901" s="1"/>
      <c r="AN901" s="1"/>
      <c r="AO901" s="1"/>
      <c r="AP901" s="1"/>
      <c r="AQ901" s="1"/>
      <c r="AR901" s="1"/>
      <c r="AS901" s="1"/>
      <c r="AT901" s="1"/>
      <c r="AU901" s="1"/>
      <c r="AV901" s="1"/>
      <c r="AW901" s="1"/>
      <c r="AX901" s="1"/>
      <c r="AY901" s="1"/>
      <c r="AZ901" s="1"/>
      <c r="BA901" s="1"/>
      <c r="BB901" s="1"/>
      <c r="BC901" s="1"/>
      <c r="BD901" s="296"/>
      <c r="BE901" s="1"/>
      <c r="BF901" s="1"/>
      <c r="BG901" s="20"/>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row>
    <row r="902" spans="1:115" ht="15.75" customHeight="1">
      <c r="A902" s="1"/>
      <c r="B902" s="1"/>
      <c r="C902" s="1"/>
      <c r="D902" s="1"/>
      <c r="E902" s="1"/>
      <c r="F902" s="1"/>
      <c r="G902" s="1"/>
      <c r="H902" s="1"/>
      <c r="I902" s="294"/>
      <c r="J902" s="294"/>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3"/>
      <c r="AJ902" s="1"/>
      <c r="AK902" s="295"/>
      <c r="AL902" s="1"/>
      <c r="AM902" s="1"/>
      <c r="AN902" s="1"/>
      <c r="AO902" s="1"/>
      <c r="AP902" s="1"/>
      <c r="AQ902" s="1"/>
      <c r="AR902" s="1"/>
      <c r="AS902" s="1"/>
      <c r="AT902" s="1"/>
      <c r="AU902" s="1"/>
      <c r="AV902" s="1"/>
      <c r="AW902" s="1"/>
      <c r="AX902" s="1"/>
      <c r="AY902" s="1"/>
      <c r="AZ902" s="1"/>
      <c r="BA902" s="1"/>
      <c r="BB902" s="1"/>
      <c r="BC902" s="1"/>
      <c r="BD902" s="296"/>
      <c r="BE902" s="1"/>
      <c r="BF902" s="1"/>
      <c r="BG902" s="20"/>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row>
    <row r="903" spans="1:115" ht="15.75" customHeight="1">
      <c r="A903" s="1"/>
      <c r="B903" s="1"/>
      <c r="C903" s="1"/>
      <c r="D903" s="1"/>
      <c r="E903" s="1"/>
      <c r="F903" s="1"/>
      <c r="G903" s="1"/>
      <c r="H903" s="1"/>
      <c r="I903" s="294"/>
      <c r="J903" s="294"/>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3"/>
      <c r="AJ903" s="1"/>
      <c r="AK903" s="295"/>
      <c r="AL903" s="1"/>
      <c r="AM903" s="1"/>
      <c r="AN903" s="1"/>
      <c r="AO903" s="1"/>
      <c r="AP903" s="1"/>
      <c r="AQ903" s="1"/>
      <c r="AR903" s="1"/>
      <c r="AS903" s="1"/>
      <c r="AT903" s="1"/>
      <c r="AU903" s="1"/>
      <c r="AV903" s="1"/>
      <c r="AW903" s="1"/>
      <c r="AX903" s="1"/>
      <c r="AY903" s="1"/>
      <c r="AZ903" s="1"/>
      <c r="BA903" s="1"/>
      <c r="BB903" s="1"/>
      <c r="BC903" s="1"/>
      <c r="BD903" s="296"/>
      <c r="BE903" s="1"/>
      <c r="BF903" s="1"/>
      <c r="BG903" s="20"/>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row>
    <row r="904" spans="1:115" ht="15.75" customHeight="1">
      <c r="A904" s="1"/>
      <c r="B904" s="1"/>
      <c r="C904" s="1"/>
      <c r="D904" s="1"/>
      <c r="E904" s="1"/>
      <c r="F904" s="1"/>
      <c r="G904" s="1"/>
      <c r="H904" s="1"/>
      <c r="I904" s="294"/>
      <c r="J904" s="294"/>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3"/>
      <c r="AJ904" s="1"/>
      <c r="AK904" s="295"/>
      <c r="AL904" s="1"/>
      <c r="AM904" s="1"/>
      <c r="AN904" s="1"/>
      <c r="AO904" s="1"/>
      <c r="AP904" s="1"/>
      <c r="AQ904" s="1"/>
      <c r="AR904" s="1"/>
      <c r="AS904" s="1"/>
      <c r="AT904" s="1"/>
      <c r="AU904" s="1"/>
      <c r="AV904" s="1"/>
      <c r="AW904" s="1"/>
      <c r="AX904" s="1"/>
      <c r="AY904" s="1"/>
      <c r="AZ904" s="1"/>
      <c r="BA904" s="1"/>
      <c r="BB904" s="1"/>
      <c r="BC904" s="1"/>
      <c r="BD904" s="296"/>
      <c r="BE904" s="1"/>
      <c r="BF904" s="1"/>
      <c r="BG904" s="20"/>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row>
    <row r="905" spans="1:115" ht="15.75" customHeight="1">
      <c r="A905" s="1"/>
      <c r="B905" s="1"/>
      <c r="C905" s="1"/>
      <c r="D905" s="1"/>
      <c r="E905" s="1"/>
      <c r="F905" s="1"/>
      <c r="G905" s="1"/>
      <c r="H905" s="1"/>
      <c r="I905" s="294"/>
      <c r="J905" s="294"/>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3"/>
      <c r="AJ905" s="1"/>
      <c r="AK905" s="295"/>
      <c r="AL905" s="1"/>
      <c r="AM905" s="1"/>
      <c r="AN905" s="1"/>
      <c r="AO905" s="1"/>
      <c r="AP905" s="1"/>
      <c r="AQ905" s="1"/>
      <c r="AR905" s="1"/>
      <c r="AS905" s="1"/>
      <c r="AT905" s="1"/>
      <c r="AU905" s="1"/>
      <c r="AV905" s="1"/>
      <c r="AW905" s="1"/>
      <c r="AX905" s="1"/>
      <c r="AY905" s="1"/>
      <c r="AZ905" s="1"/>
      <c r="BA905" s="1"/>
      <c r="BB905" s="1"/>
      <c r="BC905" s="1"/>
      <c r="BD905" s="296"/>
      <c r="BE905" s="1"/>
      <c r="BF905" s="1"/>
      <c r="BG905" s="20"/>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row>
    <row r="906" spans="1:115" ht="15.75" customHeight="1">
      <c r="A906" s="1"/>
      <c r="B906" s="1"/>
      <c r="C906" s="1"/>
      <c r="D906" s="1"/>
      <c r="E906" s="1"/>
      <c r="F906" s="1"/>
      <c r="G906" s="1"/>
      <c r="H906" s="1"/>
      <c r="I906" s="294"/>
      <c r="J906" s="294"/>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3"/>
      <c r="AJ906" s="1"/>
      <c r="AK906" s="295"/>
      <c r="AL906" s="1"/>
      <c r="AM906" s="1"/>
      <c r="AN906" s="1"/>
      <c r="AO906" s="1"/>
      <c r="AP906" s="1"/>
      <c r="AQ906" s="1"/>
      <c r="AR906" s="1"/>
      <c r="AS906" s="1"/>
      <c r="AT906" s="1"/>
      <c r="AU906" s="1"/>
      <c r="AV906" s="1"/>
      <c r="AW906" s="1"/>
      <c r="AX906" s="1"/>
      <c r="AY906" s="1"/>
      <c r="AZ906" s="1"/>
      <c r="BA906" s="1"/>
      <c r="BB906" s="1"/>
      <c r="BC906" s="1"/>
      <c r="BD906" s="296"/>
      <c r="BE906" s="1"/>
      <c r="BF906" s="1"/>
      <c r="BG906" s="20"/>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row>
    <row r="907" spans="1:115" ht="15.75" customHeight="1">
      <c r="A907" s="1"/>
      <c r="B907" s="1"/>
      <c r="C907" s="1"/>
      <c r="D907" s="1"/>
      <c r="E907" s="1"/>
      <c r="F907" s="1"/>
      <c r="G907" s="1"/>
      <c r="H907" s="1"/>
      <c r="I907" s="294"/>
      <c r="J907" s="294"/>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3"/>
      <c r="AJ907" s="1"/>
      <c r="AK907" s="295"/>
      <c r="AL907" s="1"/>
      <c r="AM907" s="1"/>
      <c r="AN907" s="1"/>
      <c r="AO907" s="1"/>
      <c r="AP907" s="1"/>
      <c r="AQ907" s="1"/>
      <c r="AR907" s="1"/>
      <c r="AS907" s="1"/>
      <c r="AT907" s="1"/>
      <c r="AU907" s="1"/>
      <c r="AV907" s="1"/>
      <c r="AW907" s="1"/>
      <c r="AX907" s="1"/>
      <c r="AY907" s="1"/>
      <c r="AZ907" s="1"/>
      <c r="BA907" s="1"/>
      <c r="BB907" s="1"/>
      <c r="BC907" s="1"/>
      <c r="BD907" s="296"/>
      <c r="BE907" s="1"/>
      <c r="BF907" s="1"/>
      <c r="BG907" s="20"/>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row>
    <row r="908" spans="1:115" ht="15.75" customHeight="1">
      <c r="A908" s="1"/>
      <c r="B908" s="1"/>
      <c r="C908" s="1"/>
      <c r="D908" s="1"/>
      <c r="E908" s="1"/>
      <c r="F908" s="1"/>
      <c r="G908" s="1"/>
      <c r="H908" s="1"/>
      <c r="I908" s="294"/>
      <c r="J908" s="294"/>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3"/>
      <c r="AJ908" s="1"/>
      <c r="AK908" s="295"/>
      <c r="AL908" s="1"/>
      <c r="AM908" s="1"/>
      <c r="AN908" s="1"/>
      <c r="AO908" s="1"/>
      <c r="AP908" s="1"/>
      <c r="AQ908" s="1"/>
      <c r="AR908" s="1"/>
      <c r="AS908" s="1"/>
      <c r="AT908" s="1"/>
      <c r="AU908" s="1"/>
      <c r="AV908" s="1"/>
      <c r="AW908" s="1"/>
      <c r="AX908" s="1"/>
      <c r="AY908" s="1"/>
      <c r="AZ908" s="1"/>
      <c r="BA908" s="1"/>
      <c r="BB908" s="1"/>
      <c r="BC908" s="1"/>
      <c r="BD908" s="296"/>
      <c r="BE908" s="1"/>
      <c r="BF908" s="1"/>
      <c r="BG908" s="20"/>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row>
    <row r="909" spans="1:115" ht="15.75" customHeight="1">
      <c r="A909" s="1"/>
      <c r="B909" s="1"/>
      <c r="C909" s="1"/>
      <c r="D909" s="1"/>
      <c r="E909" s="1"/>
      <c r="F909" s="1"/>
      <c r="G909" s="1"/>
      <c r="H909" s="1"/>
      <c r="I909" s="294"/>
      <c r="J909" s="294"/>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3"/>
      <c r="AJ909" s="1"/>
      <c r="AK909" s="295"/>
      <c r="AL909" s="1"/>
      <c r="AM909" s="1"/>
      <c r="AN909" s="1"/>
      <c r="AO909" s="1"/>
      <c r="AP909" s="1"/>
      <c r="AQ909" s="1"/>
      <c r="AR909" s="1"/>
      <c r="AS909" s="1"/>
      <c r="AT909" s="1"/>
      <c r="AU909" s="1"/>
      <c r="AV909" s="1"/>
      <c r="AW909" s="1"/>
      <c r="AX909" s="1"/>
      <c r="AY909" s="1"/>
      <c r="AZ909" s="1"/>
      <c r="BA909" s="1"/>
      <c r="BB909" s="1"/>
      <c r="BC909" s="1"/>
      <c r="BD909" s="296"/>
      <c r="BE909" s="1"/>
      <c r="BF909" s="1"/>
      <c r="BG909" s="20"/>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row>
    <row r="910" spans="1:115" ht="15.75" customHeight="1">
      <c r="A910" s="1"/>
      <c r="B910" s="1"/>
      <c r="C910" s="1"/>
      <c r="D910" s="1"/>
      <c r="E910" s="1"/>
      <c r="F910" s="1"/>
      <c r="G910" s="1"/>
      <c r="H910" s="1"/>
      <c r="I910" s="294"/>
      <c r="J910" s="294"/>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3"/>
      <c r="AJ910" s="1"/>
      <c r="AK910" s="295"/>
      <c r="AL910" s="1"/>
      <c r="AM910" s="1"/>
      <c r="AN910" s="1"/>
      <c r="AO910" s="1"/>
      <c r="AP910" s="1"/>
      <c r="AQ910" s="1"/>
      <c r="AR910" s="1"/>
      <c r="AS910" s="1"/>
      <c r="AT910" s="1"/>
      <c r="AU910" s="1"/>
      <c r="AV910" s="1"/>
      <c r="AW910" s="1"/>
      <c r="AX910" s="1"/>
      <c r="AY910" s="1"/>
      <c r="AZ910" s="1"/>
      <c r="BA910" s="1"/>
      <c r="BB910" s="1"/>
      <c r="BC910" s="1"/>
      <c r="BD910" s="296"/>
      <c r="BE910" s="1"/>
      <c r="BF910" s="1"/>
      <c r="BG910" s="20"/>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row>
    <row r="911" spans="1:115" ht="15.75" customHeight="1">
      <c r="A911" s="1"/>
      <c r="B911" s="1"/>
      <c r="C911" s="1"/>
      <c r="D911" s="1"/>
      <c r="E911" s="1"/>
      <c r="F911" s="1"/>
      <c r="G911" s="1"/>
      <c r="H911" s="1"/>
      <c r="I911" s="294"/>
      <c r="J911" s="294"/>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3"/>
      <c r="AJ911" s="1"/>
      <c r="AK911" s="295"/>
      <c r="AL911" s="1"/>
      <c r="AM911" s="1"/>
      <c r="AN911" s="1"/>
      <c r="AO911" s="1"/>
      <c r="AP911" s="1"/>
      <c r="AQ911" s="1"/>
      <c r="AR911" s="1"/>
      <c r="AS911" s="1"/>
      <c r="AT911" s="1"/>
      <c r="AU911" s="1"/>
      <c r="AV911" s="1"/>
      <c r="AW911" s="1"/>
      <c r="AX911" s="1"/>
      <c r="AY911" s="1"/>
      <c r="AZ911" s="1"/>
      <c r="BA911" s="1"/>
      <c r="BB911" s="1"/>
      <c r="BC911" s="1"/>
      <c r="BD911" s="296"/>
      <c r="BE911" s="1"/>
      <c r="BF911" s="1"/>
      <c r="BG911" s="20"/>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row>
    <row r="912" spans="1:115" ht="15.75" customHeight="1">
      <c r="A912" s="1"/>
      <c r="B912" s="1"/>
      <c r="C912" s="1"/>
      <c r="D912" s="1"/>
      <c r="E912" s="1"/>
      <c r="F912" s="1"/>
      <c r="G912" s="1"/>
      <c r="H912" s="1"/>
      <c r="I912" s="294"/>
      <c r="J912" s="294"/>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3"/>
      <c r="AJ912" s="1"/>
      <c r="AK912" s="295"/>
      <c r="AL912" s="1"/>
      <c r="AM912" s="1"/>
      <c r="AN912" s="1"/>
      <c r="AO912" s="1"/>
      <c r="AP912" s="1"/>
      <c r="AQ912" s="1"/>
      <c r="AR912" s="1"/>
      <c r="AS912" s="1"/>
      <c r="AT912" s="1"/>
      <c r="AU912" s="1"/>
      <c r="AV912" s="1"/>
      <c r="AW912" s="1"/>
      <c r="AX912" s="1"/>
      <c r="AY912" s="1"/>
      <c r="AZ912" s="1"/>
      <c r="BA912" s="1"/>
      <c r="BB912" s="1"/>
      <c r="BC912" s="1"/>
      <c r="BD912" s="296"/>
      <c r="BE912" s="1"/>
      <c r="BF912" s="1"/>
      <c r="BG912" s="20"/>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row>
    <row r="913" spans="1:115" ht="15.75" customHeight="1">
      <c r="A913" s="1"/>
      <c r="B913" s="1"/>
      <c r="C913" s="1"/>
      <c r="D913" s="1"/>
      <c r="E913" s="1"/>
      <c r="F913" s="1"/>
      <c r="G913" s="1"/>
      <c r="H913" s="1"/>
      <c r="I913" s="294"/>
      <c r="J913" s="294"/>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3"/>
      <c r="AJ913" s="1"/>
      <c r="AK913" s="295"/>
      <c r="AL913" s="1"/>
      <c r="AM913" s="1"/>
      <c r="AN913" s="1"/>
      <c r="AO913" s="1"/>
      <c r="AP913" s="1"/>
      <c r="AQ913" s="1"/>
      <c r="AR913" s="1"/>
      <c r="AS913" s="1"/>
      <c r="AT913" s="1"/>
      <c r="AU913" s="1"/>
      <c r="AV913" s="1"/>
      <c r="AW913" s="1"/>
      <c r="AX913" s="1"/>
      <c r="AY913" s="1"/>
      <c r="AZ913" s="1"/>
      <c r="BA913" s="1"/>
      <c r="BB913" s="1"/>
      <c r="BC913" s="1"/>
      <c r="BD913" s="296"/>
      <c r="BE913" s="1"/>
      <c r="BF913" s="1"/>
      <c r="BG913" s="20"/>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row>
    <row r="914" spans="1:115" ht="15.75" customHeight="1">
      <c r="A914" s="1"/>
      <c r="B914" s="1"/>
      <c r="C914" s="1"/>
      <c r="D914" s="1"/>
      <c r="E914" s="1"/>
      <c r="F914" s="1"/>
      <c r="G914" s="1"/>
      <c r="H914" s="1"/>
      <c r="I914" s="294"/>
      <c r="J914" s="294"/>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3"/>
      <c r="AJ914" s="1"/>
      <c r="AK914" s="295"/>
      <c r="AL914" s="1"/>
      <c r="AM914" s="1"/>
      <c r="AN914" s="1"/>
      <c r="AO914" s="1"/>
      <c r="AP914" s="1"/>
      <c r="AQ914" s="1"/>
      <c r="AR914" s="1"/>
      <c r="AS914" s="1"/>
      <c r="AT914" s="1"/>
      <c r="AU914" s="1"/>
      <c r="AV914" s="1"/>
      <c r="AW914" s="1"/>
      <c r="AX914" s="1"/>
      <c r="AY914" s="1"/>
      <c r="AZ914" s="1"/>
      <c r="BA914" s="1"/>
      <c r="BB914" s="1"/>
      <c r="BC914" s="1"/>
      <c r="BD914" s="296"/>
      <c r="BE914" s="1"/>
      <c r="BF914" s="1"/>
      <c r="BG914" s="20"/>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row>
    <row r="915" spans="1:115" ht="15.75" customHeight="1">
      <c r="A915" s="1"/>
      <c r="B915" s="1"/>
      <c r="C915" s="1"/>
      <c r="D915" s="1"/>
      <c r="E915" s="1"/>
      <c r="F915" s="1"/>
      <c r="G915" s="1"/>
      <c r="H915" s="1"/>
      <c r="I915" s="294"/>
      <c r="J915" s="294"/>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3"/>
      <c r="AJ915" s="1"/>
      <c r="AK915" s="295"/>
      <c r="AL915" s="1"/>
      <c r="AM915" s="1"/>
      <c r="AN915" s="1"/>
      <c r="AO915" s="1"/>
      <c r="AP915" s="1"/>
      <c r="AQ915" s="1"/>
      <c r="AR915" s="1"/>
      <c r="AS915" s="1"/>
      <c r="AT915" s="1"/>
      <c r="AU915" s="1"/>
      <c r="AV915" s="1"/>
      <c r="AW915" s="1"/>
      <c r="AX915" s="1"/>
      <c r="AY915" s="1"/>
      <c r="AZ915" s="1"/>
      <c r="BA915" s="1"/>
      <c r="BB915" s="1"/>
      <c r="BC915" s="1"/>
      <c r="BD915" s="296"/>
      <c r="BE915" s="1"/>
      <c r="BF915" s="1"/>
      <c r="BG915" s="20"/>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row>
    <row r="916" spans="1:115" ht="15.75" customHeight="1">
      <c r="A916" s="1"/>
      <c r="B916" s="1"/>
      <c r="C916" s="1"/>
      <c r="D916" s="1"/>
      <c r="E916" s="1"/>
      <c r="F916" s="1"/>
      <c r="G916" s="1"/>
      <c r="H916" s="1"/>
      <c r="I916" s="294"/>
      <c r="J916" s="294"/>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3"/>
      <c r="AJ916" s="1"/>
      <c r="AK916" s="295"/>
      <c r="AL916" s="1"/>
      <c r="AM916" s="1"/>
      <c r="AN916" s="1"/>
      <c r="AO916" s="1"/>
      <c r="AP916" s="1"/>
      <c r="AQ916" s="1"/>
      <c r="AR916" s="1"/>
      <c r="AS916" s="1"/>
      <c r="AT916" s="1"/>
      <c r="AU916" s="1"/>
      <c r="AV916" s="1"/>
      <c r="AW916" s="1"/>
      <c r="AX916" s="1"/>
      <c r="AY916" s="1"/>
      <c r="AZ916" s="1"/>
      <c r="BA916" s="1"/>
      <c r="BB916" s="1"/>
      <c r="BC916" s="1"/>
      <c r="BD916" s="296"/>
      <c r="BE916" s="1"/>
      <c r="BF916" s="1"/>
      <c r="BG916" s="20"/>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row>
    <row r="917" spans="1:115" ht="15.75" customHeight="1">
      <c r="A917" s="1"/>
      <c r="B917" s="1"/>
      <c r="C917" s="1"/>
      <c r="D917" s="1"/>
      <c r="E917" s="1"/>
      <c r="F917" s="1"/>
      <c r="G917" s="1"/>
      <c r="H917" s="1"/>
      <c r="I917" s="294"/>
      <c r="J917" s="294"/>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3"/>
      <c r="AJ917" s="1"/>
      <c r="AK917" s="295"/>
      <c r="AL917" s="1"/>
      <c r="AM917" s="1"/>
      <c r="AN917" s="1"/>
      <c r="AO917" s="1"/>
      <c r="AP917" s="1"/>
      <c r="AQ917" s="1"/>
      <c r="AR917" s="1"/>
      <c r="AS917" s="1"/>
      <c r="AT917" s="1"/>
      <c r="AU917" s="1"/>
      <c r="AV917" s="1"/>
      <c r="AW917" s="1"/>
      <c r="AX917" s="1"/>
      <c r="AY917" s="1"/>
      <c r="AZ917" s="1"/>
      <c r="BA917" s="1"/>
      <c r="BB917" s="1"/>
      <c r="BC917" s="1"/>
      <c r="BD917" s="296"/>
      <c r="BE917" s="1"/>
      <c r="BF917" s="1"/>
      <c r="BG917" s="20"/>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row>
    <row r="918" spans="1:115" ht="15.75" customHeight="1">
      <c r="A918" s="1"/>
      <c r="B918" s="1"/>
      <c r="C918" s="1"/>
      <c r="D918" s="1"/>
      <c r="E918" s="1"/>
      <c r="F918" s="1"/>
      <c r="G918" s="1"/>
      <c r="H918" s="1"/>
      <c r="I918" s="294"/>
      <c r="J918" s="294"/>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3"/>
      <c r="AJ918" s="1"/>
      <c r="AK918" s="295"/>
      <c r="AL918" s="1"/>
      <c r="AM918" s="1"/>
      <c r="AN918" s="1"/>
      <c r="AO918" s="1"/>
      <c r="AP918" s="1"/>
      <c r="AQ918" s="1"/>
      <c r="AR918" s="1"/>
      <c r="AS918" s="1"/>
      <c r="AT918" s="1"/>
      <c r="AU918" s="1"/>
      <c r="AV918" s="1"/>
      <c r="AW918" s="1"/>
      <c r="AX918" s="1"/>
      <c r="AY918" s="1"/>
      <c r="AZ918" s="1"/>
      <c r="BA918" s="1"/>
      <c r="BB918" s="1"/>
      <c r="BC918" s="1"/>
      <c r="BD918" s="296"/>
      <c r="BE918" s="1"/>
      <c r="BF918" s="1"/>
      <c r="BG918" s="20"/>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row>
    <row r="919" spans="1:115" ht="15.75" customHeight="1">
      <c r="A919" s="1"/>
      <c r="B919" s="1"/>
      <c r="C919" s="1"/>
      <c r="D919" s="1"/>
      <c r="E919" s="1"/>
      <c r="F919" s="1"/>
      <c r="G919" s="1"/>
      <c r="H919" s="1"/>
      <c r="I919" s="294"/>
      <c r="J919" s="294"/>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3"/>
      <c r="AJ919" s="1"/>
      <c r="AK919" s="295"/>
      <c r="AL919" s="1"/>
      <c r="AM919" s="1"/>
      <c r="AN919" s="1"/>
      <c r="AO919" s="1"/>
      <c r="AP919" s="1"/>
      <c r="AQ919" s="1"/>
      <c r="AR919" s="1"/>
      <c r="AS919" s="1"/>
      <c r="AT919" s="1"/>
      <c r="AU919" s="1"/>
      <c r="AV919" s="1"/>
      <c r="AW919" s="1"/>
      <c r="AX919" s="1"/>
      <c r="AY919" s="1"/>
      <c r="AZ919" s="1"/>
      <c r="BA919" s="1"/>
      <c r="BB919" s="1"/>
      <c r="BC919" s="1"/>
      <c r="BD919" s="296"/>
      <c r="BE919" s="1"/>
      <c r="BF919" s="1"/>
      <c r="BG919" s="20"/>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row>
    <row r="920" spans="1:115" ht="15.75" customHeight="1">
      <c r="A920" s="1"/>
      <c r="B920" s="1"/>
      <c r="C920" s="1"/>
      <c r="D920" s="1"/>
      <c r="E920" s="1"/>
      <c r="F920" s="1"/>
      <c r="G920" s="1"/>
      <c r="H920" s="1"/>
      <c r="I920" s="294"/>
      <c r="J920" s="294"/>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3"/>
      <c r="AJ920" s="1"/>
      <c r="AK920" s="295"/>
      <c r="AL920" s="1"/>
      <c r="AM920" s="1"/>
      <c r="AN920" s="1"/>
      <c r="AO920" s="1"/>
      <c r="AP920" s="1"/>
      <c r="AQ920" s="1"/>
      <c r="AR920" s="1"/>
      <c r="AS920" s="1"/>
      <c r="AT920" s="1"/>
      <c r="AU920" s="1"/>
      <c r="AV920" s="1"/>
      <c r="AW920" s="1"/>
      <c r="AX920" s="1"/>
      <c r="AY920" s="1"/>
      <c r="AZ920" s="1"/>
      <c r="BA920" s="1"/>
      <c r="BB920" s="1"/>
      <c r="BC920" s="1"/>
      <c r="BD920" s="296"/>
      <c r="BE920" s="1"/>
      <c r="BF920" s="1"/>
      <c r="BG920" s="20"/>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row>
    <row r="921" spans="1:115" ht="15.75" customHeight="1">
      <c r="A921" s="1"/>
      <c r="B921" s="1"/>
      <c r="C921" s="1"/>
      <c r="D921" s="1"/>
      <c r="E921" s="1"/>
      <c r="F921" s="1"/>
      <c r="G921" s="1"/>
      <c r="H921" s="1"/>
      <c r="I921" s="294"/>
      <c r="J921" s="294"/>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3"/>
      <c r="AJ921" s="1"/>
      <c r="AK921" s="295"/>
      <c r="AL921" s="1"/>
      <c r="AM921" s="1"/>
      <c r="AN921" s="1"/>
      <c r="AO921" s="1"/>
      <c r="AP921" s="1"/>
      <c r="AQ921" s="1"/>
      <c r="AR921" s="1"/>
      <c r="AS921" s="1"/>
      <c r="AT921" s="1"/>
      <c r="AU921" s="1"/>
      <c r="AV921" s="1"/>
      <c r="AW921" s="1"/>
      <c r="AX921" s="1"/>
      <c r="AY921" s="1"/>
      <c r="AZ921" s="1"/>
      <c r="BA921" s="1"/>
      <c r="BB921" s="1"/>
      <c r="BC921" s="1"/>
      <c r="BD921" s="296"/>
      <c r="BE921" s="1"/>
      <c r="BF921" s="1"/>
      <c r="BG921" s="20"/>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row>
    <row r="922" spans="1:115" ht="15.75" customHeight="1">
      <c r="A922" s="1"/>
      <c r="B922" s="1"/>
      <c r="C922" s="1"/>
      <c r="D922" s="1"/>
      <c r="E922" s="1"/>
      <c r="F922" s="1"/>
      <c r="G922" s="1"/>
      <c r="H922" s="1"/>
      <c r="I922" s="294"/>
      <c r="J922" s="294"/>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3"/>
      <c r="AJ922" s="1"/>
      <c r="AK922" s="295"/>
      <c r="AL922" s="1"/>
      <c r="AM922" s="1"/>
      <c r="AN922" s="1"/>
      <c r="AO922" s="1"/>
      <c r="AP922" s="1"/>
      <c r="AQ922" s="1"/>
      <c r="AR922" s="1"/>
      <c r="AS922" s="1"/>
      <c r="AT922" s="1"/>
      <c r="AU922" s="1"/>
      <c r="AV922" s="1"/>
      <c r="AW922" s="1"/>
      <c r="AX922" s="1"/>
      <c r="AY922" s="1"/>
      <c r="AZ922" s="1"/>
      <c r="BA922" s="1"/>
      <c r="BB922" s="1"/>
      <c r="BC922" s="1"/>
      <c r="BD922" s="296"/>
      <c r="BE922" s="1"/>
      <c r="BF922" s="1"/>
      <c r="BG922" s="20"/>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row>
    <row r="923" spans="1:115" ht="15.75" customHeight="1">
      <c r="A923" s="1"/>
      <c r="B923" s="1"/>
      <c r="C923" s="1"/>
      <c r="D923" s="1"/>
      <c r="E923" s="1"/>
      <c r="F923" s="1"/>
      <c r="G923" s="1"/>
      <c r="H923" s="1"/>
      <c r="I923" s="294"/>
      <c r="J923" s="294"/>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3"/>
      <c r="AJ923" s="1"/>
      <c r="AK923" s="295"/>
      <c r="AL923" s="1"/>
      <c r="AM923" s="1"/>
      <c r="AN923" s="1"/>
      <c r="AO923" s="1"/>
      <c r="AP923" s="1"/>
      <c r="AQ923" s="1"/>
      <c r="AR923" s="1"/>
      <c r="AS923" s="1"/>
      <c r="AT923" s="1"/>
      <c r="AU923" s="1"/>
      <c r="AV923" s="1"/>
      <c r="AW923" s="1"/>
      <c r="AX923" s="1"/>
      <c r="AY923" s="1"/>
      <c r="AZ923" s="1"/>
      <c r="BA923" s="1"/>
      <c r="BB923" s="1"/>
      <c r="BC923" s="1"/>
      <c r="BD923" s="296"/>
      <c r="BE923" s="1"/>
      <c r="BF923" s="1"/>
      <c r="BG923" s="20"/>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row>
    <row r="924" spans="1:115" ht="15.75" customHeight="1">
      <c r="A924" s="1"/>
      <c r="B924" s="1"/>
      <c r="C924" s="1"/>
      <c r="D924" s="1"/>
      <c r="E924" s="1"/>
      <c r="F924" s="1"/>
      <c r="G924" s="1"/>
      <c r="H924" s="1"/>
      <c r="I924" s="294"/>
      <c r="J924" s="294"/>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3"/>
      <c r="AJ924" s="1"/>
      <c r="AK924" s="295"/>
      <c r="AL924" s="1"/>
      <c r="AM924" s="1"/>
      <c r="AN924" s="1"/>
      <c r="AO924" s="1"/>
      <c r="AP924" s="1"/>
      <c r="AQ924" s="1"/>
      <c r="AR924" s="1"/>
      <c r="AS924" s="1"/>
      <c r="AT924" s="1"/>
      <c r="AU924" s="1"/>
      <c r="AV924" s="1"/>
      <c r="AW924" s="1"/>
      <c r="AX924" s="1"/>
      <c r="AY924" s="1"/>
      <c r="AZ924" s="1"/>
      <c r="BA924" s="1"/>
      <c r="BB924" s="1"/>
      <c r="BC924" s="1"/>
      <c r="BD924" s="296"/>
      <c r="BE924" s="1"/>
      <c r="BF924" s="1"/>
      <c r="BG924" s="20"/>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row>
    <row r="925" spans="1:115" ht="15.75" customHeight="1">
      <c r="A925" s="1"/>
      <c r="B925" s="1"/>
      <c r="C925" s="1"/>
      <c r="D925" s="1"/>
      <c r="E925" s="1"/>
      <c r="F925" s="1"/>
      <c r="G925" s="1"/>
      <c r="H925" s="1"/>
      <c r="I925" s="294"/>
      <c r="J925" s="294"/>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3"/>
      <c r="AJ925" s="1"/>
      <c r="AK925" s="295"/>
      <c r="AL925" s="1"/>
      <c r="AM925" s="1"/>
      <c r="AN925" s="1"/>
      <c r="AO925" s="1"/>
      <c r="AP925" s="1"/>
      <c r="AQ925" s="1"/>
      <c r="AR925" s="1"/>
      <c r="AS925" s="1"/>
      <c r="AT925" s="1"/>
      <c r="AU925" s="1"/>
      <c r="AV925" s="1"/>
      <c r="AW925" s="1"/>
      <c r="AX925" s="1"/>
      <c r="AY925" s="1"/>
      <c r="AZ925" s="1"/>
      <c r="BA925" s="1"/>
      <c r="BB925" s="1"/>
      <c r="BC925" s="1"/>
      <c r="BD925" s="296"/>
      <c r="BE925" s="1"/>
      <c r="BF925" s="1"/>
      <c r="BG925" s="20"/>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row>
    <row r="926" spans="1:115" ht="15.75" customHeight="1">
      <c r="A926" s="1"/>
      <c r="B926" s="1"/>
      <c r="C926" s="1"/>
      <c r="D926" s="1"/>
      <c r="E926" s="1"/>
      <c r="F926" s="1"/>
      <c r="G926" s="1"/>
      <c r="H926" s="1"/>
      <c r="I926" s="294"/>
      <c r="J926" s="294"/>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3"/>
      <c r="AJ926" s="1"/>
      <c r="AK926" s="295"/>
      <c r="AL926" s="1"/>
      <c r="AM926" s="1"/>
      <c r="AN926" s="1"/>
      <c r="AO926" s="1"/>
      <c r="AP926" s="1"/>
      <c r="AQ926" s="1"/>
      <c r="AR926" s="1"/>
      <c r="AS926" s="1"/>
      <c r="AT926" s="1"/>
      <c r="AU926" s="1"/>
      <c r="AV926" s="1"/>
      <c r="AW926" s="1"/>
      <c r="AX926" s="1"/>
      <c r="AY926" s="1"/>
      <c r="AZ926" s="1"/>
      <c r="BA926" s="1"/>
      <c r="BB926" s="1"/>
      <c r="BC926" s="1"/>
      <c r="BD926" s="296"/>
      <c r="BE926" s="1"/>
      <c r="BF926" s="1"/>
      <c r="BG926" s="20"/>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row>
    <row r="927" spans="1:115" ht="15.75" customHeight="1">
      <c r="A927" s="1"/>
      <c r="B927" s="1"/>
      <c r="C927" s="1"/>
      <c r="D927" s="1"/>
      <c r="E927" s="1"/>
      <c r="F927" s="1"/>
      <c r="G927" s="1"/>
      <c r="H927" s="1"/>
      <c r="I927" s="294"/>
      <c r="J927" s="294"/>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3"/>
      <c r="AJ927" s="1"/>
      <c r="AK927" s="295"/>
      <c r="AL927" s="1"/>
      <c r="AM927" s="1"/>
      <c r="AN927" s="1"/>
      <c r="AO927" s="1"/>
      <c r="AP927" s="1"/>
      <c r="AQ927" s="1"/>
      <c r="AR927" s="1"/>
      <c r="AS927" s="1"/>
      <c r="AT927" s="1"/>
      <c r="AU927" s="1"/>
      <c r="AV927" s="1"/>
      <c r="AW927" s="1"/>
      <c r="AX927" s="1"/>
      <c r="AY927" s="1"/>
      <c r="AZ927" s="1"/>
      <c r="BA927" s="1"/>
      <c r="BB927" s="1"/>
      <c r="BC927" s="1"/>
      <c r="BD927" s="296"/>
      <c r="BE927" s="1"/>
      <c r="BF927" s="1"/>
      <c r="BG927" s="20"/>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row>
    <row r="928" spans="1:115" ht="15.75" customHeight="1">
      <c r="A928" s="1"/>
      <c r="B928" s="1"/>
      <c r="C928" s="1"/>
      <c r="D928" s="1"/>
      <c r="E928" s="1"/>
      <c r="F928" s="1"/>
      <c r="G928" s="1"/>
      <c r="H928" s="1"/>
      <c r="I928" s="294"/>
      <c r="J928" s="294"/>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3"/>
      <c r="AJ928" s="1"/>
      <c r="AK928" s="295"/>
      <c r="AL928" s="1"/>
      <c r="AM928" s="1"/>
      <c r="AN928" s="1"/>
      <c r="AO928" s="1"/>
      <c r="AP928" s="1"/>
      <c r="AQ928" s="1"/>
      <c r="AR928" s="1"/>
      <c r="AS928" s="1"/>
      <c r="AT928" s="1"/>
      <c r="AU928" s="1"/>
      <c r="AV928" s="1"/>
      <c r="AW928" s="1"/>
      <c r="AX928" s="1"/>
      <c r="AY928" s="1"/>
      <c r="AZ928" s="1"/>
      <c r="BA928" s="1"/>
      <c r="BB928" s="1"/>
      <c r="BC928" s="1"/>
      <c r="BD928" s="296"/>
      <c r="BE928" s="1"/>
      <c r="BF928" s="1"/>
      <c r="BG928" s="20"/>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row>
    <row r="929" spans="1:115" ht="15.75" customHeight="1">
      <c r="A929" s="1"/>
      <c r="B929" s="1"/>
      <c r="C929" s="1"/>
      <c r="D929" s="1"/>
      <c r="E929" s="1"/>
      <c r="F929" s="1"/>
      <c r="G929" s="1"/>
      <c r="H929" s="1"/>
      <c r="I929" s="294"/>
      <c r="J929" s="294"/>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3"/>
      <c r="AJ929" s="1"/>
      <c r="AK929" s="295"/>
      <c r="AL929" s="1"/>
      <c r="AM929" s="1"/>
      <c r="AN929" s="1"/>
      <c r="AO929" s="1"/>
      <c r="AP929" s="1"/>
      <c r="AQ929" s="1"/>
      <c r="AR929" s="1"/>
      <c r="AS929" s="1"/>
      <c r="AT929" s="1"/>
      <c r="AU929" s="1"/>
      <c r="AV929" s="1"/>
      <c r="AW929" s="1"/>
      <c r="AX929" s="1"/>
      <c r="AY929" s="1"/>
      <c r="AZ929" s="1"/>
      <c r="BA929" s="1"/>
      <c r="BB929" s="1"/>
      <c r="BC929" s="1"/>
      <c r="BD929" s="296"/>
      <c r="BE929" s="1"/>
      <c r="BF929" s="1"/>
      <c r="BG929" s="20"/>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row>
    <row r="930" spans="1:115" ht="15.75" customHeight="1">
      <c r="A930" s="1"/>
      <c r="B930" s="1"/>
      <c r="C930" s="1"/>
      <c r="D930" s="1"/>
      <c r="E930" s="1"/>
      <c r="F930" s="1"/>
      <c r="G930" s="1"/>
      <c r="H930" s="1"/>
      <c r="I930" s="294"/>
      <c r="J930" s="294"/>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3"/>
      <c r="AJ930" s="1"/>
      <c r="AK930" s="295"/>
      <c r="AL930" s="1"/>
      <c r="AM930" s="1"/>
      <c r="AN930" s="1"/>
      <c r="AO930" s="1"/>
      <c r="AP930" s="1"/>
      <c r="AQ930" s="1"/>
      <c r="AR930" s="1"/>
      <c r="AS930" s="1"/>
      <c r="AT930" s="1"/>
      <c r="AU930" s="1"/>
      <c r="AV930" s="1"/>
      <c r="AW930" s="1"/>
      <c r="AX930" s="1"/>
      <c r="AY930" s="1"/>
      <c r="AZ930" s="1"/>
      <c r="BA930" s="1"/>
      <c r="BB930" s="1"/>
      <c r="BC930" s="1"/>
      <c r="BD930" s="296"/>
      <c r="BE930" s="1"/>
      <c r="BF930" s="1"/>
      <c r="BG930" s="20"/>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row>
    <row r="931" spans="1:115" ht="15.75" customHeight="1">
      <c r="A931" s="1"/>
      <c r="B931" s="1"/>
      <c r="C931" s="1"/>
      <c r="D931" s="1"/>
      <c r="E931" s="1"/>
      <c r="F931" s="1"/>
      <c r="G931" s="1"/>
      <c r="H931" s="1"/>
      <c r="I931" s="294"/>
      <c r="J931" s="294"/>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3"/>
      <c r="AJ931" s="1"/>
      <c r="AK931" s="295"/>
      <c r="AL931" s="1"/>
      <c r="AM931" s="1"/>
      <c r="AN931" s="1"/>
      <c r="AO931" s="1"/>
      <c r="AP931" s="1"/>
      <c r="AQ931" s="1"/>
      <c r="AR931" s="1"/>
      <c r="AS931" s="1"/>
      <c r="AT931" s="1"/>
      <c r="AU931" s="1"/>
      <c r="AV931" s="1"/>
      <c r="AW931" s="1"/>
      <c r="AX931" s="1"/>
      <c r="AY931" s="1"/>
      <c r="AZ931" s="1"/>
      <c r="BA931" s="1"/>
      <c r="BB931" s="1"/>
      <c r="BC931" s="1"/>
      <c r="BD931" s="296"/>
      <c r="BE931" s="1"/>
      <c r="BF931" s="1"/>
      <c r="BG931" s="20"/>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row>
    <row r="932" spans="1:115" ht="15.75" customHeight="1">
      <c r="A932" s="1"/>
      <c r="B932" s="1"/>
      <c r="C932" s="1"/>
      <c r="D932" s="1"/>
      <c r="E932" s="1"/>
      <c r="F932" s="1"/>
      <c r="G932" s="1"/>
      <c r="H932" s="1"/>
      <c r="I932" s="294"/>
      <c r="J932" s="294"/>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3"/>
      <c r="AJ932" s="1"/>
      <c r="AK932" s="295"/>
      <c r="AL932" s="1"/>
      <c r="AM932" s="1"/>
      <c r="AN932" s="1"/>
      <c r="AO932" s="1"/>
      <c r="AP932" s="1"/>
      <c r="AQ932" s="1"/>
      <c r="AR932" s="1"/>
      <c r="AS932" s="1"/>
      <c r="AT932" s="1"/>
      <c r="AU932" s="1"/>
      <c r="AV932" s="1"/>
      <c r="AW932" s="1"/>
      <c r="AX932" s="1"/>
      <c r="AY932" s="1"/>
      <c r="AZ932" s="1"/>
      <c r="BA932" s="1"/>
      <c r="BB932" s="1"/>
      <c r="BC932" s="1"/>
      <c r="BD932" s="296"/>
      <c r="BE932" s="1"/>
      <c r="BF932" s="1"/>
      <c r="BG932" s="20"/>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row>
    <row r="933" spans="1:115" ht="15.75" customHeight="1">
      <c r="A933" s="1"/>
      <c r="B933" s="1"/>
      <c r="C933" s="1"/>
      <c r="D933" s="1"/>
      <c r="E933" s="1"/>
      <c r="F933" s="1"/>
      <c r="G933" s="1"/>
      <c r="H933" s="1"/>
      <c r="I933" s="294"/>
      <c r="J933" s="294"/>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3"/>
      <c r="AJ933" s="1"/>
      <c r="AK933" s="295"/>
      <c r="AL933" s="1"/>
      <c r="AM933" s="1"/>
      <c r="AN933" s="1"/>
      <c r="AO933" s="1"/>
      <c r="AP933" s="1"/>
      <c r="AQ933" s="1"/>
      <c r="AR933" s="1"/>
      <c r="AS933" s="1"/>
      <c r="AT933" s="1"/>
      <c r="AU933" s="1"/>
      <c r="AV933" s="1"/>
      <c r="AW933" s="1"/>
      <c r="AX933" s="1"/>
      <c r="AY933" s="1"/>
      <c r="AZ933" s="1"/>
      <c r="BA933" s="1"/>
      <c r="BB933" s="1"/>
      <c r="BC933" s="1"/>
      <c r="BD933" s="296"/>
      <c r="BE933" s="1"/>
      <c r="BF933" s="1"/>
      <c r="BG933" s="20"/>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row>
    <row r="934" spans="1:115" ht="15.75" customHeight="1">
      <c r="A934" s="1"/>
      <c r="B934" s="1"/>
      <c r="C934" s="1"/>
      <c r="D934" s="1"/>
      <c r="E934" s="1"/>
      <c r="F934" s="1"/>
      <c r="G934" s="1"/>
      <c r="H934" s="1"/>
      <c r="I934" s="294"/>
      <c r="J934" s="294"/>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3"/>
      <c r="AJ934" s="1"/>
      <c r="AK934" s="295"/>
      <c r="AL934" s="1"/>
      <c r="AM934" s="1"/>
      <c r="AN934" s="1"/>
      <c r="AO934" s="1"/>
      <c r="AP934" s="1"/>
      <c r="AQ934" s="1"/>
      <c r="AR934" s="1"/>
      <c r="AS934" s="1"/>
      <c r="AT934" s="1"/>
      <c r="AU934" s="1"/>
      <c r="AV934" s="1"/>
      <c r="AW934" s="1"/>
      <c r="AX934" s="1"/>
      <c r="AY934" s="1"/>
      <c r="AZ934" s="1"/>
      <c r="BA934" s="1"/>
      <c r="BB934" s="1"/>
      <c r="BC934" s="1"/>
      <c r="BD934" s="296"/>
      <c r="BE934" s="1"/>
      <c r="BF934" s="1"/>
      <c r="BG934" s="20"/>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row>
    <row r="935" spans="1:115" ht="15.75" customHeight="1">
      <c r="A935" s="1"/>
      <c r="B935" s="1"/>
      <c r="C935" s="1"/>
      <c r="D935" s="1"/>
      <c r="E935" s="1"/>
      <c r="F935" s="1"/>
      <c r="G935" s="1"/>
      <c r="H935" s="1"/>
      <c r="I935" s="294"/>
      <c r="J935" s="294"/>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3"/>
      <c r="AJ935" s="1"/>
      <c r="AK935" s="295"/>
      <c r="AL935" s="1"/>
      <c r="AM935" s="1"/>
      <c r="AN935" s="1"/>
      <c r="AO935" s="1"/>
      <c r="AP935" s="1"/>
      <c r="AQ935" s="1"/>
      <c r="AR935" s="1"/>
      <c r="AS935" s="1"/>
      <c r="AT935" s="1"/>
      <c r="AU935" s="1"/>
      <c r="AV935" s="1"/>
      <c r="AW935" s="1"/>
      <c r="AX935" s="1"/>
      <c r="AY935" s="1"/>
      <c r="AZ935" s="1"/>
      <c r="BA935" s="1"/>
      <c r="BB935" s="1"/>
      <c r="BC935" s="1"/>
      <c r="BD935" s="296"/>
      <c r="BE935" s="1"/>
      <c r="BF935" s="1"/>
      <c r="BG935" s="20"/>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row>
    <row r="936" spans="1:115" ht="15.75" customHeight="1">
      <c r="A936" s="1"/>
      <c r="B936" s="1"/>
      <c r="C936" s="1"/>
      <c r="D936" s="1"/>
      <c r="E936" s="1"/>
      <c r="F936" s="1"/>
      <c r="G936" s="1"/>
      <c r="H936" s="1"/>
      <c r="I936" s="294"/>
      <c r="J936" s="294"/>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3"/>
      <c r="AJ936" s="1"/>
      <c r="AK936" s="295"/>
      <c r="AL936" s="1"/>
      <c r="AM936" s="1"/>
      <c r="AN936" s="1"/>
      <c r="AO936" s="1"/>
      <c r="AP936" s="1"/>
      <c r="AQ936" s="1"/>
      <c r="AR936" s="1"/>
      <c r="AS936" s="1"/>
      <c r="AT936" s="1"/>
      <c r="AU936" s="1"/>
      <c r="AV936" s="1"/>
      <c r="AW936" s="1"/>
      <c r="AX936" s="1"/>
      <c r="AY936" s="1"/>
      <c r="AZ936" s="1"/>
      <c r="BA936" s="1"/>
      <c r="BB936" s="1"/>
      <c r="BC936" s="1"/>
      <c r="BD936" s="296"/>
      <c r="BE936" s="1"/>
      <c r="BF936" s="1"/>
      <c r="BG936" s="20"/>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row>
    <row r="937" spans="1:115" ht="15.75" customHeight="1">
      <c r="A937" s="1"/>
      <c r="B937" s="1"/>
      <c r="C937" s="1"/>
      <c r="D937" s="1"/>
      <c r="E937" s="1"/>
      <c r="F937" s="1"/>
      <c r="G937" s="1"/>
      <c r="H937" s="1"/>
      <c r="I937" s="294"/>
      <c r="J937" s="294"/>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3"/>
      <c r="AJ937" s="1"/>
      <c r="AK937" s="295"/>
      <c r="AL937" s="1"/>
      <c r="AM937" s="1"/>
      <c r="AN937" s="1"/>
      <c r="AO937" s="1"/>
      <c r="AP937" s="1"/>
      <c r="AQ937" s="1"/>
      <c r="AR937" s="1"/>
      <c r="AS937" s="1"/>
      <c r="AT937" s="1"/>
      <c r="AU937" s="1"/>
      <c r="AV937" s="1"/>
      <c r="AW937" s="1"/>
      <c r="AX937" s="1"/>
      <c r="AY937" s="1"/>
      <c r="AZ937" s="1"/>
      <c r="BA937" s="1"/>
      <c r="BB937" s="1"/>
      <c r="BC937" s="1"/>
      <c r="BD937" s="296"/>
      <c r="BE937" s="1"/>
      <c r="BF937" s="1"/>
      <c r="BG937" s="20"/>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row>
    <row r="938" spans="1:115" ht="15.75" customHeight="1">
      <c r="A938" s="1"/>
      <c r="B938" s="1"/>
      <c r="C938" s="1"/>
      <c r="D938" s="1"/>
      <c r="E938" s="1"/>
      <c r="F938" s="1"/>
      <c r="G938" s="1"/>
      <c r="H938" s="1"/>
      <c r="I938" s="294"/>
      <c r="J938" s="294"/>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3"/>
      <c r="AJ938" s="1"/>
      <c r="AK938" s="295"/>
      <c r="AL938" s="1"/>
      <c r="AM938" s="1"/>
      <c r="AN938" s="1"/>
      <c r="AO938" s="1"/>
      <c r="AP938" s="1"/>
      <c r="AQ938" s="1"/>
      <c r="AR938" s="1"/>
      <c r="AS938" s="1"/>
      <c r="AT938" s="1"/>
      <c r="AU938" s="1"/>
      <c r="AV938" s="1"/>
      <c r="AW938" s="1"/>
      <c r="AX938" s="1"/>
      <c r="AY938" s="1"/>
      <c r="AZ938" s="1"/>
      <c r="BA938" s="1"/>
      <c r="BB938" s="1"/>
      <c r="BC938" s="1"/>
      <c r="BD938" s="296"/>
      <c r="BE938" s="1"/>
      <c r="BF938" s="1"/>
      <c r="BG938" s="20"/>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row>
    <row r="939" spans="1:115" ht="15.75" customHeight="1">
      <c r="A939" s="1"/>
      <c r="B939" s="1"/>
      <c r="C939" s="1"/>
      <c r="D939" s="1"/>
      <c r="E939" s="1"/>
      <c r="F939" s="1"/>
      <c r="G939" s="1"/>
      <c r="H939" s="1"/>
      <c r="I939" s="294"/>
      <c r="J939" s="294"/>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3"/>
      <c r="AJ939" s="1"/>
      <c r="AK939" s="295"/>
      <c r="AL939" s="1"/>
      <c r="AM939" s="1"/>
      <c r="AN939" s="1"/>
      <c r="AO939" s="1"/>
      <c r="AP939" s="1"/>
      <c r="AQ939" s="1"/>
      <c r="AR939" s="1"/>
      <c r="AS939" s="1"/>
      <c r="AT939" s="1"/>
      <c r="AU939" s="1"/>
      <c r="AV939" s="1"/>
      <c r="AW939" s="1"/>
      <c r="AX939" s="1"/>
      <c r="AY939" s="1"/>
      <c r="AZ939" s="1"/>
      <c r="BA939" s="1"/>
      <c r="BB939" s="1"/>
      <c r="BC939" s="1"/>
      <c r="BD939" s="296"/>
      <c r="BE939" s="1"/>
      <c r="BF939" s="1"/>
      <c r="BG939" s="20"/>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row>
    <row r="940" spans="1:115" ht="15.75" customHeight="1">
      <c r="A940" s="1"/>
      <c r="B940" s="1"/>
      <c r="C940" s="1"/>
      <c r="D940" s="1"/>
      <c r="E940" s="1"/>
      <c r="F940" s="1"/>
      <c r="G940" s="1"/>
      <c r="H940" s="1"/>
      <c r="I940" s="294"/>
      <c r="J940" s="294"/>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3"/>
      <c r="AJ940" s="1"/>
      <c r="AK940" s="295"/>
      <c r="AL940" s="1"/>
      <c r="AM940" s="1"/>
      <c r="AN940" s="1"/>
      <c r="AO940" s="1"/>
      <c r="AP940" s="1"/>
      <c r="AQ940" s="1"/>
      <c r="AR940" s="1"/>
      <c r="AS940" s="1"/>
      <c r="AT940" s="1"/>
      <c r="AU940" s="1"/>
      <c r="AV940" s="1"/>
      <c r="AW940" s="1"/>
      <c r="AX940" s="1"/>
      <c r="AY940" s="1"/>
      <c r="AZ940" s="1"/>
      <c r="BA940" s="1"/>
      <c r="BB940" s="1"/>
      <c r="BC940" s="1"/>
      <c r="BD940" s="296"/>
      <c r="BE940" s="1"/>
      <c r="BF940" s="1"/>
      <c r="BG940" s="20"/>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row>
    <row r="941" spans="1:115" ht="15.75" customHeight="1">
      <c r="A941" s="1"/>
      <c r="B941" s="1"/>
      <c r="C941" s="1"/>
      <c r="D941" s="1"/>
      <c r="E941" s="1"/>
      <c r="F941" s="1"/>
      <c r="G941" s="1"/>
      <c r="H941" s="1"/>
      <c r="I941" s="294"/>
      <c r="J941" s="294"/>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3"/>
      <c r="AJ941" s="1"/>
      <c r="AK941" s="295"/>
      <c r="AL941" s="1"/>
      <c r="AM941" s="1"/>
      <c r="AN941" s="1"/>
      <c r="AO941" s="1"/>
      <c r="AP941" s="1"/>
      <c r="AQ941" s="1"/>
      <c r="AR941" s="1"/>
      <c r="AS941" s="1"/>
      <c r="AT941" s="1"/>
      <c r="AU941" s="1"/>
      <c r="AV941" s="1"/>
      <c r="AW941" s="1"/>
      <c r="AX941" s="1"/>
      <c r="AY941" s="1"/>
      <c r="AZ941" s="1"/>
      <c r="BA941" s="1"/>
      <c r="BB941" s="1"/>
      <c r="BC941" s="1"/>
      <c r="BD941" s="296"/>
      <c r="BE941" s="1"/>
      <c r="BF941" s="1"/>
      <c r="BG941" s="20"/>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row>
    <row r="942" spans="1:115" ht="15.75" customHeight="1">
      <c r="A942" s="1"/>
      <c r="B942" s="1"/>
      <c r="C942" s="1"/>
      <c r="D942" s="1"/>
      <c r="E942" s="1"/>
      <c r="F942" s="1"/>
      <c r="G942" s="1"/>
      <c r="H942" s="1"/>
      <c r="I942" s="294"/>
      <c r="J942" s="294"/>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3"/>
      <c r="AJ942" s="1"/>
      <c r="AK942" s="295"/>
      <c r="AL942" s="1"/>
      <c r="AM942" s="1"/>
      <c r="AN942" s="1"/>
      <c r="AO942" s="1"/>
      <c r="AP942" s="1"/>
      <c r="AQ942" s="1"/>
      <c r="AR942" s="1"/>
      <c r="AS942" s="1"/>
      <c r="AT942" s="1"/>
      <c r="AU942" s="1"/>
      <c r="AV942" s="1"/>
      <c r="AW942" s="1"/>
      <c r="AX942" s="1"/>
      <c r="AY942" s="1"/>
      <c r="AZ942" s="1"/>
      <c r="BA942" s="1"/>
      <c r="BB942" s="1"/>
      <c r="BC942" s="1"/>
      <c r="BD942" s="296"/>
      <c r="BE942" s="1"/>
      <c r="BF942" s="1"/>
      <c r="BG942" s="20"/>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row>
    <row r="943" spans="1:115" ht="15.75" customHeight="1">
      <c r="A943" s="1"/>
      <c r="B943" s="1"/>
      <c r="C943" s="1"/>
      <c r="D943" s="1"/>
      <c r="E943" s="1"/>
      <c r="F943" s="1"/>
      <c r="G943" s="1"/>
      <c r="H943" s="1"/>
      <c r="I943" s="294"/>
      <c r="J943" s="294"/>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3"/>
      <c r="AJ943" s="1"/>
      <c r="AK943" s="295"/>
      <c r="AL943" s="1"/>
      <c r="AM943" s="1"/>
      <c r="AN943" s="1"/>
      <c r="AO943" s="1"/>
      <c r="AP943" s="1"/>
      <c r="AQ943" s="1"/>
      <c r="AR943" s="1"/>
      <c r="AS943" s="1"/>
      <c r="AT943" s="1"/>
      <c r="AU943" s="1"/>
      <c r="AV943" s="1"/>
      <c r="AW943" s="1"/>
      <c r="AX943" s="1"/>
      <c r="AY943" s="1"/>
      <c r="AZ943" s="1"/>
      <c r="BA943" s="1"/>
      <c r="BB943" s="1"/>
      <c r="BC943" s="1"/>
      <c r="BD943" s="296"/>
      <c r="BE943" s="1"/>
      <c r="BF943" s="1"/>
      <c r="BG943" s="20"/>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row>
    <row r="944" spans="1:115" ht="15.75" customHeight="1">
      <c r="A944" s="1"/>
      <c r="B944" s="1"/>
      <c r="C944" s="1"/>
      <c r="D944" s="1"/>
      <c r="E944" s="1"/>
      <c r="F944" s="1"/>
      <c r="G944" s="1"/>
      <c r="H944" s="1"/>
      <c r="I944" s="294"/>
      <c r="J944" s="294"/>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3"/>
      <c r="AJ944" s="1"/>
      <c r="AK944" s="295"/>
      <c r="AL944" s="1"/>
      <c r="AM944" s="1"/>
      <c r="AN944" s="1"/>
      <c r="AO944" s="1"/>
      <c r="AP944" s="1"/>
      <c r="AQ944" s="1"/>
      <c r="AR944" s="1"/>
      <c r="AS944" s="1"/>
      <c r="AT944" s="1"/>
      <c r="AU944" s="1"/>
      <c r="AV944" s="1"/>
      <c r="AW944" s="1"/>
      <c r="AX944" s="1"/>
      <c r="AY944" s="1"/>
      <c r="AZ944" s="1"/>
      <c r="BA944" s="1"/>
      <c r="BB944" s="1"/>
      <c r="BC944" s="1"/>
      <c r="BD944" s="296"/>
      <c r="BE944" s="1"/>
      <c r="BF944" s="1"/>
      <c r="BG944" s="20"/>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row>
    <row r="945" spans="1:115" ht="15.75" customHeight="1">
      <c r="A945" s="1"/>
      <c r="B945" s="1"/>
      <c r="C945" s="1"/>
      <c r="D945" s="1"/>
      <c r="E945" s="1"/>
      <c r="F945" s="1"/>
      <c r="G945" s="1"/>
      <c r="H945" s="1"/>
      <c r="I945" s="294"/>
      <c r="J945" s="294"/>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3"/>
      <c r="AJ945" s="1"/>
      <c r="AK945" s="295"/>
      <c r="AL945" s="1"/>
      <c r="AM945" s="1"/>
      <c r="AN945" s="1"/>
      <c r="AO945" s="1"/>
      <c r="AP945" s="1"/>
      <c r="AQ945" s="1"/>
      <c r="AR945" s="1"/>
      <c r="AS945" s="1"/>
      <c r="AT945" s="1"/>
      <c r="AU945" s="1"/>
      <c r="AV945" s="1"/>
      <c r="AW945" s="1"/>
      <c r="AX945" s="1"/>
      <c r="AY945" s="1"/>
      <c r="AZ945" s="1"/>
      <c r="BA945" s="1"/>
      <c r="BB945" s="1"/>
      <c r="BC945" s="1"/>
      <c r="BD945" s="296"/>
      <c r="BE945" s="1"/>
      <c r="BF945" s="1"/>
      <c r="BG945" s="20"/>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row>
    <row r="946" spans="1:115" ht="15.75" customHeight="1">
      <c r="A946" s="1"/>
      <c r="B946" s="1"/>
      <c r="C946" s="1"/>
      <c r="D946" s="1"/>
      <c r="E946" s="1"/>
      <c r="F946" s="1"/>
      <c r="G946" s="1"/>
      <c r="H946" s="1"/>
      <c r="I946" s="294"/>
      <c r="J946" s="294"/>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3"/>
      <c r="AJ946" s="1"/>
      <c r="AK946" s="295"/>
      <c r="AL946" s="1"/>
      <c r="AM946" s="1"/>
      <c r="AN946" s="1"/>
      <c r="AO946" s="1"/>
      <c r="AP946" s="1"/>
      <c r="AQ946" s="1"/>
      <c r="AR946" s="1"/>
      <c r="AS946" s="1"/>
      <c r="AT946" s="1"/>
      <c r="AU946" s="1"/>
      <c r="AV946" s="1"/>
      <c r="AW946" s="1"/>
      <c r="AX946" s="1"/>
      <c r="AY946" s="1"/>
      <c r="AZ946" s="1"/>
      <c r="BA946" s="1"/>
      <c r="BB946" s="1"/>
      <c r="BC946" s="1"/>
      <c r="BD946" s="296"/>
      <c r="BE946" s="1"/>
      <c r="BF946" s="1"/>
      <c r="BG946" s="20"/>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row>
    <row r="947" spans="1:115" ht="15.75" customHeight="1">
      <c r="A947" s="1"/>
      <c r="B947" s="1"/>
      <c r="C947" s="1"/>
      <c r="D947" s="1"/>
      <c r="E947" s="1"/>
      <c r="F947" s="1"/>
      <c r="G947" s="1"/>
      <c r="H947" s="1"/>
      <c r="I947" s="294"/>
      <c r="J947" s="294"/>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3"/>
      <c r="AJ947" s="1"/>
      <c r="AK947" s="295"/>
      <c r="AL947" s="1"/>
      <c r="AM947" s="1"/>
      <c r="AN947" s="1"/>
      <c r="AO947" s="1"/>
      <c r="AP947" s="1"/>
      <c r="AQ947" s="1"/>
      <c r="AR947" s="1"/>
      <c r="AS947" s="1"/>
      <c r="AT947" s="1"/>
      <c r="AU947" s="1"/>
      <c r="AV947" s="1"/>
      <c r="AW947" s="1"/>
      <c r="AX947" s="1"/>
      <c r="AY947" s="1"/>
      <c r="AZ947" s="1"/>
      <c r="BA947" s="1"/>
      <c r="BB947" s="1"/>
      <c r="BC947" s="1"/>
      <c r="BD947" s="296"/>
      <c r="BE947" s="1"/>
      <c r="BF947" s="1"/>
      <c r="BG947" s="20"/>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row>
    <row r="948" spans="1:115" ht="15.75" customHeight="1">
      <c r="A948" s="1"/>
      <c r="B948" s="1"/>
      <c r="C948" s="1"/>
      <c r="D948" s="1"/>
      <c r="E948" s="1"/>
      <c r="F948" s="1"/>
      <c r="G948" s="1"/>
      <c r="H948" s="1"/>
      <c r="I948" s="294"/>
      <c r="J948" s="294"/>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3"/>
      <c r="AJ948" s="1"/>
      <c r="AK948" s="295"/>
      <c r="AL948" s="1"/>
      <c r="AM948" s="1"/>
      <c r="AN948" s="1"/>
      <c r="AO948" s="1"/>
      <c r="AP948" s="1"/>
      <c r="AQ948" s="1"/>
      <c r="AR948" s="1"/>
      <c r="AS948" s="1"/>
      <c r="AT948" s="1"/>
      <c r="AU948" s="1"/>
      <c r="AV948" s="1"/>
      <c r="AW948" s="1"/>
      <c r="AX948" s="1"/>
      <c r="AY948" s="1"/>
      <c r="AZ948" s="1"/>
      <c r="BA948" s="1"/>
      <c r="BB948" s="1"/>
      <c r="BC948" s="1"/>
      <c r="BD948" s="296"/>
      <c r="BE948" s="1"/>
      <c r="BF948" s="1"/>
      <c r="BG948" s="20"/>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row>
    <row r="949" spans="1:115" ht="15.75" customHeight="1">
      <c r="A949" s="1"/>
      <c r="B949" s="1"/>
      <c r="C949" s="1"/>
      <c r="D949" s="1"/>
      <c r="E949" s="1"/>
      <c r="F949" s="1"/>
      <c r="G949" s="1"/>
      <c r="H949" s="1"/>
      <c r="I949" s="294"/>
      <c r="J949" s="294"/>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3"/>
      <c r="AJ949" s="1"/>
      <c r="AK949" s="295"/>
      <c r="AL949" s="1"/>
      <c r="AM949" s="1"/>
      <c r="AN949" s="1"/>
      <c r="AO949" s="1"/>
      <c r="AP949" s="1"/>
      <c r="AQ949" s="1"/>
      <c r="AR949" s="1"/>
      <c r="AS949" s="1"/>
      <c r="AT949" s="1"/>
      <c r="AU949" s="1"/>
      <c r="AV949" s="1"/>
      <c r="AW949" s="1"/>
      <c r="AX949" s="1"/>
      <c r="AY949" s="1"/>
      <c r="AZ949" s="1"/>
      <c r="BA949" s="1"/>
      <c r="BB949" s="1"/>
      <c r="BC949" s="1"/>
      <c r="BD949" s="296"/>
      <c r="BE949" s="1"/>
      <c r="BF949" s="1"/>
      <c r="BG949" s="20"/>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row>
    <row r="950" spans="1:115" ht="15.75" customHeight="1">
      <c r="A950" s="1"/>
      <c r="B950" s="1"/>
      <c r="C950" s="1"/>
      <c r="D950" s="1"/>
      <c r="E950" s="1"/>
      <c r="F950" s="1"/>
      <c r="G950" s="1"/>
      <c r="H950" s="1"/>
      <c r="I950" s="294"/>
      <c r="J950" s="294"/>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3"/>
      <c r="AJ950" s="1"/>
      <c r="AK950" s="295"/>
      <c r="AL950" s="1"/>
      <c r="AM950" s="1"/>
      <c r="AN950" s="1"/>
      <c r="AO950" s="1"/>
      <c r="AP950" s="1"/>
      <c r="AQ950" s="1"/>
      <c r="AR950" s="1"/>
      <c r="AS950" s="1"/>
      <c r="AT950" s="1"/>
      <c r="AU950" s="1"/>
      <c r="AV950" s="1"/>
      <c r="AW950" s="1"/>
      <c r="AX950" s="1"/>
      <c r="AY950" s="1"/>
      <c r="AZ950" s="1"/>
      <c r="BA950" s="1"/>
      <c r="BB950" s="1"/>
      <c r="BC950" s="1"/>
      <c r="BD950" s="296"/>
      <c r="BE950" s="1"/>
      <c r="BF950" s="1"/>
      <c r="BG950" s="20"/>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row>
    <row r="951" spans="1:115" ht="15.75" customHeight="1">
      <c r="A951" s="1"/>
      <c r="B951" s="1"/>
      <c r="C951" s="1"/>
      <c r="D951" s="1"/>
      <c r="E951" s="1"/>
      <c r="F951" s="1"/>
      <c r="G951" s="1"/>
      <c r="H951" s="1"/>
      <c r="I951" s="294"/>
      <c r="J951" s="294"/>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3"/>
      <c r="AJ951" s="1"/>
      <c r="AK951" s="295"/>
      <c r="AL951" s="1"/>
      <c r="AM951" s="1"/>
      <c r="AN951" s="1"/>
      <c r="AO951" s="1"/>
      <c r="AP951" s="1"/>
      <c r="AQ951" s="1"/>
      <c r="AR951" s="1"/>
      <c r="AS951" s="1"/>
      <c r="AT951" s="1"/>
      <c r="AU951" s="1"/>
      <c r="AV951" s="1"/>
      <c r="AW951" s="1"/>
      <c r="AX951" s="1"/>
      <c r="AY951" s="1"/>
      <c r="AZ951" s="1"/>
      <c r="BA951" s="1"/>
      <c r="BB951" s="1"/>
      <c r="BC951" s="1"/>
      <c r="BD951" s="296"/>
      <c r="BE951" s="1"/>
      <c r="BF951" s="1"/>
      <c r="BG951" s="20"/>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row>
    <row r="952" spans="1:115" ht="15.75" customHeight="1">
      <c r="A952" s="1"/>
      <c r="B952" s="1"/>
      <c r="C952" s="1"/>
      <c r="D952" s="1"/>
      <c r="E952" s="1"/>
      <c r="F952" s="1"/>
      <c r="G952" s="1"/>
      <c r="H952" s="1"/>
      <c r="I952" s="294"/>
      <c r="J952" s="294"/>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3"/>
      <c r="AJ952" s="1"/>
      <c r="AK952" s="295"/>
      <c r="AL952" s="1"/>
      <c r="AM952" s="1"/>
      <c r="AN952" s="1"/>
      <c r="AO952" s="1"/>
      <c r="AP952" s="1"/>
      <c r="AQ952" s="1"/>
      <c r="AR952" s="1"/>
      <c r="AS952" s="1"/>
      <c r="AT952" s="1"/>
      <c r="AU952" s="1"/>
      <c r="AV952" s="1"/>
      <c r="AW952" s="1"/>
      <c r="AX952" s="1"/>
      <c r="AY952" s="1"/>
      <c r="AZ952" s="1"/>
      <c r="BA952" s="1"/>
      <c r="BB952" s="1"/>
      <c r="BC952" s="1"/>
      <c r="BD952" s="296"/>
      <c r="BE952" s="1"/>
      <c r="BF952" s="1"/>
      <c r="BG952" s="20"/>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row>
    <row r="953" spans="1:115" ht="15.75" customHeight="1">
      <c r="A953" s="1"/>
      <c r="B953" s="1"/>
      <c r="C953" s="1"/>
      <c r="D953" s="1"/>
      <c r="E953" s="1"/>
      <c r="F953" s="1"/>
      <c r="G953" s="1"/>
      <c r="H953" s="1"/>
      <c r="I953" s="294"/>
      <c r="J953" s="294"/>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3"/>
      <c r="AJ953" s="1"/>
      <c r="AK953" s="295"/>
      <c r="AL953" s="1"/>
      <c r="AM953" s="1"/>
      <c r="AN953" s="1"/>
      <c r="AO953" s="1"/>
      <c r="AP953" s="1"/>
      <c r="AQ953" s="1"/>
      <c r="AR953" s="1"/>
      <c r="AS953" s="1"/>
      <c r="AT953" s="1"/>
      <c r="AU953" s="1"/>
      <c r="AV953" s="1"/>
      <c r="AW953" s="1"/>
      <c r="AX953" s="1"/>
      <c r="AY953" s="1"/>
      <c r="AZ953" s="1"/>
      <c r="BA953" s="1"/>
      <c r="BB953" s="1"/>
      <c r="BC953" s="1"/>
      <c r="BD953" s="296"/>
      <c r="BE953" s="1"/>
      <c r="BF953" s="1"/>
      <c r="BG953" s="20"/>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row>
    <row r="954" spans="1:115" ht="15.75" customHeight="1">
      <c r="A954" s="1"/>
      <c r="B954" s="1"/>
      <c r="C954" s="1"/>
      <c r="D954" s="1"/>
      <c r="E954" s="1"/>
      <c r="F954" s="1"/>
      <c r="G954" s="1"/>
      <c r="H954" s="1"/>
      <c r="I954" s="294"/>
      <c r="J954" s="294"/>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3"/>
      <c r="AJ954" s="1"/>
      <c r="AK954" s="295"/>
      <c r="AL954" s="1"/>
      <c r="AM954" s="1"/>
      <c r="AN954" s="1"/>
      <c r="AO954" s="1"/>
      <c r="AP954" s="1"/>
      <c r="AQ954" s="1"/>
      <c r="AR954" s="1"/>
      <c r="AS954" s="1"/>
      <c r="AT954" s="1"/>
      <c r="AU954" s="1"/>
      <c r="AV954" s="1"/>
      <c r="AW954" s="1"/>
      <c r="AX954" s="1"/>
      <c r="AY954" s="1"/>
      <c r="AZ954" s="1"/>
      <c r="BA954" s="1"/>
      <c r="BB954" s="1"/>
      <c r="BC954" s="1"/>
      <c r="BD954" s="296"/>
      <c r="BE954" s="1"/>
      <c r="BF954" s="1"/>
      <c r="BG954" s="20"/>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row>
    <row r="955" spans="1:115" ht="15.75" customHeight="1">
      <c r="A955" s="1"/>
      <c r="B955" s="1"/>
      <c r="C955" s="1"/>
      <c r="D955" s="1"/>
      <c r="E955" s="1"/>
      <c r="F955" s="1"/>
      <c r="G955" s="1"/>
      <c r="H955" s="1"/>
      <c r="I955" s="294"/>
      <c r="J955" s="294"/>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3"/>
      <c r="AJ955" s="1"/>
      <c r="AK955" s="295"/>
      <c r="AL955" s="1"/>
      <c r="AM955" s="1"/>
      <c r="AN955" s="1"/>
      <c r="AO955" s="1"/>
      <c r="AP955" s="1"/>
      <c r="AQ955" s="1"/>
      <c r="AR955" s="1"/>
      <c r="AS955" s="1"/>
      <c r="AT955" s="1"/>
      <c r="AU955" s="1"/>
      <c r="AV955" s="1"/>
      <c r="AW955" s="1"/>
      <c r="AX955" s="1"/>
      <c r="AY955" s="1"/>
      <c r="AZ955" s="1"/>
      <c r="BA955" s="1"/>
      <c r="BB955" s="1"/>
      <c r="BC955" s="1"/>
      <c r="BD955" s="296"/>
      <c r="BE955" s="1"/>
      <c r="BF955" s="1"/>
      <c r="BG955" s="20"/>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row>
    <row r="956" spans="1:115" ht="15.75" customHeight="1">
      <c r="A956" s="1"/>
      <c r="B956" s="1"/>
      <c r="C956" s="1"/>
      <c r="D956" s="1"/>
      <c r="E956" s="1"/>
      <c r="F956" s="1"/>
      <c r="G956" s="1"/>
      <c r="H956" s="1"/>
      <c r="I956" s="294"/>
      <c r="J956" s="294"/>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3"/>
      <c r="AJ956" s="1"/>
      <c r="AK956" s="295"/>
      <c r="AL956" s="1"/>
      <c r="AM956" s="1"/>
      <c r="AN956" s="1"/>
      <c r="AO956" s="1"/>
      <c r="AP956" s="1"/>
      <c r="AQ956" s="1"/>
      <c r="AR956" s="1"/>
      <c r="AS956" s="1"/>
      <c r="AT956" s="1"/>
      <c r="AU956" s="1"/>
      <c r="AV956" s="1"/>
      <c r="AW956" s="1"/>
      <c r="AX956" s="1"/>
      <c r="AY956" s="1"/>
      <c r="AZ956" s="1"/>
      <c r="BA956" s="1"/>
      <c r="BB956" s="1"/>
      <c r="BC956" s="1"/>
      <c r="BD956" s="296"/>
      <c r="BE956" s="1"/>
      <c r="BF956" s="1"/>
      <c r="BG956" s="20"/>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row>
    <row r="957" spans="1:115" ht="15.75" customHeight="1">
      <c r="A957" s="1"/>
      <c r="B957" s="1"/>
      <c r="C957" s="1"/>
      <c r="D957" s="1"/>
      <c r="E957" s="1"/>
      <c r="F957" s="1"/>
      <c r="G957" s="1"/>
      <c r="H957" s="1"/>
      <c r="I957" s="294"/>
      <c r="J957" s="294"/>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3"/>
      <c r="AJ957" s="1"/>
      <c r="AK957" s="295"/>
      <c r="AL957" s="1"/>
      <c r="AM957" s="1"/>
      <c r="AN957" s="1"/>
      <c r="AO957" s="1"/>
      <c r="AP957" s="1"/>
      <c r="AQ957" s="1"/>
      <c r="AR957" s="1"/>
      <c r="AS957" s="1"/>
      <c r="AT957" s="1"/>
      <c r="AU957" s="1"/>
      <c r="AV957" s="1"/>
      <c r="AW957" s="1"/>
      <c r="AX957" s="1"/>
      <c r="AY957" s="1"/>
      <c r="AZ957" s="1"/>
      <c r="BA957" s="1"/>
      <c r="BB957" s="1"/>
      <c r="BC957" s="1"/>
      <c r="BD957" s="296"/>
      <c r="BE957" s="1"/>
      <c r="BF957" s="1"/>
      <c r="BG957" s="20"/>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row>
    <row r="958" spans="1:115" ht="15.75" customHeight="1">
      <c r="A958" s="1"/>
      <c r="B958" s="1"/>
      <c r="C958" s="1"/>
      <c r="D958" s="1"/>
      <c r="E958" s="1"/>
      <c r="F958" s="1"/>
      <c r="G958" s="1"/>
      <c r="H958" s="1"/>
      <c r="I958" s="294"/>
      <c r="J958" s="294"/>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3"/>
      <c r="AJ958" s="1"/>
      <c r="AK958" s="295"/>
      <c r="AL958" s="1"/>
      <c r="AM958" s="1"/>
      <c r="AN958" s="1"/>
      <c r="AO958" s="1"/>
      <c r="AP958" s="1"/>
      <c r="AQ958" s="1"/>
      <c r="AR958" s="1"/>
      <c r="AS958" s="1"/>
      <c r="AT958" s="1"/>
      <c r="AU958" s="1"/>
      <c r="AV958" s="1"/>
      <c r="AW958" s="1"/>
      <c r="AX958" s="1"/>
      <c r="AY958" s="1"/>
      <c r="AZ958" s="1"/>
      <c r="BA958" s="1"/>
      <c r="BB958" s="1"/>
      <c r="BC958" s="1"/>
      <c r="BD958" s="296"/>
      <c r="BE958" s="1"/>
      <c r="BF958" s="1"/>
      <c r="BG958" s="20"/>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row>
    <row r="959" spans="1:115" ht="15.75" customHeight="1">
      <c r="A959" s="1"/>
      <c r="B959" s="1"/>
      <c r="C959" s="1"/>
      <c r="D959" s="1"/>
      <c r="E959" s="1"/>
      <c r="F959" s="1"/>
      <c r="G959" s="1"/>
      <c r="H959" s="1"/>
      <c r="I959" s="294"/>
      <c r="J959" s="294"/>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3"/>
      <c r="AJ959" s="1"/>
      <c r="AK959" s="295"/>
      <c r="AL959" s="1"/>
      <c r="AM959" s="1"/>
      <c r="AN959" s="1"/>
      <c r="AO959" s="1"/>
      <c r="AP959" s="1"/>
      <c r="AQ959" s="1"/>
      <c r="AR959" s="1"/>
      <c r="AS959" s="1"/>
      <c r="AT959" s="1"/>
      <c r="AU959" s="1"/>
      <c r="AV959" s="1"/>
      <c r="AW959" s="1"/>
      <c r="AX959" s="1"/>
      <c r="AY959" s="1"/>
      <c r="AZ959" s="1"/>
      <c r="BA959" s="1"/>
      <c r="BB959" s="1"/>
      <c r="BC959" s="1"/>
      <c r="BD959" s="296"/>
      <c r="BE959" s="1"/>
      <c r="BF959" s="1"/>
      <c r="BG959" s="20"/>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row>
    <row r="960" spans="1:115" ht="15.75" customHeight="1">
      <c r="A960" s="1"/>
      <c r="B960" s="1"/>
      <c r="C960" s="1"/>
      <c r="D960" s="1"/>
      <c r="E960" s="1"/>
      <c r="F960" s="1"/>
      <c r="G960" s="1"/>
      <c r="H960" s="1"/>
      <c r="I960" s="294"/>
      <c r="J960" s="294"/>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3"/>
      <c r="AJ960" s="1"/>
      <c r="AK960" s="295"/>
      <c r="AL960" s="1"/>
      <c r="AM960" s="1"/>
      <c r="AN960" s="1"/>
      <c r="AO960" s="1"/>
      <c r="AP960" s="1"/>
      <c r="AQ960" s="1"/>
      <c r="AR960" s="1"/>
      <c r="AS960" s="1"/>
      <c r="AT960" s="1"/>
      <c r="AU960" s="1"/>
      <c r="AV960" s="1"/>
      <c r="AW960" s="1"/>
      <c r="AX960" s="1"/>
      <c r="AY960" s="1"/>
      <c r="AZ960" s="1"/>
      <c r="BA960" s="1"/>
      <c r="BB960" s="1"/>
      <c r="BC960" s="1"/>
      <c r="BD960" s="296"/>
      <c r="BE960" s="1"/>
      <c r="BF960" s="1"/>
      <c r="BG960" s="20"/>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row>
    <row r="961" spans="1:115" ht="15.75" customHeight="1">
      <c r="A961" s="1"/>
      <c r="B961" s="1"/>
      <c r="C961" s="1"/>
      <c r="D961" s="1"/>
      <c r="E961" s="1"/>
      <c r="F961" s="1"/>
      <c r="G961" s="1"/>
      <c r="H961" s="1"/>
      <c r="I961" s="294"/>
      <c r="J961" s="294"/>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3"/>
      <c r="AJ961" s="1"/>
      <c r="AK961" s="295"/>
      <c r="AL961" s="1"/>
      <c r="AM961" s="1"/>
      <c r="AN961" s="1"/>
      <c r="AO961" s="1"/>
      <c r="AP961" s="1"/>
      <c r="AQ961" s="1"/>
      <c r="AR961" s="1"/>
      <c r="AS961" s="1"/>
      <c r="AT961" s="1"/>
      <c r="AU961" s="1"/>
      <c r="AV961" s="1"/>
      <c r="AW961" s="1"/>
      <c r="AX961" s="1"/>
      <c r="AY961" s="1"/>
      <c r="AZ961" s="1"/>
      <c r="BA961" s="1"/>
      <c r="BB961" s="1"/>
      <c r="BC961" s="1"/>
      <c r="BD961" s="296"/>
      <c r="BE961" s="1"/>
      <c r="BF961" s="1"/>
      <c r="BG961" s="20"/>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row>
    <row r="962" spans="1:115" ht="15.75" customHeight="1">
      <c r="A962" s="1"/>
      <c r="B962" s="1"/>
      <c r="C962" s="1"/>
      <c r="D962" s="1"/>
      <c r="E962" s="1"/>
      <c r="F962" s="1"/>
      <c r="G962" s="1"/>
      <c r="H962" s="1"/>
      <c r="I962" s="294"/>
      <c r="J962" s="294"/>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3"/>
      <c r="AJ962" s="1"/>
      <c r="AK962" s="295"/>
      <c r="AL962" s="1"/>
      <c r="AM962" s="1"/>
      <c r="AN962" s="1"/>
      <c r="AO962" s="1"/>
      <c r="AP962" s="1"/>
      <c r="AQ962" s="1"/>
      <c r="AR962" s="1"/>
      <c r="AS962" s="1"/>
      <c r="AT962" s="1"/>
      <c r="AU962" s="1"/>
      <c r="AV962" s="1"/>
      <c r="AW962" s="1"/>
      <c r="AX962" s="1"/>
      <c r="AY962" s="1"/>
      <c r="AZ962" s="1"/>
      <c r="BA962" s="1"/>
      <c r="BB962" s="1"/>
      <c r="BC962" s="1"/>
      <c r="BD962" s="296"/>
      <c r="BE962" s="1"/>
      <c r="BF962" s="1"/>
      <c r="BG962" s="20"/>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row>
    <row r="963" spans="1:115" ht="15.75" customHeight="1">
      <c r="A963" s="1"/>
      <c r="B963" s="1"/>
      <c r="C963" s="1"/>
      <c r="D963" s="1"/>
      <c r="E963" s="1"/>
      <c r="F963" s="1"/>
      <c r="G963" s="1"/>
      <c r="H963" s="1"/>
      <c r="I963" s="294"/>
      <c r="J963" s="294"/>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3"/>
      <c r="AJ963" s="1"/>
      <c r="AK963" s="295"/>
      <c r="AL963" s="1"/>
      <c r="AM963" s="1"/>
      <c r="AN963" s="1"/>
      <c r="AO963" s="1"/>
      <c r="AP963" s="1"/>
      <c r="AQ963" s="1"/>
      <c r="AR963" s="1"/>
      <c r="AS963" s="1"/>
      <c r="AT963" s="1"/>
      <c r="AU963" s="1"/>
      <c r="AV963" s="1"/>
      <c r="AW963" s="1"/>
      <c r="AX963" s="1"/>
      <c r="AY963" s="1"/>
      <c r="AZ963" s="1"/>
      <c r="BA963" s="1"/>
      <c r="BB963" s="1"/>
      <c r="BC963" s="1"/>
      <c r="BD963" s="296"/>
      <c r="BE963" s="1"/>
      <c r="BF963" s="1"/>
      <c r="BG963" s="20"/>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row>
    <row r="964" spans="1:115" ht="15.75" customHeight="1">
      <c r="A964" s="1"/>
      <c r="B964" s="1"/>
      <c r="C964" s="1"/>
      <c r="D964" s="1"/>
      <c r="E964" s="1"/>
      <c r="F964" s="1"/>
      <c r="G964" s="1"/>
      <c r="H964" s="1"/>
      <c r="I964" s="294"/>
      <c r="J964" s="294"/>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3"/>
      <c r="AJ964" s="1"/>
      <c r="AK964" s="295"/>
      <c r="AL964" s="1"/>
      <c r="AM964" s="1"/>
      <c r="AN964" s="1"/>
      <c r="AO964" s="1"/>
      <c r="AP964" s="1"/>
      <c r="AQ964" s="1"/>
      <c r="AR964" s="1"/>
      <c r="AS964" s="1"/>
      <c r="AT964" s="1"/>
      <c r="AU964" s="1"/>
      <c r="AV964" s="1"/>
      <c r="AW964" s="1"/>
      <c r="AX964" s="1"/>
      <c r="AY964" s="1"/>
      <c r="AZ964" s="1"/>
      <c r="BA964" s="1"/>
      <c r="BB964" s="1"/>
      <c r="BC964" s="1"/>
      <c r="BD964" s="296"/>
      <c r="BE964" s="1"/>
      <c r="BF964" s="1"/>
      <c r="BG964" s="20"/>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row>
    <row r="965" spans="1:115" ht="15.75" customHeight="1">
      <c r="A965" s="1"/>
      <c r="B965" s="1"/>
      <c r="C965" s="1"/>
      <c r="D965" s="1"/>
      <c r="E965" s="1"/>
      <c r="F965" s="1"/>
      <c r="G965" s="1"/>
      <c r="H965" s="1"/>
      <c r="I965" s="294"/>
      <c r="J965" s="294"/>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3"/>
      <c r="AJ965" s="1"/>
      <c r="AK965" s="295"/>
      <c r="AL965" s="1"/>
      <c r="AM965" s="1"/>
      <c r="AN965" s="1"/>
      <c r="AO965" s="1"/>
      <c r="AP965" s="1"/>
      <c r="AQ965" s="1"/>
      <c r="AR965" s="1"/>
      <c r="AS965" s="1"/>
      <c r="AT965" s="1"/>
      <c r="AU965" s="1"/>
      <c r="AV965" s="1"/>
      <c r="AW965" s="1"/>
      <c r="AX965" s="1"/>
      <c r="AY965" s="1"/>
      <c r="AZ965" s="1"/>
      <c r="BA965" s="1"/>
      <c r="BB965" s="1"/>
      <c r="BC965" s="1"/>
      <c r="BD965" s="296"/>
      <c r="BE965" s="1"/>
      <c r="BF965" s="1"/>
      <c r="BG965" s="20"/>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row>
    <row r="966" spans="1:115" ht="15.75" customHeight="1">
      <c r="A966" s="1"/>
      <c r="B966" s="1"/>
      <c r="C966" s="1"/>
      <c r="D966" s="1"/>
      <c r="E966" s="1"/>
      <c r="F966" s="1"/>
      <c r="G966" s="1"/>
      <c r="H966" s="1"/>
      <c r="I966" s="294"/>
      <c r="J966" s="294"/>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3"/>
      <c r="AJ966" s="1"/>
      <c r="AK966" s="295"/>
      <c r="AL966" s="1"/>
      <c r="AM966" s="1"/>
      <c r="AN966" s="1"/>
      <c r="AO966" s="1"/>
      <c r="AP966" s="1"/>
      <c r="AQ966" s="1"/>
      <c r="AR966" s="1"/>
      <c r="AS966" s="1"/>
      <c r="AT966" s="1"/>
      <c r="AU966" s="1"/>
      <c r="AV966" s="1"/>
      <c r="AW966" s="1"/>
      <c r="AX966" s="1"/>
      <c r="AY966" s="1"/>
      <c r="AZ966" s="1"/>
      <c r="BA966" s="1"/>
      <c r="BB966" s="1"/>
      <c r="BC966" s="1"/>
      <c r="BD966" s="296"/>
      <c r="BE966" s="1"/>
      <c r="BF966" s="1"/>
      <c r="BG966" s="20"/>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row>
    <row r="967" spans="1:115" ht="15.75" customHeight="1">
      <c r="A967" s="1"/>
      <c r="B967" s="1"/>
      <c r="C967" s="1"/>
      <c r="D967" s="1"/>
      <c r="E967" s="1"/>
      <c r="F967" s="1"/>
      <c r="G967" s="1"/>
      <c r="H967" s="1"/>
      <c r="I967" s="294"/>
      <c r="J967" s="294"/>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3"/>
      <c r="AJ967" s="1"/>
      <c r="AK967" s="295"/>
      <c r="AL967" s="1"/>
      <c r="AM967" s="1"/>
      <c r="AN967" s="1"/>
      <c r="AO967" s="1"/>
      <c r="AP967" s="1"/>
      <c r="AQ967" s="1"/>
      <c r="AR967" s="1"/>
      <c r="AS967" s="1"/>
      <c r="AT967" s="1"/>
      <c r="AU967" s="1"/>
      <c r="AV967" s="1"/>
      <c r="AW967" s="1"/>
      <c r="AX967" s="1"/>
      <c r="AY967" s="1"/>
      <c r="AZ967" s="1"/>
      <c r="BA967" s="1"/>
      <c r="BB967" s="1"/>
      <c r="BC967" s="1"/>
      <c r="BD967" s="296"/>
      <c r="BE967" s="1"/>
      <c r="BF967" s="1"/>
      <c r="BG967" s="20"/>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row>
    <row r="968" spans="1:115" ht="15.75" customHeight="1">
      <c r="A968" s="1"/>
      <c r="B968" s="1"/>
      <c r="C968" s="1"/>
      <c r="D968" s="1"/>
      <c r="E968" s="1"/>
      <c r="F968" s="1"/>
      <c r="G968" s="1"/>
      <c r="H968" s="1"/>
      <c r="I968" s="294"/>
      <c r="J968" s="294"/>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3"/>
      <c r="AJ968" s="1"/>
      <c r="AK968" s="295"/>
      <c r="AL968" s="1"/>
      <c r="AM968" s="1"/>
      <c r="AN968" s="1"/>
      <c r="AO968" s="1"/>
      <c r="AP968" s="1"/>
      <c r="AQ968" s="1"/>
      <c r="AR968" s="1"/>
      <c r="AS968" s="1"/>
      <c r="AT968" s="1"/>
      <c r="AU968" s="1"/>
      <c r="AV968" s="1"/>
      <c r="AW968" s="1"/>
      <c r="AX968" s="1"/>
      <c r="AY968" s="1"/>
      <c r="AZ968" s="1"/>
      <c r="BA968" s="1"/>
      <c r="BB968" s="1"/>
      <c r="BC968" s="1"/>
      <c r="BD968" s="296"/>
      <c r="BE968" s="1"/>
      <c r="BF968" s="1"/>
      <c r="BG968" s="20"/>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row>
    <row r="969" spans="1:115" ht="15.75" customHeight="1">
      <c r="A969" s="1"/>
      <c r="B969" s="1"/>
      <c r="C969" s="1"/>
      <c r="D969" s="1"/>
      <c r="E969" s="1"/>
      <c r="F969" s="1"/>
      <c r="G969" s="1"/>
      <c r="H969" s="1"/>
      <c r="I969" s="294"/>
      <c r="J969" s="294"/>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3"/>
      <c r="AJ969" s="1"/>
      <c r="AK969" s="295"/>
      <c r="AL969" s="1"/>
      <c r="AM969" s="1"/>
      <c r="AN969" s="1"/>
      <c r="AO969" s="1"/>
      <c r="AP969" s="1"/>
      <c r="AQ969" s="1"/>
      <c r="AR969" s="1"/>
      <c r="AS969" s="1"/>
      <c r="AT969" s="1"/>
      <c r="AU969" s="1"/>
      <c r="AV969" s="1"/>
      <c r="AW969" s="1"/>
      <c r="AX969" s="1"/>
      <c r="AY969" s="1"/>
      <c r="AZ969" s="1"/>
      <c r="BA969" s="1"/>
      <c r="BB969" s="1"/>
      <c r="BC969" s="1"/>
      <c r="BD969" s="296"/>
      <c r="BE969" s="1"/>
      <c r="BF969" s="1"/>
      <c r="BG969" s="20"/>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row>
    <row r="970" spans="1:115" ht="15.75" customHeight="1">
      <c r="A970" s="1"/>
      <c r="B970" s="1"/>
      <c r="C970" s="1"/>
      <c r="D970" s="1"/>
      <c r="E970" s="1"/>
      <c r="F970" s="1"/>
      <c r="G970" s="1"/>
      <c r="H970" s="1"/>
      <c r="I970" s="294"/>
      <c r="J970" s="294"/>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3"/>
      <c r="AJ970" s="1"/>
      <c r="AK970" s="295"/>
      <c r="AL970" s="1"/>
      <c r="AM970" s="1"/>
      <c r="AN970" s="1"/>
      <c r="AO970" s="1"/>
      <c r="AP970" s="1"/>
      <c r="AQ970" s="1"/>
      <c r="AR970" s="1"/>
      <c r="AS970" s="1"/>
      <c r="AT970" s="1"/>
      <c r="AU970" s="1"/>
      <c r="AV970" s="1"/>
      <c r="AW970" s="1"/>
      <c r="AX970" s="1"/>
      <c r="AY970" s="1"/>
      <c r="AZ970" s="1"/>
      <c r="BA970" s="1"/>
      <c r="BB970" s="1"/>
      <c r="BC970" s="1"/>
      <c r="BD970" s="296"/>
      <c r="BE970" s="1"/>
      <c r="BF970" s="1"/>
      <c r="BG970" s="20"/>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row>
    <row r="971" spans="1:115" ht="15.75" customHeight="1">
      <c r="A971" s="1"/>
      <c r="B971" s="1"/>
      <c r="C971" s="1"/>
      <c r="D971" s="1"/>
      <c r="E971" s="1"/>
      <c r="F971" s="1"/>
      <c r="G971" s="1"/>
      <c r="H971" s="1"/>
      <c r="I971" s="294"/>
      <c r="J971" s="294"/>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3"/>
      <c r="AJ971" s="1"/>
      <c r="AK971" s="295"/>
      <c r="AL971" s="1"/>
      <c r="AM971" s="1"/>
      <c r="AN971" s="1"/>
      <c r="AO971" s="1"/>
      <c r="AP971" s="1"/>
      <c r="AQ971" s="1"/>
      <c r="AR971" s="1"/>
      <c r="AS971" s="1"/>
      <c r="AT971" s="1"/>
      <c r="AU971" s="1"/>
      <c r="AV971" s="1"/>
      <c r="AW971" s="1"/>
      <c r="AX971" s="1"/>
      <c r="AY971" s="1"/>
      <c r="AZ971" s="1"/>
      <c r="BA971" s="1"/>
      <c r="BB971" s="1"/>
      <c r="BC971" s="1"/>
      <c r="BD971" s="296"/>
      <c r="BE971" s="1"/>
      <c r="BF971" s="1"/>
      <c r="BG971" s="20"/>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row>
    <row r="972" spans="1:115" ht="15.75" customHeight="1">
      <c r="A972" s="1"/>
      <c r="B972" s="1"/>
      <c r="C972" s="1"/>
      <c r="D972" s="1"/>
      <c r="E972" s="1"/>
      <c r="F972" s="1"/>
      <c r="G972" s="1"/>
      <c r="H972" s="1"/>
      <c r="I972" s="294"/>
      <c r="J972" s="294"/>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3"/>
      <c r="AJ972" s="1"/>
      <c r="AK972" s="295"/>
      <c r="AL972" s="1"/>
      <c r="AM972" s="1"/>
      <c r="AN972" s="1"/>
      <c r="AO972" s="1"/>
      <c r="AP972" s="1"/>
      <c r="AQ972" s="1"/>
      <c r="AR972" s="1"/>
      <c r="AS972" s="1"/>
      <c r="AT972" s="1"/>
      <c r="AU972" s="1"/>
      <c r="AV972" s="1"/>
      <c r="AW972" s="1"/>
      <c r="AX972" s="1"/>
      <c r="AY972" s="1"/>
      <c r="AZ972" s="1"/>
      <c r="BA972" s="1"/>
      <c r="BB972" s="1"/>
      <c r="BC972" s="1"/>
      <c r="BD972" s="296"/>
      <c r="BE972" s="1"/>
      <c r="BF972" s="1"/>
      <c r="BG972" s="20"/>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row>
    <row r="973" spans="1:115" ht="15.75" customHeight="1">
      <c r="A973" s="1"/>
      <c r="B973" s="1"/>
      <c r="C973" s="1"/>
      <c r="D973" s="1"/>
      <c r="E973" s="1"/>
      <c r="F973" s="1"/>
      <c r="G973" s="1"/>
      <c r="H973" s="1"/>
      <c r="I973" s="294"/>
      <c r="J973" s="294"/>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3"/>
      <c r="AJ973" s="1"/>
      <c r="AK973" s="295"/>
      <c r="AL973" s="1"/>
      <c r="AM973" s="1"/>
      <c r="AN973" s="1"/>
      <c r="AO973" s="1"/>
      <c r="AP973" s="1"/>
      <c r="AQ973" s="1"/>
      <c r="AR973" s="1"/>
      <c r="AS973" s="1"/>
      <c r="AT973" s="1"/>
      <c r="AU973" s="1"/>
      <c r="AV973" s="1"/>
      <c r="AW973" s="1"/>
      <c r="AX973" s="1"/>
      <c r="AY973" s="1"/>
      <c r="AZ973" s="1"/>
      <c r="BA973" s="1"/>
      <c r="BB973" s="1"/>
      <c r="BC973" s="1"/>
      <c r="BD973" s="296"/>
      <c r="BE973" s="1"/>
      <c r="BF973" s="1"/>
      <c r="BG973" s="20"/>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row>
    <row r="974" spans="1:115" ht="15.75" customHeight="1">
      <c r="A974" s="1"/>
      <c r="B974" s="1"/>
      <c r="C974" s="1"/>
      <c r="D974" s="1"/>
      <c r="E974" s="1"/>
      <c r="F974" s="1"/>
      <c r="G974" s="1"/>
      <c r="H974" s="1"/>
      <c r="I974" s="294"/>
      <c r="J974" s="294"/>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3"/>
      <c r="AJ974" s="1"/>
      <c r="AK974" s="295"/>
      <c r="AL974" s="1"/>
      <c r="AM974" s="1"/>
      <c r="AN974" s="1"/>
      <c r="AO974" s="1"/>
      <c r="AP974" s="1"/>
      <c r="AQ974" s="1"/>
      <c r="AR974" s="1"/>
      <c r="AS974" s="1"/>
      <c r="AT974" s="1"/>
      <c r="AU974" s="1"/>
      <c r="AV974" s="1"/>
      <c r="AW974" s="1"/>
      <c r="AX974" s="1"/>
      <c r="AY974" s="1"/>
      <c r="AZ974" s="1"/>
      <c r="BA974" s="1"/>
      <c r="BB974" s="1"/>
      <c r="BC974" s="1"/>
      <c r="BD974" s="296"/>
      <c r="BE974" s="1"/>
      <c r="BF974" s="1"/>
      <c r="BG974" s="20"/>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row>
    <row r="975" spans="1:115" ht="15.75" customHeight="1">
      <c r="A975" s="1"/>
      <c r="B975" s="1"/>
      <c r="C975" s="1"/>
      <c r="D975" s="1"/>
      <c r="E975" s="1"/>
      <c r="F975" s="1"/>
      <c r="G975" s="1"/>
      <c r="H975" s="1"/>
      <c r="I975" s="294"/>
      <c r="J975" s="294"/>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3"/>
      <c r="AJ975" s="1"/>
      <c r="AK975" s="295"/>
      <c r="AL975" s="1"/>
      <c r="AM975" s="1"/>
      <c r="AN975" s="1"/>
      <c r="AO975" s="1"/>
      <c r="AP975" s="1"/>
      <c r="AQ975" s="1"/>
      <c r="AR975" s="1"/>
      <c r="AS975" s="1"/>
      <c r="AT975" s="1"/>
      <c r="AU975" s="1"/>
      <c r="AV975" s="1"/>
      <c r="AW975" s="1"/>
      <c r="AX975" s="1"/>
      <c r="AY975" s="1"/>
      <c r="AZ975" s="1"/>
      <c r="BA975" s="1"/>
      <c r="BB975" s="1"/>
      <c r="BC975" s="1"/>
      <c r="BD975" s="296"/>
      <c r="BE975" s="1"/>
      <c r="BF975" s="1"/>
      <c r="BG975" s="20"/>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row>
    <row r="976" spans="1:115" ht="15.75" customHeight="1">
      <c r="A976" s="1"/>
      <c r="B976" s="1"/>
      <c r="C976" s="1"/>
      <c r="D976" s="1"/>
      <c r="E976" s="1"/>
      <c r="F976" s="1"/>
      <c r="G976" s="1"/>
      <c r="H976" s="1"/>
      <c r="I976" s="294"/>
      <c r="J976" s="294"/>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3"/>
      <c r="AJ976" s="1"/>
      <c r="AK976" s="295"/>
      <c r="AL976" s="1"/>
      <c r="AM976" s="1"/>
      <c r="AN976" s="1"/>
      <c r="AO976" s="1"/>
      <c r="AP976" s="1"/>
      <c r="AQ976" s="1"/>
      <c r="AR976" s="1"/>
      <c r="AS976" s="1"/>
      <c r="AT976" s="1"/>
      <c r="AU976" s="1"/>
      <c r="AV976" s="1"/>
      <c r="AW976" s="1"/>
      <c r="AX976" s="1"/>
      <c r="AY976" s="1"/>
      <c r="AZ976" s="1"/>
      <c r="BA976" s="1"/>
      <c r="BB976" s="1"/>
      <c r="BC976" s="1"/>
      <c r="BD976" s="296"/>
      <c r="BE976" s="1"/>
      <c r="BF976" s="1"/>
      <c r="BG976" s="20"/>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row>
    <row r="977" spans="1:115" ht="15.75" customHeight="1">
      <c r="A977" s="1"/>
      <c r="B977" s="1"/>
      <c r="C977" s="1"/>
      <c r="D977" s="1"/>
      <c r="E977" s="1"/>
      <c r="F977" s="1"/>
      <c r="G977" s="1"/>
      <c r="H977" s="1"/>
      <c r="I977" s="294"/>
      <c r="J977" s="294"/>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3"/>
      <c r="AJ977" s="1"/>
      <c r="AK977" s="295"/>
      <c r="AL977" s="1"/>
      <c r="AM977" s="1"/>
      <c r="AN977" s="1"/>
      <c r="AO977" s="1"/>
      <c r="AP977" s="1"/>
      <c r="AQ977" s="1"/>
      <c r="AR977" s="1"/>
      <c r="AS977" s="1"/>
      <c r="AT977" s="1"/>
      <c r="AU977" s="1"/>
      <c r="AV977" s="1"/>
      <c r="AW977" s="1"/>
      <c r="AX977" s="1"/>
      <c r="AY977" s="1"/>
      <c r="AZ977" s="1"/>
      <c r="BA977" s="1"/>
      <c r="BB977" s="1"/>
      <c r="BC977" s="1"/>
      <c r="BD977" s="296"/>
      <c r="BE977" s="1"/>
      <c r="BF977" s="1"/>
      <c r="BG977" s="20"/>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row>
    <row r="978" spans="1:115" ht="15.75" customHeight="1">
      <c r="A978" s="1"/>
      <c r="B978" s="1"/>
      <c r="C978" s="1"/>
      <c r="D978" s="1"/>
      <c r="E978" s="1"/>
      <c r="F978" s="1"/>
      <c r="G978" s="1"/>
      <c r="H978" s="1"/>
      <c r="I978" s="294"/>
      <c r="J978" s="294"/>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3"/>
      <c r="AJ978" s="1"/>
      <c r="AK978" s="295"/>
      <c r="AL978" s="1"/>
      <c r="AM978" s="1"/>
      <c r="AN978" s="1"/>
      <c r="AO978" s="1"/>
      <c r="AP978" s="1"/>
      <c r="AQ978" s="1"/>
      <c r="AR978" s="1"/>
      <c r="AS978" s="1"/>
      <c r="AT978" s="1"/>
      <c r="AU978" s="1"/>
      <c r="AV978" s="1"/>
      <c r="AW978" s="1"/>
      <c r="AX978" s="1"/>
      <c r="AY978" s="1"/>
      <c r="AZ978" s="1"/>
      <c r="BA978" s="1"/>
      <c r="BB978" s="1"/>
      <c r="BC978" s="1"/>
      <c r="BD978" s="296"/>
      <c r="BE978" s="1"/>
      <c r="BF978" s="1"/>
      <c r="BG978" s="20"/>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row>
    <row r="979" spans="1:115" ht="15.75" customHeight="1">
      <c r="A979" s="1"/>
      <c r="B979" s="1"/>
      <c r="C979" s="1"/>
      <c r="D979" s="1"/>
      <c r="E979" s="1"/>
      <c r="F979" s="1"/>
      <c r="G979" s="1"/>
      <c r="H979" s="1"/>
      <c r="I979" s="294"/>
      <c r="J979" s="294"/>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3"/>
      <c r="AJ979" s="1"/>
      <c r="AK979" s="295"/>
      <c r="AL979" s="1"/>
      <c r="AM979" s="1"/>
      <c r="AN979" s="1"/>
      <c r="AO979" s="1"/>
      <c r="AP979" s="1"/>
      <c r="AQ979" s="1"/>
      <c r="AR979" s="1"/>
      <c r="AS979" s="1"/>
      <c r="AT979" s="1"/>
      <c r="AU979" s="1"/>
      <c r="AV979" s="1"/>
      <c r="AW979" s="1"/>
      <c r="AX979" s="1"/>
      <c r="AY979" s="1"/>
      <c r="AZ979" s="1"/>
      <c r="BA979" s="1"/>
      <c r="BB979" s="1"/>
      <c r="BC979" s="1"/>
      <c r="BD979" s="296"/>
      <c r="BE979" s="1"/>
      <c r="BF979" s="1"/>
      <c r="BG979" s="20"/>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row>
    <row r="980" spans="1:115" ht="15.75" customHeight="1">
      <c r="A980" s="1"/>
      <c r="B980" s="1"/>
      <c r="C980" s="1"/>
      <c r="D980" s="1"/>
      <c r="E980" s="1"/>
      <c r="F980" s="1"/>
      <c r="G980" s="1"/>
      <c r="H980" s="1"/>
      <c r="I980" s="294"/>
      <c r="J980" s="294"/>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3"/>
      <c r="AJ980" s="1"/>
      <c r="AK980" s="295"/>
      <c r="AL980" s="1"/>
      <c r="AM980" s="1"/>
      <c r="AN980" s="1"/>
      <c r="AO980" s="1"/>
      <c r="AP980" s="1"/>
      <c r="AQ980" s="1"/>
      <c r="AR980" s="1"/>
      <c r="AS980" s="1"/>
      <c r="AT980" s="1"/>
      <c r="AU980" s="1"/>
      <c r="AV980" s="1"/>
      <c r="AW980" s="1"/>
      <c r="AX980" s="1"/>
      <c r="AY980" s="1"/>
      <c r="AZ980" s="1"/>
      <c r="BA980" s="1"/>
      <c r="BB980" s="1"/>
      <c r="BC980" s="1"/>
      <c r="BD980" s="296"/>
      <c r="BE980" s="1"/>
      <c r="BF980" s="1"/>
      <c r="BG980" s="20"/>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row>
    <row r="981" spans="1:115" ht="15.75" customHeight="1">
      <c r="A981" s="1"/>
      <c r="B981" s="1"/>
      <c r="C981" s="1"/>
      <c r="D981" s="1"/>
      <c r="E981" s="1"/>
      <c r="F981" s="1"/>
      <c r="G981" s="1"/>
      <c r="H981" s="1"/>
      <c r="I981" s="294"/>
      <c r="J981" s="294"/>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3"/>
      <c r="AJ981" s="1"/>
      <c r="AK981" s="295"/>
      <c r="AL981" s="1"/>
      <c r="AM981" s="1"/>
      <c r="AN981" s="1"/>
      <c r="AO981" s="1"/>
      <c r="AP981" s="1"/>
      <c r="AQ981" s="1"/>
      <c r="AR981" s="1"/>
      <c r="AS981" s="1"/>
      <c r="AT981" s="1"/>
      <c r="AU981" s="1"/>
      <c r="AV981" s="1"/>
      <c r="AW981" s="1"/>
      <c r="AX981" s="1"/>
      <c r="AY981" s="1"/>
      <c r="AZ981" s="1"/>
      <c r="BA981" s="1"/>
      <c r="BB981" s="1"/>
      <c r="BC981" s="1"/>
      <c r="BD981" s="296"/>
      <c r="BE981" s="1"/>
      <c r="BF981" s="1"/>
      <c r="BG981" s="20"/>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row>
    <row r="982" spans="1:115" ht="15.75" customHeight="1">
      <c r="A982" s="1"/>
      <c r="B982" s="1"/>
      <c r="C982" s="1"/>
      <c r="D982" s="1"/>
      <c r="E982" s="1"/>
      <c r="F982" s="1"/>
      <c r="G982" s="1"/>
      <c r="H982" s="1"/>
      <c r="I982" s="294"/>
      <c r="J982" s="294"/>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3"/>
      <c r="AJ982" s="1"/>
      <c r="AK982" s="295"/>
      <c r="AL982" s="1"/>
      <c r="AM982" s="1"/>
      <c r="AN982" s="1"/>
      <c r="AO982" s="1"/>
      <c r="AP982" s="1"/>
      <c r="AQ982" s="1"/>
      <c r="AR982" s="1"/>
      <c r="AS982" s="1"/>
      <c r="AT982" s="1"/>
      <c r="AU982" s="1"/>
      <c r="AV982" s="1"/>
      <c r="AW982" s="1"/>
      <c r="AX982" s="1"/>
      <c r="AY982" s="1"/>
      <c r="AZ982" s="1"/>
      <c r="BA982" s="1"/>
      <c r="BB982" s="1"/>
      <c r="BC982" s="1"/>
      <c r="BD982" s="296"/>
      <c r="BE982" s="1"/>
      <c r="BF982" s="1"/>
      <c r="BG982" s="20"/>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row>
    <row r="983" spans="1:115" ht="15.75" customHeight="1">
      <c r="A983" s="1"/>
      <c r="B983" s="1"/>
      <c r="C983" s="1"/>
      <c r="D983" s="1"/>
      <c r="E983" s="1"/>
      <c r="F983" s="1"/>
      <c r="G983" s="1"/>
      <c r="H983" s="1"/>
      <c r="I983" s="294"/>
      <c r="J983" s="294"/>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3"/>
      <c r="AJ983" s="1"/>
      <c r="AK983" s="295"/>
      <c r="AL983" s="1"/>
      <c r="AM983" s="1"/>
      <c r="AN983" s="1"/>
      <c r="AO983" s="1"/>
      <c r="AP983" s="1"/>
      <c r="AQ983" s="1"/>
      <c r="AR983" s="1"/>
      <c r="AS983" s="1"/>
      <c r="AT983" s="1"/>
      <c r="AU983" s="1"/>
      <c r="AV983" s="1"/>
      <c r="AW983" s="1"/>
      <c r="AX983" s="1"/>
      <c r="AY983" s="1"/>
      <c r="AZ983" s="1"/>
      <c r="BA983" s="1"/>
      <c r="BB983" s="1"/>
      <c r="BC983" s="1"/>
      <c r="BD983" s="296"/>
      <c r="BE983" s="1"/>
      <c r="BF983" s="1"/>
      <c r="BG983" s="20"/>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row>
    <row r="984" spans="1:115" ht="15.75" customHeight="1">
      <c r="A984" s="1"/>
      <c r="B984" s="1"/>
      <c r="C984" s="1"/>
      <c r="D984" s="1"/>
      <c r="E984" s="1"/>
      <c r="F984" s="1"/>
      <c r="G984" s="1"/>
      <c r="H984" s="1"/>
      <c r="I984" s="294"/>
      <c r="J984" s="294"/>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3"/>
      <c r="AJ984" s="1"/>
      <c r="AK984" s="295"/>
      <c r="AL984" s="1"/>
      <c r="AM984" s="1"/>
      <c r="AN984" s="1"/>
      <c r="AO984" s="1"/>
      <c r="AP984" s="1"/>
      <c r="AQ984" s="1"/>
      <c r="AR984" s="1"/>
      <c r="AS984" s="1"/>
      <c r="AT984" s="1"/>
      <c r="AU984" s="1"/>
      <c r="AV984" s="1"/>
      <c r="AW984" s="1"/>
      <c r="AX984" s="1"/>
      <c r="AY984" s="1"/>
      <c r="AZ984" s="1"/>
      <c r="BA984" s="1"/>
      <c r="BB984" s="1"/>
      <c r="BC984" s="1"/>
      <c r="BD984" s="296"/>
      <c r="BE984" s="1"/>
      <c r="BF984" s="1"/>
      <c r="BG984" s="20"/>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row>
    <row r="985" spans="1:115" ht="15.75" customHeight="1">
      <c r="A985" s="1"/>
      <c r="B985" s="1"/>
      <c r="C985" s="1"/>
      <c r="D985" s="1"/>
      <c r="E985" s="1"/>
      <c r="F985" s="1"/>
      <c r="G985" s="1"/>
      <c r="H985" s="1"/>
      <c r="I985" s="294"/>
      <c r="J985" s="294"/>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3"/>
      <c r="AJ985" s="1"/>
      <c r="AK985" s="295"/>
      <c r="AL985" s="1"/>
      <c r="AM985" s="1"/>
      <c r="AN985" s="1"/>
      <c r="AO985" s="1"/>
      <c r="AP985" s="1"/>
      <c r="AQ985" s="1"/>
      <c r="AR985" s="1"/>
      <c r="AS985" s="1"/>
      <c r="AT985" s="1"/>
      <c r="AU985" s="1"/>
      <c r="AV985" s="1"/>
      <c r="AW985" s="1"/>
      <c r="AX985" s="1"/>
      <c r="AY985" s="1"/>
      <c r="AZ985" s="1"/>
      <c r="BA985" s="1"/>
      <c r="BB985" s="1"/>
      <c r="BC985" s="1"/>
      <c r="BD985" s="296"/>
      <c r="BE985" s="1"/>
      <c r="BF985" s="1"/>
      <c r="BG985" s="20"/>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row>
    <row r="986" spans="1:115" ht="15.75" customHeight="1">
      <c r="A986" s="1"/>
      <c r="B986" s="1"/>
      <c r="C986" s="1"/>
      <c r="D986" s="1"/>
      <c r="E986" s="1"/>
      <c r="F986" s="1"/>
      <c r="G986" s="1"/>
      <c r="H986" s="1"/>
      <c r="I986" s="294"/>
      <c r="J986" s="294"/>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3"/>
      <c r="AJ986" s="1"/>
      <c r="AK986" s="295"/>
      <c r="AL986" s="1"/>
      <c r="AM986" s="1"/>
      <c r="AN986" s="1"/>
      <c r="AO986" s="1"/>
      <c r="AP986" s="1"/>
      <c r="AQ986" s="1"/>
      <c r="AR986" s="1"/>
      <c r="AS986" s="1"/>
      <c r="AT986" s="1"/>
      <c r="AU986" s="1"/>
      <c r="AV986" s="1"/>
      <c r="AW986" s="1"/>
      <c r="AX986" s="1"/>
      <c r="AY986" s="1"/>
      <c r="AZ986" s="1"/>
      <c r="BA986" s="1"/>
      <c r="BB986" s="1"/>
      <c r="BC986" s="1"/>
      <c r="BD986" s="296"/>
      <c r="BE986" s="1"/>
      <c r="BF986" s="1"/>
      <c r="BG986" s="20"/>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row>
    <row r="987" spans="1:115" ht="15.75" customHeight="1">
      <c r="A987" s="1"/>
      <c r="B987" s="1"/>
      <c r="C987" s="1"/>
      <c r="D987" s="1"/>
      <c r="E987" s="1"/>
      <c r="F987" s="1"/>
      <c r="G987" s="1"/>
      <c r="H987" s="1"/>
      <c r="I987" s="294"/>
      <c r="J987" s="294"/>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3"/>
      <c r="AJ987" s="1"/>
      <c r="AK987" s="295"/>
      <c r="AL987" s="1"/>
      <c r="AM987" s="1"/>
      <c r="AN987" s="1"/>
      <c r="AO987" s="1"/>
      <c r="AP987" s="1"/>
      <c r="AQ987" s="1"/>
      <c r="AR987" s="1"/>
      <c r="AS987" s="1"/>
      <c r="AT987" s="1"/>
      <c r="AU987" s="1"/>
      <c r="AV987" s="1"/>
      <c r="AW987" s="1"/>
      <c r="AX987" s="1"/>
      <c r="AY987" s="1"/>
      <c r="AZ987" s="1"/>
      <c r="BA987" s="1"/>
      <c r="BB987" s="1"/>
      <c r="BC987" s="1"/>
      <c r="BD987" s="296"/>
      <c r="BE987" s="1"/>
      <c r="BF987" s="1"/>
      <c r="BG987" s="20"/>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row>
    <row r="988" spans="1:115" ht="15.75" customHeight="1">
      <c r="A988" s="1"/>
      <c r="B988" s="1"/>
      <c r="C988" s="1"/>
      <c r="D988" s="1"/>
      <c r="E988" s="1"/>
      <c r="F988" s="1"/>
      <c r="G988" s="1"/>
      <c r="H988" s="1"/>
      <c r="I988" s="294"/>
      <c r="J988" s="294"/>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3"/>
      <c r="AJ988" s="1"/>
      <c r="AK988" s="295"/>
      <c r="AL988" s="1"/>
      <c r="AM988" s="1"/>
      <c r="AN988" s="1"/>
      <c r="AO988" s="1"/>
      <c r="AP988" s="1"/>
      <c r="AQ988" s="1"/>
      <c r="AR988" s="1"/>
      <c r="AS988" s="1"/>
      <c r="AT988" s="1"/>
      <c r="AU988" s="1"/>
      <c r="AV988" s="1"/>
      <c r="AW988" s="1"/>
      <c r="AX988" s="1"/>
      <c r="AY988" s="1"/>
      <c r="AZ988" s="1"/>
      <c r="BA988" s="1"/>
      <c r="BB988" s="1"/>
      <c r="BC988" s="1"/>
      <c r="BD988" s="296"/>
      <c r="BE988" s="1"/>
      <c r="BF988" s="1"/>
      <c r="BG988" s="20"/>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row>
    <row r="989" spans="1:115" ht="15.75" customHeight="1">
      <c r="A989" s="1"/>
      <c r="B989" s="1"/>
      <c r="C989" s="1"/>
      <c r="D989" s="1"/>
      <c r="E989" s="1"/>
      <c r="F989" s="1"/>
      <c r="G989" s="1"/>
      <c r="H989" s="1"/>
      <c r="I989" s="294"/>
      <c r="J989" s="294"/>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3"/>
      <c r="AJ989" s="1"/>
      <c r="AK989" s="295"/>
      <c r="AL989" s="1"/>
      <c r="AM989" s="1"/>
      <c r="AN989" s="1"/>
      <c r="AO989" s="1"/>
      <c r="AP989" s="1"/>
      <c r="AQ989" s="1"/>
      <c r="AR989" s="1"/>
      <c r="AS989" s="1"/>
      <c r="AT989" s="1"/>
      <c r="AU989" s="1"/>
      <c r="AV989" s="1"/>
      <c r="AW989" s="1"/>
      <c r="AX989" s="1"/>
      <c r="AY989" s="1"/>
      <c r="AZ989" s="1"/>
      <c r="BA989" s="1"/>
      <c r="BB989" s="1"/>
      <c r="BC989" s="1"/>
      <c r="BD989" s="296"/>
      <c r="BE989" s="1"/>
      <c r="BF989" s="1"/>
      <c r="BG989" s="20"/>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row>
    <row r="990" spans="1:115" ht="15.75" customHeight="1">
      <c r="A990" s="1"/>
      <c r="B990" s="1"/>
      <c r="C990" s="1"/>
      <c r="D990" s="1"/>
      <c r="E990" s="1"/>
      <c r="F990" s="1"/>
      <c r="G990" s="1"/>
      <c r="H990" s="1"/>
      <c r="I990" s="294"/>
      <c r="J990" s="294"/>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3"/>
      <c r="AJ990" s="1"/>
      <c r="AK990" s="295"/>
      <c r="AL990" s="1"/>
      <c r="AM990" s="1"/>
      <c r="AN990" s="1"/>
      <c r="AO990" s="1"/>
      <c r="AP990" s="1"/>
      <c r="AQ990" s="1"/>
      <c r="AR990" s="1"/>
      <c r="AS990" s="1"/>
      <c r="AT990" s="1"/>
      <c r="AU990" s="1"/>
      <c r="AV990" s="1"/>
      <c r="AW990" s="1"/>
      <c r="AX990" s="1"/>
      <c r="AY990" s="1"/>
      <c r="AZ990" s="1"/>
      <c r="BA990" s="1"/>
      <c r="BB990" s="1"/>
      <c r="BC990" s="1"/>
      <c r="BD990" s="296"/>
      <c r="BE990" s="1"/>
      <c r="BF990" s="1"/>
      <c r="BG990" s="20"/>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row>
    <row r="991" spans="1:115" ht="15.75" customHeight="1">
      <c r="A991" s="1"/>
      <c r="B991" s="1"/>
      <c r="C991" s="1"/>
      <c r="D991" s="1"/>
      <c r="E991" s="1"/>
      <c r="F991" s="1"/>
      <c r="G991" s="1"/>
      <c r="H991" s="1"/>
      <c r="I991" s="294"/>
      <c r="J991" s="294"/>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3"/>
      <c r="AJ991" s="1"/>
      <c r="AK991" s="295"/>
      <c r="AL991" s="1"/>
      <c r="AM991" s="1"/>
      <c r="AN991" s="1"/>
      <c r="AO991" s="1"/>
      <c r="AP991" s="1"/>
      <c r="AQ991" s="1"/>
      <c r="AR991" s="1"/>
      <c r="AS991" s="1"/>
      <c r="AT991" s="1"/>
      <c r="AU991" s="1"/>
      <c r="AV991" s="1"/>
      <c r="AW991" s="1"/>
      <c r="AX991" s="1"/>
      <c r="AY991" s="1"/>
      <c r="AZ991" s="1"/>
      <c r="BA991" s="1"/>
      <c r="BB991" s="1"/>
      <c r="BC991" s="1"/>
      <c r="BD991" s="296"/>
      <c r="BE991" s="1"/>
      <c r="BF991" s="1"/>
      <c r="BG991" s="20"/>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row>
    <row r="992" spans="1:115" ht="15.75" customHeight="1">
      <c r="A992" s="1"/>
      <c r="B992" s="1"/>
      <c r="C992" s="1"/>
      <c r="D992" s="1"/>
      <c r="E992" s="1"/>
      <c r="F992" s="1"/>
      <c r="G992" s="1"/>
      <c r="H992" s="1"/>
      <c r="I992" s="294"/>
      <c r="J992" s="294"/>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3"/>
      <c r="AJ992" s="1"/>
      <c r="AK992" s="295"/>
      <c r="AL992" s="1"/>
      <c r="AM992" s="1"/>
      <c r="AN992" s="1"/>
      <c r="AO992" s="1"/>
      <c r="AP992" s="1"/>
      <c r="AQ992" s="1"/>
      <c r="AR992" s="1"/>
      <c r="AS992" s="1"/>
      <c r="AT992" s="1"/>
      <c r="AU992" s="1"/>
      <c r="AV992" s="1"/>
      <c r="AW992" s="1"/>
      <c r="AX992" s="1"/>
      <c r="AY992" s="1"/>
      <c r="AZ992" s="1"/>
      <c r="BA992" s="1"/>
      <c r="BB992" s="1"/>
      <c r="BC992" s="1"/>
      <c r="BD992" s="296"/>
      <c r="BE992" s="1"/>
      <c r="BF992" s="1"/>
      <c r="BG992" s="20"/>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row>
    <row r="993" spans="1:115" ht="15.75" customHeight="1">
      <c r="A993" s="1"/>
      <c r="B993" s="1"/>
      <c r="C993" s="1"/>
      <c r="D993" s="1"/>
      <c r="E993" s="1"/>
      <c r="F993" s="1"/>
      <c r="G993" s="1"/>
      <c r="H993" s="1"/>
      <c r="I993" s="294"/>
      <c r="J993" s="294"/>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3"/>
      <c r="AJ993" s="1"/>
      <c r="AK993" s="295"/>
      <c r="AL993" s="1"/>
      <c r="AM993" s="1"/>
      <c r="AN993" s="1"/>
      <c r="AO993" s="1"/>
      <c r="AP993" s="1"/>
      <c r="AQ993" s="1"/>
      <c r="AR993" s="1"/>
      <c r="AS993" s="1"/>
      <c r="AT993" s="1"/>
      <c r="AU993" s="1"/>
      <c r="AV993" s="1"/>
      <c r="AW993" s="1"/>
      <c r="AX993" s="1"/>
      <c r="AY993" s="1"/>
      <c r="AZ993" s="1"/>
      <c r="BA993" s="1"/>
      <c r="BB993" s="1"/>
      <c r="BC993" s="1"/>
      <c r="BD993" s="296"/>
      <c r="BE993" s="1"/>
      <c r="BF993" s="1"/>
      <c r="BG993" s="20"/>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row>
    <row r="994" spans="1:115" ht="15.75" customHeight="1">
      <c r="A994" s="1"/>
      <c r="B994" s="1"/>
      <c r="C994" s="1"/>
      <c r="D994" s="1"/>
      <c r="E994" s="1"/>
      <c r="F994" s="1"/>
      <c r="G994" s="1"/>
      <c r="H994" s="1"/>
      <c r="I994" s="294"/>
      <c r="J994" s="294"/>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3"/>
      <c r="AJ994" s="1"/>
      <c r="AK994" s="295"/>
      <c r="AL994" s="1"/>
      <c r="AM994" s="1"/>
      <c r="AN994" s="1"/>
      <c r="AO994" s="1"/>
      <c r="AP994" s="1"/>
      <c r="AQ994" s="1"/>
      <c r="AR994" s="1"/>
      <c r="AS994" s="1"/>
      <c r="AT994" s="1"/>
      <c r="AU994" s="1"/>
      <c r="AV994" s="1"/>
      <c r="AW994" s="1"/>
      <c r="AX994" s="1"/>
      <c r="AY994" s="1"/>
      <c r="AZ994" s="1"/>
      <c r="BA994" s="1"/>
      <c r="BB994" s="1"/>
      <c r="BC994" s="1"/>
      <c r="BD994" s="296"/>
      <c r="BE994" s="1"/>
      <c r="BF994" s="1"/>
      <c r="BG994" s="20"/>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row>
    <row r="995" spans="1:115" ht="15.75" customHeight="1">
      <c r="A995" s="1"/>
      <c r="B995" s="1"/>
      <c r="C995" s="1"/>
      <c r="D995" s="1"/>
      <c r="E995" s="1"/>
      <c r="F995" s="1"/>
      <c r="G995" s="1"/>
      <c r="H995" s="1"/>
      <c r="I995" s="294"/>
      <c r="J995" s="294"/>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3"/>
      <c r="AJ995" s="1"/>
      <c r="AK995" s="295"/>
      <c r="AL995" s="1"/>
      <c r="AM995" s="1"/>
      <c r="AN995" s="1"/>
      <c r="AO995" s="1"/>
      <c r="AP995" s="1"/>
      <c r="AQ995" s="1"/>
      <c r="AR995" s="1"/>
      <c r="AS995" s="1"/>
      <c r="AT995" s="1"/>
      <c r="AU995" s="1"/>
      <c r="AV995" s="1"/>
      <c r="AW995" s="1"/>
      <c r="AX995" s="1"/>
      <c r="AY995" s="1"/>
      <c r="AZ995" s="1"/>
      <c r="BA995" s="1"/>
      <c r="BB995" s="1"/>
      <c r="BC995" s="1"/>
      <c r="BD995" s="296"/>
      <c r="BE995" s="1"/>
      <c r="BF995" s="1"/>
      <c r="BG995" s="20"/>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row>
    <row r="996" spans="1:115" ht="15.75" customHeight="1">
      <c r="A996" s="1"/>
      <c r="B996" s="1"/>
      <c r="C996" s="1"/>
      <c r="D996" s="1"/>
      <c r="E996" s="1"/>
      <c r="F996" s="1"/>
      <c r="G996" s="1"/>
      <c r="H996" s="1"/>
      <c r="I996" s="294"/>
      <c r="J996" s="294"/>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3"/>
      <c r="AJ996" s="1"/>
      <c r="AK996" s="295"/>
      <c r="AL996" s="1"/>
      <c r="AM996" s="1"/>
      <c r="AN996" s="1"/>
      <c r="AO996" s="1"/>
      <c r="AP996" s="1"/>
      <c r="AQ996" s="1"/>
      <c r="AR996" s="1"/>
      <c r="AS996" s="1"/>
      <c r="AT996" s="1"/>
      <c r="AU996" s="1"/>
      <c r="AV996" s="1"/>
      <c r="AW996" s="1"/>
      <c r="AX996" s="1"/>
      <c r="AY996" s="1"/>
      <c r="AZ996" s="1"/>
      <c r="BA996" s="1"/>
      <c r="BB996" s="1"/>
      <c r="BC996" s="1"/>
      <c r="BD996" s="296"/>
      <c r="BE996" s="1"/>
      <c r="BF996" s="1"/>
      <c r="BG996" s="20"/>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row>
    <row r="997" spans="1:115" ht="15.75" customHeight="1">
      <c r="A997" s="1"/>
      <c r="B997" s="1"/>
      <c r="C997" s="1"/>
      <c r="D997" s="1"/>
      <c r="E997" s="1"/>
      <c r="F997" s="1"/>
      <c r="G997" s="1"/>
      <c r="H997" s="1"/>
      <c r="I997" s="294"/>
      <c r="J997" s="294"/>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3"/>
      <c r="AJ997" s="1"/>
      <c r="AK997" s="295"/>
      <c r="AL997" s="1"/>
      <c r="AM997" s="1"/>
      <c r="AN997" s="1"/>
      <c r="AO997" s="1"/>
      <c r="AP997" s="1"/>
      <c r="AQ997" s="1"/>
      <c r="AR997" s="1"/>
      <c r="AS997" s="1"/>
      <c r="AT997" s="1"/>
      <c r="AU997" s="1"/>
      <c r="AV997" s="1"/>
      <c r="AW997" s="1"/>
      <c r="AX997" s="1"/>
      <c r="AY997" s="1"/>
      <c r="AZ997" s="1"/>
      <c r="BA997" s="1"/>
      <c r="BB997" s="1"/>
      <c r="BC997" s="1"/>
      <c r="BD997" s="296"/>
      <c r="BE997" s="1"/>
      <c r="BF997" s="1"/>
      <c r="BG997" s="20"/>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row>
    <row r="998" spans="1:115" ht="15.75" customHeight="1">
      <c r="A998" s="1"/>
      <c r="B998" s="1"/>
      <c r="C998" s="1"/>
      <c r="D998" s="1"/>
      <c r="E998" s="1"/>
      <c r="F998" s="1"/>
      <c r="G998" s="1"/>
      <c r="H998" s="1"/>
      <c r="I998" s="294"/>
      <c r="J998" s="294"/>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3"/>
      <c r="AJ998" s="1"/>
      <c r="AK998" s="295"/>
      <c r="AL998" s="1"/>
      <c r="AM998" s="1"/>
      <c r="AN998" s="1"/>
      <c r="AO998" s="1"/>
      <c r="AP998" s="1"/>
      <c r="AQ998" s="1"/>
      <c r="AR998" s="1"/>
      <c r="AS998" s="1"/>
      <c r="AT998" s="1"/>
      <c r="AU998" s="1"/>
      <c r="AV998" s="1"/>
      <c r="AW998" s="1"/>
      <c r="AX998" s="1"/>
      <c r="AY998" s="1"/>
      <c r="AZ998" s="1"/>
      <c r="BA998" s="1"/>
      <c r="BB998" s="1"/>
      <c r="BC998" s="1"/>
      <c r="BD998" s="296"/>
      <c r="BE998" s="1"/>
      <c r="BF998" s="1"/>
      <c r="BG998" s="20"/>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row>
    <row r="999" spans="1:115" ht="15.75" customHeight="1">
      <c r="A999" s="1"/>
      <c r="B999" s="1"/>
      <c r="C999" s="1"/>
      <c r="D999" s="1"/>
      <c r="E999" s="1"/>
      <c r="F999" s="1"/>
      <c r="G999" s="1"/>
      <c r="H999" s="1"/>
      <c r="I999" s="294"/>
      <c r="J999" s="294"/>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3"/>
      <c r="AJ999" s="1"/>
      <c r="AK999" s="295"/>
      <c r="AL999" s="1"/>
      <c r="AM999" s="1"/>
      <c r="AN999" s="1"/>
      <c r="AO999" s="1"/>
      <c r="AP999" s="1"/>
      <c r="AQ999" s="1"/>
      <c r="AR999" s="1"/>
      <c r="AS999" s="1"/>
      <c r="AT999" s="1"/>
      <c r="AU999" s="1"/>
      <c r="AV999" s="1"/>
      <c r="AW999" s="1"/>
      <c r="AX999" s="1"/>
      <c r="AY999" s="1"/>
      <c r="AZ999" s="1"/>
      <c r="BA999" s="1"/>
      <c r="BB999" s="1"/>
      <c r="BC999" s="1"/>
      <c r="BD999" s="296"/>
      <c r="BE999" s="1"/>
      <c r="BF999" s="1"/>
      <c r="BG999" s="20"/>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row>
    <row r="1000" spans="1:115" ht="15.75" customHeight="1">
      <c r="A1000" s="1"/>
      <c r="B1000" s="1"/>
      <c r="C1000" s="1"/>
      <c r="D1000" s="1"/>
      <c r="E1000" s="1"/>
      <c r="F1000" s="1"/>
      <c r="G1000" s="1"/>
      <c r="H1000" s="1"/>
      <c r="I1000" s="294"/>
      <c r="J1000" s="294"/>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3"/>
      <c r="AJ1000" s="1"/>
      <c r="AK1000" s="295"/>
      <c r="AL1000" s="1"/>
      <c r="AM1000" s="1"/>
      <c r="AN1000" s="1"/>
      <c r="AO1000" s="1"/>
      <c r="AP1000" s="1"/>
      <c r="AQ1000" s="1"/>
      <c r="AR1000" s="1"/>
      <c r="AS1000" s="1"/>
      <c r="AT1000" s="1"/>
      <c r="AU1000" s="1"/>
      <c r="AV1000" s="1"/>
      <c r="AW1000" s="1"/>
      <c r="AX1000" s="1"/>
      <c r="AY1000" s="1"/>
      <c r="AZ1000" s="1"/>
      <c r="BA1000" s="1"/>
      <c r="BB1000" s="1"/>
      <c r="BC1000" s="1"/>
      <c r="BD1000" s="296"/>
      <c r="BE1000" s="1"/>
      <c r="BF1000" s="1"/>
      <c r="BG1000" s="20"/>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row>
    <row r="1001" spans="1:115" ht="15.75" customHeight="1">
      <c r="A1001" s="1"/>
      <c r="B1001" s="1"/>
      <c r="C1001" s="1"/>
      <c r="D1001" s="1"/>
      <c r="E1001" s="1"/>
      <c r="F1001" s="1"/>
      <c r="G1001" s="1"/>
      <c r="H1001" s="1"/>
      <c r="I1001" s="294"/>
      <c r="J1001" s="294"/>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3"/>
      <c r="AJ1001" s="1"/>
      <c r="AK1001" s="295"/>
      <c r="AL1001" s="1"/>
      <c r="AM1001" s="1"/>
      <c r="AN1001" s="1"/>
      <c r="AO1001" s="1"/>
      <c r="AP1001" s="1"/>
      <c r="AQ1001" s="1"/>
      <c r="AR1001" s="1"/>
      <c r="AS1001" s="1"/>
      <c r="AT1001" s="1"/>
      <c r="AU1001" s="1"/>
      <c r="AV1001" s="1"/>
      <c r="AW1001" s="1"/>
      <c r="AX1001" s="1"/>
      <c r="AY1001" s="1"/>
      <c r="AZ1001" s="1"/>
      <c r="BA1001" s="1"/>
      <c r="BB1001" s="1"/>
      <c r="BC1001" s="1"/>
      <c r="BD1001" s="296"/>
      <c r="BE1001" s="1"/>
      <c r="BF1001" s="1"/>
      <c r="BG1001" s="20"/>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row>
    <row r="1002" spans="1:115" ht="15.75" customHeight="1">
      <c r="A1002" s="1"/>
      <c r="B1002" s="1"/>
      <c r="C1002" s="1"/>
      <c r="D1002" s="1"/>
      <c r="E1002" s="1"/>
      <c r="F1002" s="1"/>
      <c r="G1002" s="1"/>
      <c r="H1002" s="1"/>
      <c r="I1002" s="294"/>
      <c r="J1002" s="294"/>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3"/>
      <c r="AJ1002" s="1"/>
      <c r="AK1002" s="295"/>
      <c r="AL1002" s="1"/>
      <c r="AM1002" s="1"/>
      <c r="AN1002" s="1"/>
      <c r="AO1002" s="1"/>
      <c r="AP1002" s="1"/>
      <c r="AQ1002" s="1"/>
      <c r="AR1002" s="1"/>
      <c r="AS1002" s="1"/>
      <c r="AT1002" s="1"/>
      <c r="AU1002" s="1"/>
      <c r="AV1002" s="1"/>
      <c r="AW1002" s="1"/>
      <c r="AX1002" s="1"/>
      <c r="AY1002" s="1"/>
      <c r="AZ1002" s="1"/>
      <c r="BA1002" s="1"/>
      <c r="BB1002" s="1"/>
      <c r="BC1002" s="1"/>
      <c r="BD1002" s="296"/>
      <c r="BE1002" s="1"/>
      <c r="BF1002" s="1"/>
      <c r="BG1002" s="20"/>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row>
    <row r="1003" spans="1:115" ht="15.75" customHeight="1">
      <c r="A1003" s="1"/>
      <c r="B1003" s="1"/>
      <c r="C1003" s="1"/>
      <c r="D1003" s="1"/>
      <c r="E1003" s="1"/>
      <c r="F1003" s="1"/>
      <c r="G1003" s="1"/>
      <c r="H1003" s="1"/>
      <c r="I1003" s="294"/>
      <c r="J1003" s="294"/>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3"/>
      <c r="AJ1003" s="1"/>
      <c r="AK1003" s="295"/>
      <c r="AL1003" s="1"/>
      <c r="AM1003" s="1"/>
      <c r="AN1003" s="1"/>
      <c r="AO1003" s="1"/>
      <c r="AP1003" s="1"/>
      <c r="AQ1003" s="1"/>
      <c r="AR1003" s="1"/>
      <c r="AS1003" s="1"/>
      <c r="AT1003" s="1"/>
      <c r="AU1003" s="1"/>
      <c r="AV1003" s="1"/>
      <c r="AW1003" s="1"/>
      <c r="AX1003" s="1"/>
      <c r="AY1003" s="1"/>
      <c r="AZ1003" s="1"/>
      <c r="BA1003" s="1"/>
      <c r="BB1003" s="1"/>
      <c r="BC1003" s="1"/>
      <c r="BD1003" s="296"/>
      <c r="BE1003" s="1"/>
      <c r="BF1003" s="1"/>
      <c r="BG1003" s="20"/>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row>
    <row r="1004" spans="1:115" ht="15.75" customHeight="1">
      <c r="A1004" s="1"/>
      <c r="B1004" s="1"/>
      <c r="C1004" s="1"/>
      <c r="D1004" s="1"/>
      <c r="E1004" s="1"/>
      <c r="F1004" s="1"/>
      <c r="G1004" s="1"/>
      <c r="H1004" s="1"/>
      <c r="I1004" s="294"/>
      <c r="J1004" s="294"/>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3"/>
      <c r="AJ1004" s="1"/>
      <c r="AK1004" s="295"/>
      <c r="AL1004" s="1"/>
      <c r="AM1004" s="1"/>
      <c r="AN1004" s="1"/>
      <c r="AO1004" s="1"/>
      <c r="AP1004" s="1"/>
      <c r="AQ1004" s="1"/>
      <c r="AR1004" s="1"/>
      <c r="AS1004" s="1"/>
      <c r="AT1004" s="1"/>
      <c r="AU1004" s="1"/>
      <c r="AV1004" s="1"/>
      <c r="AW1004" s="1"/>
      <c r="AX1004" s="1"/>
      <c r="AY1004" s="1"/>
      <c r="AZ1004" s="1"/>
      <c r="BA1004" s="1"/>
      <c r="BB1004" s="1"/>
      <c r="BC1004" s="1"/>
      <c r="BD1004" s="296"/>
      <c r="BE1004" s="1"/>
      <c r="BF1004" s="1"/>
      <c r="BG1004" s="20"/>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row>
    <row r="1005" spans="1:115" ht="15.75" customHeight="1">
      <c r="A1005" s="1"/>
      <c r="B1005" s="1"/>
      <c r="C1005" s="1"/>
      <c r="D1005" s="1"/>
      <c r="E1005" s="1"/>
      <c r="F1005" s="1"/>
      <c r="G1005" s="1"/>
      <c r="H1005" s="1"/>
      <c r="I1005" s="294"/>
      <c r="J1005" s="294"/>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3"/>
      <c r="AJ1005" s="1"/>
      <c r="AK1005" s="295"/>
      <c r="AL1005" s="1"/>
      <c r="AM1005" s="1"/>
      <c r="AN1005" s="1"/>
      <c r="AO1005" s="1"/>
      <c r="AP1005" s="1"/>
      <c r="AQ1005" s="1"/>
      <c r="AR1005" s="1"/>
      <c r="AS1005" s="1"/>
      <c r="AT1005" s="1"/>
      <c r="AU1005" s="1"/>
      <c r="AV1005" s="1"/>
      <c r="AW1005" s="1"/>
      <c r="AX1005" s="1"/>
      <c r="AY1005" s="1"/>
      <c r="AZ1005" s="1"/>
      <c r="BA1005" s="1"/>
      <c r="BB1005" s="1"/>
      <c r="BC1005" s="1"/>
      <c r="BD1005" s="296"/>
      <c r="BE1005" s="1"/>
      <c r="BF1005" s="1"/>
      <c r="BG1005" s="20"/>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row>
    <row r="1006" spans="1:115" ht="15.75" customHeight="1">
      <c r="A1006" s="1"/>
      <c r="B1006" s="1"/>
      <c r="C1006" s="1"/>
      <c r="D1006" s="1"/>
      <c r="E1006" s="1"/>
      <c r="F1006" s="1"/>
      <c r="G1006" s="1"/>
      <c r="H1006" s="1"/>
      <c r="I1006" s="294"/>
      <c r="J1006" s="294"/>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3"/>
      <c r="AJ1006" s="1"/>
      <c r="AK1006" s="295"/>
      <c r="AL1006" s="1"/>
      <c r="AM1006" s="1"/>
      <c r="AN1006" s="1"/>
      <c r="AO1006" s="1"/>
      <c r="AP1006" s="1"/>
      <c r="AQ1006" s="1"/>
      <c r="AR1006" s="1"/>
      <c r="AS1006" s="1"/>
      <c r="AT1006" s="1"/>
      <c r="AU1006" s="1"/>
      <c r="AV1006" s="1"/>
      <c r="AW1006" s="1"/>
      <c r="AX1006" s="1"/>
      <c r="AY1006" s="1"/>
      <c r="AZ1006" s="1"/>
      <c r="BA1006" s="1"/>
      <c r="BB1006" s="1"/>
      <c r="BC1006" s="1"/>
      <c r="BD1006" s="296"/>
      <c r="BE1006" s="1"/>
      <c r="BF1006" s="1"/>
      <c r="BG1006" s="20"/>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row>
    <row r="1007" spans="1:115" ht="15.75" customHeight="1">
      <c r="A1007" s="1"/>
      <c r="B1007" s="1"/>
      <c r="C1007" s="1"/>
      <c r="D1007" s="1"/>
      <c r="E1007" s="1"/>
      <c r="F1007" s="1"/>
      <c r="G1007" s="1"/>
      <c r="H1007" s="1"/>
      <c r="I1007" s="294"/>
      <c r="J1007" s="294"/>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3"/>
      <c r="AJ1007" s="1"/>
      <c r="AK1007" s="295"/>
      <c r="AL1007" s="1"/>
      <c r="AM1007" s="1"/>
      <c r="AN1007" s="1"/>
      <c r="AO1007" s="1"/>
      <c r="AP1007" s="1"/>
      <c r="AQ1007" s="1"/>
      <c r="AR1007" s="1"/>
      <c r="AS1007" s="1"/>
      <c r="AT1007" s="1"/>
      <c r="AU1007" s="1"/>
      <c r="AV1007" s="1"/>
      <c r="AW1007" s="1"/>
      <c r="AX1007" s="1"/>
      <c r="AY1007" s="1"/>
      <c r="AZ1007" s="1"/>
      <c r="BA1007" s="1"/>
      <c r="BB1007" s="1"/>
      <c r="BC1007" s="1"/>
      <c r="BD1007" s="296"/>
      <c r="BE1007" s="1"/>
      <c r="BF1007" s="1"/>
      <c r="BG1007" s="20"/>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row>
    <row r="1008" spans="1:115" ht="15.75" customHeight="1">
      <c r="A1008" s="1"/>
      <c r="B1008" s="1"/>
      <c r="C1008" s="1"/>
      <c r="D1008" s="1"/>
      <c r="E1008" s="1"/>
      <c r="F1008" s="1"/>
      <c r="G1008" s="1"/>
      <c r="H1008" s="1"/>
      <c r="I1008" s="294"/>
      <c r="J1008" s="294"/>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3"/>
      <c r="AJ1008" s="1"/>
      <c r="AK1008" s="295"/>
      <c r="AL1008" s="1"/>
      <c r="AM1008" s="1"/>
      <c r="AN1008" s="1"/>
      <c r="AO1008" s="1"/>
      <c r="AP1008" s="1"/>
      <c r="AQ1008" s="1"/>
      <c r="AR1008" s="1"/>
      <c r="AS1008" s="1"/>
      <c r="AT1008" s="1"/>
      <c r="AU1008" s="1"/>
      <c r="AV1008" s="1"/>
      <c r="AW1008" s="1"/>
      <c r="AX1008" s="1"/>
      <c r="AY1008" s="1"/>
      <c r="AZ1008" s="1"/>
      <c r="BA1008" s="1"/>
      <c r="BB1008" s="1"/>
      <c r="BC1008" s="1"/>
      <c r="BD1008" s="296"/>
      <c r="BE1008" s="1"/>
      <c r="BF1008" s="1"/>
      <c r="BG1008" s="20"/>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row>
    <row r="1009" spans="1:115" ht="15.75" customHeight="1">
      <c r="A1009" s="1"/>
      <c r="B1009" s="1"/>
      <c r="C1009" s="1"/>
      <c r="D1009" s="1"/>
      <c r="E1009" s="1"/>
      <c r="F1009" s="1"/>
      <c r="G1009" s="1"/>
      <c r="H1009" s="1"/>
      <c r="I1009" s="294"/>
      <c r="J1009" s="294"/>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3"/>
      <c r="AJ1009" s="1"/>
      <c r="AK1009" s="295"/>
      <c r="AL1009" s="1"/>
      <c r="AM1009" s="1"/>
      <c r="AN1009" s="1"/>
      <c r="AO1009" s="1"/>
      <c r="AP1009" s="1"/>
      <c r="AQ1009" s="1"/>
      <c r="AR1009" s="1"/>
      <c r="AS1009" s="1"/>
      <c r="AT1009" s="1"/>
      <c r="AU1009" s="1"/>
      <c r="AV1009" s="1"/>
      <c r="AW1009" s="1"/>
      <c r="AX1009" s="1"/>
      <c r="AY1009" s="1"/>
      <c r="AZ1009" s="1"/>
      <c r="BA1009" s="1"/>
      <c r="BB1009" s="1"/>
      <c r="BC1009" s="1"/>
      <c r="BD1009" s="296"/>
      <c r="BE1009" s="1"/>
      <c r="BF1009" s="1"/>
      <c r="BG1009" s="20"/>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row>
    <row r="1010" spans="1:115" ht="15.75" customHeight="1">
      <c r="A1010" s="1"/>
      <c r="B1010" s="1"/>
      <c r="C1010" s="1"/>
      <c r="D1010" s="1"/>
      <c r="E1010" s="1"/>
      <c r="F1010" s="1"/>
      <c r="G1010" s="1"/>
      <c r="H1010" s="1"/>
      <c r="I1010" s="294"/>
      <c r="J1010" s="294"/>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3"/>
      <c r="AJ1010" s="1"/>
      <c r="AK1010" s="295"/>
      <c r="AL1010" s="1"/>
      <c r="AM1010" s="1"/>
      <c r="AN1010" s="1"/>
      <c r="AO1010" s="1"/>
      <c r="AP1010" s="1"/>
      <c r="AQ1010" s="1"/>
      <c r="AR1010" s="1"/>
      <c r="AS1010" s="1"/>
      <c r="AT1010" s="1"/>
      <c r="AU1010" s="1"/>
      <c r="AV1010" s="1"/>
      <c r="AW1010" s="1"/>
      <c r="AX1010" s="1"/>
      <c r="AY1010" s="1"/>
      <c r="AZ1010" s="1"/>
      <c r="BA1010" s="1"/>
      <c r="BB1010" s="1"/>
      <c r="BC1010" s="1"/>
      <c r="BD1010" s="296"/>
      <c r="BE1010" s="1"/>
      <c r="BF1010" s="1"/>
      <c r="BG1010" s="20"/>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row>
    <row r="1011" spans="1:115" ht="14.4">
      <c r="A1011" s="1"/>
      <c r="B1011" s="1"/>
      <c r="C1011" s="1"/>
      <c r="D1011" s="1"/>
      <c r="E1011" s="1"/>
      <c r="F1011" s="1"/>
      <c r="G1011" s="1"/>
      <c r="H1011" s="1"/>
      <c r="I1011" s="294"/>
      <c r="J1011" s="294"/>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3"/>
      <c r="AJ1011" s="1"/>
      <c r="AK1011" s="295"/>
      <c r="AL1011" s="1"/>
      <c r="AM1011" s="1"/>
      <c r="AN1011" s="1"/>
      <c r="AO1011" s="1"/>
      <c r="AP1011" s="1"/>
      <c r="AQ1011" s="1"/>
      <c r="AR1011" s="1"/>
      <c r="AS1011" s="1"/>
      <c r="AT1011" s="1"/>
      <c r="AU1011" s="1"/>
      <c r="AV1011" s="1"/>
      <c r="AW1011" s="1"/>
      <c r="AX1011" s="1"/>
      <c r="AY1011" s="1"/>
      <c r="AZ1011" s="1"/>
      <c r="BA1011" s="1"/>
      <c r="BB1011" s="1"/>
      <c r="BC1011" s="1"/>
      <c r="BD1011" s="296"/>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row>
    <row r="1012" spans="1:115" ht="14.4">
      <c r="A1012" s="1"/>
      <c r="B1012" s="1"/>
      <c r="C1012" s="1"/>
      <c r="D1012" s="1"/>
      <c r="E1012" s="1"/>
      <c r="F1012" s="1"/>
      <c r="G1012" s="1"/>
      <c r="H1012" s="1"/>
      <c r="I1012" s="294"/>
      <c r="J1012" s="294"/>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3"/>
      <c r="AJ1012" s="1"/>
      <c r="AK1012" s="295"/>
      <c r="AL1012" s="1"/>
      <c r="AM1012" s="1"/>
      <c r="AN1012" s="1"/>
      <c r="AO1012" s="1"/>
      <c r="AP1012" s="1"/>
      <c r="AQ1012" s="1"/>
      <c r="AR1012" s="1"/>
      <c r="AS1012" s="1"/>
      <c r="AT1012" s="1"/>
      <c r="AU1012" s="1"/>
      <c r="AV1012" s="1"/>
      <c r="AW1012" s="1"/>
      <c r="AX1012" s="1"/>
      <c r="AY1012" s="1"/>
      <c r="AZ1012" s="1"/>
      <c r="BA1012" s="1"/>
      <c r="BB1012" s="1"/>
      <c r="BC1012" s="1"/>
      <c r="BD1012" s="296"/>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row>
    <row r="1013" spans="1:115" ht="14.4">
      <c r="A1013" s="1"/>
      <c r="B1013" s="1"/>
      <c r="C1013" s="1"/>
      <c r="D1013" s="1"/>
      <c r="E1013" s="1"/>
      <c r="F1013" s="1"/>
      <c r="G1013" s="1"/>
      <c r="H1013" s="1"/>
      <c r="I1013" s="294"/>
      <c r="J1013" s="294"/>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3"/>
      <c r="AJ1013" s="1"/>
      <c r="AK1013" s="295"/>
      <c r="AL1013" s="1"/>
      <c r="AM1013" s="1"/>
      <c r="AN1013" s="1"/>
      <c r="AO1013" s="1"/>
      <c r="AP1013" s="1"/>
      <c r="AQ1013" s="1"/>
      <c r="AR1013" s="1"/>
      <c r="AS1013" s="1"/>
      <c r="AT1013" s="1"/>
      <c r="AU1013" s="1"/>
      <c r="AV1013" s="1"/>
      <c r="AW1013" s="1"/>
      <c r="AX1013" s="1"/>
      <c r="AY1013" s="1"/>
      <c r="AZ1013" s="1"/>
      <c r="BA1013" s="1"/>
      <c r="BB1013" s="1"/>
      <c r="BC1013" s="1"/>
      <c r="BD1013" s="296"/>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row>
    <row r="1014" spans="1:115" ht="14.4">
      <c r="A1014" s="1"/>
      <c r="B1014" s="1"/>
      <c r="C1014" s="1"/>
      <c r="D1014" s="1"/>
      <c r="E1014" s="1"/>
      <c r="F1014" s="1"/>
      <c r="G1014" s="1"/>
      <c r="H1014" s="1"/>
      <c r="I1014" s="294"/>
      <c r="J1014" s="294"/>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3"/>
      <c r="AJ1014" s="1"/>
      <c r="AK1014" s="295"/>
      <c r="AL1014" s="1"/>
      <c r="AM1014" s="1"/>
      <c r="AN1014" s="1"/>
      <c r="AO1014" s="1"/>
      <c r="AP1014" s="1"/>
      <c r="AQ1014" s="1"/>
      <c r="AR1014" s="1"/>
      <c r="AS1014" s="1"/>
      <c r="AT1014" s="1"/>
      <c r="AU1014" s="1"/>
      <c r="AV1014" s="1"/>
      <c r="AW1014" s="1"/>
      <c r="AX1014" s="1"/>
      <c r="AY1014" s="1"/>
      <c r="AZ1014" s="1"/>
      <c r="BA1014" s="1"/>
      <c r="BB1014" s="1"/>
      <c r="BC1014" s="1"/>
      <c r="BD1014" s="296"/>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row>
    <row r="1015" spans="1:115" ht="14.4">
      <c r="A1015" s="1"/>
      <c r="B1015" s="1"/>
      <c r="C1015" s="1"/>
      <c r="D1015" s="1"/>
      <c r="E1015" s="1"/>
      <c r="F1015" s="1"/>
      <c r="G1015" s="1"/>
      <c r="H1015" s="1"/>
      <c r="I1015" s="294"/>
      <c r="J1015" s="294"/>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3"/>
      <c r="AJ1015" s="1"/>
      <c r="AK1015" s="295"/>
      <c r="AL1015" s="1"/>
      <c r="AM1015" s="1"/>
      <c r="AN1015" s="1"/>
      <c r="AO1015" s="1"/>
      <c r="AP1015" s="1"/>
      <c r="AQ1015" s="1"/>
      <c r="AR1015" s="1"/>
      <c r="AS1015" s="1"/>
      <c r="AT1015" s="1"/>
      <c r="AU1015" s="1"/>
      <c r="AV1015" s="1"/>
      <c r="AW1015" s="1"/>
      <c r="AX1015" s="1"/>
      <c r="AY1015" s="1"/>
      <c r="AZ1015" s="1"/>
      <c r="BA1015" s="1"/>
      <c r="BB1015" s="1"/>
      <c r="BC1015" s="1"/>
      <c r="BD1015" s="296"/>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row>
    <row r="1016" spans="1:115" ht="15.75" customHeight="1">
      <c r="A1016" s="1"/>
      <c r="B1016" s="1"/>
      <c r="C1016" s="1"/>
      <c r="D1016" s="1"/>
      <c r="E1016" s="1"/>
      <c r="F1016" s="1"/>
      <c r="G1016" s="1"/>
      <c r="H1016" s="1"/>
      <c r="I1016" s="294"/>
      <c r="J1016" s="294"/>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3"/>
      <c r="AJ1016" s="1"/>
      <c r="AK1016" s="295"/>
      <c r="AL1016" s="1"/>
      <c r="AM1016" s="1"/>
      <c r="AN1016" s="1"/>
      <c r="AO1016" s="1"/>
      <c r="AP1016" s="1"/>
      <c r="AQ1016" s="1"/>
      <c r="AR1016" s="1"/>
      <c r="AS1016" s="1"/>
      <c r="AT1016" s="1"/>
      <c r="AU1016" s="1"/>
      <c r="AV1016" s="1"/>
      <c r="AW1016" s="1"/>
      <c r="AX1016" s="1"/>
      <c r="AY1016" s="1"/>
      <c r="AZ1016" s="1"/>
      <c r="BA1016" s="1"/>
      <c r="BB1016" s="1"/>
      <c r="BC1016" s="1"/>
      <c r="BD1016" s="296"/>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row>
    <row r="1017" spans="1:115" ht="15.75" customHeight="1">
      <c r="A1017" s="1"/>
      <c r="B1017" s="1"/>
      <c r="C1017" s="1"/>
      <c r="D1017" s="1"/>
      <c r="E1017" s="1"/>
      <c r="F1017" s="1"/>
      <c r="G1017" s="1"/>
      <c r="H1017" s="1"/>
      <c r="I1017" s="294"/>
      <c r="J1017" s="294"/>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3"/>
      <c r="AJ1017" s="1"/>
      <c r="AK1017" s="295"/>
      <c r="AL1017" s="1"/>
      <c r="AM1017" s="1"/>
      <c r="AN1017" s="1"/>
      <c r="AO1017" s="1"/>
      <c r="AP1017" s="1"/>
      <c r="AQ1017" s="1"/>
      <c r="AR1017" s="1"/>
      <c r="AS1017" s="1"/>
      <c r="AT1017" s="1"/>
      <c r="AU1017" s="1"/>
      <c r="AV1017" s="1"/>
      <c r="AW1017" s="1"/>
      <c r="AX1017" s="1"/>
      <c r="AY1017" s="1"/>
      <c r="AZ1017" s="1"/>
      <c r="BA1017" s="1"/>
      <c r="BB1017" s="1"/>
      <c r="BC1017" s="1"/>
      <c r="BD1017" s="296"/>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row>
    <row r="1018" spans="1:115" ht="15.75" customHeight="1">
      <c r="A1018" s="1"/>
      <c r="B1018" s="1"/>
      <c r="C1018" s="1"/>
      <c r="D1018" s="1"/>
      <c r="E1018" s="1"/>
      <c r="F1018" s="1"/>
      <c r="G1018" s="1"/>
      <c r="H1018" s="1"/>
      <c r="I1018" s="294"/>
      <c r="J1018" s="294"/>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3"/>
      <c r="AJ1018" s="1"/>
      <c r="AK1018" s="295"/>
      <c r="AL1018" s="1"/>
      <c r="AM1018" s="1"/>
      <c r="AN1018" s="1"/>
      <c r="AO1018" s="1"/>
      <c r="AP1018" s="1"/>
      <c r="AQ1018" s="1"/>
      <c r="AR1018" s="1"/>
      <c r="AS1018" s="1"/>
      <c r="AT1018" s="1"/>
      <c r="AU1018" s="1"/>
      <c r="AV1018" s="1"/>
      <c r="AW1018" s="1"/>
      <c r="AX1018" s="1"/>
      <c r="AY1018" s="1"/>
      <c r="AZ1018" s="1"/>
      <c r="BA1018" s="1"/>
      <c r="BB1018" s="1"/>
      <c r="BC1018" s="1"/>
      <c r="BD1018" s="296"/>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row>
  </sheetData>
  <mergeCells count="1">
    <mergeCell ref="C23:D23"/>
  </mergeCells>
  <hyperlinks>
    <hyperlink ref="BR35" r:id="rId1" xr:uid="{00000000-0004-0000-0400-000000000000}"/>
  </hyperlinks>
  <pageMargins left="0.7" right="0.7" top="0.75" bottom="0.75" header="0" footer="0"/>
  <pageSetup orientation="portrait"/>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heetViews>
  <sheetFormatPr defaultColWidth="14.44140625" defaultRowHeight="15" customHeight="1"/>
  <cols>
    <col min="1" max="1" width="8.6640625" customWidth="1"/>
    <col min="2" max="2" width="40" customWidth="1"/>
    <col min="3" max="3" width="23.44140625" customWidth="1"/>
    <col min="4" max="4" width="22.6640625" customWidth="1"/>
    <col min="5" max="13" width="8.6640625" customWidth="1"/>
    <col min="14" max="14" width="27.88671875" customWidth="1"/>
    <col min="15" max="63" width="8.6640625" customWidth="1"/>
  </cols>
  <sheetData>
    <row r="1" spans="1:63" ht="43.2">
      <c r="A1" s="298" t="s">
        <v>440</v>
      </c>
      <c r="B1" s="299" t="s">
        <v>441</v>
      </c>
      <c r="C1" s="299" t="s">
        <v>442</v>
      </c>
      <c r="D1" s="300" t="s">
        <v>443</v>
      </c>
      <c r="E1" s="300" t="s">
        <v>444</v>
      </c>
      <c r="F1" s="299" t="s">
        <v>445</v>
      </c>
      <c r="G1" s="301" t="s">
        <v>446</v>
      </c>
      <c r="H1" s="302" t="s">
        <v>447</v>
      </c>
      <c r="I1" s="303" t="s">
        <v>448</v>
      </c>
      <c r="J1" s="304" t="s">
        <v>449</v>
      </c>
      <c r="K1" s="299">
        <v>2018</v>
      </c>
      <c r="L1" s="299">
        <v>2019</v>
      </c>
      <c r="M1" s="299">
        <v>2020</v>
      </c>
      <c r="N1" s="299">
        <v>2021</v>
      </c>
      <c r="O1" s="299">
        <v>2022</v>
      </c>
      <c r="P1" s="299">
        <v>2023</v>
      </c>
      <c r="Q1" s="299">
        <v>2024</v>
      </c>
      <c r="R1" s="299">
        <v>2025</v>
      </c>
      <c r="S1" s="299">
        <v>2026</v>
      </c>
      <c r="T1" s="299">
        <v>2027</v>
      </c>
      <c r="U1" s="299">
        <v>2028</v>
      </c>
      <c r="V1" s="299">
        <v>2029</v>
      </c>
      <c r="W1" s="299">
        <v>2030</v>
      </c>
      <c r="X1" s="299">
        <v>2031</v>
      </c>
      <c r="Y1" s="299">
        <v>2032</v>
      </c>
      <c r="Z1" s="299">
        <v>2033</v>
      </c>
      <c r="AA1" s="299">
        <v>2034</v>
      </c>
      <c r="AB1" s="299">
        <v>2035</v>
      </c>
      <c r="AC1" s="299">
        <v>2036</v>
      </c>
      <c r="AD1" s="299">
        <v>2037</v>
      </c>
      <c r="AE1" s="299">
        <v>2038</v>
      </c>
      <c r="AF1" s="299">
        <v>2039</v>
      </c>
      <c r="AG1" s="299">
        <v>2040</v>
      </c>
      <c r="AH1" s="299">
        <v>2041</v>
      </c>
      <c r="AI1" s="299">
        <v>2042</v>
      </c>
      <c r="AJ1" s="299">
        <v>2043</v>
      </c>
      <c r="AK1" s="299">
        <v>2044</v>
      </c>
      <c r="AL1" s="299">
        <v>2045</v>
      </c>
      <c r="AM1" s="299">
        <v>2046</v>
      </c>
      <c r="AN1" s="299">
        <v>2047</v>
      </c>
      <c r="AO1" s="299">
        <v>2048</v>
      </c>
      <c r="AP1" s="299">
        <v>2049</v>
      </c>
      <c r="AQ1" s="305">
        <v>2050</v>
      </c>
      <c r="AR1" s="306">
        <v>2051</v>
      </c>
      <c r="AS1" s="300">
        <v>2052</v>
      </c>
      <c r="AT1" s="300">
        <v>2053</v>
      </c>
      <c r="AU1" s="300">
        <v>2054</v>
      </c>
      <c r="AV1" s="300">
        <v>2055</v>
      </c>
      <c r="AW1" s="300">
        <v>2056</v>
      </c>
      <c r="AX1" s="300">
        <v>2057</v>
      </c>
      <c r="AY1" s="300">
        <v>2058</v>
      </c>
      <c r="AZ1" s="300">
        <v>2059</v>
      </c>
      <c r="BA1" s="300">
        <v>2060</v>
      </c>
      <c r="BB1" s="300">
        <v>2061</v>
      </c>
      <c r="BC1" s="300">
        <v>2062</v>
      </c>
      <c r="BD1" s="300">
        <v>2063</v>
      </c>
      <c r="BE1" s="300">
        <v>2064</v>
      </c>
      <c r="BF1" s="300">
        <v>2065</v>
      </c>
      <c r="BG1" s="300">
        <v>2066</v>
      </c>
      <c r="BH1" s="300">
        <v>2067</v>
      </c>
      <c r="BI1" s="300">
        <v>2068</v>
      </c>
      <c r="BJ1" s="300">
        <v>2069</v>
      </c>
      <c r="BK1" s="305">
        <v>2070</v>
      </c>
    </row>
    <row r="2" spans="1:63" ht="32.25" customHeight="1">
      <c r="A2" s="414" t="s">
        <v>450</v>
      </c>
      <c r="B2" s="413"/>
      <c r="C2" s="413"/>
      <c r="D2" s="413"/>
      <c r="E2" s="413"/>
      <c r="F2" s="413"/>
      <c r="G2" s="413"/>
      <c r="H2" s="413"/>
      <c r="I2" s="413"/>
      <c r="J2" s="413"/>
      <c r="K2" s="413"/>
      <c r="L2" s="413"/>
      <c r="M2" s="413"/>
      <c r="N2" s="413"/>
      <c r="O2" s="413"/>
      <c r="P2" s="413"/>
      <c r="Q2" s="413"/>
      <c r="R2" s="413"/>
      <c r="S2" s="413"/>
      <c r="T2" s="413"/>
      <c r="U2" s="413"/>
      <c r="V2" s="413"/>
      <c r="W2" s="413"/>
      <c r="X2" s="413"/>
      <c r="Y2" s="413"/>
      <c r="Z2" s="413"/>
      <c r="AA2" s="413"/>
      <c r="AB2" s="413"/>
      <c r="AC2" s="413"/>
      <c r="AD2" s="413"/>
      <c r="AE2" s="413"/>
      <c r="AF2" s="413"/>
      <c r="AG2" s="413"/>
      <c r="AH2" s="413"/>
      <c r="AI2" s="413"/>
      <c r="AJ2" s="413"/>
      <c r="AK2" s="413"/>
      <c r="AL2" s="413"/>
      <c r="AM2" s="413"/>
      <c r="AN2" s="413"/>
      <c r="AO2" s="413"/>
      <c r="AP2" s="413"/>
      <c r="AQ2" s="413"/>
      <c r="AR2" s="413"/>
      <c r="AS2" s="413"/>
      <c r="AT2" s="413"/>
      <c r="AU2" s="413"/>
      <c r="AV2" s="413"/>
      <c r="AW2" s="413"/>
      <c r="AX2" s="413"/>
      <c r="AY2" s="413"/>
      <c r="AZ2" s="413"/>
      <c r="BA2" s="413"/>
      <c r="BB2" s="413"/>
      <c r="BC2" s="413"/>
      <c r="BD2" s="413"/>
      <c r="BE2" s="413"/>
      <c r="BF2" s="413"/>
      <c r="BG2" s="413"/>
      <c r="BH2" s="413"/>
      <c r="BI2" s="413"/>
      <c r="BJ2" s="413"/>
      <c r="BK2" s="413"/>
    </row>
    <row r="3" spans="1:63" ht="32.2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row>
    <row r="4" spans="1:63" ht="32.2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row>
    <row r="5" spans="1:63" ht="32.2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row>
    <row r="6" spans="1:63" ht="32.2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row>
    <row r="7" spans="1:63" ht="32.2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row>
    <row r="8" spans="1:63" ht="32.2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row>
    <row r="9" spans="1:63" ht="32.2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1:63" ht="1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K2"/>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theme="8"/>
  </sheetPr>
  <dimension ref="A1:BM1102"/>
  <sheetViews>
    <sheetView topLeftCell="L1" workbookViewId="0">
      <selection activeCell="U31" sqref="U31"/>
    </sheetView>
  </sheetViews>
  <sheetFormatPr defaultColWidth="14.44140625" defaultRowHeight="15" customHeight="1"/>
  <cols>
    <col min="1" max="1" width="8.6640625" customWidth="1"/>
    <col min="2" max="2" width="23" customWidth="1"/>
    <col min="3" max="3" width="17.33203125" customWidth="1"/>
    <col min="4" max="4" width="8.6640625" customWidth="1"/>
    <col min="5" max="5" width="43" customWidth="1"/>
    <col min="6" max="12" width="8.6640625" customWidth="1"/>
    <col min="13" max="13" width="9.88671875" customWidth="1"/>
    <col min="14" max="16" width="8.6640625" customWidth="1"/>
    <col min="17" max="17" width="12.5546875" customWidth="1"/>
    <col min="18" max="45" width="8.6640625" customWidth="1"/>
    <col min="46" max="46" width="9.44140625" customWidth="1"/>
    <col min="47" max="61" width="8.6640625" customWidth="1"/>
    <col min="62" max="62" width="9.44140625" customWidth="1"/>
    <col min="63" max="63" width="8.6640625" customWidth="1"/>
    <col min="64" max="64" width="12.5546875" customWidth="1"/>
    <col min="65" max="65" width="9.6640625" customWidth="1"/>
  </cols>
  <sheetData>
    <row r="1" spans="1:65" ht="43.2">
      <c r="A1" s="307" t="s">
        <v>440</v>
      </c>
      <c r="B1" s="308" t="s">
        <v>441</v>
      </c>
      <c r="C1" s="308" t="s">
        <v>451</v>
      </c>
      <c r="D1" s="308" t="s">
        <v>452</v>
      </c>
      <c r="E1" s="308" t="s">
        <v>453</v>
      </c>
      <c r="F1" s="309" t="s">
        <v>444</v>
      </c>
      <c r="G1" s="310" t="s">
        <v>445</v>
      </c>
      <c r="H1" s="311" t="s">
        <v>446</v>
      </c>
      <c r="I1" s="308" t="s">
        <v>447</v>
      </c>
      <c r="J1" s="308" t="s">
        <v>454</v>
      </c>
      <c r="K1" s="308" t="s">
        <v>455</v>
      </c>
      <c r="L1" s="308" t="s">
        <v>456</v>
      </c>
      <c r="M1" s="312">
        <v>2018</v>
      </c>
      <c r="N1" s="312">
        <v>2019</v>
      </c>
      <c r="O1" s="312">
        <v>2020</v>
      </c>
      <c r="P1" s="312">
        <v>2021</v>
      </c>
      <c r="Q1" s="309">
        <v>2022</v>
      </c>
      <c r="R1" s="309">
        <v>2023</v>
      </c>
      <c r="S1" s="309">
        <v>2024</v>
      </c>
      <c r="T1" s="309">
        <v>2025</v>
      </c>
      <c r="U1" s="309">
        <v>2026</v>
      </c>
      <c r="V1" s="309">
        <v>2027</v>
      </c>
      <c r="W1" s="309">
        <v>2028</v>
      </c>
      <c r="X1" s="309">
        <v>2029</v>
      </c>
      <c r="Y1" s="309">
        <v>2030</v>
      </c>
      <c r="Z1" s="309">
        <v>2031</v>
      </c>
      <c r="AA1" s="309">
        <v>2032</v>
      </c>
      <c r="AB1" s="309">
        <v>2033</v>
      </c>
      <c r="AC1" s="309">
        <v>2034</v>
      </c>
      <c r="AD1" s="309">
        <v>2035</v>
      </c>
      <c r="AE1" s="309">
        <v>2036</v>
      </c>
      <c r="AF1" s="309">
        <v>2037</v>
      </c>
      <c r="AG1" s="309">
        <v>2038</v>
      </c>
      <c r="AH1" s="309">
        <v>2039</v>
      </c>
      <c r="AI1" s="309">
        <v>2040</v>
      </c>
      <c r="AJ1" s="309">
        <v>2041</v>
      </c>
      <c r="AK1" s="309">
        <v>2042</v>
      </c>
      <c r="AL1" s="309">
        <v>2043</v>
      </c>
      <c r="AM1" s="309">
        <v>2044</v>
      </c>
      <c r="AN1" s="309">
        <v>2045</v>
      </c>
      <c r="AO1" s="309">
        <v>2046</v>
      </c>
      <c r="AP1" s="309">
        <v>2047</v>
      </c>
      <c r="AQ1" s="309">
        <v>2048</v>
      </c>
      <c r="AR1" s="309">
        <v>2049</v>
      </c>
      <c r="AS1" s="309">
        <v>2050</v>
      </c>
      <c r="AT1" s="309">
        <v>2051</v>
      </c>
      <c r="AU1" s="309">
        <v>2052</v>
      </c>
      <c r="AV1" s="309">
        <v>2053</v>
      </c>
      <c r="AW1" s="309">
        <v>2054</v>
      </c>
      <c r="AX1" s="309">
        <v>2055</v>
      </c>
      <c r="AY1" s="309">
        <v>2056</v>
      </c>
      <c r="AZ1" s="309">
        <v>2057</v>
      </c>
      <c r="BA1" s="309">
        <v>2058</v>
      </c>
      <c r="BB1" s="309">
        <v>2059</v>
      </c>
      <c r="BC1" s="309">
        <v>2060</v>
      </c>
      <c r="BD1" s="309">
        <v>2061</v>
      </c>
      <c r="BE1" s="309">
        <v>2062</v>
      </c>
      <c r="BF1" s="309">
        <v>2063</v>
      </c>
      <c r="BG1" s="309">
        <v>2064</v>
      </c>
      <c r="BH1" s="309">
        <v>2065</v>
      </c>
      <c r="BI1" s="309">
        <v>2066</v>
      </c>
      <c r="BJ1" s="309">
        <v>2067</v>
      </c>
      <c r="BK1" s="309">
        <v>2068</v>
      </c>
      <c r="BL1" s="309">
        <v>2069</v>
      </c>
      <c r="BM1" s="313">
        <v>2070</v>
      </c>
    </row>
    <row r="2" spans="1:65" ht="14.4" hidden="1">
      <c r="A2" s="314" t="s">
        <v>457</v>
      </c>
      <c r="B2" s="314" t="s">
        <v>458</v>
      </c>
      <c r="C2" s="315" t="s">
        <v>459</v>
      </c>
      <c r="D2" s="314" t="s">
        <v>460</v>
      </c>
      <c r="E2" s="316" t="s">
        <v>461</v>
      </c>
      <c r="F2" s="314" t="s">
        <v>462</v>
      </c>
      <c r="G2" s="314" t="s">
        <v>463</v>
      </c>
      <c r="H2" s="314" t="s">
        <v>464</v>
      </c>
      <c r="I2" s="317"/>
      <c r="J2" s="317"/>
      <c r="K2" s="317"/>
      <c r="L2" s="317"/>
      <c r="M2" s="318">
        <v>0</v>
      </c>
      <c r="N2" s="318">
        <v>0</v>
      </c>
      <c r="O2" s="318">
        <v>0</v>
      </c>
      <c r="P2" s="318">
        <v>0</v>
      </c>
      <c r="Q2" s="319">
        <f>'Políticas anunciadas'!I3</f>
        <v>0</v>
      </c>
      <c r="R2" s="319">
        <f>'Políticas anunciadas'!J3</f>
        <v>0.28000000000000003</v>
      </c>
      <c r="S2" s="319">
        <f>'Políticas anunciadas'!K3</f>
        <v>0.55000000000000004</v>
      </c>
      <c r="T2" s="319">
        <f>'Políticas anunciadas'!L3</f>
        <v>1.0900000000000001</v>
      </c>
      <c r="U2" s="319">
        <f>'Políticas anunciadas'!M3</f>
        <v>1.08</v>
      </c>
      <c r="V2" s="319">
        <f>'Políticas anunciadas'!N3</f>
        <v>1.08</v>
      </c>
      <c r="W2" s="319">
        <f>'Políticas anunciadas'!O3</f>
        <v>1.08</v>
      </c>
      <c r="X2" s="319">
        <f>'Políticas anunciadas'!P3</f>
        <v>1.03</v>
      </c>
      <c r="Y2" s="319">
        <f>'Políticas anunciadas'!Q3</f>
        <v>0.96</v>
      </c>
      <c r="Z2" s="319">
        <f>'Políticas anunciadas'!R3</f>
        <v>1.04</v>
      </c>
      <c r="AA2" s="319">
        <f>'Políticas anunciadas'!S3</f>
        <v>1.04</v>
      </c>
      <c r="AB2" s="319">
        <f>'Políticas anunciadas'!T3</f>
        <v>0.96</v>
      </c>
      <c r="AC2" s="319">
        <f>'Políticas anunciadas'!U3</f>
        <v>0.89</v>
      </c>
      <c r="AD2" s="319">
        <f>'Políticas anunciadas'!V3</f>
        <v>0.39</v>
      </c>
      <c r="AE2" s="319">
        <f>'Políticas anunciadas'!W3</f>
        <v>0</v>
      </c>
      <c r="AF2" s="319">
        <f>'Políticas anunciadas'!X3</f>
        <v>0</v>
      </c>
      <c r="AG2" s="319">
        <f>'Políticas anunciadas'!Y3</f>
        <v>0</v>
      </c>
      <c r="AH2" s="319">
        <f>'Políticas anunciadas'!Z3</f>
        <v>0</v>
      </c>
      <c r="AI2" s="319">
        <f>'Políticas anunciadas'!AA3</f>
        <v>0</v>
      </c>
      <c r="AJ2" s="319">
        <f>'Políticas anunciadas'!AB3</f>
        <v>0</v>
      </c>
      <c r="AK2" s="319">
        <f>'Políticas anunciadas'!AC3</f>
        <v>0</v>
      </c>
      <c r="AL2" s="319">
        <f>'Políticas anunciadas'!AD3</f>
        <v>0</v>
      </c>
      <c r="AM2" s="319">
        <f>'Políticas anunciadas'!AE3</f>
        <v>0</v>
      </c>
      <c r="AN2" s="319">
        <f>'Políticas anunciadas'!AF3</f>
        <v>0</v>
      </c>
      <c r="AO2" s="319">
        <f>'Políticas anunciadas'!AG3</f>
        <v>0</v>
      </c>
      <c r="AP2" s="319">
        <f>'Políticas anunciadas'!AH3</f>
        <v>0</v>
      </c>
      <c r="AQ2" s="319">
        <f>'Políticas anunciadas'!AI3</f>
        <v>0</v>
      </c>
      <c r="AR2" s="319">
        <f>'Políticas anunciadas'!AJ3</f>
        <v>0</v>
      </c>
      <c r="AS2" s="319">
        <f>'Políticas anunciadas'!AK3</f>
        <v>0</v>
      </c>
      <c r="AT2" s="319">
        <f>'Políticas anunciadas'!AL3</f>
        <v>0</v>
      </c>
      <c r="AU2" s="319">
        <f>'Políticas anunciadas'!AM3</f>
        <v>0</v>
      </c>
      <c r="AV2" s="319">
        <f>'Políticas anunciadas'!AN3</f>
        <v>0</v>
      </c>
      <c r="AW2" s="319">
        <f>'Políticas anunciadas'!AO3</f>
        <v>0</v>
      </c>
      <c r="AX2" s="319">
        <f>'Políticas anunciadas'!AP3</f>
        <v>0</v>
      </c>
      <c r="AY2" s="319">
        <f>'Políticas anunciadas'!AQ3</f>
        <v>0</v>
      </c>
      <c r="AZ2" s="319">
        <f>'Políticas anunciadas'!AR3</f>
        <v>0</v>
      </c>
      <c r="BA2" s="319">
        <f>'Políticas anunciadas'!AS3</f>
        <v>0</v>
      </c>
      <c r="BB2" s="319">
        <f>'Políticas anunciadas'!AT3</f>
        <v>0</v>
      </c>
      <c r="BC2" s="319">
        <f>'Políticas anunciadas'!AU3</f>
        <v>0</v>
      </c>
      <c r="BD2" s="319">
        <f>'Políticas anunciadas'!AV3</f>
        <v>0</v>
      </c>
      <c r="BE2" s="319">
        <f>'Políticas anunciadas'!AW3</f>
        <v>0</v>
      </c>
      <c r="BF2" s="319">
        <f>'Políticas anunciadas'!AX3</f>
        <v>0</v>
      </c>
      <c r="BG2" s="319">
        <f>'Políticas anunciadas'!AY3</f>
        <v>0</v>
      </c>
      <c r="BH2" s="319">
        <f>'Políticas anunciadas'!AZ3</f>
        <v>0</v>
      </c>
      <c r="BI2" s="319">
        <f>'Políticas anunciadas'!BA3</f>
        <v>0</v>
      </c>
      <c r="BJ2" s="319">
        <f>'Políticas anunciadas'!BB3</f>
        <v>0</v>
      </c>
      <c r="BK2" s="319">
        <f>'Políticas anunciadas'!BC3</f>
        <v>0</v>
      </c>
      <c r="BL2" s="319">
        <f>'Políticas anunciadas'!BD3</f>
        <v>0</v>
      </c>
      <c r="BM2" s="319">
        <f>'Políticas anunciadas'!BE3</f>
        <v>0</v>
      </c>
    </row>
    <row r="3" spans="1:65" ht="14.4" hidden="1">
      <c r="A3" s="314" t="s">
        <v>457</v>
      </c>
      <c r="B3" s="314" t="s">
        <v>458</v>
      </c>
      <c r="C3" s="320" t="s">
        <v>465</v>
      </c>
      <c r="D3" s="314" t="s">
        <v>460</v>
      </c>
      <c r="E3" s="321" t="s">
        <v>466</v>
      </c>
      <c r="F3" s="314" t="s">
        <v>462</v>
      </c>
      <c r="G3" s="314" t="s">
        <v>463</v>
      </c>
      <c r="H3" s="314" t="s">
        <v>464</v>
      </c>
      <c r="I3" s="317"/>
      <c r="J3" s="317"/>
      <c r="K3" s="317"/>
      <c r="L3" s="317"/>
      <c r="M3" s="314">
        <f>VLOOKUP($C3,BAU_Demands!$B$3:$BK$48,BAU_Demands!K$1,0)</f>
        <v>6.0819000000000001</v>
      </c>
      <c r="N3" s="314">
        <f>VLOOKUP($C3,BAU_Demands!$B$3:$BK$48,BAU_Demands!L$1,0)</f>
        <v>6.6056999999999997</v>
      </c>
      <c r="O3" s="314">
        <f>VLOOKUP($C3,BAU_Demands!$B$3:$BK$48,BAU_Demands!M$1,0)</f>
        <v>6.1866599999999998</v>
      </c>
      <c r="P3" s="314">
        <f>VLOOKUP($C3,BAU_Demands!$B$3:$BK$48,BAU_Demands!N$1,0)</f>
        <v>5.9538599999999997</v>
      </c>
      <c r="Q3" s="314">
        <f>VLOOKUP($C3,BAU_Demands!$B$3:$BK$48,BAU_Demands!O$1,0)</f>
        <v>6.2070299999999996</v>
      </c>
      <c r="R3" s="314">
        <f>VLOOKUP($C3,BAU_Demands!$B$3:$BK$48,BAU_Demands!P$1,0)-'Políticas anunciadas'!$H$4+'Políticas anunciadas'!J4</f>
        <v>5.2770299999999999</v>
      </c>
      <c r="S3" s="314">
        <f>VLOOKUP($C3,BAU_Demands!$B$3:$BK$48,BAU_Demands!Q$1,0)-'Políticas anunciadas'!$H$4+'Políticas anunciadas'!K4</f>
        <v>4.3170299999999999</v>
      </c>
      <c r="T3" s="314">
        <f>VLOOKUP($C3,BAU_Demands!$B$3:$BK$48,BAU_Demands!R$1,0)-'Políticas anunciadas'!$H$4+'Políticas anunciadas'!L4</f>
        <v>2.5170299999999997</v>
      </c>
      <c r="U3" s="314">
        <f t="shared" ref="U3:AC3" si="0">T3</f>
        <v>2.5170299999999997</v>
      </c>
      <c r="V3" s="314">
        <f t="shared" si="0"/>
        <v>2.5170299999999997</v>
      </c>
      <c r="W3" s="314">
        <f t="shared" si="0"/>
        <v>2.5170299999999997</v>
      </c>
      <c r="X3" s="314">
        <f t="shared" si="0"/>
        <v>2.5170299999999997</v>
      </c>
      <c r="Y3" s="314">
        <f t="shared" si="0"/>
        <v>2.5170299999999997</v>
      </c>
      <c r="Z3" s="314">
        <f t="shared" si="0"/>
        <v>2.5170299999999997</v>
      </c>
      <c r="AA3" s="314">
        <f t="shared" si="0"/>
        <v>2.5170299999999997</v>
      </c>
      <c r="AB3" s="314">
        <f t="shared" si="0"/>
        <v>2.5170299999999997</v>
      </c>
      <c r="AC3" s="314">
        <f t="shared" si="0"/>
        <v>2.5170299999999997</v>
      </c>
      <c r="AD3" s="30">
        <v>2.2416529999999999</v>
      </c>
      <c r="AE3" s="30">
        <v>2.2416529999999999</v>
      </c>
      <c r="AF3" s="30">
        <v>2.2416529999999999</v>
      </c>
      <c r="AG3" s="30">
        <v>2.2416529999999999</v>
      </c>
      <c r="AH3" s="30">
        <v>2.2416529999999999</v>
      </c>
      <c r="AI3" s="30">
        <v>2.2416529999999999</v>
      </c>
      <c r="AJ3" s="30">
        <v>2.2416529999999999</v>
      </c>
      <c r="AK3" s="30">
        <v>2.2416529999999999</v>
      </c>
      <c r="AL3" s="30">
        <v>2.2416529999999999</v>
      </c>
      <c r="AM3" s="30">
        <v>2.2416529999999999</v>
      </c>
      <c r="AN3" s="30">
        <v>2.2416529999999999</v>
      </c>
      <c r="AO3" s="30">
        <v>2.2416529999999999</v>
      </c>
      <c r="AP3" s="30">
        <v>2.2416529999999999</v>
      </c>
      <c r="AQ3" s="30">
        <v>2.2416529999999999</v>
      </c>
      <c r="AR3" s="30">
        <v>2.2416529999999999</v>
      </c>
      <c r="AS3" s="30">
        <v>2.2416529999999999</v>
      </c>
      <c r="AT3" s="30">
        <v>2.2416529999999999</v>
      </c>
      <c r="AU3" s="30">
        <v>2.2416529999999999</v>
      </c>
      <c r="AV3" s="30">
        <v>2.2416529999999999</v>
      </c>
      <c r="AW3" s="30">
        <v>2.2416529999999999</v>
      </c>
      <c r="AX3" s="30">
        <v>2.2416529999999999</v>
      </c>
      <c r="AY3" s="30">
        <v>2.2416529999999999</v>
      </c>
      <c r="AZ3" s="30">
        <v>2.2416529999999999</v>
      </c>
      <c r="BA3" s="30">
        <v>2.2416529999999999</v>
      </c>
      <c r="BB3" s="30">
        <v>2.2416529999999999</v>
      </c>
      <c r="BC3" s="30">
        <v>2.2416529999999999</v>
      </c>
      <c r="BD3" s="30">
        <v>2.2416529999999999</v>
      </c>
      <c r="BE3" s="30">
        <v>2.2416529999999999</v>
      </c>
      <c r="BF3" s="30">
        <v>2.2416529999999999</v>
      </c>
      <c r="BG3" s="30">
        <v>2.2416529999999999</v>
      </c>
      <c r="BH3" s="30">
        <v>2.2416529999999999</v>
      </c>
      <c r="BI3" s="30">
        <v>2.2416529999999999</v>
      </c>
      <c r="BJ3" s="30">
        <v>2.2416529999999999</v>
      </c>
      <c r="BK3" s="30">
        <v>2.2416529999999999</v>
      </c>
      <c r="BL3" s="30">
        <v>2.2416529999999999</v>
      </c>
      <c r="BM3" s="30">
        <v>2.2416499999999999</v>
      </c>
    </row>
    <row r="4" spans="1:65" ht="15.75" hidden="1" customHeight="1">
      <c r="A4" s="314" t="s">
        <v>457</v>
      </c>
      <c r="B4" s="314" t="s">
        <v>458</v>
      </c>
      <c r="C4" s="314" t="s">
        <v>467</v>
      </c>
      <c r="D4" s="314" t="s">
        <v>460</v>
      </c>
      <c r="E4" s="314" t="s">
        <v>468</v>
      </c>
      <c r="F4" s="314" t="s">
        <v>462</v>
      </c>
      <c r="G4" s="314" t="s">
        <v>463</v>
      </c>
      <c r="H4" s="314" t="s">
        <v>464</v>
      </c>
      <c r="I4" s="314"/>
      <c r="J4" s="314"/>
      <c r="K4" s="314"/>
      <c r="L4" s="314"/>
      <c r="M4" s="314">
        <f>VLOOKUP($C4,BAU_Demands!$B$3:$BK$48,BAU_Demands!K$1,0)</f>
        <v>3.828552293</v>
      </c>
      <c r="N4" s="314">
        <f>VLOOKUP($C4,BAU_Demands!$B$3:$BK$48,BAU_Demands!L$1,0)</f>
        <v>3.8492816959999998</v>
      </c>
      <c r="O4" s="314">
        <f>VLOOKUP($C4,BAU_Demands!$B$3:$BK$48,BAU_Demands!M$1,0)</f>
        <v>1.7414440250000001</v>
      </c>
      <c r="P4" s="314">
        <f>VLOOKUP($C4,BAU_Demands!$B$3:$BK$48,BAU_Demands!N$1,0)</f>
        <v>2.3650680739999999</v>
      </c>
      <c r="Q4" s="314">
        <f>VLOOKUP($C4,BAU_Demands!$B$3:$BK$48,BAU_Demands!O$1,0)</f>
        <v>2.41</v>
      </c>
      <c r="R4" s="314">
        <f>VLOOKUP($C4,BAU_Demands!$B$3:$BK$48,BAU_Demands!P$1,0)</f>
        <v>2.4700000000000002</v>
      </c>
      <c r="S4" s="314">
        <f>VLOOKUP($C4,BAU_Demands!$B$3:$BK$48,BAU_Demands!Q$1,0)</f>
        <v>2.52</v>
      </c>
      <c r="T4" s="314">
        <f>VLOOKUP($C4,BAU_Demands!$B$3:$BK$48,BAU_Demands!R$1,0)</f>
        <v>2.57</v>
      </c>
      <c r="U4" s="314">
        <f>VLOOKUP($C4,BAU_Demands!$B$3:$BK$48,BAU_Demands!S$1,0)</f>
        <v>2.61</v>
      </c>
      <c r="V4" s="314">
        <f>VLOOKUP($C4,BAU_Demands!$B$3:$BK$48,BAU_Demands!T$1,0)</f>
        <v>2.67</v>
      </c>
      <c r="W4" s="314">
        <f>VLOOKUP($C4,BAU_Demands!$B$3:$BK$48,BAU_Demands!U$1,0)</f>
        <v>2.73</v>
      </c>
      <c r="X4" s="314">
        <f>VLOOKUP($C4,BAU_Demands!$B$3:$BK$48,BAU_Demands!V$1,0)</f>
        <v>2.77</v>
      </c>
      <c r="Y4" s="314">
        <f>VLOOKUP($C4,BAU_Demands!$B$3:$BK$48,BAU_Demands!W$1,0)</f>
        <v>2.82</v>
      </c>
      <c r="Z4" s="314">
        <f>VLOOKUP($C4,BAU_Demands!$B$3:$BK$48,BAU_Demands!X$1,0)</f>
        <v>2.88</v>
      </c>
      <c r="AA4" s="314">
        <f>VLOOKUP($C4,BAU_Demands!$B$3:$BK$48,BAU_Demands!Y$1,0)</f>
        <v>2.93</v>
      </c>
      <c r="AB4" s="314">
        <f>VLOOKUP($C4,BAU_Demands!$B$3:$BK$48,BAU_Demands!Z$1,0)</f>
        <v>2.99</v>
      </c>
      <c r="AC4" s="314">
        <f>VLOOKUP($C4,BAU_Demands!$B$3:$BK$48,BAU_Demands!AA$1,0)</f>
        <v>3.04</v>
      </c>
      <c r="AD4" s="314">
        <f>VLOOKUP($C4,BAU_Demands!$B$3:$BK$48,BAU_Demands!AB$1,0)</f>
        <v>3.09</v>
      </c>
      <c r="AE4" s="314">
        <f>VLOOKUP($C4,BAU_Demands!$B$3:$BK$48,BAU_Demands!AC$1,0)</f>
        <v>3.14</v>
      </c>
      <c r="AF4" s="314">
        <f>VLOOKUP($C4,BAU_Demands!$B$3:$BK$48,BAU_Demands!AD$1,0)</f>
        <v>3.19</v>
      </c>
      <c r="AG4" s="314">
        <f>VLOOKUP($C4,BAU_Demands!$B$3:$BK$48,BAU_Demands!AE$1,0)</f>
        <v>3.24</v>
      </c>
      <c r="AH4" s="314">
        <f>VLOOKUP($C4,BAU_Demands!$B$3:$BK$48,BAU_Demands!AF$1,0)</f>
        <v>3.3</v>
      </c>
      <c r="AI4" s="314">
        <f>VLOOKUP($C4,BAU_Demands!$B$3:$BK$48,BAU_Demands!AG$1,0)</f>
        <v>3.35</v>
      </c>
      <c r="AJ4" s="314">
        <f>VLOOKUP($C4,BAU_Demands!$B$3:$BK$48,BAU_Demands!AH$1,0)</f>
        <v>3.4</v>
      </c>
      <c r="AK4" s="314">
        <f>VLOOKUP($C4,BAU_Demands!$B$3:$BK$48,BAU_Demands!AI$1,0)</f>
        <v>3.45</v>
      </c>
      <c r="AL4" s="314">
        <f>VLOOKUP($C4,BAU_Demands!$B$3:$BK$48,BAU_Demands!AJ$1,0)</f>
        <v>3.5</v>
      </c>
      <c r="AM4" s="314">
        <f>VLOOKUP($C4,BAU_Demands!$B$3:$BK$48,BAU_Demands!AK$1,0)</f>
        <v>3.55</v>
      </c>
      <c r="AN4" s="314">
        <f>VLOOKUP($C4,BAU_Demands!$B$3:$BK$48,BAU_Demands!AL$1,0)</f>
        <v>3.59</v>
      </c>
      <c r="AO4" s="314">
        <f>VLOOKUP($C4,BAU_Demands!$B$3:$BK$48,BAU_Demands!AM$1,0)</f>
        <v>3.65</v>
      </c>
      <c r="AP4" s="314">
        <f>VLOOKUP($C4,BAU_Demands!$B$3:$BK$48,BAU_Demands!AN$1,0)</f>
        <v>3.69</v>
      </c>
      <c r="AQ4" s="314">
        <f>VLOOKUP($C4,BAU_Demands!$B$3:$BK$48,BAU_Demands!AO$1,0)</f>
        <v>3.74</v>
      </c>
      <c r="AR4" s="314">
        <f>VLOOKUP($C4,BAU_Demands!$B$3:$BK$48,BAU_Demands!AP$1,0)</f>
        <v>3.78</v>
      </c>
      <c r="AS4" s="314">
        <f>VLOOKUP($C4,BAU_Demands!$B$3:$BK$48,BAU_Demands!AQ$1,0)</f>
        <v>3.83</v>
      </c>
      <c r="AT4" s="314">
        <f>VLOOKUP($C4,BAU_Demands!$B$3:$BK$48,BAU_Demands!AR$1,0)</f>
        <v>3.88</v>
      </c>
      <c r="AU4" s="314">
        <f>VLOOKUP($C4,BAU_Demands!$B$3:$BK$48,BAU_Demands!AS$1,0)</f>
        <v>3.92</v>
      </c>
      <c r="AV4" s="314">
        <f>VLOOKUP($C4,BAU_Demands!$B$3:$BK$48,BAU_Demands!AT$1,0)</f>
        <v>3.97</v>
      </c>
      <c r="AW4" s="314">
        <f>VLOOKUP($C4,BAU_Demands!$B$3:$BK$48,BAU_Demands!AU$1,0)</f>
        <v>4.01</v>
      </c>
      <c r="AX4" s="314">
        <f>VLOOKUP($C4,BAU_Demands!$B$3:$BK$48,BAU_Demands!AV$1,0)</f>
        <v>4.0599999999999996</v>
      </c>
      <c r="AY4" s="314">
        <f>VLOOKUP($C4,BAU_Demands!$B$3:$BK$48,BAU_Demands!AW$1,0)</f>
        <v>4.0999999999999996</v>
      </c>
      <c r="AZ4" s="314">
        <f>VLOOKUP($C4,BAU_Demands!$B$3:$BK$48,BAU_Demands!AX$1,0)</f>
        <v>4.1500000000000004</v>
      </c>
      <c r="BA4" s="314">
        <f>VLOOKUP($C4,BAU_Demands!$B$3:$BK$48,BAU_Demands!AY$1,0)</f>
        <v>4.1900000000000004</v>
      </c>
      <c r="BB4" s="314">
        <f>VLOOKUP($C4,BAU_Demands!$B$3:$BK$48,BAU_Demands!AZ$1,0)</f>
        <v>4.2300000000000004</v>
      </c>
      <c r="BC4" s="314">
        <f>VLOOKUP($C4,BAU_Demands!$B$3:$BK$48,BAU_Demands!BA$1,0)</f>
        <v>4.28</v>
      </c>
      <c r="BD4" s="314">
        <f>VLOOKUP($C4,BAU_Demands!$B$3:$BK$48,BAU_Demands!BB$1,0)</f>
        <v>4.32</v>
      </c>
      <c r="BE4" s="314">
        <f>VLOOKUP($C4,BAU_Demands!$B$3:$BK$48,BAU_Demands!BC$1,0)</f>
        <v>4.3600000000000003</v>
      </c>
      <c r="BF4" s="314">
        <f>VLOOKUP($C4,BAU_Demands!$B$3:$BK$48,BAU_Demands!BD$1,0)</f>
        <v>4.4000000000000004</v>
      </c>
      <c r="BG4" s="314">
        <f>VLOOKUP($C4,BAU_Demands!$B$3:$BK$48,BAU_Demands!BE$1,0)</f>
        <v>4.4400000000000004</v>
      </c>
      <c r="BH4" s="314">
        <f>VLOOKUP($C4,BAU_Demands!$B$3:$BK$48,BAU_Demands!BF$1,0)</f>
        <v>4.4800000000000004</v>
      </c>
      <c r="BI4" s="314">
        <f>VLOOKUP($C4,BAU_Demands!$B$3:$BK$48,BAU_Demands!BG$1,0)</f>
        <v>4.5199999999999996</v>
      </c>
      <c r="BJ4" s="314">
        <f>VLOOKUP($C4,BAU_Demands!$B$3:$BK$48,BAU_Demands!BH$1,0)</f>
        <v>4.5599999999999996</v>
      </c>
      <c r="BK4" s="314">
        <f>VLOOKUP($C4,BAU_Demands!$B$3:$BK$48,BAU_Demands!BI$1,0)</f>
        <v>4.5999999999999996</v>
      </c>
      <c r="BL4" s="314">
        <f>VLOOKUP($C4,BAU_Demands!$B$3:$BK$48,BAU_Demands!BJ$1,0)</f>
        <v>4.63</v>
      </c>
      <c r="BM4" s="314">
        <f>VLOOKUP($C4,BAU_Demands!$B$3:$BK$48,BAU_Demands!BK$1,0)</f>
        <v>4.67</v>
      </c>
    </row>
    <row r="5" spans="1:65" ht="15.75" hidden="1" customHeight="1">
      <c r="A5" s="30" t="s">
        <v>457</v>
      </c>
      <c r="B5" s="30" t="s">
        <v>458</v>
      </c>
      <c r="C5" s="30" t="s">
        <v>469</v>
      </c>
      <c r="D5" s="314" t="s">
        <v>460</v>
      </c>
      <c r="E5" s="30" t="s">
        <v>470</v>
      </c>
      <c r="F5" s="30" t="s">
        <v>462</v>
      </c>
      <c r="G5" s="30" t="s">
        <v>463</v>
      </c>
      <c r="H5" s="30" t="s">
        <v>464</v>
      </c>
      <c r="I5" s="30"/>
      <c r="J5" s="30"/>
      <c r="K5" s="30"/>
      <c r="L5" s="30"/>
      <c r="M5" s="30">
        <f>VLOOKUP($C5,BAU_Demands!$B$3:$BK$48,BAU_Demands!K$1,0)</f>
        <v>0.18987436099999999</v>
      </c>
      <c r="N5" s="30">
        <f>VLOOKUP($C5,BAU_Demands!$B$3:$BK$48,BAU_Demands!L$1,0)</f>
        <v>0.20206812699999999</v>
      </c>
      <c r="O5" s="30">
        <f>VLOOKUP($C5,BAU_Demands!$B$3:$BK$48,BAU_Demands!M$1,0)</f>
        <v>0.16839010600000001</v>
      </c>
      <c r="P5" s="30">
        <f>VLOOKUP($C5,BAU_Demands!$B$3:$BK$48,BAU_Demands!N$1,0)</f>
        <v>0.19742288299999999</v>
      </c>
      <c r="Q5" s="30">
        <f>VLOOKUP($C5,BAU_Demands!$B$3:$BK$48,BAU_Demands!O$1,0)</f>
        <v>0.2</v>
      </c>
      <c r="R5" s="30">
        <f>VLOOKUP($C5,BAU_Demands!$B$3:$BK$48,BAU_Demands!P$1,0)</f>
        <v>0.21</v>
      </c>
      <c r="S5" s="30">
        <f>VLOOKUP($C5,BAU_Demands!$B$3:$BK$48,BAU_Demands!Q$1,0)</f>
        <v>0.21</v>
      </c>
      <c r="T5" s="30">
        <f>VLOOKUP($C5,BAU_Demands!$B$3:$BK$48,BAU_Demands!R$1,0)</f>
        <v>0.21</v>
      </c>
      <c r="U5" s="30">
        <f>VLOOKUP($C5,BAU_Demands!$B$3:$BK$48,BAU_Demands!S$1,0)</f>
        <v>0.22</v>
      </c>
      <c r="V5" s="30">
        <f>VLOOKUP($C5,BAU_Demands!$B$3:$BK$48,BAU_Demands!T$1,0)</f>
        <v>0.22</v>
      </c>
      <c r="W5" s="30">
        <f>VLOOKUP($C5,BAU_Demands!$B$3:$BK$48,BAU_Demands!U$1,0)</f>
        <v>0.23</v>
      </c>
      <c r="X5" s="30">
        <f>VLOOKUP($C5,BAU_Demands!$B$3:$BK$48,BAU_Demands!V$1,0)</f>
        <v>0.23</v>
      </c>
      <c r="Y5" s="30">
        <f>VLOOKUP($C5,BAU_Demands!$B$3:$BK$48,BAU_Demands!W$1,0)</f>
        <v>0.24</v>
      </c>
      <c r="Z5" s="30">
        <f>VLOOKUP($C5,BAU_Demands!$B$3:$BK$48,BAU_Demands!X$1,0)</f>
        <v>0.24</v>
      </c>
      <c r="AA5" s="30">
        <f>VLOOKUP($C5,BAU_Demands!$B$3:$BK$48,BAU_Demands!Y$1,0)</f>
        <v>0.24</v>
      </c>
      <c r="AB5" s="30">
        <f>VLOOKUP($C5,BAU_Demands!$B$3:$BK$48,BAU_Demands!Z$1,0)</f>
        <v>0.25</v>
      </c>
      <c r="AC5" s="30">
        <f>VLOOKUP($C5,BAU_Demands!$B$3:$BK$48,BAU_Demands!AA$1,0)</f>
        <v>0.25</v>
      </c>
      <c r="AD5" s="30">
        <f>VLOOKUP($C5,BAU_Demands!$B$3:$BK$48,BAU_Demands!AB$1,0)</f>
        <v>0.26</v>
      </c>
      <c r="AE5" s="30">
        <f>VLOOKUP($C5,BAU_Demands!$B$3:$BK$48,BAU_Demands!AC$1,0)</f>
        <v>0.26</v>
      </c>
      <c r="AF5" s="30">
        <f>VLOOKUP($C5,BAU_Demands!$B$3:$BK$48,BAU_Demands!AD$1,0)</f>
        <v>0.27</v>
      </c>
      <c r="AG5" s="30">
        <f>VLOOKUP($C5,BAU_Demands!$B$3:$BK$48,BAU_Demands!AE$1,0)</f>
        <v>0.27</v>
      </c>
      <c r="AH5" s="30">
        <f>VLOOKUP($C5,BAU_Demands!$B$3:$BK$48,BAU_Demands!AF$1,0)</f>
        <v>0.28000000000000003</v>
      </c>
      <c r="AI5" s="30">
        <f>VLOOKUP($C5,BAU_Demands!$B$3:$BK$48,BAU_Demands!AG$1,0)</f>
        <v>0.28000000000000003</v>
      </c>
      <c r="AJ5" s="30">
        <f>VLOOKUP($C5,BAU_Demands!$B$3:$BK$48,BAU_Demands!AH$1,0)</f>
        <v>0.28000000000000003</v>
      </c>
      <c r="AK5" s="30">
        <f>VLOOKUP($C5,BAU_Demands!$B$3:$BK$48,BAU_Demands!AI$1,0)</f>
        <v>0.28999999999999998</v>
      </c>
      <c r="AL5" s="30">
        <f>VLOOKUP($C5,BAU_Demands!$B$3:$BK$48,BAU_Demands!AJ$1,0)</f>
        <v>0.28999999999999998</v>
      </c>
      <c r="AM5" s="30">
        <f>VLOOKUP($C5,BAU_Demands!$B$3:$BK$48,BAU_Demands!AK$1,0)</f>
        <v>0.3</v>
      </c>
      <c r="AN5" s="30">
        <f>VLOOKUP($C5,BAU_Demands!$B$3:$BK$48,BAU_Demands!AL$1,0)</f>
        <v>0.3</v>
      </c>
      <c r="AO5" s="30">
        <f>VLOOKUP($C5,BAU_Demands!$B$3:$BK$48,BAU_Demands!AM$1,0)</f>
        <v>0.3</v>
      </c>
      <c r="AP5" s="30">
        <f>VLOOKUP($C5,BAU_Demands!$B$3:$BK$48,BAU_Demands!AN$1,0)</f>
        <v>0.31</v>
      </c>
      <c r="AQ5" s="30">
        <f>VLOOKUP($C5,BAU_Demands!$B$3:$BK$48,BAU_Demands!AO$1,0)</f>
        <v>0.31</v>
      </c>
      <c r="AR5" s="30">
        <f>VLOOKUP($C5,BAU_Demands!$B$3:$BK$48,BAU_Demands!AP$1,0)</f>
        <v>0.32</v>
      </c>
      <c r="AS5" s="30">
        <f>VLOOKUP($C5,BAU_Demands!$B$3:$BK$48,BAU_Demands!AQ$1,0)</f>
        <v>0.32</v>
      </c>
      <c r="AT5" s="30">
        <f>VLOOKUP($C5,BAU_Demands!$B$3:$BK$48,BAU_Demands!AR$1,0)</f>
        <v>0.32</v>
      </c>
      <c r="AU5" s="30">
        <f>VLOOKUP($C5,BAU_Demands!$B$3:$BK$48,BAU_Demands!AS$1,0)</f>
        <v>0.33</v>
      </c>
      <c r="AV5" s="30">
        <f>VLOOKUP($C5,BAU_Demands!$B$3:$BK$48,BAU_Demands!AT$1,0)</f>
        <v>0.33</v>
      </c>
      <c r="AW5" s="30">
        <f>VLOOKUP($C5,BAU_Demands!$B$3:$BK$48,BAU_Demands!AU$1,0)</f>
        <v>0.34</v>
      </c>
      <c r="AX5" s="30">
        <f>VLOOKUP($C5,BAU_Demands!$B$3:$BK$48,BAU_Demands!AV$1,0)</f>
        <v>0.34</v>
      </c>
      <c r="AY5" s="30">
        <f>VLOOKUP($C5,BAU_Demands!$B$3:$BK$48,BAU_Demands!AW$1,0)</f>
        <v>0.34</v>
      </c>
      <c r="AZ5" s="30">
        <f>VLOOKUP($C5,BAU_Demands!$B$3:$BK$48,BAU_Demands!AX$1,0)</f>
        <v>0.35</v>
      </c>
      <c r="BA5" s="30">
        <f>VLOOKUP($C5,BAU_Demands!$B$3:$BK$48,BAU_Demands!AY$1,0)</f>
        <v>0.35</v>
      </c>
      <c r="BB5" s="30">
        <f>VLOOKUP($C5,BAU_Demands!$B$3:$BK$48,BAU_Demands!AZ$1,0)</f>
        <v>0.35</v>
      </c>
      <c r="BC5" s="30">
        <f>VLOOKUP($C5,BAU_Demands!$B$3:$BK$48,BAU_Demands!BA$1,0)</f>
        <v>0.36</v>
      </c>
      <c r="BD5" s="30">
        <f>VLOOKUP($C5,BAU_Demands!$B$3:$BK$48,BAU_Demands!BB$1,0)</f>
        <v>0.36</v>
      </c>
      <c r="BE5" s="30">
        <f>VLOOKUP($C5,BAU_Demands!$B$3:$BK$48,BAU_Demands!BC$1,0)</f>
        <v>0.36</v>
      </c>
      <c r="BF5" s="30">
        <f>VLOOKUP($C5,BAU_Demands!$B$3:$BK$48,BAU_Demands!BD$1,0)</f>
        <v>0.37</v>
      </c>
      <c r="BG5" s="30">
        <f>VLOOKUP($C5,BAU_Demands!$B$3:$BK$48,BAU_Demands!BE$1,0)</f>
        <v>0.37</v>
      </c>
      <c r="BH5" s="30">
        <f>VLOOKUP($C5,BAU_Demands!$B$3:$BK$48,BAU_Demands!BF$1,0)</f>
        <v>0.37</v>
      </c>
      <c r="BI5" s="30">
        <f>VLOOKUP($C5,BAU_Demands!$B$3:$BK$48,BAU_Demands!BG$1,0)</f>
        <v>0.38</v>
      </c>
      <c r="BJ5" s="30">
        <f>VLOOKUP($C5,BAU_Demands!$B$3:$BK$48,BAU_Demands!BH$1,0)</f>
        <v>0.38</v>
      </c>
      <c r="BK5" s="30">
        <f>VLOOKUP($C5,BAU_Demands!$B$3:$BK$48,BAU_Demands!BI$1,0)</f>
        <v>0.38</v>
      </c>
      <c r="BL5" s="30">
        <f>VLOOKUP($C5,BAU_Demands!$B$3:$BK$48,BAU_Demands!BJ$1,0)</f>
        <v>0.39</v>
      </c>
      <c r="BM5" s="30">
        <f>VLOOKUP($C5,BAU_Demands!$B$3:$BK$48,BAU_Demands!BK$1,0)</f>
        <v>0.39</v>
      </c>
    </row>
    <row r="6" spans="1:65" ht="15.75" hidden="1" customHeight="1">
      <c r="A6" s="29" t="s">
        <v>457</v>
      </c>
      <c r="B6" s="29" t="s">
        <v>458</v>
      </c>
      <c r="C6" s="29" t="s">
        <v>471</v>
      </c>
      <c r="D6" s="29" t="s">
        <v>460</v>
      </c>
      <c r="E6" s="29" t="s">
        <v>472</v>
      </c>
      <c r="F6" s="29" t="s">
        <v>462</v>
      </c>
      <c r="G6" s="29" t="s">
        <v>463</v>
      </c>
      <c r="H6" s="29" t="s">
        <v>464</v>
      </c>
      <c r="I6" s="27"/>
      <c r="J6" s="27"/>
      <c r="K6" s="27"/>
      <c r="L6" s="27"/>
      <c r="M6" s="322">
        <f>VLOOKUP($C6,BAU_Demands!$B$3:$BK$48,BAU_Demands!K$1,0)</f>
        <v>0</v>
      </c>
      <c r="N6" s="322">
        <f>VLOOKUP($C6,BAU_Demands!$B$3:$BK$48,BAU_Demands!L$1,0)</f>
        <v>0</v>
      </c>
      <c r="O6" s="322">
        <f>VLOOKUP($C6,BAU_Demands!$B$3:$BK$48,BAU_Demands!M$1,0)</f>
        <v>0</v>
      </c>
      <c r="P6" s="322">
        <f>VLOOKUP($C6,BAU_Demands!$B$3:$BK$48,BAU_Demands!N$1,0)</f>
        <v>0</v>
      </c>
      <c r="Q6" s="323">
        <f>(SUM(BAU_Demands!O3+BAU_Demands!O6+BAU_Demands!O8)-Q8-Q7)*(1-'Net Zero 2050'!I94)</f>
        <v>0</v>
      </c>
      <c r="R6" s="323">
        <f>(SUM(BAU_Demands!P3+BAU_Demands!P6+BAU_Demands!P8)-R8-R7)*(1-'Net Zero 2050'!J94)</f>
        <v>4.0723246800000411E-2</v>
      </c>
      <c r="S6" s="323">
        <f>(SUM(BAU_Demands!Q3+BAU_Demands!Q6+BAU_Demands!Q8)-S8-S7)*(1-'Net Zero 2050'!K94)</f>
        <v>8.1767719800000277E-2</v>
      </c>
      <c r="T6" s="323">
        <f>(SUM(BAU_Demands!R3+BAU_Demands!R6+BAU_Demands!R8)-T8-T7)*(1-'Net Zero 2050'!L94)</f>
        <v>0.12580820000000048</v>
      </c>
      <c r="U6" s="323">
        <f>(SUM(BAU_Demands!S3+BAU_Demands!S6+BAU_Demands!S8)-U8-U7)*(1-'Net Zero 2050'!M94)</f>
        <v>0.18468139200000022</v>
      </c>
      <c r="V6" s="323">
        <f>(SUM(BAU_Demands!T3+BAU_Demands!T6+BAU_Demands!T8)-V8-V7)*(1-'Net Zero 2050'!N94)</f>
        <v>0.24647422799999988</v>
      </c>
      <c r="W6" s="323">
        <f>(SUM(BAU_Demands!U3+BAU_Demands!U6+BAU_Demands!U8)-W8-W7)*(1-'Net Zero 2050'!O94)</f>
        <v>0.30906805600000059</v>
      </c>
      <c r="X6" s="323">
        <f>(SUM(BAU_Demands!V3+BAU_Demands!V6+BAU_Demands!V8)-X8-X7)*(1-'Net Zero 2050'!P94)</f>
        <v>0.3706080000000006</v>
      </c>
      <c r="Y6" s="323">
        <f>(SUM(BAU_Demands!W3+BAU_Demands!W6+BAU_Demands!W8)-Y8-Y7)*(1-'Net Zero 2050'!Q94)</f>
        <v>0.43326138000000036</v>
      </c>
      <c r="Z6" s="323">
        <f>(SUM(BAU_Demands!X3+BAU_Demands!X6+BAU_Demands!X8)-Z8-Z7)*(1-'Net Zero 2050'!R94)</f>
        <v>0.51372982800000022</v>
      </c>
      <c r="AA6" s="323">
        <f>(SUM(BAU_Demands!Y3+BAU_Demands!Y6+BAU_Demands!Y8)-AA8-AA7)*(1-'Net Zero 2050'!S94)</f>
        <v>0.5915673600000001</v>
      </c>
      <c r="AB6" s="323">
        <f>(SUM(BAU_Demands!Z3+BAU_Demands!Z6+BAU_Demands!Z8)-AB8-AB7)*(1-'Net Zero 2050'!T94)</f>
        <v>0.67259827600000022</v>
      </c>
      <c r="AC6" s="323">
        <f>(SUM(BAU_Demands!AA3+BAU_Demands!AA6+BAU_Demands!AA8)-AC8-AC7)*(1-'Net Zero 2050'!U94)</f>
        <v>0.75102663999999963</v>
      </c>
      <c r="AD6" s="323">
        <f>(SUM(BAU_Demands!AB3+BAU_Demands!AB6+BAU_Demands!AB8)-AD8-AD7)*(1-'Net Zero 2050'!V94)</f>
        <v>0.83081780999999977</v>
      </c>
      <c r="AE6" s="323">
        <f>(SUM(BAU_Demands!AC3+BAU_Demands!AC6+BAU_Demands!AC8)-AE8-AE7)*(1-'Net Zero 2050'!W94)</f>
        <v>0.90149992399999923</v>
      </c>
      <c r="AF6" s="323">
        <f>(SUM(BAU_Demands!AD3+BAU_Demands!AD6+BAU_Demands!AD8)-AF8-AF7)*(1-'Net Zero 2050'!X94)</f>
        <v>0.97188156000000026</v>
      </c>
      <c r="AG6" s="323">
        <f>(SUM(BAU_Demands!AE3+BAU_Demands!AE6+BAU_Demands!AE8)-AG8-AG7)*(1-'Net Zero 2050'!Y94)</f>
        <v>1.0441354139999994</v>
      </c>
      <c r="AH6" s="323">
        <f>(SUM(BAU_Demands!AF3+BAU_Demands!AF6+BAU_Demands!AF8)-AH8-AH7)*(1-'Net Zero 2050'!Z94)</f>
        <v>1.121940950000001</v>
      </c>
      <c r="AI6" s="323">
        <f>(SUM(BAU_Demands!AG3+BAU_Demands!AG6+BAU_Demands!AG8)-AI8-AI7)*(1-'Net Zero 2050'!AA94)</f>
        <v>1.199641379999999</v>
      </c>
      <c r="AJ6" s="323">
        <f>(SUM(BAU_Demands!AH3+BAU_Demands!AH6+BAU_Demands!AH8)-AJ8-AJ7)*(1-'Net Zero 2050'!AB94)</f>
        <v>1.2638825839999992</v>
      </c>
      <c r="AK6" s="323">
        <f>(SUM(BAU_Demands!AI3+BAU_Demands!AI6+BAU_Demands!AI8)-AK8-AK7)*(1-'Net Zero 2050'!AC94)</f>
        <v>1.3291718880000003</v>
      </c>
      <c r="AL6" s="323">
        <f>(SUM(BAU_Demands!AJ3+BAU_Demands!AJ6+BAU_Demands!AJ8)-AL8-AL7)*(1-'Net Zero 2050'!AD94)</f>
        <v>1.3940187000000008</v>
      </c>
      <c r="AM6" s="323">
        <f>(SUM(BAU_Demands!AK3+BAU_Demands!AK6+BAU_Demands!AK8)-AM8-AM7)*(1-'Net Zero 2050'!AE94)</f>
        <v>1.4656262399999993</v>
      </c>
      <c r="AN6" s="323">
        <f>(SUM(BAU_Demands!AL3+BAU_Demands!AL6+BAU_Demands!AL8)-AN8-AN7)*(1-'Net Zero 2050'!AF94)</f>
        <v>1.5382754399999996</v>
      </c>
      <c r="AO6" s="323">
        <f>(SUM(BAU_Demands!AM3+BAU_Demands!AM6+BAU_Demands!AM8)-AO8-AO7)*(1-'Net Zero 2050'!AG94)</f>
        <v>1.6033578959999988</v>
      </c>
      <c r="AP6" s="323">
        <f>(SUM(BAU_Demands!AN3+BAU_Demands!AN6+BAU_Demands!AN8)-AP8-AP7)*(1-'Net Zero 2050'!AH94)</f>
        <v>1.666111044</v>
      </c>
      <c r="AQ6" s="323">
        <f>(SUM(BAU_Demands!AO3+BAU_Demands!AO6+BAU_Demands!AO8)-AQ8-AQ7)*(1-'Net Zero 2050'!AI94)</f>
        <v>1.7297985599999988</v>
      </c>
      <c r="AR6" s="323">
        <f>(SUM(BAU_Demands!AP3+BAU_Demands!AP6+BAU_Demands!AP8)-AR8-AR7)*(1-'Net Zero 2050'!AJ94)</f>
        <v>1.7979442799999998</v>
      </c>
      <c r="AS6" s="323">
        <f>(SUM(BAU_Demands!AQ3+BAU_Demands!AQ6+BAU_Demands!AQ8)-AS8-AS7)*(1-'Net Zero 2050'!AK94)</f>
        <v>1.8652094999999993</v>
      </c>
      <c r="AT6" s="323">
        <f>(SUM(BAU_Demands!AR3+BAU_Demands!AR6+BAU_Demands!AR8)-AT8-AT7)*(1-'Net Zero 2050'!AL94)</f>
        <v>1.9808967024689523</v>
      </c>
      <c r="AU6" s="323">
        <f>(SUM(BAU_Demands!AS3+BAU_Demands!AS6+BAU_Demands!AS8)-AU8-AU7)*(1-'Net Zero 2050'!AM94)</f>
        <v>2.0998824521570496</v>
      </c>
      <c r="AV6" s="323">
        <f>(SUM(BAU_Demands!AT3+BAU_Demands!AT6+BAU_Demands!AT8)-AV8-AV7)*(1-'Net Zero 2050'!AN94)</f>
        <v>2.2231816482189708</v>
      </c>
      <c r="AW6" s="323">
        <f>(SUM(BAU_Demands!AU3+BAU_Demands!AU6+BAU_Demands!AU8)-AW8-AW7)*(1-'Net Zero 2050'!AO94)</f>
        <v>2.3514296466578624</v>
      </c>
      <c r="AX6" s="323">
        <f>(SUM(BAU_Demands!AV3+BAU_Demands!AV6+BAU_Demands!AV8)-AX8-AX7)*(1-'Net Zero 2050'!AP94)</f>
        <v>2.4863906388470314</v>
      </c>
      <c r="AY6" s="323">
        <f>(SUM(BAU_Demands!AW3+BAU_Demands!AW6+BAU_Demands!AW8)-AY8-AY7)*(1-'Net Zero 2050'!AQ94)</f>
        <v>2.6251959309894066</v>
      </c>
      <c r="AZ6" s="323">
        <f>(SUM(BAU_Demands!AX3+BAU_Demands!AX6+BAU_Demands!AX8)-AZ8-AZ7)*(1-'Net Zero 2050'!AR94)</f>
        <v>2.7690496467977259</v>
      </c>
      <c r="BA6" s="323">
        <f>(SUM(BAU_Demands!AY3+BAU_Demands!AY6+BAU_Demands!AY8)-BA8-BA7)*(1-'Net Zero 2050'!AS94)</f>
        <v>2.9146391146890953</v>
      </c>
      <c r="BB6" s="323">
        <f>(SUM(BAU_Demands!AZ3+BAU_Demands!AZ6+BAU_Demands!AZ8)-BB8-BB7)*(1-'Net Zero 2050'!AT94)</f>
        <v>3.0700125060276915</v>
      </c>
      <c r="BC6" s="323">
        <f>(SUM(BAU_Demands!BA3+BAU_Demands!BA6+BAU_Demands!BA8)-BC8-BC7)*(1-'Net Zero 2050'!AU94)</f>
        <v>3.2267291674737191</v>
      </c>
      <c r="BD6" s="323">
        <f>(SUM(BAU_Demands!BB3+BAU_Demands!BB6+BAU_Demands!BB8)-BD8-BD7)*(1-'Net Zero 2050'!AV94)</f>
        <v>3.3919427672775582</v>
      </c>
      <c r="BE6" s="323">
        <f>(SUM(BAU_Demands!BC3+BAU_Demands!BC6+BAU_Demands!BC8)-BE8-BE7)*(1-'Net Zero 2050'!AW94)</f>
        <v>3.5584782489592794</v>
      </c>
      <c r="BF6" s="323">
        <f>(SUM(BAU_Demands!BD3+BAU_Demands!BD6+BAU_Demands!BD8)-BF8-BF7)*(1-'Net Zero 2050'!AX94)</f>
        <v>3.7339021440230109</v>
      </c>
      <c r="BG6" s="323">
        <f>(SUM(BAU_Demands!BE3+BAU_Demands!BE6+BAU_Demands!BE8)-BG8-BG7)*(1-'Net Zero 2050'!AY94)</f>
        <v>3.9106257743936297</v>
      </c>
      <c r="BH6" s="323">
        <f>(SUM(BAU_Demands!BF3+BAU_Demands!BF6+BAU_Demands!BF8)-BH8-BH7)*(1-'Net Zero 2050'!AZ94)</f>
        <v>4.0938954765974493</v>
      </c>
      <c r="BI6" s="323">
        <f>(SUM(BAU_Demands!BG3+BAU_Demands!BG6+BAU_Demands!BG8)-BI8-BI7)*(1-'Net Zero 2050'!BA94)</f>
        <v>4.2811052457630785</v>
      </c>
      <c r="BJ6" s="323">
        <f>(SUM(BAU_Demands!BH3+BAU_Demands!BH6+BAU_Demands!BH8)-BJ8-BJ7)*(1-'Net Zero 2050'!BB94)</f>
        <v>4.4773717642675521</v>
      </c>
      <c r="BK6" s="323">
        <f>(SUM(BAU_Demands!BI3+BAU_Demands!BI6+BAU_Demands!BI8)-BK8-BK7)*(1-'Net Zero 2050'!BC94)</f>
        <v>4.6754887924951243</v>
      </c>
      <c r="BL6" s="323">
        <f>(SUM(BAU_Demands!BJ3+BAU_Demands!BJ6+BAU_Demands!BJ8)-BL8-BL7)*(1-'Net Zero 2050'!BD94)</f>
        <v>4.8830258618246232</v>
      </c>
      <c r="BM6" s="323">
        <f>(SUM(BAU_Demands!BK3+BAU_Demands!BK6+BAU_Demands!BK8)-BM8-BM7)*(1-'Net Zero 2050'!BE94)</f>
        <v>5.0979141103743482</v>
      </c>
    </row>
    <row r="7" spans="1:65" ht="15.75" hidden="1" customHeight="1">
      <c r="A7" s="314" t="s">
        <v>457</v>
      </c>
      <c r="B7" s="314" t="s">
        <v>458</v>
      </c>
      <c r="C7" s="314" t="s">
        <v>473</v>
      </c>
      <c r="D7" s="314" t="s">
        <v>460</v>
      </c>
      <c r="E7" s="314" t="s">
        <v>474</v>
      </c>
      <c r="F7" s="314" t="s">
        <v>462</v>
      </c>
      <c r="G7" s="314" t="s">
        <v>463</v>
      </c>
      <c r="H7" s="314" t="s">
        <v>464</v>
      </c>
      <c r="I7" s="314" t="s">
        <v>44</v>
      </c>
      <c r="J7" s="314" t="s">
        <v>44</v>
      </c>
      <c r="K7" s="314" t="s">
        <v>44</v>
      </c>
      <c r="L7" s="314" t="s">
        <v>44</v>
      </c>
      <c r="M7" s="314">
        <f>VLOOKUP($C7,BAU_Demands!$B$3:$BK$48,BAU_Demands!K$1,0)</f>
        <v>1.0525426410000001</v>
      </c>
      <c r="N7" s="314">
        <f>VLOOKUP($C7,BAU_Demands!$B$3:$BK$48,BAU_Demands!L$1,0)</f>
        <v>1.1384701150000001</v>
      </c>
      <c r="O7" s="314">
        <f>VLOOKUP($C7,BAU_Demands!$B$3:$BK$48,BAU_Demands!M$1,0)</f>
        <v>0.93313629899999995</v>
      </c>
      <c r="P7" s="314">
        <f>VLOOKUP($C7,BAU_Demands!$B$3:$BK$48,BAU_Demands!N$1,0)</f>
        <v>1.09661806</v>
      </c>
      <c r="Q7" s="314">
        <f>VLOOKUP($C7,BAU_Demands!$B$3:$BK$48,BAU_Demands!O$1,0)*(1-'Net Zero 2050'!I96)</f>
        <v>1.1299999999999999</v>
      </c>
      <c r="R7" s="314">
        <f>VLOOKUP($C7,BAU_Demands!$B$3:$BK$48,BAU_Demands!P$1,0)*(1-'Net Zero 2050'!J96)</f>
        <v>1.1676599999999999</v>
      </c>
      <c r="S7" s="314">
        <f>VLOOKUP($C7,BAU_Demands!$B$3:$BK$48,BAU_Demands!Q$1,0)*(1-'Net Zero 2050'!K96)</f>
        <v>1.1963999999999999</v>
      </c>
      <c r="T7" s="314">
        <f>VLOOKUP($C7,BAU_Demands!$B$3:$BK$48,BAU_Demands!R$1,0)*(1-'Net Zero 2050'!L96)</f>
        <v>1.2238499999999999</v>
      </c>
      <c r="U7" s="314">
        <f>VLOOKUP($C7,BAU_Demands!$B$3:$BK$48,BAU_Demands!S$1,0)*(1-'Net Zero 2050'!M96)</f>
        <v>1.24488</v>
      </c>
      <c r="V7" s="314">
        <f>VLOOKUP($C7,BAU_Demands!$B$3:$BK$48,BAU_Demands!T$1,0)*(1-'Net Zero 2050'!N96)</f>
        <v>1.26549</v>
      </c>
      <c r="W7" s="314">
        <f>VLOOKUP($C7,BAU_Demands!$B$3:$BK$48,BAU_Demands!U$1,0)*(1-'Net Zero 2050'!O96)</f>
        <v>1.2856799999999999</v>
      </c>
      <c r="X7" s="314">
        <f>VLOOKUP($C7,BAU_Demands!$B$3:$BK$48,BAU_Demands!V$1,0)*(1-'Net Zero 2050'!P96)</f>
        <v>1.2861100000000001</v>
      </c>
      <c r="Y7" s="314">
        <f>VLOOKUP($C7,BAU_Demands!$B$3:$BK$48,BAU_Demands!W$1,0)*(1-'Net Zero 2050'!Q96)</f>
        <v>1.296</v>
      </c>
      <c r="Z7" s="314">
        <f>VLOOKUP($C7,BAU_Demands!$B$3:$BK$48,BAU_Demands!X$1,0)*(1-'Net Zero 2050'!R96)</f>
        <v>1.3137599999999998</v>
      </c>
      <c r="AA7" s="314">
        <f>VLOOKUP($C7,BAU_Demands!$B$3:$BK$48,BAU_Demands!Y$1,0)*(1-'Net Zero 2050'!S96)</f>
        <v>1.3215999999999999</v>
      </c>
      <c r="AB7" s="314">
        <f>VLOOKUP($C7,BAU_Demands!$B$3:$BK$48,BAU_Demands!Z$1,0)*(1-'Net Zero 2050'!T96)</f>
        <v>1.3291199999999999</v>
      </c>
      <c r="AC7" s="314">
        <f>VLOOKUP($C7,BAU_Demands!$B$3:$BK$48,BAU_Demands!AA$1,0)*(1-'Net Zero 2050'!U96)</f>
        <v>1.33632</v>
      </c>
      <c r="AD7" s="314">
        <f>VLOOKUP($C7,BAU_Demands!$B$3:$BK$48,BAU_Demands!AB$1,0)*(1-'Net Zero 2050'!V96)</f>
        <v>1.3431999999999999</v>
      </c>
      <c r="AE7" s="314">
        <f>VLOOKUP($C7,BAU_Demands!$B$3:$BK$48,BAU_Demands!AC$1,0)*(1-'Net Zero 2050'!W96)</f>
        <v>1.3497600000000001</v>
      </c>
      <c r="AF7" s="314">
        <f>VLOOKUP($C7,BAU_Demands!$B$3:$BK$48,BAU_Demands!AD$1,0)*(1-'Net Zero 2050'!X96)</f>
        <v>1.3560000000000001</v>
      </c>
      <c r="AG7" s="314">
        <f>VLOOKUP($C7,BAU_Demands!$B$3:$BK$48,BAU_Demands!AE$1,0)*(1-'Net Zero 2050'!Y96)</f>
        <v>1.36192</v>
      </c>
      <c r="AH7" s="314">
        <f>VLOOKUP($C7,BAU_Demands!$B$3:$BK$48,BAU_Demands!AF$1,0)*(1-'Net Zero 2050'!Z96)</f>
        <v>1.3764000000000001</v>
      </c>
      <c r="AI7" s="314">
        <f>VLOOKUP($C7,BAU_Demands!$B$3:$BK$48,BAU_Demands!AG$1,0)*(1-'Net Zero 2050'!AA96)</f>
        <v>1.3904000000000001</v>
      </c>
      <c r="AJ7" s="314">
        <f>VLOOKUP($C7,BAU_Demands!$B$3:$BK$48,BAU_Demands!AH$1,0)*(1-'Net Zero 2050'!AB96)</f>
        <v>1.4103600000000001</v>
      </c>
      <c r="AK7" s="314">
        <f>VLOOKUP($C7,BAU_Demands!$B$3:$BK$48,BAU_Demands!AI$1,0)*(1-'Net Zero 2050'!AC96)</f>
        <v>1.43008</v>
      </c>
      <c r="AL7" s="314">
        <f>VLOOKUP($C7,BAU_Demands!$B$3:$BK$48,BAU_Demands!AJ$1,0)*(1-'Net Zero 2050'!AD96)</f>
        <v>1.44956</v>
      </c>
      <c r="AM7" s="314">
        <f>VLOOKUP($C7,BAU_Demands!$B$3:$BK$48,BAU_Demands!AK$1,0)*(1-'Net Zero 2050'!AE96)</f>
        <v>1.4687999999999999</v>
      </c>
      <c r="AN7" s="314">
        <f>VLOOKUP($C7,BAU_Demands!$B$3:$BK$48,BAU_Demands!AL$1,0)*(1-'Net Zero 2050'!AF96)</f>
        <v>1.4964</v>
      </c>
      <c r="AO7" s="314">
        <f>VLOOKUP($C7,BAU_Demands!$B$3:$BK$48,BAU_Demands!AM$1,0)*(1-'Net Zero 2050'!AG96)</f>
        <v>1.5272399999999999</v>
      </c>
      <c r="AP7" s="314">
        <f>VLOOKUP($C7,BAU_Demands!$B$3:$BK$48,BAU_Demands!AN$1,0)*(1-'Net Zero 2050'!AH96)</f>
        <v>1.55792</v>
      </c>
      <c r="AQ7" s="314">
        <f>VLOOKUP($C7,BAU_Demands!$B$3:$BK$48,BAU_Demands!AO$1,0)*(1-'Net Zero 2050'!AI96)</f>
        <v>1.5884400000000001</v>
      </c>
      <c r="AR7" s="314">
        <f>VLOOKUP($C7,BAU_Demands!$B$3:$BK$48,BAU_Demands!AP$1,0)*(1-'Net Zero 2050'!AJ96)</f>
        <v>1.6187999999999998</v>
      </c>
      <c r="AS7" s="314">
        <f>VLOOKUP($C7,BAU_Demands!$B$3:$BK$48,BAU_Demands!AQ$1,0)*(1-'Net Zero 2050'!AK96)</f>
        <v>1.649</v>
      </c>
      <c r="AT7" s="314">
        <f>VLOOKUP($C7,BAU_Demands!$B$3:$BK$48,BAU_Demands!AR$1,0)*(1-'Net Zero 2050'!AL96)</f>
        <v>1.6688785034482734</v>
      </c>
      <c r="AU7" s="314">
        <f>VLOOKUP($C7,BAU_Demands!$B$3:$BK$48,BAU_Demands!AS$1,0)*(1-'Net Zero 2050'!AM96)</f>
        <v>1.67982908275862</v>
      </c>
      <c r="AV7" s="314">
        <f>VLOOKUP($C7,BAU_Demands!$B$3:$BK$48,BAU_Demands!AT$1,0)*(1-'Net Zero 2050'!AN96)</f>
        <v>1.6986377758620665</v>
      </c>
      <c r="AW7" s="314">
        <f>VLOOKUP($C7,BAU_Demands!$B$3:$BK$48,BAU_Demands!AU$1,0)*(1-'Net Zero 2050'!AO96)</f>
        <v>1.7168759034482752</v>
      </c>
      <c r="AX7" s="314">
        <f>VLOOKUP($C7,BAU_Demands!$B$3:$BK$48,BAU_Demands!AV$1,0)*(1-'Net Zero 2050'!AP96)</f>
        <v>1.7426868620689633</v>
      </c>
      <c r="AY7" s="314">
        <f>VLOOKUP($C7,BAU_Demands!$B$3:$BK$48,BAU_Demands!AW$1,0)*(1-'Net Zero 2050'!AQ96)</f>
        <v>1.7597125379310341</v>
      </c>
      <c r="AZ7" s="314">
        <f>VLOOKUP($C7,BAU_Demands!$B$3:$BK$48,BAU_Demands!AX$1,0)*(1-'Net Zero 2050'!AR96)</f>
        <v>1.7841684034482734</v>
      </c>
      <c r="BA7" s="314">
        <f>VLOOKUP($C7,BAU_Demands!$B$3:$BK$48,BAU_Demands!AY$1,0)*(1-'Net Zero 2050'!AS96)</f>
        <v>1.7999816275862066</v>
      </c>
      <c r="BB7" s="314">
        <f>VLOOKUP($C7,BAU_Demands!$B$3:$BK$48,BAU_Demands!AZ$1,0)*(1-'Net Zero 2050'!AT96)</f>
        <v>1.8230823999999977</v>
      </c>
      <c r="BC7" s="314">
        <f>VLOOKUP($C7,BAU_Demands!$B$3:$BK$48,BAU_Demands!BA$1,0)*(1-'Net Zero 2050'!AU96)</f>
        <v>1.8454699655172413</v>
      </c>
      <c r="BD7" s="314">
        <f>VLOOKUP($C7,BAU_Demands!$B$3:$BK$48,BAU_Demands!BB$1,0)*(1-'Net Zero 2050'!AV96)</f>
        <v>1.8671443241379286</v>
      </c>
      <c r="BE7" s="314">
        <f>VLOOKUP($C7,BAU_Demands!$B$3:$BK$48,BAU_Demands!BC$1,0)*(1-'Net Zero 2050'!AW96)</f>
        <v>1.888105475862069</v>
      </c>
      <c r="BF7" s="314">
        <f>VLOOKUP($C7,BAU_Demands!$B$3:$BK$48,BAU_Demands!BD$1,0)*(1-'Net Zero 2050'!AX96)</f>
        <v>1.9083534206896531</v>
      </c>
      <c r="BG7" s="314">
        <f>VLOOKUP($C7,BAU_Demands!$B$3:$BK$48,BAU_Demands!BE$1,0)*(1-'Net Zero 2050'!AY96)</f>
        <v>1.9278881586206897</v>
      </c>
      <c r="BH7" s="314">
        <f>VLOOKUP($C7,BAU_Demands!$B$3:$BK$48,BAU_Demands!BF$1,0)*(1-'Net Zero 2050'!AZ96)</f>
        <v>1.9467096896551703</v>
      </c>
      <c r="BI7" s="314">
        <f>VLOOKUP($C7,BAU_Demands!$B$3:$BK$48,BAU_Demands!BG$1,0)*(1-'Net Zero 2050'!BA96)</f>
        <v>1.9648180137931037</v>
      </c>
      <c r="BJ7" s="314">
        <f>VLOOKUP($C7,BAU_Demands!$B$3:$BK$48,BAU_Demands!BH$1,0)*(1-'Net Zero 2050'!BB96)</f>
        <v>1.9895006793103427</v>
      </c>
      <c r="BK7" s="314">
        <f>VLOOKUP($C7,BAU_Demands!$B$3:$BK$48,BAU_Demands!BI$1,0)*(1-'Net Zero 2050'!BC96)</f>
        <v>2.0061112689655176</v>
      </c>
      <c r="BL7" s="314">
        <f>VLOOKUP($C7,BAU_Demands!$B$3:$BK$48,BAU_Demands!BJ$1,0)*(1-'Net Zero 2050'!BD96)</f>
        <v>2.0291535586206875</v>
      </c>
      <c r="BM7" s="314">
        <f>VLOOKUP($C7,BAU_Demands!$B$3:$BK$48,BAU_Demands!BK$1,0)*(1-'Net Zero 2050'!BE96)</f>
        <v>2.0513400000000006</v>
      </c>
    </row>
    <row r="8" spans="1:65" ht="15.75" hidden="1" customHeight="1">
      <c r="A8" s="314" t="s">
        <v>457</v>
      </c>
      <c r="B8" s="314" t="s">
        <v>458</v>
      </c>
      <c r="C8" s="314" t="s">
        <v>475</v>
      </c>
      <c r="D8" s="314" t="s">
        <v>460</v>
      </c>
      <c r="E8" s="314" t="s">
        <v>476</v>
      </c>
      <c r="F8" s="314" t="s">
        <v>462</v>
      </c>
      <c r="G8" s="314" t="s">
        <v>463</v>
      </c>
      <c r="H8" s="314" t="s">
        <v>464</v>
      </c>
      <c r="I8" s="314" t="s">
        <v>44</v>
      </c>
      <c r="J8" s="314" t="s">
        <v>44</v>
      </c>
      <c r="K8" s="314" t="s">
        <v>44</v>
      </c>
      <c r="L8" s="314" t="s">
        <v>44</v>
      </c>
      <c r="M8" s="314">
        <f>VLOOKUP($C8,BAU_Demands!$B$3:$BK$48,BAU_Demands!K$1,0)</f>
        <v>4.76307583</v>
      </c>
      <c r="N8" s="314">
        <f>VLOOKUP($C8,BAU_Demands!$B$3:$BK$48,BAU_Demands!L$1,0)</f>
        <v>5.2140192619999999</v>
      </c>
      <c r="O8" s="314">
        <f>VLOOKUP($C8,BAU_Demands!$B$3:$BK$48,BAU_Demands!M$1,0)</f>
        <v>4.8432446410000001</v>
      </c>
      <c r="P8" s="314">
        <f>VLOOKUP($C8,BAU_Demands!$B$3:$BK$48,BAU_Demands!N$1,0)</f>
        <v>5.4102095820000002</v>
      </c>
      <c r="Q8" s="314">
        <f>VLOOKUP($C8,BAU_Demands!$B$3:$BK$48,BAU_Demands!O$1,0)*(1-'Net Zero 2050'!I95)</f>
        <v>5.6</v>
      </c>
      <c r="R8" s="314">
        <f>VLOOKUP($C8,BAU_Demands!$B$3:$BK$48,BAU_Demands!P$1,0)*(1-'Net Zero 2050'!J95)</f>
        <v>5.7214079999999994</v>
      </c>
      <c r="S8" s="314">
        <f>VLOOKUP($C8,BAU_Demands!$B$3:$BK$48,BAU_Demands!Q$1,0)*(1-'Net Zero 2050'!K95)</f>
        <v>5.8609980000000004</v>
      </c>
      <c r="T8" s="314">
        <f>VLOOKUP($C8,BAU_Demands!$B$3:$BK$48,BAU_Demands!R$1,0)*(1-'Net Zero 2050'!L95)</f>
        <v>5.9584000000000001</v>
      </c>
      <c r="U8" s="314">
        <f>VLOOKUP($C8,BAU_Demands!$B$3:$BK$48,BAU_Demands!S$1,0)*(1-'Net Zero 2050'!M95)</f>
        <v>6.0263999999999998</v>
      </c>
      <c r="V8" s="314">
        <f>VLOOKUP($C8,BAU_Demands!$B$3:$BK$48,BAU_Demands!T$1,0)*(1-'Net Zero 2050'!N95)</f>
        <v>6.1310400000000005</v>
      </c>
      <c r="W8" s="314">
        <f>VLOOKUP($C8,BAU_Demands!$B$3:$BK$48,BAU_Demands!U$1,0)*(1-'Net Zero 2050'!O95)</f>
        <v>6.20444</v>
      </c>
      <c r="X8" s="314">
        <f>VLOOKUP($C8,BAU_Demands!$B$3:$BK$48,BAU_Demands!V$1,0)*(1-'Net Zero 2050'!P95)</f>
        <v>6.2378399999999994</v>
      </c>
      <c r="Y8" s="314">
        <f>VLOOKUP($C8,BAU_Demands!$B$3:$BK$48,BAU_Demands!W$1,0)*(1-'Net Zero 2050'!Q95)</f>
        <v>6.2697999999999992</v>
      </c>
      <c r="Z8" s="314">
        <f>VLOOKUP($C8,BAU_Demands!$B$3:$BK$48,BAU_Demands!X$1,0)*(1-'Net Zero 2050'!R95)</f>
        <v>6.3332999999999995</v>
      </c>
      <c r="AA8" s="314">
        <f>VLOOKUP($C8,BAU_Demands!$B$3:$BK$48,BAU_Demands!Y$1,0)*(1-'Net Zero 2050'!S95)</f>
        <v>6.3480000000000008</v>
      </c>
      <c r="AB8" s="314">
        <f>VLOOKUP($C8,BAU_Demands!$B$3:$BK$48,BAU_Demands!Z$1,0)*(1-'Net Zero 2050'!T95)</f>
        <v>6.3881999999999994</v>
      </c>
      <c r="AC8" s="314">
        <f>VLOOKUP($C8,BAU_Demands!$B$3:$BK$48,BAU_Demands!AA$1,0)*(1-'Net Zero 2050'!U95)</f>
        <v>6.39</v>
      </c>
      <c r="AD8" s="314">
        <f>VLOOKUP($C8,BAU_Demands!$B$3:$BK$48,BAU_Demands!AB$1,0)*(1-'Net Zero 2050'!V95)</f>
        <v>6.3991000000000007</v>
      </c>
      <c r="AE8" s="314">
        <f>VLOOKUP($C8,BAU_Demands!$B$3:$BK$48,BAU_Demands!AC$1,0)*(1-'Net Zero 2050'!W95)</f>
        <v>6.4386000000000001</v>
      </c>
      <c r="AF8" s="314">
        <f>VLOOKUP($C8,BAU_Demands!$B$3:$BK$48,BAU_Demands!AD$1,0)*(1-'Net Zero 2050'!X95)</f>
        <v>6.4676</v>
      </c>
      <c r="AG8" s="314">
        <f>VLOOKUP($C8,BAU_Demands!$B$3:$BK$48,BAU_Demands!AE$1,0)*(1-'Net Zero 2050'!Y95)</f>
        <v>6.50366</v>
      </c>
      <c r="AH8" s="314">
        <f>VLOOKUP($C8,BAU_Demands!$B$3:$BK$48,BAU_Demands!AF$1,0)*(1-'Net Zero 2050'!Z95)</f>
        <v>6.5636999999999999</v>
      </c>
      <c r="AI8" s="314">
        <f>VLOOKUP($C8,BAU_Demands!$B$3:$BK$48,BAU_Demands!AG$1,0)*(1-'Net Zero 2050'!AA95)</f>
        <v>6.6130000000000004</v>
      </c>
      <c r="AJ8" s="314">
        <f>VLOOKUP($C8,BAU_Demands!$B$3:$BK$48,BAU_Demands!AH$1,0)*(1-'Net Zero 2050'!AB95)</f>
        <v>6.69292</v>
      </c>
      <c r="AK8" s="314">
        <f>VLOOKUP($C8,BAU_Demands!$B$3:$BK$48,BAU_Demands!AI$1,0)*(1-'Net Zero 2050'!AC95)</f>
        <v>6.7710400000000002</v>
      </c>
      <c r="AL8" s="314">
        <f>VLOOKUP($C8,BAU_Demands!$B$3:$BK$48,BAU_Demands!AJ$1,0)*(1-'Net Zero 2050'!AD95)</f>
        <v>6.8390399999999998</v>
      </c>
      <c r="AM8" s="314">
        <f>VLOOKUP($C8,BAU_Demands!$B$3:$BK$48,BAU_Demands!AK$1,0)*(1-'Net Zero 2050'!AE95)</f>
        <v>6.9384000000000006</v>
      </c>
      <c r="AN8" s="314">
        <f>VLOOKUP($C8,BAU_Demands!$B$3:$BK$48,BAU_Demands!AL$1,0)*(1-'Net Zero 2050'!AF95)</f>
        <v>7.027400000000001</v>
      </c>
      <c r="AO8" s="314">
        <f>VLOOKUP($C8,BAU_Demands!$B$3:$BK$48,BAU_Demands!AM$1,0)*(1-'Net Zero 2050'!AG95)</f>
        <v>7.1644800000000002</v>
      </c>
      <c r="AP8" s="314">
        <f>VLOOKUP($C8,BAU_Demands!$B$3:$BK$48,BAU_Demands!AN$1,0)*(1-'Net Zero 2050'!AH95)</f>
        <v>7.283640000000001</v>
      </c>
      <c r="AQ8" s="314">
        <f>VLOOKUP($C8,BAU_Demands!$B$3:$BK$48,BAU_Demands!AO$1,0)*(1-'Net Zero 2050'!AI95)</f>
        <v>7.4012800000000007</v>
      </c>
      <c r="AR8" s="314">
        <f>VLOOKUP($C8,BAU_Demands!$B$3:$BK$48,BAU_Demands!AP$1,0)*(1-'Net Zero 2050'!AJ95)</f>
        <v>7.53348</v>
      </c>
      <c r="AS8" s="314">
        <f>VLOOKUP($C8,BAU_Demands!$B$3:$BK$48,BAU_Demands!AQ$1,0)*(1-'Net Zero 2050'!AK95)</f>
        <v>7.6560000000000006</v>
      </c>
      <c r="AT8" s="314">
        <f>VLOOKUP($C8,BAU_Demands!$B$3:$BK$48,BAU_Demands!AR$1,0)*(1-'Net Zero 2050'!AL95)</f>
        <v>7.7172949766010053</v>
      </c>
      <c r="AU8" s="314">
        <f>VLOOKUP($C8,BAU_Demands!$B$3:$BK$48,BAU_Demands!AS$1,0)*(1-'Net Zero 2050'!AM95)</f>
        <v>7.7833665779310328</v>
      </c>
      <c r="AV8" s="314">
        <f>VLOOKUP($C8,BAU_Demands!$B$3:$BK$48,BAU_Demands!AT$1,0)*(1-'Net Zero 2050'!AN95)</f>
        <v>7.8462148039901605</v>
      </c>
      <c r="AW8" s="314">
        <f>VLOOKUP($C8,BAU_Demands!$B$3:$BK$48,BAU_Demands!AU$1,0)*(1-'Net Zero 2050'!AO95)</f>
        <v>7.9135003521182528</v>
      </c>
      <c r="AX8" s="314">
        <f>VLOOKUP($C8,BAU_Demands!$B$3:$BK$48,BAU_Demands!AV$1,0)*(1-'Net Zero 2050'!AP95)</f>
        <v>7.9849687453201996</v>
      </c>
      <c r="AY8" s="314">
        <f>VLOOKUP($C8,BAU_Demands!$B$3:$BK$48,BAU_Demands!AW$1,0)*(1-'Net Zero 2050'!AQ95)</f>
        <v>8.0603655066010038</v>
      </c>
      <c r="AZ8" s="314">
        <f>VLOOKUP($C8,BAU_Demands!$B$3:$BK$48,BAU_Demands!AX$1,0)*(1-'Net Zero 2050'!AR95)</f>
        <v>8.1320299386207235</v>
      </c>
      <c r="BA8" s="314">
        <f>VLOOKUP($C8,BAU_Demands!$B$3:$BK$48,BAU_Demands!AY$1,0)*(1-'Net Zero 2050'!AS95)</f>
        <v>8.1999620413793188</v>
      </c>
      <c r="BB8" s="314">
        <f>VLOOKUP($C8,BAU_Demands!$B$3:$BK$48,BAU_Demands!AZ$1,0)*(1-'Net Zero 2050'!AT95)</f>
        <v>8.2786349529064278</v>
      </c>
      <c r="BC8" s="314">
        <f>VLOOKUP($C8,BAU_Demands!$B$3:$BK$48,BAU_Demands!BA$1,0)*(1-'Net Zero 2050'!AU95)</f>
        <v>8.3460844891625605</v>
      </c>
      <c r="BD8" s="314">
        <f>VLOOKUP($C8,BAU_Demands!$B$3:$BK$48,BAU_Demands!BB$1,0)*(1-'Net Zero 2050'!AV95)</f>
        <v>8.4237658801970596</v>
      </c>
      <c r="BE8" s="314">
        <f>VLOOKUP($C8,BAU_Demands!$B$3:$BK$48,BAU_Demands!BC$1,0)*(1-'Net Zero 2050'!AW95)</f>
        <v>8.4902238959606233</v>
      </c>
      <c r="BF8" s="314">
        <f>VLOOKUP($C8,BAU_Demands!$B$3:$BK$48,BAU_Demands!BD$1,0)*(1-'Net Zero 2050'!AX95)</f>
        <v>8.5664048125123209</v>
      </c>
      <c r="BG8" s="314">
        <f>VLOOKUP($C8,BAU_Demands!$B$3:$BK$48,BAU_Demands!BE$1,0)*(1-'Net Zero 2050'!AY95)</f>
        <v>8.6313623537931257</v>
      </c>
      <c r="BH8" s="314">
        <f>VLOOKUP($C8,BAU_Demands!$B$3:$BK$48,BAU_Demands!BF$1,0)*(1-'Net Zero 2050'!AZ95)</f>
        <v>8.6988062268473314</v>
      </c>
      <c r="BI8" s="314">
        <f>VLOOKUP($C8,BAU_Demands!$B$3:$BK$48,BAU_Demands!BG$1,0)*(1-'Net Zero 2050'!BA95)</f>
        <v>8.7618391653202092</v>
      </c>
      <c r="BJ8" s="314">
        <f>VLOOKUP($C8,BAU_Demands!$B$3:$BK$48,BAU_Demands!BH$1,0)*(1-'Net Zero 2050'!BB95)</f>
        <v>8.827019132906436</v>
      </c>
      <c r="BK8" s="314">
        <f>VLOOKUP($C8,BAU_Demands!$B$3:$BK$48,BAU_Demands!BI$1,0)*(1-'Net Zero 2050'!BC95)</f>
        <v>8.8876185145812823</v>
      </c>
      <c r="BL8" s="314">
        <f>VLOOKUP($C8,BAU_Demands!$B$3:$BK$48,BAU_Demands!BJ$1,0)*(1-'Net Zero 2050'!BD95)</f>
        <v>8.9500256227093793</v>
      </c>
      <c r="BM8" s="314">
        <f>VLOOKUP($C8,BAU_Demands!$B$3:$BK$48,BAU_Demands!BK$1,0)*(1-'Net Zero 2050'!BE95)</f>
        <v>9.0139859802956064</v>
      </c>
    </row>
    <row r="9" spans="1:65" ht="15.75" hidden="1" customHeight="1">
      <c r="A9" s="30" t="s">
        <v>457</v>
      </c>
      <c r="B9" s="30" t="s">
        <v>458</v>
      </c>
      <c r="C9" s="30" t="s">
        <v>477</v>
      </c>
      <c r="D9" s="30" t="s">
        <v>460</v>
      </c>
      <c r="E9" s="30" t="s">
        <v>478</v>
      </c>
      <c r="F9" s="30" t="s">
        <v>462</v>
      </c>
      <c r="G9" s="30" t="s">
        <v>463</v>
      </c>
      <c r="H9" s="30" t="s">
        <v>464</v>
      </c>
      <c r="I9" s="30"/>
      <c r="J9" s="30"/>
      <c r="K9" s="30"/>
      <c r="L9" s="30"/>
      <c r="M9" s="30">
        <f>VLOOKUP($C9,BAU_Demands!$B$3:$BK$48,BAU_Demands!K$1,0)</f>
        <v>4.480764765</v>
      </c>
      <c r="N9" s="30">
        <f>VLOOKUP($C9,BAU_Demands!$B$3:$BK$48,BAU_Demands!L$1,0)</f>
        <v>4.2873983139999998</v>
      </c>
      <c r="O9" s="30">
        <f>VLOOKUP($C9,BAU_Demands!$B$3:$BK$48,BAU_Demands!M$1,0)</f>
        <v>3.3116198030000001</v>
      </c>
      <c r="P9" s="30">
        <f>VLOOKUP($C9,BAU_Demands!$B$3:$BK$48,BAU_Demands!N$1,0)</f>
        <v>3.9848753609999998</v>
      </c>
      <c r="Q9" s="30">
        <f>VLOOKUP($C9,BAU_Demands!$B$3:$BK$48,BAU_Demands!O$1,0)</f>
        <v>3.9848753609999998</v>
      </c>
      <c r="R9" s="30">
        <f>VLOOKUP($C9,BAU_Demands!$B$3:$BK$48,BAU_Demands!P$1,0)</f>
        <v>3.9848753609999998</v>
      </c>
      <c r="S9" s="30">
        <f>VLOOKUP($C9,BAU_Demands!$B$3:$BK$48,BAU_Demands!Q$1,0)</f>
        <v>3.9848753609999998</v>
      </c>
      <c r="T9" s="30">
        <f>VLOOKUP($C9,BAU_Demands!$B$3:$BK$48,BAU_Demands!R$1,0)</f>
        <v>3.9848753609999998</v>
      </c>
      <c r="U9" s="30">
        <f>VLOOKUP($C9,BAU_Demands!$B$3:$BK$48,BAU_Demands!S$1,0)</f>
        <v>3.9848753609999998</v>
      </c>
      <c r="V9" s="30">
        <f>VLOOKUP($C9,BAU_Demands!$B$3:$BK$48,BAU_Demands!T$1,0)</f>
        <v>3.9848753609999998</v>
      </c>
      <c r="W9" s="30">
        <f>VLOOKUP($C9,BAU_Demands!$B$3:$BK$48,BAU_Demands!U$1,0)</f>
        <v>3.9848753609999998</v>
      </c>
      <c r="X9" s="30">
        <f>VLOOKUP($C9,BAU_Demands!$B$3:$BK$48,BAU_Demands!V$1,0)</f>
        <v>3.9848753609999998</v>
      </c>
      <c r="Y9" s="30">
        <f>VLOOKUP($C9,BAU_Demands!$B$3:$BK$48,BAU_Demands!W$1,0)</f>
        <v>3.9848753609999998</v>
      </c>
      <c r="Z9" s="30">
        <f>VLOOKUP($C9,BAU_Demands!$B$3:$BK$48,BAU_Demands!X$1,0)</f>
        <v>3.9848753609999998</v>
      </c>
      <c r="AA9" s="30">
        <f>VLOOKUP($C9,BAU_Demands!$B$3:$BK$48,BAU_Demands!Y$1,0)</f>
        <v>3.9848753609999998</v>
      </c>
      <c r="AB9" s="30">
        <f>VLOOKUP($C9,BAU_Demands!$B$3:$BK$48,BAU_Demands!Z$1,0)</f>
        <v>3.9848753609999998</v>
      </c>
      <c r="AC9" s="30">
        <f>VLOOKUP($C9,BAU_Demands!$B$3:$BK$48,BAU_Demands!AA$1,0)</f>
        <v>3.9848753609999998</v>
      </c>
      <c r="AD9" s="30">
        <f>VLOOKUP($C9,BAU_Demands!$B$3:$BK$48,BAU_Demands!AB$1,0)</f>
        <v>3.9848753609999998</v>
      </c>
      <c r="AE9" s="30">
        <f>VLOOKUP($C9,BAU_Demands!$B$3:$BK$48,BAU_Demands!AC$1,0)</f>
        <v>3.9848753609999998</v>
      </c>
      <c r="AF9" s="30">
        <f>VLOOKUP($C9,BAU_Demands!$B$3:$BK$48,BAU_Demands!AD$1,0)</f>
        <v>3.9848753609999998</v>
      </c>
      <c r="AG9" s="30">
        <f>VLOOKUP($C9,BAU_Demands!$B$3:$BK$48,BAU_Demands!AE$1,0)</f>
        <v>3.9848753609999998</v>
      </c>
      <c r="AH9" s="30">
        <f>VLOOKUP($C9,BAU_Demands!$B$3:$BK$48,BAU_Demands!AF$1,0)</f>
        <v>3.9848753609999998</v>
      </c>
      <c r="AI9" s="30">
        <f>VLOOKUP($C9,BAU_Demands!$B$3:$BK$48,BAU_Demands!AG$1,0)</f>
        <v>3.9848753609999998</v>
      </c>
      <c r="AJ9" s="30">
        <f>VLOOKUP($C9,BAU_Demands!$B$3:$BK$48,BAU_Demands!AH$1,0)</f>
        <v>3.9848753609999998</v>
      </c>
      <c r="AK9" s="30">
        <f>VLOOKUP($C9,BAU_Demands!$B$3:$BK$48,BAU_Demands!AI$1,0)</f>
        <v>3.9848753609999998</v>
      </c>
      <c r="AL9" s="30">
        <f>VLOOKUP($C9,BAU_Demands!$B$3:$BK$48,BAU_Demands!AJ$1,0)</f>
        <v>3.9848753609999998</v>
      </c>
      <c r="AM9" s="30">
        <f>VLOOKUP($C9,BAU_Demands!$B$3:$BK$48,BAU_Demands!AK$1,0)</f>
        <v>3.9848753609999998</v>
      </c>
      <c r="AN9" s="30">
        <f>VLOOKUP($C9,BAU_Demands!$B$3:$BK$48,BAU_Demands!AL$1,0)</f>
        <v>3.9848753609999998</v>
      </c>
      <c r="AO9" s="30">
        <f>VLOOKUP($C9,BAU_Demands!$B$3:$BK$48,BAU_Demands!AM$1,0)</f>
        <v>3.9848753609999998</v>
      </c>
      <c r="AP9" s="30">
        <f>VLOOKUP($C9,BAU_Demands!$B$3:$BK$48,BAU_Demands!AN$1,0)</f>
        <v>3.9848753609999998</v>
      </c>
      <c r="AQ9" s="30">
        <f>VLOOKUP($C9,BAU_Demands!$B$3:$BK$48,BAU_Demands!AO$1,0)</f>
        <v>3.9848753609999998</v>
      </c>
      <c r="AR9" s="30">
        <f>VLOOKUP($C9,BAU_Demands!$B$3:$BK$48,BAU_Demands!AP$1,0)</f>
        <v>3.9848753609999998</v>
      </c>
      <c r="AS9" s="30">
        <f>VLOOKUP($C9,BAU_Demands!$B$3:$BK$48,BAU_Demands!AQ$1,0)</f>
        <v>3.9848753609999998</v>
      </c>
      <c r="AT9" s="30">
        <f>VLOOKUP($C9,BAU_Demands!$B$3:$BK$48,BAU_Demands!AR$1,0)</f>
        <v>3.9848753609999998</v>
      </c>
      <c r="AU9" s="30">
        <f>VLOOKUP($C9,BAU_Demands!$B$3:$BK$48,BAU_Demands!AS$1,0)</f>
        <v>3.9848753609999998</v>
      </c>
      <c r="AV9" s="30">
        <f>VLOOKUP($C9,BAU_Demands!$B$3:$BK$48,BAU_Demands!AT$1,0)</f>
        <v>3.9848753609999998</v>
      </c>
      <c r="AW9" s="30">
        <f>VLOOKUP($C9,BAU_Demands!$B$3:$BK$48,BAU_Demands!AU$1,0)</f>
        <v>3.9848753609999998</v>
      </c>
      <c r="AX9" s="30">
        <f>VLOOKUP($C9,BAU_Demands!$B$3:$BK$48,BAU_Demands!AV$1,0)</f>
        <v>3.9848753609999998</v>
      </c>
      <c r="AY9" s="30">
        <f>VLOOKUP($C9,BAU_Demands!$B$3:$BK$48,BAU_Demands!AW$1,0)</f>
        <v>3.9848753609999998</v>
      </c>
      <c r="AZ9" s="30">
        <f>VLOOKUP($C9,BAU_Demands!$B$3:$BK$48,BAU_Demands!AX$1,0)</f>
        <v>3.9848753609999998</v>
      </c>
      <c r="BA9" s="30">
        <f>VLOOKUP($C9,BAU_Demands!$B$3:$BK$48,BAU_Demands!AY$1,0)</f>
        <v>3.9848753609999998</v>
      </c>
      <c r="BB9" s="30">
        <f>VLOOKUP($C9,BAU_Demands!$B$3:$BK$48,BAU_Demands!AZ$1,0)</f>
        <v>3.9848753609999998</v>
      </c>
      <c r="BC9" s="30">
        <f>VLOOKUP($C9,BAU_Demands!$B$3:$BK$48,BAU_Demands!BA$1,0)</f>
        <v>3.9848753609999998</v>
      </c>
      <c r="BD9" s="30">
        <f>VLOOKUP($C9,BAU_Demands!$B$3:$BK$48,BAU_Demands!BB$1,0)</f>
        <v>3.9848753609999998</v>
      </c>
      <c r="BE9" s="30">
        <f>VLOOKUP($C9,BAU_Demands!$B$3:$BK$48,BAU_Demands!BC$1,0)</f>
        <v>3.9848753609999998</v>
      </c>
      <c r="BF9" s="30">
        <f>VLOOKUP($C9,BAU_Demands!$B$3:$BK$48,BAU_Demands!BD$1,0)</f>
        <v>3.9848753609999998</v>
      </c>
      <c r="BG9" s="30">
        <f>VLOOKUP($C9,BAU_Demands!$B$3:$BK$48,BAU_Demands!BE$1,0)</f>
        <v>3.9848753609999998</v>
      </c>
      <c r="BH9" s="30">
        <f>VLOOKUP($C9,BAU_Demands!$B$3:$BK$48,BAU_Demands!BF$1,0)</f>
        <v>3.9848753609999998</v>
      </c>
      <c r="BI9" s="30">
        <f>VLOOKUP($C9,BAU_Demands!$B$3:$BK$48,BAU_Demands!BG$1,0)</f>
        <v>3.9848753609999998</v>
      </c>
      <c r="BJ9" s="30">
        <f>VLOOKUP($C9,BAU_Demands!$B$3:$BK$48,BAU_Demands!BH$1,0)</f>
        <v>3.9848753609999998</v>
      </c>
      <c r="BK9" s="30">
        <f>VLOOKUP($C9,BAU_Demands!$B$3:$BK$48,BAU_Demands!BI$1,0)</f>
        <v>3.9848753609999998</v>
      </c>
      <c r="BL9" s="30">
        <f>VLOOKUP($C9,BAU_Demands!$B$3:$BK$48,BAU_Demands!BJ$1,0)</f>
        <v>3.9848753609999998</v>
      </c>
      <c r="BM9" s="30">
        <f>VLOOKUP($C9,BAU_Demands!$B$3:$BK$48,BAU_Demands!BK$1,0)</f>
        <v>3.9848753609999998</v>
      </c>
    </row>
    <row r="10" spans="1:65" ht="14.4" hidden="1">
      <c r="A10" s="29" t="s">
        <v>457</v>
      </c>
      <c r="B10" s="29" t="s">
        <v>458</v>
      </c>
      <c r="C10" s="29" t="s">
        <v>479</v>
      </c>
      <c r="D10" s="29" t="s">
        <v>460</v>
      </c>
      <c r="E10" s="29" t="s">
        <v>480</v>
      </c>
      <c r="F10" s="29" t="s">
        <v>462</v>
      </c>
      <c r="G10" s="29" t="s">
        <v>463</v>
      </c>
      <c r="H10" s="29" t="s">
        <v>464</v>
      </c>
      <c r="I10" s="29"/>
      <c r="J10" s="29"/>
      <c r="K10" s="29"/>
      <c r="L10" s="29"/>
      <c r="M10" s="322">
        <f>VLOOKUP($C10,BAU_Demands!$B$3:$BK$48,BAU_Demands!K$1,0)</f>
        <v>24.96296225</v>
      </c>
      <c r="N10" s="322">
        <f>VLOOKUP($C10,BAU_Demands!$B$3:$BK$48,BAU_Demands!L$1,0)</f>
        <v>26.060401219999999</v>
      </c>
      <c r="O10" s="322">
        <f>VLOOKUP($C10,BAU_Demands!$B$3:$BK$48,BAU_Demands!M$1,0)</f>
        <v>23.917782280000001</v>
      </c>
      <c r="P10" s="322">
        <f>VLOOKUP($C10,BAU_Demands!$B$3:$BK$48,BAU_Demands!N$1,0)</f>
        <v>25.15051399</v>
      </c>
      <c r="Q10" s="322">
        <f>(SUM(BAU_Demands!O9:O13)-BAU_Demands!O11-Q12-Q13-BAU_Demands!O13)*(1-'Net Zero 2050'!I89)</f>
        <v>23.235400000000002</v>
      </c>
      <c r="R10" s="322">
        <f>(SUM(BAU_Demands!P9:P13)-BAU_Demands!P11-R12-R13-BAU_Demands!P13)*(1-'Net Zero 2050'!J89)</f>
        <v>24.307799973999998</v>
      </c>
      <c r="S10" s="322">
        <f>(SUM(BAU_Demands!Q9:Q13)-BAU_Demands!Q11-S12-S13-BAU_Demands!Q13)*(1-'Net Zero 2050'!K89)</f>
        <v>24.508782156000002</v>
      </c>
      <c r="T10" s="322">
        <f>(SUM(BAU_Demands!R9:R13)-BAU_Demands!R11-T12-T13-BAU_Demands!R13)*(1-'Net Zero 2050'!L89)</f>
        <v>25.567190880000002</v>
      </c>
      <c r="U10" s="322">
        <f>(SUM(BAU_Demands!S9:S13)-BAU_Demands!S11-U12-U13-BAU_Demands!S13)*(1-'Net Zero 2050'!M89)</f>
        <v>25.630129799999995</v>
      </c>
      <c r="V10" s="322">
        <f>(SUM(BAU_Demands!T9:T13)-BAU_Demands!T11-V12-V13-BAU_Demands!T13)*(1-'Net Zero 2050'!N89)</f>
        <v>26.855322479999998</v>
      </c>
      <c r="W10" s="322">
        <f>(SUM(BAU_Demands!U9:U13)-BAU_Demands!U11-W12-W13-BAU_Demands!U13)*(1-'Net Zero 2050'!O89)</f>
        <v>27.122375690000002</v>
      </c>
      <c r="X10" s="322">
        <f>(SUM(BAU_Demands!V9:V13)-BAU_Demands!V11-X12-X13-BAU_Demands!V13)*(1-'Net Zero 2050'!P89)</f>
        <v>28.08891976</v>
      </c>
      <c r="Y10" s="322">
        <f>(SUM(BAU_Demands!W9:W13)-BAU_Demands!W11-Y12-Y13-BAU_Demands!W13)*(1-'Net Zero 2050'!Q89)</f>
        <v>28.328888000000003</v>
      </c>
      <c r="Z10" s="322">
        <f>(SUM(BAU_Demands!X9:X13)-BAU_Demands!X11-Z12-Z13-BAU_Demands!X13)*(1-'Net Zero 2050'!R89)</f>
        <v>29.557201159999998</v>
      </c>
      <c r="AA10" s="322">
        <f>(SUM(BAU_Demands!Y9:Y13)-BAU_Demands!Y11-AA12-AA13-BAU_Demands!Y13)*(1-'Net Zero 2050'!S89)</f>
        <v>29.883897240000003</v>
      </c>
      <c r="AB10" s="322">
        <f>(SUM(BAU_Demands!Z9:Z13)-BAU_Demands!Z11-AB12-AB13-BAU_Demands!Z13)*(1-'Net Zero 2050'!T89)</f>
        <v>31.068575639999995</v>
      </c>
      <c r="AC10" s="322">
        <f>(SUM(BAU_Demands!AA9:AA13)-BAU_Demands!AA11-AC12-AC13-BAU_Demands!AA13)*(1-'Net Zero 2050'!U89)</f>
        <v>31.432874479999995</v>
      </c>
      <c r="AD10" s="322">
        <f>(SUM(BAU_Demands!AB9:AB13)-BAU_Demands!AB11-AD12-AD13-BAU_Demands!AB13)*(1-'Net Zero 2050'!V89)</f>
        <v>32.449477049999999</v>
      </c>
      <c r="AE10" s="322">
        <f>(SUM(BAU_Demands!AC9:AC13)-BAU_Demands!AC11-AE12-AE13-BAU_Demands!AC13)*(1-'Net Zero 2050'!W89)</f>
        <v>32.925284250000004</v>
      </c>
      <c r="AF10" s="322">
        <f>(SUM(BAU_Demands!AD9:AD13)-BAU_Demands!AD11-AF12-AF13-BAU_Demands!AD13)*(1-'Net Zero 2050'!X89)</f>
        <v>33.876368100000008</v>
      </c>
      <c r="AG10" s="322">
        <f>(SUM(BAU_Demands!AE9:AE13)-BAU_Demands!AE11-AG12-AG13-BAU_Demands!AE13)*(1-'Net Zero 2050'!Y89)</f>
        <v>34.339363859999999</v>
      </c>
      <c r="AH10" s="322">
        <f>(SUM(BAU_Demands!AF9:AF13)-BAU_Demands!AF11-AH12-AH13-BAU_Demands!AF13)*(1-'Net Zero 2050'!Z89)</f>
        <v>35.352110520000004</v>
      </c>
      <c r="AI10" s="322">
        <f>(SUM(BAU_Demands!AG9:AG13)-BAU_Demands!AG11-AI12-AI13-BAU_Demands!AG13)*(1-'Net Zero 2050'!AA89)</f>
        <v>35.880539759999991</v>
      </c>
      <c r="AJ10" s="322">
        <f>(SUM(BAU_Demands!AH9:AH13)-BAU_Demands!AH11-AJ12-AJ13-BAU_Demands!AH13)*(1-'Net Zero 2050'!AB89)</f>
        <v>36.807671040000002</v>
      </c>
      <c r="AK10" s="322">
        <f>(SUM(BAU_Demands!AI9:AI13)-BAU_Demands!AI11-AK12-AK13-BAU_Demands!AI13)*(1-'Net Zero 2050'!AC89)</f>
        <v>37.325168699999992</v>
      </c>
      <c r="AL10" s="322">
        <f>(SUM(BAU_Demands!AJ9:AJ13)-BAU_Demands!AJ11-AL12-AL13-BAU_Demands!AJ13)*(1-'Net Zero 2050'!AD89)</f>
        <v>38.042522640000008</v>
      </c>
      <c r="AM10" s="322">
        <f>(SUM(BAU_Demands!AK9:AK13)-BAU_Demands!AK11-AM12-AM13-BAU_Demands!AK13)*(1-'Net Zero 2050'!AE89)</f>
        <v>38.574763920000009</v>
      </c>
      <c r="AN10" s="322">
        <f>(SUM(BAU_Demands!AL9:AL13)-BAU_Demands!AL11-AN12-AN13-BAU_Demands!AL13)*(1-'Net Zero 2050'!AF89)</f>
        <v>39.314284920000006</v>
      </c>
      <c r="AO10" s="322">
        <f>(SUM(BAU_Demands!AM9:AM13)-BAU_Demands!AM11-AO12-AO13-BAU_Demands!AM13)*(1-'Net Zero 2050'!AG89)</f>
        <v>39.913098189999999</v>
      </c>
      <c r="AP10" s="322">
        <f>(SUM(BAU_Demands!AN9:AN13)-BAU_Demands!AN11-AP12-AP13-BAU_Demands!AN13)*(1-'Net Zero 2050'!AH89)</f>
        <v>40.664627639999992</v>
      </c>
      <c r="AQ10" s="322">
        <f>(SUM(BAU_Demands!AO9:AO13)-BAU_Demands!AO11-AQ12-AQ13-BAU_Demands!AO13)*(1-'Net Zero 2050'!AI89)</f>
        <v>41.103613040000006</v>
      </c>
      <c r="AR10" s="322">
        <f>(SUM(BAU_Demands!AP9:AP13)-BAU_Demands!AP11-AR12-AR13-BAU_Demands!AP13)*(1-'Net Zero 2050'!AJ89)</f>
        <v>41.8415775</v>
      </c>
      <c r="AS10" s="322">
        <f>(SUM(BAU_Demands!AQ9:AQ13)-BAU_Demands!AQ11-AS12-AS13-BAU_Demands!AQ13)*(1-'Net Zero 2050'!AK89)</f>
        <v>42.318599950000007</v>
      </c>
      <c r="AT10" s="322">
        <f>(SUM(BAU_Demands!AR9:AR13)-BAU_Demands!AR11-AT12-AT13-BAU_Demands!AR13)*(1-'Net Zero 2050'!AL89)</f>
        <v>43.506629378224147</v>
      </c>
      <c r="AU10" s="322">
        <f>(SUM(BAU_Demands!AS9:AS13)-BAU_Demands!AS11-AU12-AU13-BAU_Demands!AS13)*(1-'Net Zero 2050'!AM89)</f>
        <v>44.288304273627595</v>
      </c>
      <c r="AV10" s="322">
        <f>(SUM(BAU_Demands!AT9:AT13)-BAU_Demands!AT11-AV12-AV13-BAU_Demands!AT13)*(1-'Net Zero 2050'!AN89)</f>
        <v>45.052768491174881</v>
      </c>
      <c r="AW10" s="322">
        <f>(SUM(BAU_Demands!AU9:AU13)-BAU_Demands!AU11-AW12-AW13-BAU_Demands!AU13)*(1-'Net Zero 2050'!AO89)</f>
        <v>45.856712992037437</v>
      </c>
      <c r="AX10" s="322">
        <f>(SUM(BAU_Demands!AV9:AV13)-BAU_Demands!AV11-AX12-AX13-BAU_Demands!AV13)*(1-'Net Zero 2050'!AP89)</f>
        <v>46.660493586912324</v>
      </c>
      <c r="AY10" s="322">
        <f>(SUM(BAU_Demands!AW9:AW13)-BAU_Demands!AW11-AY12-AY13-BAU_Demands!AW13)*(1-'Net Zero 2050'!AQ89)</f>
        <v>47.482639039162578</v>
      </c>
      <c r="AZ10" s="322">
        <f>(SUM(BAU_Demands!AX9:AX13)-BAU_Demands!AX11-AZ12-AZ13-BAU_Demands!AX13)*(1-'Net Zero 2050'!AR89)</f>
        <v>48.264121689148283</v>
      </c>
      <c r="BA10" s="322">
        <f>(SUM(BAU_Demands!AY9:AY13)-BAU_Demands!AY11-BA12-BA13-BAU_Demands!AY13)*(1-'Net Zero 2050'!AS89)</f>
        <v>49.053487983494584</v>
      </c>
      <c r="BB10" s="322">
        <f>(SUM(BAU_Demands!AZ9:AZ13)-BAU_Demands!AZ11-BB12-BB13-BAU_Demands!AZ13)*(1-'Net Zero 2050'!AT89)</f>
        <v>49.834147272989661</v>
      </c>
      <c r="BC10" s="322">
        <f>(SUM(BAU_Demands!BA9:BA13)-BAU_Demands!BA11-BC12-BC13-BAU_Demands!BA13)*(1-'Net Zero 2050'!AU89)</f>
        <v>50.632028982510342</v>
      </c>
      <c r="BD10" s="322">
        <f>(SUM(BAU_Demands!BB9:BB13)-BAU_Demands!BB11-BD12-BD13-BAU_Demands!BB13)*(1-'Net Zero 2050'!AV89)</f>
        <v>51.398639229495082</v>
      </c>
      <c r="BE10" s="322">
        <f>(SUM(BAU_Demands!BC9:BC13)-BAU_Demands!BC11-BE12-BE13-BAU_Demands!BC13)*(1-'Net Zero 2050'!AW89)</f>
        <v>52.18247189650544</v>
      </c>
      <c r="BF10" s="322">
        <f>(SUM(BAU_Demands!BD9:BD13)-BAU_Demands!BD11-BF12-BF13-BAU_Demands!BD13)*(1-'Net Zero 2050'!AX89)</f>
        <v>52.95214568935419</v>
      </c>
      <c r="BG10" s="322">
        <f>(SUM(BAU_Demands!BE9:BE13)-BAU_Demands!BE11-BG12-BG13-BAU_Demands!BE13)*(1-'Net Zero 2050'!AY89)</f>
        <v>53.725920608041385</v>
      </c>
      <c r="BH10" s="322">
        <f>(SUM(BAU_Demands!BF9:BF13)-BAU_Demands!BF11-BH12-BH13-BAU_Demands!BF13)*(1-'Net Zero 2050'!AZ89)</f>
        <v>54.499283419217235</v>
      </c>
      <c r="BI10" s="322">
        <f>(SUM(BAU_Demands!BG9:BG13)-BAU_Demands!BG11-BI12-BI13-BAU_Demands!BG13)*(1-'Net Zero 2050'!BA89)</f>
        <v>55.265597417940889</v>
      </c>
      <c r="BJ10" s="322">
        <f>(SUM(BAU_Demands!BH9:BH13)-BAU_Demands!BH11-BJ12-BJ13-BAU_Demands!BH13)*(1-'Net Zero 2050'!BB89)</f>
        <v>56.010178934502477</v>
      </c>
      <c r="BK10" s="322">
        <f>(SUM(BAU_Demands!BI9:BI13)-BAU_Demands!BI11-BK12-BK13-BAU_Demands!BI13)*(1-'Net Zero 2050'!BC89)</f>
        <v>56.761053251842384</v>
      </c>
      <c r="BL10" s="322">
        <f>(SUM(BAU_Demands!BJ9:BJ13)-BAU_Demands!BJ11-BL12-BL13-BAU_Demands!BJ13)*(1-'Net Zero 2050'!BD89)</f>
        <v>57.506389153768488</v>
      </c>
      <c r="BM10" s="322">
        <f>(SUM(BAU_Demands!BK9:BK13)-BAU_Demands!BK11-BM12-BM13-BAU_Demands!BK13)*(1-'Net Zero 2050'!BE89)</f>
        <v>58.229921782750736</v>
      </c>
    </row>
    <row r="11" spans="1:65" ht="15.75" hidden="1" customHeight="1">
      <c r="A11" s="314" t="s">
        <v>457</v>
      </c>
      <c r="B11" s="314" t="s">
        <v>458</v>
      </c>
      <c r="C11" s="314" t="s">
        <v>481</v>
      </c>
      <c r="D11" s="314" t="s">
        <v>460</v>
      </c>
      <c r="E11" s="314" t="s">
        <v>482</v>
      </c>
      <c r="F11" s="314" t="s">
        <v>462</v>
      </c>
      <c r="G11" s="314" t="s">
        <v>463</v>
      </c>
      <c r="H11" s="314" t="s">
        <v>464</v>
      </c>
      <c r="I11" s="314"/>
      <c r="J11" s="314"/>
      <c r="K11" s="314"/>
      <c r="L11" s="314"/>
      <c r="M11" s="314">
        <f>VLOOKUP($C11,BAU_Demands!$B$3:$BK$48,BAU_Demands!K$1,0)</f>
        <v>0.27453468800000003</v>
      </c>
      <c r="N11" s="314">
        <f>VLOOKUP($C11,BAU_Demands!$B$3:$BK$48,BAU_Demands!L$1,0)</f>
        <v>0.28255511900000002</v>
      </c>
      <c r="O11" s="314">
        <f>VLOOKUP($C11,BAU_Demands!$B$3:$BK$48,BAU_Demands!M$1,0)</f>
        <v>0.269804828</v>
      </c>
      <c r="P11" s="314">
        <f>VLOOKUP($C11,BAU_Demands!$B$3:$BK$48,BAU_Demands!N$1,0)</f>
        <v>0.31491248199999999</v>
      </c>
      <c r="Q11" s="314">
        <f>VLOOKUP($C11,BAU_Demands!$B$3:$BK$48,BAU_Demands!O$1,0)</f>
        <v>0.32</v>
      </c>
      <c r="R11" s="314">
        <f>VLOOKUP($C11,BAU_Demands!$B$3:$BK$48,BAU_Demands!P$1,0)</f>
        <v>0.33</v>
      </c>
      <c r="S11" s="314">
        <f>VLOOKUP($C11,BAU_Demands!$B$3:$BK$48,BAU_Demands!Q$1,0)</f>
        <v>0.33</v>
      </c>
      <c r="T11" s="314">
        <f>VLOOKUP($C11,BAU_Demands!$B$3:$BK$48,BAU_Demands!R$1,0)</f>
        <v>0.35</v>
      </c>
      <c r="U11" s="314">
        <f>VLOOKUP($C11,BAU_Demands!$B$3:$BK$48,BAU_Demands!S$1,0)</f>
        <v>0.35</v>
      </c>
      <c r="V11" s="314">
        <f>VLOOKUP($C11,BAU_Demands!$B$3:$BK$48,BAU_Demands!T$1,0)</f>
        <v>0.37</v>
      </c>
      <c r="W11" s="314">
        <f>VLOOKUP($C11,BAU_Demands!$B$3:$BK$48,BAU_Demands!U$1,0)</f>
        <v>0.37</v>
      </c>
      <c r="X11" s="314">
        <f>VLOOKUP($C11,BAU_Demands!$B$3:$BK$48,BAU_Demands!V$1,0)</f>
        <v>0.38</v>
      </c>
      <c r="Y11" s="314">
        <f>VLOOKUP($C11,BAU_Demands!$B$3:$BK$48,BAU_Demands!W$1,0)</f>
        <v>0.39</v>
      </c>
      <c r="Z11" s="314">
        <f>VLOOKUP($C11,BAU_Demands!$B$3:$BK$48,BAU_Demands!X$1,0)</f>
        <v>0.4</v>
      </c>
      <c r="AA11" s="314">
        <f>VLOOKUP($C11,BAU_Demands!$B$3:$BK$48,BAU_Demands!Y$1,0)</f>
        <v>0.41</v>
      </c>
      <c r="AB11" s="314">
        <f>VLOOKUP($C11,BAU_Demands!$B$3:$BK$48,BAU_Demands!Z$1,0)</f>
        <v>0.42</v>
      </c>
      <c r="AC11" s="314">
        <f>VLOOKUP($C11,BAU_Demands!$B$3:$BK$48,BAU_Demands!AA$1,0)</f>
        <v>0.43</v>
      </c>
      <c r="AD11" s="314">
        <f>VLOOKUP($C11,BAU_Demands!$B$3:$BK$48,BAU_Demands!AB$1,0)</f>
        <v>0.44</v>
      </c>
      <c r="AE11" s="314">
        <f>VLOOKUP($C11,BAU_Demands!$B$3:$BK$48,BAU_Demands!AC$1,0)</f>
        <v>0.45</v>
      </c>
      <c r="AF11" s="314">
        <f>VLOOKUP($C11,BAU_Demands!$B$3:$BK$48,BAU_Demands!AD$1,0)</f>
        <v>0.46</v>
      </c>
      <c r="AG11" s="314">
        <f>VLOOKUP($C11,BAU_Demands!$B$3:$BK$48,BAU_Demands!AE$1,0)</f>
        <v>0.47</v>
      </c>
      <c r="AH11" s="314">
        <f>VLOOKUP($C11,BAU_Demands!$B$3:$BK$48,BAU_Demands!AF$1,0)</f>
        <v>0.48</v>
      </c>
      <c r="AI11" s="314">
        <f>VLOOKUP($C11,BAU_Demands!$B$3:$BK$48,BAU_Demands!AG$1,0)</f>
        <v>0.49</v>
      </c>
      <c r="AJ11" s="314">
        <f>VLOOKUP($C11,BAU_Demands!$B$3:$BK$48,BAU_Demands!AH$1,0)</f>
        <v>0.5</v>
      </c>
      <c r="AK11" s="314">
        <f>VLOOKUP($C11,BAU_Demands!$B$3:$BK$48,BAU_Demands!AI$1,0)</f>
        <v>0.51</v>
      </c>
      <c r="AL11" s="314">
        <f>VLOOKUP($C11,BAU_Demands!$B$3:$BK$48,BAU_Demands!AJ$1,0)</f>
        <v>0.52</v>
      </c>
      <c r="AM11" s="314">
        <f>VLOOKUP($C11,BAU_Demands!$B$3:$BK$48,BAU_Demands!AK$1,0)</f>
        <v>0.52</v>
      </c>
      <c r="AN11" s="314">
        <f>VLOOKUP($C11,BAU_Demands!$B$3:$BK$48,BAU_Demands!AL$1,0)</f>
        <v>0.53</v>
      </c>
      <c r="AO11" s="314">
        <f>VLOOKUP($C11,BAU_Demands!$B$3:$BK$48,BAU_Demands!AM$1,0)</f>
        <v>0.54</v>
      </c>
      <c r="AP11" s="314">
        <f>VLOOKUP($C11,BAU_Demands!$B$3:$BK$48,BAU_Demands!AN$1,0)</f>
        <v>0.55000000000000004</v>
      </c>
      <c r="AQ11" s="314">
        <f>VLOOKUP($C11,BAU_Demands!$B$3:$BK$48,BAU_Demands!AO$1,0)</f>
        <v>0.56000000000000005</v>
      </c>
      <c r="AR11" s="314">
        <f>VLOOKUP($C11,BAU_Demands!$B$3:$BK$48,BAU_Demands!AP$1,0)</f>
        <v>0.56999999999999995</v>
      </c>
      <c r="AS11" s="314">
        <f>VLOOKUP($C11,BAU_Demands!$B$3:$BK$48,BAU_Demands!AQ$1,0)</f>
        <v>0.57999999999999996</v>
      </c>
      <c r="AT11" s="314">
        <f>VLOOKUP($C11,BAU_Demands!$B$3:$BK$48,BAU_Demands!AR$1,0)</f>
        <v>0.59</v>
      </c>
      <c r="AU11" s="314">
        <f>VLOOKUP($C11,BAU_Demands!$B$3:$BK$48,BAU_Demands!AS$1,0)</f>
        <v>0.59</v>
      </c>
      <c r="AV11" s="314">
        <f>VLOOKUP($C11,BAU_Demands!$B$3:$BK$48,BAU_Demands!AT$1,0)</f>
        <v>0.6</v>
      </c>
      <c r="AW11" s="314">
        <f>VLOOKUP($C11,BAU_Demands!$B$3:$BK$48,BAU_Demands!AU$1,0)</f>
        <v>0.61</v>
      </c>
      <c r="AX11" s="314">
        <f>VLOOKUP($C11,BAU_Demands!$B$3:$BK$48,BAU_Demands!AV$1,0)</f>
        <v>0.62</v>
      </c>
      <c r="AY11" s="314">
        <f>VLOOKUP($C11,BAU_Demands!$B$3:$BK$48,BAU_Demands!AW$1,0)</f>
        <v>0.63</v>
      </c>
      <c r="AZ11" s="314">
        <f>VLOOKUP($C11,BAU_Demands!$B$3:$BK$48,BAU_Demands!AX$1,0)</f>
        <v>0.64</v>
      </c>
      <c r="BA11" s="314">
        <f>VLOOKUP($C11,BAU_Demands!$B$3:$BK$48,BAU_Demands!AY$1,0)</f>
        <v>0.64</v>
      </c>
      <c r="BB11" s="314">
        <f>VLOOKUP($C11,BAU_Demands!$B$3:$BK$48,BAU_Demands!AZ$1,0)</f>
        <v>0.65</v>
      </c>
      <c r="BC11" s="314">
        <f>VLOOKUP($C11,BAU_Demands!$B$3:$BK$48,BAU_Demands!BA$1,0)</f>
        <v>0.66</v>
      </c>
      <c r="BD11" s="314">
        <f>VLOOKUP($C11,BAU_Demands!$B$3:$BK$48,BAU_Demands!BB$1,0)</f>
        <v>0.67</v>
      </c>
      <c r="BE11" s="314">
        <f>VLOOKUP($C11,BAU_Demands!$B$3:$BK$48,BAU_Demands!BC$1,0)</f>
        <v>0.68</v>
      </c>
      <c r="BF11" s="314">
        <f>VLOOKUP($C11,BAU_Demands!$B$3:$BK$48,BAU_Demands!BD$1,0)</f>
        <v>0.68</v>
      </c>
      <c r="BG11" s="314">
        <f>VLOOKUP($C11,BAU_Demands!$B$3:$BK$48,BAU_Demands!BE$1,0)</f>
        <v>0.69</v>
      </c>
      <c r="BH11" s="314">
        <f>VLOOKUP($C11,BAU_Demands!$B$3:$BK$48,BAU_Demands!BF$1,0)</f>
        <v>0.7</v>
      </c>
      <c r="BI11" s="314">
        <f>VLOOKUP($C11,BAU_Demands!$B$3:$BK$48,BAU_Demands!BG$1,0)</f>
        <v>0.71</v>
      </c>
      <c r="BJ11" s="314">
        <f>VLOOKUP($C11,BAU_Demands!$B$3:$BK$48,BAU_Demands!BH$1,0)</f>
        <v>0.71</v>
      </c>
      <c r="BK11" s="314">
        <f>VLOOKUP($C11,BAU_Demands!$B$3:$BK$48,BAU_Demands!BI$1,0)</f>
        <v>0.72</v>
      </c>
      <c r="BL11" s="314">
        <f>VLOOKUP($C11,BAU_Demands!$B$3:$BK$48,BAU_Demands!BJ$1,0)</f>
        <v>0.73</v>
      </c>
      <c r="BM11" s="314">
        <f>VLOOKUP($C11,BAU_Demands!$B$3:$BK$48,BAU_Demands!BK$1,0)</f>
        <v>0.73</v>
      </c>
    </row>
    <row r="12" spans="1:65" ht="15.75" hidden="1" customHeight="1">
      <c r="A12" s="30" t="s">
        <v>457</v>
      </c>
      <c r="B12" s="30" t="s">
        <v>458</v>
      </c>
      <c r="C12" s="30" t="s">
        <v>483</v>
      </c>
      <c r="D12" s="30" t="s">
        <v>460</v>
      </c>
      <c r="E12" s="30" t="s">
        <v>484</v>
      </c>
      <c r="F12" s="30" t="s">
        <v>462</v>
      </c>
      <c r="G12" s="30" t="s">
        <v>463</v>
      </c>
      <c r="H12" s="30" t="s">
        <v>464</v>
      </c>
      <c r="I12" s="30" t="s">
        <v>44</v>
      </c>
      <c r="J12" s="30" t="s">
        <v>44</v>
      </c>
      <c r="K12" s="30" t="s">
        <v>44</v>
      </c>
      <c r="L12" s="30" t="s">
        <v>44</v>
      </c>
      <c r="M12" s="30">
        <f>VLOOKUP($C12,BAU_Demands!$B$3:$BK$48,BAU_Demands!K$1,0)</f>
        <v>2.3911177970000002</v>
      </c>
      <c r="N12" s="30">
        <f>VLOOKUP($C12,BAU_Demands!$B$3:$BK$48,BAU_Demands!L$1,0)</f>
        <v>2.397757151</v>
      </c>
      <c r="O12" s="30">
        <f>VLOOKUP($C12,BAU_Demands!$B$3:$BK$48,BAU_Demands!M$1,0)</f>
        <v>2.240690061</v>
      </c>
      <c r="P12" s="30">
        <f>VLOOKUP($C12,BAU_Demands!$B$3:$BK$48,BAU_Demands!N$1,0)</f>
        <v>2.3810967559999998</v>
      </c>
      <c r="Q12" s="30">
        <f>VLOOKUP($C12,BAU_Demands!$B$3:$BK$48,BAU_Demands!O$1,0)*(1-'Net Zero 2050'!I91)</f>
        <v>2.4</v>
      </c>
      <c r="R12" s="30">
        <f>VLOOKUP($C12,BAU_Demands!$B$3:$BK$48,BAU_Demands!P$1,0)*(1-'Net Zero 2050'!J91)</f>
        <v>2.5017169999999997</v>
      </c>
      <c r="S12" s="30">
        <f>VLOOKUP($C12,BAU_Demands!$B$3:$BK$48,BAU_Demands!Q$1,0)*(1-'Net Zero 2050'!K91)</f>
        <v>2.5130489999999996</v>
      </c>
      <c r="T12" s="30">
        <f>VLOOKUP($C12,BAU_Demands!$B$3:$BK$48,BAU_Demands!R$1,0)*(1-'Net Zero 2050'!L91)</f>
        <v>2.6135999999999999</v>
      </c>
      <c r="U12" s="30">
        <f>VLOOKUP($C12,BAU_Demands!$B$3:$BK$48,BAU_Demands!S$1,0)*(1-'Net Zero 2050'!M91)</f>
        <v>2.5660799999999999</v>
      </c>
      <c r="V12" s="30">
        <f>VLOOKUP($C12,BAU_Demands!$B$3:$BK$48,BAU_Demands!T$1,0)*(1-'Net Zero 2050'!N91)</f>
        <v>2.6425799999999997</v>
      </c>
      <c r="W12" s="30">
        <f>VLOOKUP($C12,BAU_Demands!$B$3:$BK$48,BAU_Demands!U$1,0)*(1-'Net Zero 2050'!O91)</f>
        <v>2.61144</v>
      </c>
      <c r="X12" s="30">
        <f>VLOOKUP($C12,BAU_Demands!$B$3:$BK$48,BAU_Demands!V$1,0)*(1-'Net Zero 2050'!P91)</f>
        <v>2.6530200000000002</v>
      </c>
      <c r="Y12" s="30">
        <f>VLOOKUP($C12,BAU_Demands!$B$3:$BK$48,BAU_Demands!W$1,0)*(1-'Net Zero 2050'!Q91)</f>
        <v>2.6190000000000002</v>
      </c>
      <c r="Z12" s="30">
        <f>VLOOKUP($C12,BAU_Demands!$B$3:$BK$48,BAU_Demands!X$1,0)*(1-'Net Zero 2050'!R91)</f>
        <v>2.6752000000000002</v>
      </c>
      <c r="AA12" s="30">
        <f>VLOOKUP($C12,BAU_Demands!$B$3:$BK$48,BAU_Demands!Y$1,0)*(1-'Net Zero 2050'!S91)</f>
        <v>2.6401999999999997</v>
      </c>
      <c r="AB12" s="30">
        <f>VLOOKUP($C12,BAU_Demands!$B$3:$BK$48,BAU_Demands!Z$1,0)*(1-'Net Zero 2050'!T91)</f>
        <v>2.6795999999999998</v>
      </c>
      <c r="AC12" s="30">
        <f>VLOOKUP($C12,BAU_Demands!$B$3:$BK$48,BAU_Demands!AA$1,0)*(1-'Net Zero 2050'!U91)</f>
        <v>2.6486000000000001</v>
      </c>
      <c r="AD12" s="30">
        <f>VLOOKUP($C12,BAU_Demands!$B$3:$BK$48,BAU_Demands!AB$1,0)*(1-'Net Zero 2050'!V91)</f>
        <v>2.6640000000000001</v>
      </c>
      <c r="AE12" s="30">
        <f>VLOOKUP($C12,BAU_Demands!$B$3:$BK$48,BAU_Demands!AC$1,0)*(1-'Net Zero 2050'!W91)</f>
        <v>2.6364000000000001</v>
      </c>
      <c r="AF12" s="30">
        <f>VLOOKUP($C12,BAU_Demands!$B$3:$BK$48,BAU_Demands!AD$1,0)*(1-'Net Zero 2050'!X91)</f>
        <v>2.6448</v>
      </c>
      <c r="AG12" s="30">
        <f>VLOOKUP($C12,BAU_Demands!$B$3:$BK$48,BAU_Demands!AE$1,0)*(1-'Net Zero 2050'!Y91)</f>
        <v>2.6121999999999996</v>
      </c>
      <c r="AH12" s="30">
        <f>VLOOKUP($C12,BAU_Demands!$B$3:$BK$48,BAU_Demands!AF$1,0)*(1-'Net Zero 2050'!Z91)</f>
        <v>2.6208</v>
      </c>
      <c r="AI12" s="30">
        <f>VLOOKUP($C12,BAU_Demands!$B$3:$BK$48,BAU_Demands!AG$1,0)*(1-'Net Zero 2050'!AA91)</f>
        <v>2.5829999999999997</v>
      </c>
      <c r="AJ12" s="30">
        <f>VLOOKUP($C12,BAU_Demands!$B$3:$BK$48,BAU_Demands!AH$1,0)*(1-'Net Zero 2050'!AB91)</f>
        <v>2.5930799999999996</v>
      </c>
      <c r="AK12" s="30">
        <f>VLOOKUP($C12,BAU_Demands!$B$3:$BK$48,BAU_Demands!AI$1,0)*(1-'Net Zero 2050'!AC91)</f>
        <v>2.5804799999999997</v>
      </c>
      <c r="AL12" s="30">
        <f>VLOOKUP($C12,BAU_Demands!$B$3:$BK$48,BAU_Demands!AJ$1,0)*(1-'Net Zero 2050'!AD91)</f>
        <v>2.5727799999999998</v>
      </c>
      <c r="AM12" s="30">
        <f>VLOOKUP($C12,BAU_Demands!$B$3:$BK$48,BAU_Demands!AK$1,0)*(1-'Net Zero 2050'!AE91)</f>
        <v>2.5566800000000001</v>
      </c>
      <c r="AN12" s="30">
        <f>VLOOKUP($C12,BAU_Demands!$B$3:$BK$48,BAU_Demands!AL$1,0)*(1-'Net Zero 2050'!AF91)</f>
        <v>2.5451999999999999</v>
      </c>
      <c r="AO12" s="30">
        <f>VLOOKUP($C12,BAU_Demands!$B$3:$BK$48,BAU_Demands!AM$1,0)*(1-'Net Zero 2050'!AG91)</f>
        <v>2.5646400000000003</v>
      </c>
      <c r="AP12" s="30">
        <f>VLOOKUP($C12,BAU_Demands!$B$3:$BK$48,BAU_Demands!AN$1,0)*(1-'Net Zero 2050'!AH91)</f>
        <v>2.58324</v>
      </c>
      <c r="AQ12" s="30">
        <f>VLOOKUP($C12,BAU_Demands!$B$3:$BK$48,BAU_Demands!AO$1,0)*(1-'Net Zero 2050'!AI91)</f>
        <v>2.5887600000000002</v>
      </c>
      <c r="AR12" s="30">
        <f>VLOOKUP($C12,BAU_Demands!$B$3:$BK$48,BAU_Demands!AP$1,0)*(1-'Net Zero 2050'!AJ91)</f>
        <v>2.6057999999999999</v>
      </c>
      <c r="AS12" s="30">
        <f>VLOOKUP($C12,BAU_Demands!$B$3:$BK$48,BAU_Demands!AQ$1,0)*(1-'Net Zero 2050'!AK91)</f>
        <v>2.61</v>
      </c>
      <c r="AT12" s="30">
        <f>VLOOKUP($C12,BAU_Demands!$B$3:$BK$48,BAU_Demands!AR$1,0)*(1-'Net Zero 2050'!AL91)</f>
        <v>2.405183391625616</v>
      </c>
      <c r="AU12" s="30">
        <f>VLOOKUP($C12,BAU_Demands!$B$3:$BK$48,BAU_Demands!AS$1,0)*(1-'Net Zero 2050'!AM91)</f>
        <v>2.3638031881773416</v>
      </c>
      <c r="AV12" s="30">
        <f>VLOOKUP($C12,BAU_Demands!$B$3:$BK$48,BAU_Demands!AT$1,0)*(1-'Net Zero 2050'!AN91)</f>
        <v>2.3204464310344814</v>
      </c>
      <c r="AW12" s="30">
        <f>VLOOKUP($C12,BAU_Demands!$B$3:$BK$48,BAU_Demands!AU$1,0)*(1-'Net Zero 2050'!AO91)</f>
        <v>2.280048289655173</v>
      </c>
      <c r="AX12" s="30">
        <f>VLOOKUP($C12,BAU_Demands!$B$3:$BK$48,BAU_Demands!AV$1,0)*(1-'Net Zero 2050'!AP91)</f>
        <v>2.232573712315268</v>
      </c>
      <c r="AY12" s="30">
        <f>VLOOKUP($C12,BAU_Demands!$B$3:$BK$48,BAU_Demands!AW$1,0)*(1-'Net Zero 2050'!AQ91)</f>
        <v>2.1877283251231519</v>
      </c>
      <c r="AZ12" s="30">
        <f>VLOOKUP($C12,BAU_Demands!$B$3:$BK$48,BAU_Demands!AX$1,0)*(1-'Net Zero 2050'!AR91)</f>
        <v>2.1361359275862073</v>
      </c>
      <c r="BA12" s="30">
        <f>VLOOKUP($C12,BAU_Demands!$B$3:$BK$48,BAU_Demands!AY$1,0)*(1-'Net Zero 2050'!AS91)</f>
        <v>2.0825669763546824</v>
      </c>
      <c r="BB12" s="30">
        <f>VLOOKUP($C12,BAU_Demands!$B$3:$BK$48,BAU_Demands!AZ$1,0)*(1-'Net Zero 2050'!AT91)</f>
        <v>2.0270214714285704</v>
      </c>
      <c r="BC12" s="30">
        <f>VLOOKUP($C12,BAU_Demands!$B$3:$BK$48,BAU_Demands!BA$1,0)*(1-'Net Zero 2050'!AU91)</f>
        <v>1.9694994128078829</v>
      </c>
      <c r="BD12" s="30">
        <f>VLOOKUP($C12,BAU_Demands!$B$3:$BK$48,BAU_Demands!BB$1,0)*(1-'Net Zero 2050'!AV91)</f>
        <v>1.9100008004926081</v>
      </c>
      <c r="BE12" s="30">
        <f>VLOOKUP($C12,BAU_Demands!$B$3:$BK$48,BAU_Demands!BC$1,0)*(1-'Net Zero 2050'!AW91)</f>
        <v>1.8485256344827581</v>
      </c>
      <c r="BF12" s="30">
        <f>VLOOKUP($C12,BAU_Demands!$B$3:$BK$48,BAU_Demands!BD$1,0)*(1-'Net Zero 2050'!AX91)</f>
        <v>1.7850739147783259</v>
      </c>
      <c r="BG12" s="30">
        <f>VLOOKUP($C12,BAU_Demands!$B$3:$BK$48,BAU_Demands!BE$1,0)*(1-'Net Zero 2050'!AY91)</f>
        <v>1.719645641379308</v>
      </c>
      <c r="BH12" s="30">
        <f>VLOOKUP($C12,BAU_Demands!$B$3:$BK$48,BAU_Demands!BF$1,0)*(1-'Net Zero 2050'!AZ91)</f>
        <v>1.6522408142857135</v>
      </c>
      <c r="BI12" s="30">
        <f>VLOOKUP($C12,BAU_Demands!$B$3:$BK$48,BAU_Demands!BG$1,0)*(1-'Net Zero 2050'!BA91)</f>
        <v>1.5799008177339913</v>
      </c>
      <c r="BJ12" s="30">
        <f>VLOOKUP($C12,BAU_Demands!$B$3:$BK$48,BAU_Demands!BH$1,0)*(1-'Net Zero 2050'!BB91)</f>
        <v>1.5087075960591108</v>
      </c>
      <c r="BK12" s="30">
        <f>VLOOKUP($C12,BAU_Demands!$B$3:$BK$48,BAU_Demands!BI$1,0)*(1-'Net Zero 2050'!BC91)</f>
        <v>1.4329086305418715</v>
      </c>
      <c r="BL12" s="30">
        <f>VLOOKUP($C12,BAU_Demands!$B$3:$BK$48,BAU_Demands!BJ$1,0)*(1-'Net Zero 2050'!BD91)</f>
        <v>1.3554625369458138</v>
      </c>
      <c r="BM12" s="30">
        <f>VLOOKUP($C12,BAU_Demands!$B$3:$BK$48,BAU_Demands!BK$1,0)*(1-'Net Zero 2050'!BE91)</f>
        <v>1.2786690798029532</v>
      </c>
    </row>
    <row r="13" spans="1:65" ht="15.75" hidden="1" customHeight="1">
      <c r="A13" s="314" t="s">
        <v>457</v>
      </c>
      <c r="B13" s="314" t="s">
        <v>458</v>
      </c>
      <c r="C13" s="314" t="s">
        <v>485</v>
      </c>
      <c r="D13" s="314" t="s">
        <v>460</v>
      </c>
      <c r="E13" s="314" t="s">
        <v>486</v>
      </c>
      <c r="F13" s="314" t="s">
        <v>462</v>
      </c>
      <c r="G13" s="314" t="s">
        <v>463</v>
      </c>
      <c r="H13" s="314" t="s">
        <v>464</v>
      </c>
      <c r="I13" s="314" t="s">
        <v>44</v>
      </c>
      <c r="J13" s="314" t="s">
        <v>44</v>
      </c>
      <c r="K13" s="314" t="s">
        <v>44</v>
      </c>
      <c r="L13" s="314" t="s">
        <v>44</v>
      </c>
      <c r="M13" s="314">
        <f>VLOOKUP($C13,BAU_Demands!$B$3:$BK$48,BAU_Demands!K$1,0)</f>
        <v>5.736839035</v>
      </c>
      <c r="N13" s="314">
        <f>VLOOKUP($C13,BAU_Demands!$B$3:$BK$48,BAU_Demands!L$1,0)</f>
        <v>4.7138772869999999</v>
      </c>
      <c r="O13" s="314">
        <f>VLOOKUP($C13,BAU_Demands!$B$3:$BK$48,BAU_Demands!M$1,0)</f>
        <v>4.5998940529999999</v>
      </c>
      <c r="P13" s="314">
        <f>VLOOKUP($C13,BAU_Demands!$B$3:$BK$48,BAU_Demands!N$1,0)</f>
        <v>4.3899411639999997</v>
      </c>
      <c r="Q13" s="314">
        <f>VLOOKUP($C13,BAU_Demands!$B$3:$BK$48,BAU_Demands!O$1,0)*(1-'Net Zero 2050'!I90)</f>
        <v>4.42</v>
      </c>
      <c r="R13" s="314">
        <f>VLOOKUP($C13,BAU_Demands!$B$3:$BK$48,BAU_Demands!P$1,0)*(1-'Net Zero 2050'!J90)</f>
        <v>4.5738000000000003</v>
      </c>
      <c r="S13" s="314">
        <f>VLOOKUP($C13,BAU_Demands!$B$3:$BK$48,BAU_Demands!Q$1,0)*(1-'Net Zero 2050'!K90)</f>
        <v>4.5667999999999997</v>
      </c>
      <c r="T13" s="314">
        <f>VLOOKUP($C13,BAU_Demands!$B$3:$BK$48,BAU_Demands!R$1,0)*(1-'Net Zero 2050'!L90)</f>
        <v>4.7141999999999999</v>
      </c>
      <c r="U13" s="314">
        <f>VLOOKUP($C13,BAU_Demands!$B$3:$BK$48,BAU_Demands!S$1,0)*(1-'Net Zero 2050'!M90)</f>
        <v>4.6654599999999995</v>
      </c>
      <c r="V13" s="314">
        <f>VLOOKUP($C13,BAU_Demands!$B$3:$BK$48,BAU_Demands!T$1,0)*(1-'Net Zero 2050'!N90)</f>
        <v>4.8245999999999993</v>
      </c>
      <c r="W13" s="314">
        <f>VLOOKUP($C13,BAU_Demands!$B$3:$BK$48,BAU_Demands!U$1,0)*(1-'Net Zero 2050'!O90)</f>
        <v>4.8101000000000003</v>
      </c>
      <c r="X13" s="314">
        <f>VLOOKUP($C13,BAU_Demands!$B$3:$BK$48,BAU_Demands!V$1,0)*(1-'Net Zero 2050'!P90)</f>
        <v>4.9142600000000005</v>
      </c>
      <c r="Y13" s="314">
        <f>VLOOKUP($C13,BAU_Demands!$B$3:$BK$48,BAU_Demands!W$1,0)*(1-'Net Zero 2050'!Q90)</f>
        <v>4.8867000000000003</v>
      </c>
      <c r="Z13" s="314">
        <f>VLOOKUP($C13,BAU_Demands!$B$3:$BK$48,BAU_Demands!X$1,0)*(1-'Net Zero 2050'!R90)</f>
        <v>5.0265600000000008</v>
      </c>
      <c r="AA13" s="314">
        <f>VLOOKUP($C13,BAU_Demands!$B$3:$BK$48,BAU_Demands!Y$1,0)*(1-'Net Zero 2050'!S90)</f>
        <v>5.0009399999999999</v>
      </c>
      <c r="AB13" s="314">
        <f>VLOOKUP($C13,BAU_Demands!$B$3:$BK$48,BAU_Demands!Z$1,0)*(1-'Net Zero 2050'!T90)</f>
        <v>5.11252</v>
      </c>
      <c r="AC13" s="314">
        <f>VLOOKUP($C13,BAU_Demands!$B$3:$BK$48,BAU_Demands!AA$1,0)*(1-'Net Zero 2050'!U90)</f>
        <v>5.0898399999999997</v>
      </c>
      <c r="AD13" s="314">
        <f>VLOOKUP($C13,BAU_Demands!$B$3:$BK$48,BAU_Demands!AB$1,0)*(1-'Net Zero 2050'!V90)</f>
        <v>5.1660000000000004</v>
      </c>
      <c r="AE13" s="314">
        <f>VLOOKUP($C13,BAU_Demands!$B$3:$BK$48,BAU_Demands!AC$1,0)*(1-'Net Zero 2050'!W90)</f>
        <v>5.1667200000000006</v>
      </c>
      <c r="AF13" s="314">
        <f>VLOOKUP($C13,BAU_Demands!$B$3:$BK$48,BAU_Demands!AD$1,0)*(1-'Net Zero 2050'!X90)</f>
        <v>5.2387200000000007</v>
      </c>
      <c r="AG13" s="314">
        <f>VLOOKUP($C13,BAU_Demands!$B$3:$BK$48,BAU_Demands!AE$1,0)*(1-'Net Zero 2050'!Y90)</f>
        <v>5.2340400000000002</v>
      </c>
      <c r="AH13" s="314">
        <f>VLOOKUP($C13,BAU_Demands!$B$3:$BK$48,BAU_Demands!AF$1,0)*(1-'Net Zero 2050'!Z90)</f>
        <v>5.3064</v>
      </c>
      <c r="AI13" s="314">
        <f>VLOOKUP($C13,BAU_Demands!$B$3:$BK$48,BAU_Demands!AG$1,0)*(1-'Net Zero 2050'!AA90)</f>
        <v>5.3040000000000003</v>
      </c>
      <c r="AJ13" s="314">
        <f>VLOOKUP($C13,BAU_Demands!$B$3:$BK$48,BAU_Demands!AH$1,0)*(1-'Net Zero 2050'!AB90)</f>
        <v>5.3669000000000002</v>
      </c>
      <c r="AK13" s="314">
        <f>VLOOKUP($C13,BAU_Demands!$B$3:$BK$48,BAU_Demands!AI$1,0)*(1-'Net Zero 2050'!AC90)</f>
        <v>5.3732000000000006</v>
      </c>
      <c r="AL13" s="314">
        <f>VLOOKUP($C13,BAU_Demands!$B$3:$BK$48,BAU_Demands!AJ$1,0)*(1-'Net Zero 2050'!AD90)</f>
        <v>5.4074999999999998</v>
      </c>
      <c r="AM13" s="314">
        <f>VLOOKUP($C13,BAU_Demands!$B$3:$BK$48,BAU_Demands!AK$1,0)*(1-'Net Zero 2050'!AE90)</f>
        <v>5.4093999999999998</v>
      </c>
      <c r="AN13" s="314">
        <f>VLOOKUP($C13,BAU_Demands!$B$3:$BK$48,BAU_Demands!AL$1,0)*(1-'Net Zero 2050'!AF90)</f>
        <v>5.4385000000000003</v>
      </c>
      <c r="AO13" s="314">
        <f>VLOOKUP($C13,BAU_Demands!$B$3:$BK$48,BAU_Demands!AM$1,0)*(1-'Net Zero 2050'!AG90)</f>
        <v>5.4806800000000004</v>
      </c>
      <c r="AP13" s="314">
        <f>VLOOKUP($C13,BAU_Demands!$B$3:$BK$48,BAU_Demands!AN$1,0)*(1-'Net Zero 2050'!AH90)</f>
        <v>5.5357799999999999</v>
      </c>
      <c r="AQ13" s="314">
        <f>VLOOKUP($C13,BAU_Demands!$B$3:$BK$48,BAU_Demands!AO$1,0)*(1-'Net Zero 2050'!AI90)</f>
        <v>5.5464799999999999</v>
      </c>
      <c r="AR13" s="314">
        <f>VLOOKUP($C13,BAU_Demands!$B$3:$BK$48,BAU_Demands!AP$1,0)*(1-'Net Zero 2050'!AJ90)</f>
        <v>5.5985799999999992</v>
      </c>
      <c r="AS13" s="314">
        <f>VLOOKUP($C13,BAU_Demands!$B$3:$BK$48,BAU_Demands!AQ$1,0)*(1-'Net Zero 2050'!AK90)</f>
        <v>5.613999999999999</v>
      </c>
      <c r="AT13" s="314">
        <f>VLOOKUP($C13,BAU_Demands!$B$3:$BK$48,BAU_Demands!AR$1,0)*(1-'Net Zero 2050'!AL90)</f>
        <v>5.4324295566502414</v>
      </c>
      <c r="AU13" s="314">
        <f>VLOOKUP($C13,BAU_Demands!$B$3:$BK$48,BAU_Demands!AS$1,0)*(1-'Net Zero 2050'!AM90)</f>
        <v>5.4176488669950666</v>
      </c>
      <c r="AV13" s="314">
        <f>VLOOKUP($C13,BAU_Demands!$B$3:$BK$48,BAU_Demands!AT$1,0)*(1-'Net Zero 2050'!AN90)</f>
        <v>5.3936954187192123</v>
      </c>
      <c r="AW13" s="314">
        <f>VLOOKUP($C13,BAU_Demands!$B$3:$BK$48,BAU_Demands!AU$1,0)*(1-'Net Zero 2050'!AO90)</f>
        <v>5.3735409852216733</v>
      </c>
      <c r="AX13" s="314">
        <f>VLOOKUP($C13,BAU_Demands!$B$3:$BK$48,BAU_Demands!AV$1,0)*(1-'Net Zero 2050'!AP90)</f>
        <v>5.3506425123152681</v>
      </c>
      <c r="AY13" s="314">
        <f>VLOOKUP($C13,BAU_Demands!$B$3:$BK$48,BAU_Demands!AW$1,0)*(1-'Net Zero 2050'!AQ90)</f>
        <v>5.3249999999999948</v>
      </c>
      <c r="AZ13" s="314">
        <f>VLOOKUP($C13,BAU_Demands!$B$3:$BK$48,BAU_Demands!AX$1,0)*(1-'Net Zero 2050'!AR90)</f>
        <v>5.2906420689655098</v>
      </c>
      <c r="BA13" s="314">
        <f>VLOOKUP($C13,BAU_Demands!$B$3:$BK$48,BAU_Demands!AY$1,0)*(1-'Net Zero 2050'!AS90)</f>
        <v>5.2596258128078821</v>
      </c>
      <c r="BB13" s="314">
        <f>VLOOKUP($C13,BAU_Demands!$B$3:$BK$48,BAU_Demands!AZ$1,0)*(1-'Net Zero 2050'!AT90)</f>
        <v>5.2201228078817721</v>
      </c>
      <c r="BC13" s="314">
        <f>VLOOKUP($C13,BAU_Demands!$B$3:$BK$48,BAU_Demands!BA$1,0)*(1-'Net Zero 2050'!AU90)</f>
        <v>5.1837328078817704</v>
      </c>
      <c r="BD13" s="314">
        <f>VLOOKUP($C13,BAU_Demands!$B$3:$BK$48,BAU_Demands!BB$1,0)*(1-'Net Zero 2050'!AV90)</f>
        <v>5.1335706896551674</v>
      </c>
      <c r="BE13" s="314">
        <f>VLOOKUP($C13,BAU_Demands!$B$3:$BK$48,BAU_Demands!BC$1,0)*(1-'Net Zero 2050'!AW90)</f>
        <v>5.0865215763546727</v>
      </c>
      <c r="BF13" s="314">
        <f>VLOOKUP($C13,BAU_Demands!$B$3:$BK$48,BAU_Demands!BD$1,0)*(1-'Net Zero 2050'!AX90)</f>
        <v>5.0369570935960599</v>
      </c>
      <c r="BG13" s="314">
        <f>VLOOKUP($C13,BAU_Demands!$B$3:$BK$48,BAU_Demands!BE$1,0)*(1-'Net Zero 2050'!AY90)</f>
        <v>4.9848772413793103</v>
      </c>
      <c r="BH13" s="314">
        <f>VLOOKUP($C13,BAU_Demands!$B$3:$BK$48,BAU_Demands!BF$1,0)*(1-'Net Zero 2050'!AZ90)</f>
        <v>4.9252253201970415</v>
      </c>
      <c r="BI13" s="314">
        <f>VLOOKUP($C13,BAU_Demands!$B$3:$BK$48,BAU_Demands!BG$1,0)*(1-'Net Zero 2050'!BA90)</f>
        <v>4.8682290640394044</v>
      </c>
      <c r="BJ13" s="314">
        <f>VLOOKUP($C13,BAU_Demands!$B$3:$BK$48,BAU_Demands!BH$1,0)*(1-'Net Zero 2050'!BB90)</f>
        <v>4.8038894088669881</v>
      </c>
      <c r="BK13" s="314">
        <f>VLOOKUP($C13,BAU_Demands!$B$3:$BK$48,BAU_Demands!BI$1,0)*(1-'Net Zero 2050'!BC90)</f>
        <v>4.7372630541871841</v>
      </c>
      <c r="BL13" s="314">
        <f>VLOOKUP($C13,BAU_Demands!$B$3:$BK$48,BAU_Demands!BJ$1,0)*(1-'Net Zero 2050'!BD90)</f>
        <v>4.6683499999999993</v>
      </c>
      <c r="BM13" s="314">
        <f>VLOOKUP($C13,BAU_Demands!$B$3:$BK$48,BAU_Demands!BK$1,0)*(1-'Net Zero 2050'!BE90)</f>
        <v>4.5926652216748742</v>
      </c>
    </row>
    <row r="14" spans="1:65" ht="15.75" hidden="1" customHeight="1">
      <c r="A14" s="314" t="s">
        <v>457</v>
      </c>
      <c r="B14" s="314" t="s">
        <v>458</v>
      </c>
      <c r="C14" s="314" t="s">
        <v>487</v>
      </c>
      <c r="D14" s="314" t="s">
        <v>460</v>
      </c>
      <c r="E14" s="314" t="s">
        <v>488</v>
      </c>
      <c r="F14" s="314" t="s">
        <v>462</v>
      </c>
      <c r="G14" s="314" t="s">
        <v>463</v>
      </c>
      <c r="H14" s="314" t="s">
        <v>464</v>
      </c>
      <c r="I14" s="314"/>
      <c r="J14" s="314"/>
      <c r="K14" s="314"/>
      <c r="L14" s="314"/>
      <c r="M14" s="314">
        <f>VLOOKUP($C14,BAU_Demands!$B$3:$BK$48,BAU_Demands!K$1,0)</f>
        <v>9.9128536000000003E-2</v>
      </c>
      <c r="N14" s="314">
        <f>VLOOKUP($C14,BAU_Demands!$B$3:$BK$48,BAU_Demands!L$1,0)</f>
        <v>0.12304462300000001</v>
      </c>
      <c r="O14" s="314">
        <f>VLOOKUP($C14,BAU_Demands!$B$3:$BK$48,BAU_Demands!M$1,0)</f>
        <v>3.4599036E-2</v>
      </c>
      <c r="P14" s="314">
        <f>VLOOKUP($C14,BAU_Demands!$B$3:$BK$48,BAU_Demands!N$1,0)</f>
        <v>0.23700357599999999</v>
      </c>
      <c r="Q14" s="314">
        <f>VLOOKUP($C14,BAU_Demands!$B$3:$BK$48,BAU_Demands!O$1,0)</f>
        <v>0.24</v>
      </c>
      <c r="R14" s="314">
        <f>VLOOKUP($C14,BAU_Demands!$B$3:$BK$48,BAU_Demands!P$1,0)</f>
        <v>0.25</v>
      </c>
      <c r="S14" s="314">
        <f>VLOOKUP($C14,BAU_Demands!$B$3:$BK$48,BAU_Demands!Q$1,0)</f>
        <v>0.25</v>
      </c>
      <c r="T14" s="314">
        <f>VLOOKUP($C14,BAU_Demands!$B$3:$BK$48,BAU_Demands!R$1,0)</f>
        <v>0.26</v>
      </c>
      <c r="U14" s="314">
        <f>VLOOKUP($C14,BAU_Demands!$B$3:$BK$48,BAU_Demands!S$1,0)</f>
        <v>0.26</v>
      </c>
      <c r="V14" s="314">
        <f>VLOOKUP($C14,BAU_Demands!$B$3:$BK$48,BAU_Demands!T$1,0)</f>
        <v>0.28000000000000003</v>
      </c>
      <c r="W14" s="314">
        <f>VLOOKUP($C14,BAU_Demands!$B$3:$BK$48,BAU_Demands!U$1,0)</f>
        <v>0.28000000000000003</v>
      </c>
      <c r="X14" s="314">
        <f>VLOOKUP($C14,BAU_Demands!$B$3:$BK$48,BAU_Demands!V$1,0)</f>
        <v>0.28999999999999998</v>
      </c>
      <c r="Y14" s="314">
        <f>VLOOKUP($C14,BAU_Demands!$B$3:$BK$48,BAU_Demands!W$1,0)</f>
        <v>0.28999999999999998</v>
      </c>
      <c r="Z14" s="314">
        <f>VLOOKUP($C14,BAU_Demands!$B$3:$BK$48,BAU_Demands!X$1,0)</f>
        <v>0.3</v>
      </c>
      <c r="AA14" s="314">
        <f>VLOOKUP($C14,BAU_Demands!$B$3:$BK$48,BAU_Demands!Y$1,0)</f>
        <v>0.31</v>
      </c>
      <c r="AB14" s="314">
        <f>VLOOKUP($C14,BAU_Demands!$B$3:$BK$48,BAU_Demands!Z$1,0)</f>
        <v>0.32</v>
      </c>
      <c r="AC14" s="314">
        <f>VLOOKUP($C14,BAU_Demands!$B$3:$BK$48,BAU_Demands!AA$1,0)</f>
        <v>0.32</v>
      </c>
      <c r="AD14" s="314">
        <f>VLOOKUP($C14,BAU_Demands!$B$3:$BK$48,BAU_Demands!AB$1,0)</f>
        <v>0.33</v>
      </c>
      <c r="AE14" s="314">
        <f>VLOOKUP($C14,BAU_Demands!$B$3:$BK$48,BAU_Demands!AC$1,0)</f>
        <v>0.34</v>
      </c>
      <c r="AF14" s="314">
        <f>VLOOKUP($C14,BAU_Demands!$B$3:$BK$48,BAU_Demands!AD$1,0)</f>
        <v>0.35</v>
      </c>
      <c r="AG14" s="314">
        <f>VLOOKUP($C14,BAU_Demands!$B$3:$BK$48,BAU_Demands!AE$1,0)</f>
        <v>0.35</v>
      </c>
      <c r="AH14" s="314">
        <f>VLOOKUP($C14,BAU_Demands!$B$3:$BK$48,BAU_Demands!AF$1,0)</f>
        <v>0.36</v>
      </c>
      <c r="AI14" s="314">
        <f>VLOOKUP($C14,BAU_Demands!$B$3:$BK$48,BAU_Demands!AG$1,0)</f>
        <v>0.37</v>
      </c>
      <c r="AJ14" s="314">
        <f>VLOOKUP($C14,BAU_Demands!$B$3:$BK$48,BAU_Demands!AH$1,0)</f>
        <v>0.38</v>
      </c>
      <c r="AK14" s="314">
        <f>VLOOKUP($C14,BAU_Demands!$B$3:$BK$48,BAU_Demands!AI$1,0)</f>
        <v>0.38</v>
      </c>
      <c r="AL14" s="314">
        <f>VLOOKUP($C14,BAU_Demands!$B$3:$BK$48,BAU_Demands!AJ$1,0)</f>
        <v>0.39</v>
      </c>
      <c r="AM14" s="314">
        <f>VLOOKUP($C14,BAU_Demands!$B$3:$BK$48,BAU_Demands!AK$1,0)</f>
        <v>0.39</v>
      </c>
      <c r="AN14" s="314">
        <f>VLOOKUP($C14,BAU_Demands!$B$3:$BK$48,BAU_Demands!AL$1,0)</f>
        <v>0.4</v>
      </c>
      <c r="AO14" s="314">
        <f>VLOOKUP($C14,BAU_Demands!$B$3:$BK$48,BAU_Demands!AM$1,0)</f>
        <v>0.41</v>
      </c>
      <c r="AP14" s="314">
        <f>VLOOKUP($C14,BAU_Demands!$B$3:$BK$48,BAU_Demands!AN$1,0)</f>
        <v>0.42</v>
      </c>
      <c r="AQ14" s="314">
        <f>VLOOKUP($C14,BAU_Demands!$B$3:$BK$48,BAU_Demands!AO$1,0)</f>
        <v>0.42</v>
      </c>
      <c r="AR14" s="314">
        <f>VLOOKUP($C14,BAU_Demands!$B$3:$BK$48,BAU_Demands!AP$1,0)</f>
        <v>0.43</v>
      </c>
      <c r="AS14" s="314">
        <f>VLOOKUP($C14,BAU_Demands!$B$3:$BK$48,BAU_Demands!AQ$1,0)</f>
        <v>0.43</v>
      </c>
      <c r="AT14" s="314">
        <f>VLOOKUP($C14,BAU_Demands!$B$3:$BK$48,BAU_Demands!AR$1,0)</f>
        <v>0.44</v>
      </c>
      <c r="AU14" s="314">
        <f>VLOOKUP($C14,BAU_Demands!$B$3:$BK$48,BAU_Demands!AS$1,0)</f>
        <v>0.45</v>
      </c>
      <c r="AV14" s="314">
        <f>VLOOKUP($C14,BAU_Demands!$B$3:$BK$48,BAU_Demands!AT$1,0)</f>
        <v>0.45</v>
      </c>
      <c r="AW14" s="314">
        <f>VLOOKUP($C14,BAU_Demands!$B$3:$BK$48,BAU_Demands!AU$1,0)</f>
        <v>0.46</v>
      </c>
      <c r="AX14" s="314">
        <f>VLOOKUP($C14,BAU_Demands!$B$3:$BK$48,BAU_Demands!AV$1,0)</f>
        <v>0.47</v>
      </c>
      <c r="AY14" s="314">
        <f>VLOOKUP($C14,BAU_Demands!$B$3:$BK$48,BAU_Demands!AW$1,0)</f>
        <v>0.47</v>
      </c>
      <c r="AZ14" s="314">
        <f>VLOOKUP($C14,BAU_Demands!$B$3:$BK$48,BAU_Demands!AX$1,0)</f>
        <v>0.48</v>
      </c>
      <c r="BA14" s="314">
        <f>VLOOKUP($C14,BAU_Demands!$B$3:$BK$48,BAU_Demands!AY$1,0)</f>
        <v>0.48</v>
      </c>
      <c r="BB14" s="314">
        <f>VLOOKUP($C14,BAU_Demands!$B$3:$BK$48,BAU_Demands!AZ$1,0)</f>
        <v>0.49</v>
      </c>
      <c r="BC14" s="314">
        <f>VLOOKUP($C14,BAU_Demands!$B$3:$BK$48,BAU_Demands!BA$1,0)</f>
        <v>0.5</v>
      </c>
      <c r="BD14" s="314">
        <f>VLOOKUP($C14,BAU_Demands!$B$3:$BK$48,BAU_Demands!BB$1,0)</f>
        <v>0.5</v>
      </c>
      <c r="BE14" s="314">
        <f>VLOOKUP($C14,BAU_Demands!$B$3:$BK$48,BAU_Demands!BC$1,0)</f>
        <v>0.51</v>
      </c>
      <c r="BF14" s="314">
        <f>VLOOKUP($C14,BAU_Demands!$B$3:$BK$48,BAU_Demands!BD$1,0)</f>
        <v>0.51</v>
      </c>
      <c r="BG14" s="314">
        <f>VLOOKUP($C14,BAU_Demands!$B$3:$BK$48,BAU_Demands!BE$1,0)</f>
        <v>0.52</v>
      </c>
      <c r="BH14" s="314">
        <f>VLOOKUP($C14,BAU_Demands!$B$3:$BK$48,BAU_Demands!BF$1,0)</f>
        <v>0.53</v>
      </c>
      <c r="BI14" s="314">
        <f>VLOOKUP($C14,BAU_Demands!$B$3:$BK$48,BAU_Demands!BG$1,0)</f>
        <v>0.53</v>
      </c>
      <c r="BJ14" s="314">
        <f>VLOOKUP($C14,BAU_Demands!$B$3:$BK$48,BAU_Demands!BH$1,0)</f>
        <v>0.54</v>
      </c>
      <c r="BK14" s="314">
        <f>VLOOKUP($C14,BAU_Demands!$B$3:$BK$48,BAU_Demands!BI$1,0)</f>
        <v>0.54</v>
      </c>
      <c r="BL14" s="314">
        <f>VLOOKUP($C14,BAU_Demands!$B$3:$BK$48,BAU_Demands!BJ$1,0)</f>
        <v>0.55000000000000004</v>
      </c>
      <c r="BM14" s="314">
        <f>VLOOKUP($C14,BAU_Demands!$B$3:$BK$48,BAU_Demands!BK$1,0)</f>
        <v>0.55000000000000004</v>
      </c>
    </row>
    <row r="15" spans="1:65" ht="14.4" hidden="1">
      <c r="A15" s="29" t="s">
        <v>457</v>
      </c>
      <c r="B15" s="29" t="s">
        <v>458</v>
      </c>
      <c r="C15" s="29" t="s">
        <v>489</v>
      </c>
      <c r="D15" s="29" t="s">
        <v>460</v>
      </c>
      <c r="E15" s="29" t="s">
        <v>490</v>
      </c>
      <c r="F15" s="29" t="s">
        <v>462</v>
      </c>
      <c r="G15" s="29" t="s">
        <v>463</v>
      </c>
      <c r="H15" s="29" t="s">
        <v>464</v>
      </c>
      <c r="I15" s="29" t="s">
        <v>44</v>
      </c>
      <c r="J15" s="29" t="s">
        <v>44</v>
      </c>
      <c r="K15" s="29" t="s">
        <v>44</v>
      </c>
      <c r="L15" s="29" t="s">
        <v>44</v>
      </c>
      <c r="M15" s="322">
        <f>VLOOKUP($C15,BAU_Demands!$B$3:$BK$48,BAU_Demands!K$1,0)</f>
        <v>2.0131327520000002</v>
      </c>
      <c r="N15" s="322">
        <f>VLOOKUP($C15,BAU_Demands!$B$3:$BK$48,BAU_Demands!L$1,0)</f>
        <v>1.852291168</v>
      </c>
      <c r="O15" s="322">
        <f>VLOOKUP($C15,BAU_Demands!$B$3:$BK$48,BAU_Demands!M$1,0)</f>
        <v>1.9887452189999999</v>
      </c>
      <c r="P15" s="322">
        <f>VLOOKUP($C15,BAU_Demands!$B$3:$BK$48,BAU_Demands!N$1,0)</f>
        <v>2.2581693889999999</v>
      </c>
      <c r="Q15" s="324">
        <f>(SUM(BAU_Demands!O14:O19)-Q16-Q17-Q19-Q20-BAU_Demands!O17)*(1-'Net Zero 2050'!I80)*(1-'Net Zero 2050'!I85)</f>
        <v>2.4573099999999966</v>
      </c>
      <c r="R15" s="324">
        <f>(SUM(BAU_Demands!P14:P19)-R16-R17-R19-R20-BAU_Demands!P17)*(1-'Net Zero 2050'!J80)*(1-'Net Zero 2050'!J85)</f>
        <v>2.9416801285237106</v>
      </c>
      <c r="S15" s="324">
        <f>(SUM(BAU_Demands!Q14:Q19)-S16-S17-S19-S20-BAU_Demands!Q17)*(1-'Net Zero 2050'!K80)*(1-'Net Zero 2050'!K85)</f>
        <v>3.8618018836769057</v>
      </c>
      <c r="T15" s="324">
        <f>(SUM(BAU_Demands!R14:R19)-T16-T17-T19-T20-BAU_Demands!R17)*(1-'Net Zero 2050'!L80)*(1-'Net Zero 2050'!L85)</f>
        <v>4.274262166796893</v>
      </c>
      <c r="U15" s="324">
        <f>(SUM(BAU_Demands!S14:S19)-U16-U17-U19-U20-BAU_Demands!S17)*(1-'Net Zero 2050'!M80)*(1-'Net Zero 2050'!M85)</f>
        <v>5.3940199975773107</v>
      </c>
      <c r="V15" s="324">
        <f>(SUM(BAU_Demands!T14:T19)-V16-V17-V19-V20-BAU_Demands!T17)*(1-'Net Zero 2050'!N80)*(1-'Net Zero 2050'!N85)</f>
        <v>5.8304936396728841</v>
      </c>
      <c r="W15" s="324">
        <f>(SUM(BAU_Demands!U14:U19)-W16-W17-W19-W20-BAU_Demands!U17)*(1-'Net Zero 2050'!O80)*(1-'Net Zero 2050'!O85)</f>
        <v>7.1127941066443219</v>
      </c>
      <c r="X15" s="324">
        <f>(SUM(BAU_Demands!V14:V19)-X16-X17-X19-X20-BAU_Demands!V17)*(1-'Net Zero 2050'!P80)*(1-'Net Zero 2050'!P85)</f>
        <v>7.4363601877401582</v>
      </c>
      <c r="Y15" s="324">
        <f>(SUM(BAU_Demands!W14:W19)-Y16-Y17-Y19-Y20-BAU_Demands!W17)*(1-'Net Zero 2050'!Q80)*(1-'Net Zero 2050'!Q85)</f>
        <v>8.7711004878598047</v>
      </c>
      <c r="Z15" s="324">
        <f>(SUM(BAU_Demands!X14:X19)-Z16-Z17-Z19-Z20-BAU_Demands!X17)*(1-'Net Zero 2050'!R80)*(1-'Net Zero 2050'!R85)</f>
        <v>9.1524879794363247</v>
      </c>
      <c r="AA15" s="324">
        <f>(SUM(BAU_Demands!Y14:Y19)-AA16-AA17-AA19-AA20-BAU_Demands!Y17)*(1-'Net Zero 2050'!S80)*(1-'Net Zero 2050'!S85)</f>
        <v>10.535026964428388</v>
      </c>
      <c r="AB15" s="324">
        <f>(SUM(BAU_Demands!Z14:Z19)-AB16-AB17-AB19-AB20-BAU_Demands!Z17)*(1-'Net Zero 2050'!T80)*(1-'Net Zero 2050'!T85)</f>
        <v>10.919420671053302</v>
      </c>
      <c r="AC15" s="324">
        <f>(SUM(BAU_Demands!AA14:AA19)-AC16-AC17-AC19-AC20-BAU_Demands!AA17)*(1-'Net Zero 2050'!U80)*(1-'Net Zero 2050'!U85)</f>
        <v>12.291557464077325</v>
      </c>
      <c r="AD15" s="324">
        <f>(SUM(BAU_Demands!AB14:AB19)-AD16-AD17-AD19-AD20-BAU_Demands!AB17)*(1-'Net Zero 2050'!V80)*(1-'Net Zero 2050'!V85)</f>
        <v>12.661007707221684</v>
      </c>
      <c r="AE15" s="324">
        <f>(SUM(BAU_Demands!AC14:AC19)-AE16-AE17-AE19-AE20-BAU_Demands!AC17)*(1-'Net Zero 2050'!W80)*(1-'Net Zero 2050'!W85)</f>
        <v>14.032976692025983</v>
      </c>
      <c r="AF15" s="324">
        <f>(SUM(BAU_Demands!AD14:AD19)-AF16-AF17-AF19-AF20-BAU_Demands!AD17)*(1-'Net Zero 2050'!X80)*(1-'Net Zero 2050'!X85)</f>
        <v>14.442561704307366</v>
      </c>
      <c r="AG15" s="324">
        <f>(SUM(BAU_Demands!AE14:AE19)-AG16-AG17-AG19-AG20-BAU_Demands!AE17)*(1-'Net Zero 2050'!Y80)*(1-'Net Zero 2050'!Y85)</f>
        <v>15.769336472203356</v>
      </c>
      <c r="AH15" s="324">
        <f>(SUM(BAU_Demands!AF14:AF19)-AH16-AH17-AH19-AH20-BAU_Demands!AF17)*(1-'Net Zero 2050'!Z80)*(1-'Net Zero 2050'!Z85)</f>
        <v>16.280583700477823</v>
      </c>
      <c r="AI15" s="324">
        <f>(SUM(BAU_Demands!AG14:AG19)-AI16-AI17-AI19-AI20-BAU_Demands!AG17)*(1-'Net Zero 2050'!AA80)*(1-'Net Zero 2050'!AA85)</f>
        <v>17.573628423311437</v>
      </c>
      <c r="AJ15" s="324">
        <f>(SUM(BAU_Demands!AH14:AH19)-AJ16-AJ17-AJ19-AJ20-BAU_Demands!AH17)*(1-'Net Zero 2050'!AB80)*(1-'Net Zero 2050'!AB85)</f>
        <v>18.127530121459188</v>
      </c>
      <c r="AK15" s="324">
        <f>(SUM(BAU_Demands!AI14:AI19)-AK16-AK17-AK19-AK20-BAU_Demands!AI17)*(1-'Net Zero 2050'!AC80)*(1-'Net Zero 2050'!AC85)</f>
        <v>19.423327728704951</v>
      </c>
      <c r="AL15" s="324">
        <f>(SUM(BAU_Demands!AJ14:AJ19)-AL16-AL17-AL19-AL20-BAU_Demands!AJ17)*(1-'Net Zero 2050'!AD80)*(1-'Net Zero 2050'!AD85)</f>
        <v>19.941853379731935</v>
      </c>
      <c r="AM15" s="324">
        <f>(SUM(BAU_Demands!AK14:AK19)-AM16-AM17-AM19-AM20-BAU_Demands!AK17)*(1-'Net Zero 2050'!AE80)*(1-'Net Zero 2050'!AE85)</f>
        <v>21.215051227764452</v>
      </c>
      <c r="AN15" s="324">
        <f>(SUM(BAU_Demands!AL14:AL19)-AN16-AN17-AN19-AN20-BAU_Demands!AL17)*(1-'Net Zero 2050'!AF80)*(1-'Net Zero 2050'!AF85)</f>
        <v>21.813029391895032</v>
      </c>
      <c r="AO15" s="324">
        <f>(SUM(BAU_Demands!AM14:AM19)-AO16-AO17-AO19-AO20-BAU_Demands!AM17)*(1-'Net Zero 2050'!AG80)*(1-'Net Zero 2050'!AG85)</f>
        <v>23.135872704663999</v>
      </c>
      <c r="AP15" s="324">
        <f>(SUM(BAU_Demands!AN14:AN19)-AP16-AP17-AP19-AP20-BAU_Demands!AN17)*(1-'Net Zero 2050'!AH80)*(1-'Net Zero 2050'!AH85)</f>
        <v>23.83705724443228</v>
      </c>
      <c r="AQ15" s="324">
        <f>(SUM(BAU_Demands!AO14:AO19)-AQ16-AQ17-AQ19-AQ20-BAU_Demands!AO17)*(1-'Net Zero 2050'!AI80)*(1-'Net Zero 2050'!AI85)</f>
        <v>25.053795008594534</v>
      </c>
      <c r="AR15" s="324">
        <f>(SUM(BAU_Demands!AP14:AP19)-AR16-AR17-AR19-AR20-BAU_Demands!AP17)*(1-'Net Zero 2050'!AJ80)*(1-'Net Zero 2050'!AJ85)</f>
        <v>25.810831117761026</v>
      </c>
      <c r="AS15" s="324">
        <f>(SUM(BAU_Demands!AQ14:AQ19)-AS16-AS17-AS19-AS20-BAU_Demands!AQ17)*(1-'Net Zero 2050'!AK80)*(1-'Net Zero 2050'!AK85)</f>
        <v>27.03000027136979</v>
      </c>
      <c r="AT15" s="324">
        <f>(SUM(BAU_Demands!AR14:AR19)-AT16-AT17-AT19-AT20-BAU_Demands!AR17)*(1-'Net Zero 2050'!AL80)*(1-'Net Zero 2050'!AL85)</f>
        <v>27.723316498399104</v>
      </c>
      <c r="AU15" s="324">
        <f>(SUM(BAU_Demands!AS14:AS19)-AU16-AU17-AU19-AU20-BAU_Demands!AS17)*(1-'Net Zero 2050'!AM80)*(1-'Net Zero 2050'!AM85)</f>
        <v>28.358648672981332</v>
      </c>
      <c r="AV15" s="324">
        <f>(SUM(BAU_Demands!AT14:AT19)-AV16-AV17-AV19-AV20-BAU_Demands!AT17)*(1-'Net Zero 2050'!AN80)*(1-'Net Zero 2050'!AN85)</f>
        <v>29.062509108371739</v>
      </c>
      <c r="AW15" s="324">
        <f>(SUM(BAU_Demands!AU14:AU19)-AW16-AW17-AW19-AW20-BAU_Demands!AU17)*(1-'Net Zero 2050'!AO80)*(1-'Net Zero 2050'!AO85)</f>
        <v>29.725322580988724</v>
      </c>
      <c r="AX15" s="324">
        <f>(SUM(BAU_Demands!AV14:AV19)-AX16-AX17-AX19-AX20-BAU_Demands!AV17)*(1-'Net Zero 2050'!AP80)*(1-'Net Zero 2050'!AP85)</f>
        <v>30.456803028043343</v>
      </c>
      <c r="AY15" s="324">
        <f>(SUM(BAU_Demands!AW14:AW19)-AY16-AY17-AY19-AY20-BAU_Demands!AW17)*(1-'Net Zero 2050'!AQ80)*(1-'Net Zero 2050'!AQ85)</f>
        <v>31.154207817791765</v>
      </c>
      <c r="AZ15" s="324">
        <f>(SUM(BAU_Demands!AX14:AX19)-AZ16-AZ17-AZ19-AZ20-BAU_Demands!AX17)*(1-'Net Zero 2050'!AR80)*(1-'Net Zero 2050'!AR85)</f>
        <v>31.910192547867073</v>
      </c>
      <c r="BA15" s="324">
        <f>(SUM(BAU_Demands!AY14:AY19)-BA16-BA17-BA19-BA20-BAU_Demands!AY17)*(1-'Net Zero 2050'!AS80)*(1-'Net Zero 2050'!AS85)</f>
        <v>32.642947786138052</v>
      </c>
      <c r="BB15" s="324">
        <f>(SUM(BAU_Demands!AZ14:AZ19)-BB16-BB17-BB19-BB20-BAU_Demands!AZ17)*(1-'Net Zero 2050'!AT80)*(1-'Net Zero 2050'!AT85)</f>
        <v>33.423790127688264</v>
      </c>
      <c r="BC15" s="324">
        <f>(SUM(BAU_Demands!BA14:BA19)-BC16-BC17-BC19-BC20-BAU_Demands!BA17)*(1-'Net Zero 2050'!AU80)*(1-'Net Zero 2050'!AU85)</f>
        <v>34.206722989540204</v>
      </c>
      <c r="BD15" s="324">
        <f>(SUM(BAU_Demands!BB14:BB19)-BD16-BD17-BD19-BD20-BAU_Demands!BB17)*(1-'Net Zero 2050'!AV80)*(1-'Net Zero 2050'!AV85)</f>
        <v>35.034034617275395</v>
      </c>
      <c r="BE15" s="324">
        <f>(SUM(BAU_Demands!BC14:BC19)-BE16-BE17-BE19-BE20-BAU_Demands!BC17)*(1-'Net Zero 2050'!AW80)*(1-'Net Zero 2050'!AW85)</f>
        <v>35.866445440958394</v>
      </c>
      <c r="BF15" s="324">
        <f>(SUM(BAU_Demands!BD14:BD19)-BF16-BF17-BF19-BF20-BAU_Demands!BD17)*(1-'Net Zero 2050'!AX80)*(1-'Net Zero 2050'!AX85)</f>
        <v>36.709937065772941</v>
      </c>
      <c r="BG15" s="324">
        <f>(SUM(BAU_Demands!BE14:BE19)-BG16-BG17-BG19-BG20-BAU_Demands!BE17)*(1-'Net Zero 2050'!AY80)*(1-'Net Zero 2050'!AY85)</f>
        <v>37.579244497878946</v>
      </c>
      <c r="BH15" s="324">
        <f>(SUM(BAU_Demands!BF14:BF19)-BH16-BH17-BH19-BH20-BAU_Demands!BF17)*(1-'Net Zero 2050'!AZ80)*(1-'Net Zero 2050'!AZ85)</f>
        <v>38.463476698290705</v>
      </c>
      <c r="BI15" s="324">
        <f>(SUM(BAU_Demands!BG14:BG19)-BI16-BI17-BI19-BI20-BAU_Demands!BG17)*(1-'Net Zero 2050'!BA80)*(1-'Net Zero 2050'!BA85)</f>
        <v>39.369466356815998</v>
      </c>
      <c r="BJ15" s="324">
        <f>(SUM(BAU_Demands!BH14:BH19)-BJ16-BJ17-BJ19-BJ20-BAU_Demands!BH17)*(1-'Net Zero 2050'!BB80)*(1-'Net Zero 2050'!BB85)</f>
        <v>40.294340592573967</v>
      </c>
      <c r="BK15" s="324">
        <f>(SUM(BAU_Demands!BI14:BI19)-BK16-BK17-BK19-BK20-BAU_Demands!BI17)*(1-'Net Zero 2050'!BC80)*(1-'Net Zero 2050'!BC85)</f>
        <v>41.248622808341587</v>
      </c>
      <c r="BL15" s="324">
        <f>(SUM(BAU_Demands!BJ14:BJ19)-BL16-BL17-BL19-BL20-BAU_Demands!BJ17)*(1-'Net Zero 2050'!BD80)*(1-'Net Zero 2050'!BD85)</f>
        <v>42.215272266909011</v>
      </c>
      <c r="BM15" s="324">
        <f>(SUM(BAU_Demands!BK14:BK19)-BM16-BM17-BM19-BM20-BAU_Demands!BK17)*(1-'Net Zero 2050'!BE80)*(1-'Net Zero 2050'!BE85)</f>
        <v>43.208020482803875</v>
      </c>
    </row>
    <row r="16" spans="1:65" ht="15.75" hidden="1" customHeight="1">
      <c r="A16" s="314" t="s">
        <v>457</v>
      </c>
      <c r="B16" s="314" t="s">
        <v>458</v>
      </c>
      <c r="C16" s="314" t="s">
        <v>491</v>
      </c>
      <c r="D16" s="314" t="s">
        <v>460</v>
      </c>
      <c r="E16" s="314" t="s">
        <v>492</v>
      </c>
      <c r="F16" s="314" t="s">
        <v>462</v>
      </c>
      <c r="G16" s="314" t="s">
        <v>463</v>
      </c>
      <c r="H16" s="314" t="s">
        <v>464</v>
      </c>
      <c r="I16" s="314"/>
      <c r="J16" s="314"/>
      <c r="K16" s="314"/>
      <c r="L16" s="314"/>
      <c r="M16" s="314">
        <f>VLOOKUP($C16,BAU_Demands!$B$3:$BK$48,BAU_Demands!K$1,0)</f>
        <v>1.368450092</v>
      </c>
      <c r="N16" s="314">
        <f>VLOOKUP($C16,BAU_Demands!$B$3:$BK$48,BAU_Demands!L$1,0)</f>
        <v>1.05043928</v>
      </c>
      <c r="O16" s="314">
        <f>VLOOKUP($C16,BAU_Demands!$B$3:$BK$48,BAU_Demands!M$1,0)</f>
        <v>1.5998269759999999</v>
      </c>
      <c r="P16" s="314">
        <f>VLOOKUP($C16,BAU_Demands!$B$3:$BK$48,BAU_Demands!N$1,0)</f>
        <v>1.8325867499999999</v>
      </c>
      <c r="Q16" s="314">
        <f>(VLOOKUP($C16,BAU_Demands!$B$3:$BK$48,BAU_Demands!O$1,0)*(1-'Net Zero 2050'!I84))*(1-'Net Zero 2050'!I85)</f>
        <v>1.99</v>
      </c>
      <c r="R16" s="314">
        <f>(VLOOKUP($C16,BAU_Demands!$B$3:$BK$48,BAU_Demands!P$1,0)*(1-'Net Zero 2050'!J84))*(1-'Net Zero 2050'!J85)</f>
        <v>1.9135388948979584</v>
      </c>
      <c r="S16" s="314">
        <f>(VLOOKUP($C16,BAU_Demands!$B$3:$BK$48,BAU_Demands!Q$1,0)*(1-'Net Zero 2050'!K84))*(1-'Net Zero 2050'!K85)</f>
        <v>2.0815854790816313</v>
      </c>
      <c r="T16" s="314">
        <f>(VLOOKUP($C16,BAU_Demands!$B$3:$BK$48,BAU_Demands!R$1,0)*(1-'Net Zero 2050'!L84))*(1-'Net Zero 2050'!L85)</f>
        <v>1.9759342114795893</v>
      </c>
      <c r="U16" s="314">
        <f>(VLOOKUP($C16,BAU_Demands!$B$3:$BK$48,BAU_Demands!S$1,0)*(1-'Net Zero 2050'!M84))*(1-'Net Zero 2050'!M85)</f>
        <v>2.141659990816323</v>
      </c>
      <c r="V16" s="314">
        <f>(VLOOKUP($C16,BAU_Demands!$B$3:$BK$48,BAU_Demands!T$1,0)*(1-'Net Zero 2050'!N84))*(1-'Net Zero 2050'!N85)</f>
        <v>2.0321577053571462</v>
      </c>
      <c r="W16" s="314">
        <f>(VLOOKUP($C16,BAU_Demands!$B$3:$BK$48,BAU_Demands!U$1,0)*(1-'Net Zero 2050'!O84))*(1-'Net Zero 2050'!O85)</f>
        <v>2.2082545683673493</v>
      </c>
      <c r="X16" s="314">
        <f>(VLOOKUP($C16,BAU_Demands!$B$3:$BK$48,BAU_Demands!V$1,0)*(1-'Net Zero 2050'!P84))*(1-'Net Zero 2050'!P85)</f>
        <v>2.0814820428571443</v>
      </c>
      <c r="Y16" s="314">
        <f>(VLOOKUP($C16,BAU_Demands!$B$3:$BK$48,BAU_Demands!W$1,0)*(1-'Net Zero 2050'!Q84))*(1-'Net Zero 2050'!Q85)</f>
        <v>2.2400685061224497</v>
      </c>
      <c r="Z16" s="314">
        <f>(VLOOKUP($C16,BAU_Demands!$B$3:$BK$48,BAU_Demands!X$1,0)*(1-'Net Zero 2050'!R84))*(1-'Net Zero 2050'!R85)</f>
        <v>2.1397906778061224</v>
      </c>
      <c r="AA16" s="314">
        <f>(VLOOKUP($C16,BAU_Demands!$B$3:$BK$48,BAU_Demands!Y$1,0)*(1-'Net Zero 2050'!S84))*(1-'Net Zero 2050'!S85)</f>
        <v>2.2717221619897945</v>
      </c>
      <c r="AB16" s="314">
        <f>(VLOOKUP($C16,BAU_Demands!$B$3:$BK$48,BAU_Demands!Z$1,0)*(1-'Net Zero 2050'!T84))*(1-'Net Zero 2050'!T85)</f>
        <v>2.1889510499999978</v>
      </c>
      <c r="AC16" s="314">
        <f>(VLOOKUP($C16,BAU_Demands!$B$3:$BK$48,BAU_Demands!AA$1,0)*(1-'Net Zero 2050'!U84))*(1-'Net Zero 2050'!U85)</f>
        <v>2.2964931428571389</v>
      </c>
      <c r="AD16" s="314">
        <f>(VLOOKUP($C16,BAU_Demands!$B$3:$BK$48,BAU_Demands!AB$1,0)*(1-'Net Zero 2050'!V84))*(1-'Net Zero 2050'!V85)</f>
        <v>2.2219992198979637</v>
      </c>
      <c r="AE16" s="314">
        <f>(VLOOKUP($C16,BAU_Demands!$B$3:$BK$48,BAU_Demands!AC$1,0)*(1-'Net Zero 2050'!W84))*(1-'Net Zero 2050'!W85)</f>
        <v>2.3176326160714327</v>
      </c>
      <c r="AF16" s="314">
        <f>(VLOOKUP($C16,BAU_Demands!$B$3:$BK$48,BAU_Demands!AD$1,0)*(1-'Net Zero 2050'!X84))*(1-'Net Zero 2050'!X85)</f>
        <v>2.2533919196428598</v>
      </c>
      <c r="AG16" s="314">
        <f>(VLOOKUP($C16,BAU_Demands!$B$3:$BK$48,BAU_Demands!AE$1,0)*(1-'Net Zero 2050'!Y84))*(1-'Net Zero 2050'!Y85)</f>
        <v>2.33528365102041</v>
      </c>
      <c r="AH16" s="314">
        <f>(VLOOKUP($C16,BAU_Demands!$B$3:$BK$48,BAU_Demands!AF$1,0)*(1-'Net Zero 2050'!Z84))*(1-'Net Zero 2050'!Z85)</f>
        <v>2.2931627119897966</v>
      </c>
      <c r="AI16" s="314">
        <f>(VLOOKUP($C16,BAU_Demands!$B$3:$BK$48,BAU_Demands!AG$1,0)*(1-'Net Zero 2050'!AA84))*(1-'Net Zero 2050'!AA85)</f>
        <v>2.3543573061224485</v>
      </c>
      <c r="AJ16" s="314">
        <f>(VLOOKUP($C16,BAU_Demands!$B$3:$BK$48,BAU_Demands!AH$1,0)*(1-'Net Zero 2050'!AB84))*(1-'Net Zero 2050'!AB85)</f>
        <v>2.3219644320153043</v>
      </c>
      <c r="AK16" s="314">
        <f>(VLOOKUP($C16,BAU_Demands!$B$3:$BK$48,BAU_Demands!AI$1,0)*(1-'Net Zero 2050'!AC84))*(1-'Net Zero 2050'!AC85)</f>
        <v>2.3746599081632622</v>
      </c>
      <c r="AL16" s="314">
        <f>(VLOOKUP($C16,BAU_Demands!$B$3:$BK$48,BAU_Demands!AJ$1,0)*(1-'Net Zero 2050'!AD84))*(1-'Net Zero 2050'!AD85)</f>
        <v>2.3337731107142812</v>
      </c>
      <c r="AM16" s="314">
        <f>(VLOOKUP($C16,BAU_Demands!$B$3:$BK$48,BAU_Demands!AK$1,0)*(1-'Net Zero 2050'!AE84))*(1-'Net Zero 2050'!AE85)</f>
        <v>2.3821568589285769</v>
      </c>
      <c r="AN16" s="314">
        <f>(VLOOKUP($C16,BAU_Demands!$B$3:$BK$48,BAU_Demands!AL$1,0)*(1-'Net Zero 2050'!AF84))*(1-'Net Zero 2050'!AF85)</f>
        <v>2.3534423265306166</v>
      </c>
      <c r="AO16" s="314">
        <f>(VLOOKUP($C16,BAU_Demands!$B$3:$BK$48,BAU_Demands!AM$1,0)*(1-'Net Zero 2050'!AG84))*(1-'Net Zero 2050'!AG85)</f>
        <v>2.3942440918367378</v>
      </c>
      <c r="AP16" s="314">
        <f>(VLOOKUP($C16,BAU_Demands!$B$3:$BK$48,BAU_Demands!AN$1,0)*(1-'Net Zero 2050'!AH84))*(1-'Net Zero 2050'!AH85)</f>
        <v>2.3738487500000014</v>
      </c>
      <c r="AQ16" s="314">
        <f>(VLOOKUP($C16,BAU_Demands!$B$3:$BK$48,BAU_Demands!AO$1,0)*(1-'Net Zero 2050'!AI84))*(1-'Net Zero 2050'!AI85)</f>
        <v>2.397829920918368</v>
      </c>
      <c r="AR16" s="314">
        <f>(VLOOKUP($C16,BAU_Demands!$B$3:$BK$48,BAU_Demands!AP$1,0)*(1-'Net Zero 2050'!AJ84))*(1-'Net Zero 2050'!AJ85)</f>
        <v>2.3756645382653052</v>
      </c>
      <c r="AS16" s="314">
        <f>(VLOOKUP($C16,BAU_Demands!$B$3:$BK$48,BAU_Demands!AQ$1,0)*(1-'Net Zero 2050'!AK84))*(1-'Net Zero 2050'!AK85)</f>
        <v>2.4019155000000003</v>
      </c>
      <c r="AT16" s="314">
        <f>(VLOOKUP($C16,BAU_Demands!$B$3:$BK$48,BAU_Demands!AR$1,0)*(1-'Net Zero 2050'!AL84))*(1-'Net Zero 2050'!AL85)</f>
        <v>2.4489962357142852</v>
      </c>
      <c r="AU16" s="314">
        <f>(VLOOKUP($C16,BAU_Demands!$B$3:$BK$48,BAU_Demands!AS$1,0)*(1-'Net Zero 2050'!AM84))*(1-'Net Zero 2050'!AM85)</f>
        <v>2.4895158142857152</v>
      </c>
      <c r="AV16" s="314">
        <f>(VLOOKUP($C16,BAU_Demands!$B$3:$BK$48,BAU_Demands!AT$1,0)*(1-'Net Zero 2050'!AN84))*(1-'Net Zero 2050'!AN85)</f>
        <v>2.5296807357142854</v>
      </c>
      <c r="AW16" s="314">
        <f>(VLOOKUP($C16,BAU_Demands!$B$3:$BK$48,BAU_Demands!AU$1,0)*(1-'Net Zero 2050'!AO84))*(1-'Net Zero 2050'!AO85)</f>
        <v>2.569491000000002</v>
      </c>
      <c r="AX16" s="314">
        <f>(VLOOKUP($C16,BAU_Demands!$B$3:$BK$48,BAU_Demands!AV$1,0)*(1-'Net Zero 2050'!AP84))*(1-'Net Zero 2050'!AP85)</f>
        <v>2.6150422767857142</v>
      </c>
      <c r="AY16" s="314">
        <f>(VLOOKUP($C16,BAU_Demands!$B$3:$BK$48,BAU_Demands!AW$1,0)*(1-'Net Zero 2050'!AQ84))*(1-'Net Zero 2050'!AQ85)</f>
        <v>2.6541210607142878</v>
      </c>
      <c r="AZ16" s="314">
        <f>(VLOOKUP($C16,BAU_Demands!$B$3:$BK$48,BAU_Demands!AX$1,0)*(1-'Net Zero 2050'!AR84))*(1-'Net Zero 2050'!AR85)</f>
        <v>2.6988965250000008</v>
      </c>
      <c r="BA16" s="314">
        <f>(VLOOKUP($C16,BAU_Demands!$B$3:$BK$48,BAU_Demands!AY$1,0)*(1-'Net Zero 2050'!AS84))*(1-'Net Zero 2050'!AS85)</f>
        <v>2.743272999999999</v>
      </c>
      <c r="BB16" s="314">
        <f>(VLOOKUP($C16,BAU_Demands!$B$3:$BK$48,BAU_Demands!AZ$1,0)*(1-'Net Zero 2050'!AT84))*(1-'Net Zero 2050'!AT85)</f>
        <v>2.7932574910714298</v>
      </c>
      <c r="BC16" s="314">
        <f>(VLOOKUP($C16,BAU_Demands!$B$3:$BK$48,BAU_Demands!BA$1,0)*(1-'Net Zero 2050'!AU84))*(1-'Net Zero 2050'!AU85)</f>
        <v>2.8368138214285707</v>
      </c>
      <c r="BD16" s="314">
        <f>(VLOOKUP($C16,BAU_Demands!$B$3:$BK$48,BAU_Demands!BB$1,0)*(1-'Net Zero 2050'!AV84))*(1-'Net Zero 2050'!AV85)</f>
        <v>2.8859338357142872</v>
      </c>
      <c r="BE16" s="314">
        <f>(VLOOKUP($C16,BAU_Demands!$B$3:$BK$48,BAU_Demands!BC$1,0)*(1-'Net Zero 2050'!AW84))*(1-'Net Zero 2050'!AW85)</f>
        <v>2.9346105285714286</v>
      </c>
      <c r="BF16" s="314">
        <f>(VLOOKUP($C16,BAU_Demands!$B$3:$BK$48,BAU_Demands!BD$1,0)*(1-'Net Zero 2050'!AX84))*(1-'Net Zero 2050'!AX85)</f>
        <v>2.982843900000002</v>
      </c>
      <c r="BG16" s="314">
        <f>(VLOOKUP($C16,BAU_Demands!$B$3:$BK$48,BAU_Demands!BE$1,0)*(1-'Net Zero 2050'!AY84))*(1-'Net Zero 2050'!AY85)</f>
        <v>3.0306339499999999</v>
      </c>
      <c r="BH16" s="314">
        <f>(VLOOKUP($C16,BAU_Demands!$B$3:$BK$48,BAU_Demands!BF$1,0)*(1-'Net Zero 2050'!AZ84))*(1-'Net Zero 2050'!AZ85)</f>
        <v>3.0779806785714272</v>
      </c>
      <c r="BI16" s="314">
        <f>(VLOOKUP($C16,BAU_Demands!$B$3:$BK$48,BAU_Demands!BG$1,0)*(1-'Net Zero 2050'!BA84))*(1-'Net Zero 2050'!BA85)</f>
        <v>3.1307359285714291</v>
      </c>
      <c r="BJ16" s="314">
        <f>(VLOOKUP($C16,BAU_Demands!$B$3:$BK$48,BAU_Demands!BH$1,0)*(1-'Net Zero 2050'!BB84))*(1-'Net Zero 2050'!BB85)</f>
        <v>3.1830035249999988</v>
      </c>
      <c r="BK16" s="314">
        <f>(VLOOKUP($C16,BAU_Demands!$B$3:$BK$48,BAU_Demands!BI$1,0)*(1-'Net Zero 2050'!BC84))*(1-'Net Zero 2050'!BC85)</f>
        <v>3.2347834678571443</v>
      </c>
      <c r="BL16" s="314">
        <f>(VLOOKUP($C16,BAU_Demands!$B$3:$BK$48,BAU_Demands!BJ$1,0)*(1-'Net Zero 2050'!BD84))*(1-'Net Zero 2050'!BD85)</f>
        <v>3.2860757571428563</v>
      </c>
      <c r="BM16" s="314">
        <f>(VLOOKUP($C16,BAU_Demands!$B$3:$BK$48,BAU_Demands!BK$1,0)*(1-'Net Zero 2050'!BE84))*(1-'Net Zero 2050'!BE85)</f>
        <v>3.3426435714285732</v>
      </c>
    </row>
    <row r="17" spans="1:65" ht="15.75" hidden="1" customHeight="1">
      <c r="A17" s="30" t="s">
        <v>457</v>
      </c>
      <c r="B17" s="30" t="s">
        <v>458</v>
      </c>
      <c r="C17" s="30" t="s">
        <v>493</v>
      </c>
      <c r="D17" s="30" t="s">
        <v>460</v>
      </c>
      <c r="E17" s="30" t="s">
        <v>494</v>
      </c>
      <c r="F17" s="30" t="s">
        <v>462</v>
      </c>
      <c r="G17" s="30" t="s">
        <v>463</v>
      </c>
      <c r="H17" s="30" t="s">
        <v>464</v>
      </c>
      <c r="I17" s="30" t="s">
        <v>44</v>
      </c>
      <c r="J17" s="30" t="s">
        <v>44</v>
      </c>
      <c r="K17" s="30" t="s">
        <v>44</v>
      </c>
      <c r="L17" s="30" t="s">
        <v>44</v>
      </c>
      <c r="M17" s="30">
        <f>VLOOKUP($C17,BAU_Demands!$B$3:$BK$48,BAU_Demands!K$1,0)</f>
        <v>5.7711699510000001</v>
      </c>
      <c r="N17" s="30">
        <f>VLOOKUP($C17,BAU_Demands!$B$3:$BK$48,BAU_Demands!L$1,0)</f>
        <v>7.8918634460000003</v>
      </c>
      <c r="O17" s="30">
        <f>VLOOKUP($C17,BAU_Demands!$B$3:$BK$48,BAU_Demands!M$1,0)</f>
        <v>8.4675547279999996</v>
      </c>
      <c r="P17" s="30">
        <f>VLOOKUP($C17,BAU_Demands!$B$3:$BK$48,BAU_Demands!N$1,0)</f>
        <v>8.6230478349999995</v>
      </c>
      <c r="Q17" s="30">
        <f>VLOOKUP($C17,BAU_Demands!$B$3:$BK$48,BAU_Demands!O$1,0)*(1-'Net Zero 2050'!I83)*(1-'Net Zero 2050'!I85)</f>
        <v>9.3800000000000008</v>
      </c>
      <c r="R17" s="30">
        <f>VLOOKUP($C17,BAU_Demands!$B$3:$BK$48,BAU_Demands!P$1,0)*(1-'Net Zero 2050'!J83)*(1-'Net Zero 2050'!J85)</f>
        <v>8.985741923979587</v>
      </c>
      <c r="S17" s="30">
        <f>VLOOKUP($C17,BAU_Demands!$B$3:$BK$48,BAU_Demands!Q$1,0)*(1-'Net Zero 2050'!K83)*(1-'Net Zero 2050'!K85)</f>
        <v>9.8048512285714207</v>
      </c>
      <c r="T17" s="30">
        <f>VLOOKUP($C17,BAU_Demands!$B$3:$BK$48,BAU_Demands!R$1,0)*(1-'Net Zero 2050'!L83)*(1-'Net Zero 2050'!L85)</f>
        <v>9.2849724112244783</v>
      </c>
      <c r="U17" s="30">
        <f>VLOOKUP($C17,BAU_Demands!$B$3:$BK$48,BAU_Demands!S$1,0)*(1-'Net Zero 2050'!M83)*(1-'Net Zero 2050'!M85)</f>
        <v>10.085614670408146</v>
      </c>
      <c r="V17" s="30">
        <f>VLOOKUP($C17,BAU_Demands!$B$3:$BK$48,BAU_Demands!T$1,0)*(1-'Net Zero 2050'!N83)*(1-'Net Zero 2050'!N85)</f>
        <v>9.5669159553571603</v>
      </c>
      <c r="W17" s="30">
        <f>VLOOKUP($C17,BAU_Demands!$B$3:$BK$48,BAU_Demands!U$1,0)*(1-'Net Zero 2050'!O83)*(1-'Net Zero 2050'!O85)</f>
        <v>10.402521520408177</v>
      </c>
      <c r="X17" s="30">
        <f>VLOOKUP($C17,BAU_Demands!$B$3:$BK$48,BAU_Demands!V$1,0)*(1-'Net Zero 2050'!P83)*(1-'Net Zero 2050'!P85)</f>
        <v>9.8062925553571496</v>
      </c>
      <c r="Y17" s="30">
        <f>VLOOKUP($C17,BAU_Demands!$B$3:$BK$48,BAU_Demands!W$1,0)*(1-'Net Zero 2050'!Q83)*(1-'Net Zero 2050'!Q85)</f>
        <v>10.5300858122449</v>
      </c>
      <c r="Z17" s="30">
        <f>VLOOKUP($C17,BAU_Demands!$B$3:$BK$48,BAU_Demands!X$1,0)*(1-'Net Zero 2050'!R83)*(1-'Net Zero 2050'!R85)</f>
        <v>10.075208738010204</v>
      </c>
      <c r="AA17" s="30">
        <f>VLOOKUP($C17,BAU_Demands!$B$3:$BK$48,BAU_Demands!Y$1,0)*(1-'Net Zero 2050'!S83)*(1-'Net Zero 2050'!S85)</f>
        <v>10.703469961734688</v>
      </c>
      <c r="AB17" s="30">
        <f>VLOOKUP($C17,BAU_Demands!$B$3:$BK$48,BAU_Demands!Z$1,0)*(1-'Net Zero 2050'!T83)*(1-'Net Zero 2050'!T85)</f>
        <v>10.301437574999991</v>
      </c>
      <c r="AC17" s="30">
        <f>VLOOKUP($C17,BAU_Demands!$B$3:$BK$48,BAU_Demands!AA$1,0)*(1-'Net Zero 2050'!U83)*(1-'Net Zero 2050'!U85)</f>
        <v>10.818123055102024</v>
      </c>
      <c r="AD17" s="30">
        <f>VLOOKUP($C17,BAU_Demands!$B$3:$BK$48,BAU_Demands!AB$1,0)*(1-'Net Zero 2050'!V83)*(1-'Net Zero 2050'!V85)</f>
        <v>10.449836910969411</v>
      </c>
      <c r="AE17" s="30">
        <f>VLOOKUP($C17,BAU_Demands!$B$3:$BK$48,BAU_Demands!AC$1,0)*(1-'Net Zero 2050'!W83)*(1-'Net Zero 2050'!W85)</f>
        <v>10.915812321428589</v>
      </c>
      <c r="AF17" s="30">
        <f>VLOOKUP($C17,BAU_Demands!$B$3:$BK$48,BAU_Demands!AD$1,0)*(1-'Net Zero 2050'!X83)*(1-'Net Zero 2050'!X85)</f>
        <v>10.622023290178586</v>
      </c>
      <c r="AG17" s="30">
        <f>VLOOKUP($C17,BAU_Demands!$B$3:$BK$48,BAU_Demands!AE$1,0)*(1-'Net Zero 2050'!Y83)*(1-'Net Zero 2050'!Y85)</f>
        <v>10.989570122448988</v>
      </c>
      <c r="AH17" s="30">
        <f>VLOOKUP($C17,BAU_Demands!$B$3:$BK$48,BAU_Demands!AF$1,0)*(1-'Net Zero 2050'!Z83)*(1-'Net Zero 2050'!Z85)</f>
        <v>10.783859942984698</v>
      </c>
      <c r="AI17" s="30">
        <f>VLOOKUP($C17,BAU_Demands!$B$3:$BK$48,BAU_Demands!AG$1,0)*(1-'Net Zero 2050'!AA83)*(1-'Net Zero 2050'!AA85)</f>
        <v>11.087551438520405</v>
      </c>
      <c r="AJ17" s="30">
        <f>VLOOKUP($C17,BAU_Demands!$B$3:$BK$48,BAU_Demands!AH$1,0)*(1-'Net Zero 2050'!AB83)*(1-'Net Zero 2050'!AB85)</f>
        <v>10.915402890688766</v>
      </c>
      <c r="AK17" s="30">
        <f>VLOOKUP($C17,BAU_Demands!$B$3:$BK$48,BAU_Demands!AI$1,0)*(1-'Net Zero 2050'!AC83)*(1-'Net Zero 2050'!AC85)</f>
        <v>11.183652801020393</v>
      </c>
      <c r="AL17" s="30">
        <f>VLOOKUP($C17,BAU_Demands!$B$3:$BK$48,BAU_Demands!AJ$1,0)*(1-'Net Zero 2050'!AD83)*(1-'Net Zero 2050'!AD85)</f>
        <v>10.991093123214265</v>
      </c>
      <c r="AM17" s="30">
        <f>VLOOKUP($C17,BAU_Demands!$B$3:$BK$48,BAU_Demands!AK$1,0)*(1-'Net Zero 2050'!AE83)*(1-'Net Zero 2050'!AE85)</f>
        <v>11.210553748214311</v>
      </c>
      <c r="AN17" s="30">
        <f>VLOOKUP($C17,BAU_Demands!$B$3:$BK$48,BAU_Demands!AL$1,0)*(1-'Net Zero 2050'!AF83)*(1-'Net Zero 2050'!AF85)</f>
        <v>11.059155918367365</v>
      </c>
      <c r="AO17" s="30">
        <f>VLOOKUP($C17,BAU_Demands!$B$3:$BK$48,BAU_Demands!AM$1,0)*(1-'Net Zero 2050'!AG83)*(1-'Net Zero 2050'!AG85)</f>
        <v>11.26820141836736</v>
      </c>
      <c r="AP17" s="30">
        <f>VLOOKUP($C17,BAU_Demands!$B$3:$BK$48,BAU_Demands!AN$1,0)*(1-'Net Zero 2050'!AH83)*(1-'Net Zero 2050'!AH85)</f>
        <v>11.158393437500006</v>
      </c>
      <c r="AQ17" s="30">
        <f>VLOOKUP($C17,BAU_Demands!$B$3:$BK$48,BAU_Demands!AO$1,0)*(1-'Net Zero 2050'!AI83)*(1-'Net Zero 2050'!AI85)</f>
        <v>11.283905510204084</v>
      </c>
      <c r="AR17" s="30">
        <f>VLOOKUP($C17,BAU_Demands!$B$3:$BK$48,BAU_Demands!AP$1,0)*(1-'Net Zero 2050'!AJ83)*(1-'Net Zero 2050'!AJ85)</f>
        <v>11.18515797193877</v>
      </c>
      <c r="AS17" s="30">
        <f>VLOOKUP($C17,BAU_Demands!$B$3:$BK$48,BAU_Demands!AQ$1,0)*(1-'Net Zero 2050'!AK83)*(1-'Net Zero 2050'!AK85)</f>
        <v>11.3144495</v>
      </c>
      <c r="AT17" s="30">
        <f>VLOOKUP($C17,BAU_Demands!$B$3:$BK$48,BAU_Demands!AR$1,0)*(1-'Net Zero 2050'!AL83)*(1-'Net Zero 2050'!AL85)</f>
        <v>11.521414108928568</v>
      </c>
      <c r="AU17" s="30">
        <f>VLOOKUP($C17,BAU_Demands!$B$3:$BK$48,BAU_Demands!AS$1,0)*(1-'Net Zero 2050'!AM83)*(1-'Net Zero 2050'!AM85)</f>
        <v>11.701956760714289</v>
      </c>
      <c r="AV17" s="30">
        <f>VLOOKUP($C17,BAU_Demands!$B$3:$BK$48,BAU_Demands!AT$1,0)*(1-'Net Zero 2050'!AN83)*(1-'Net Zero 2050'!AN85)</f>
        <v>11.9054634625</v>
      </c>
      <c r="AW17" s="30">
        <f>VLOOKUP($C17,BAU_Demands!$B$3:$BK$48,BAU_Demands!AU$1,0)*(1-'Net Zero 2050'!AO83)*(1-'Net Zero 2050'!AO85)</f>
        <v>12.094961207142864</v>
      </c>
      <c r="AX17" s="30">
        <f>VLOOKUP($C17,BAU_Demands!$B$3:$BK$48,BAU_Demands!AV$1,0)*(1-'Net Zero 2050'!AP83)*(1-'Net Zero 2050'!AP85)</f>
        <v>12.301061339285715</v>
      </c>
      <c r="AY17" s="30">
        <f>VLOOKUP($C17,BAU_Demands!$B$3:$BK$48,BAU_Demands!AW$1,0)*(1-'Net Zero 2050'!AQ83)*(1-'Net Zero 2050'!AQ85)</f>
        <v>12.499270350000009</v>
      </c>
      <c r="AZ17" s="30">
        <f>VLOOKUP($C17,BAU_Demands!$B$3:$BK$48,BAU_Demands!AX$1,0)*(1-'Net Zero 2050'!AR83)*(1-'Net Zero 2050'!AR85)</f>
        <v>12.713860087500004</v>
      </c>
      <c r="BA17" s="30">
        <f>VLOOKUP($C17,BAU_Demands!$B$3:$BK$48,BAU_Demands!AY$1,0)*(1-'Net Zero 2050'!AS83)*(1-'Net Zero 2050'!AS85)</f>
        <v>12.914485199999996</v>
      </c>
      <c r="BB17" s="30">
        <f>VLOOKUP($C17,BAU_Demands!$B$3:$BK$48,BAU_Demands!AZ$1,0)*(1-'Net Zero 2050'!AT83)*(1-'Net Zero 2050'!AT85)</f>
        <v>13.13131371071429</v>
      </c>
      <c r="BC17" s="30">
        <f>VLOOKUP($C17,BAU_Demands!$B$3:$BK$48,BAU_Demands!BA$1,0)*(1-'Net Zero 2050'!AU83)*(1-'Net Zero 2050'!AU85)</f>
        <v>13.340206767857138</v>
      </c>
      <c r="BD17" s="30">
        <f>VLOOKUP($C17,BAU_Demands!$B$3:$BK$48,BAU_Demands!BB$1,0)*(1-'Net Zero 2050'!AV83)*(1-'Net Zero 2050'!AV85)</f>
        <v>13.571044235714293</v>
      </c>
      <c r="BE17" s="30">
        <f>VLOOKUP($C17,BAU_Demands!$B$3:$BK$48,BAU_Demands!BC$1,0)*(1-'Net Zero 2050'!AW83)*(1-'Net Zero 2050'!AW85)</f>
        <v>13.793857585714283</v>
      </c>
      <c r="BF17" s="30">
        <f>VLOOKUP($C17,BAU_Demands!$B$3:$BK$48,BAU_Demands!BD$1,0)*(1-'Net Zero 2050'!AX83)*(1-'Net Zero 2050'!AX85)</f>
        <v>14.020549998214296</v>
      </c>
      <c r="BG17" s="30">
        <f>VLOOKUP($C17,BAU_Demands!$B$3:$BK$48,BAU_Demands!BE$1,0)*(1-'Net Zero 2050'!AY83)*(1-'Net Zero 2050'!AY85)</f>
        <v>14.251054975000002</v>
      </c>
      <c r="BH17" s="30">
        <f>VLOOKUP($C17,BAU_Demands!$B$3:$BK$48,BAU_Demands!BF$1,0)*(1-'Net Zero 2050'!AZ83)*(1-'Net Zero 2050'!AZ85)</f>
        <v>14.485306017857134</v>
      </c>
      <c r="BI17" s="30">
        <f>VLOOKUP($C17,BAU_Demands!$B$3:$BK$48,BAU_Demands!BG$1,0)*(1-'Net Zero 2050'!BA83)*(1-'Net Zero 2050'!BA85)</f>
        <v>14.723236628571431</v>
      </c>
      <c r="BJ17" s="30">
        <f>VLOOKUP($C17,BAU_Demands!$B$3:$BK$48,BAU_Demands!BH$1,0)*(1-'Net Zero 2050'!BB83)*(1-'Net Zero 2050'!BB85)</f>
        <v>14.964780308928567</v>
      </c>
      <c r="BK17" s="30">
        <f>VLOOKUP($C17,BAU_Demands!$B$3:$BK$48,BAU_Demands!BI$1,0)*(1-'Net Zero 2050'!BC83)*(1-'Net Zero 2050'!BC85)</f>
        <v>15.215678071428576</v>
      </c>
      <c r="BL17" s="30">
        <f>VLOOKUP($C17,BAU_Demands!$B$3:$BK$48,BAU_Demands!BJ$1,0)*(1-'Net Zero 2050'!BD83)*(1-'Net Zero 2050'!BD85)</f>
        <v>15.46422623035714</v>
      </c>
      <c r="BM17" s="30">
        <f>VLOOKUP($C17,BAU_Demands!$B$3:$BK$48,BAU_Demands!BK$1,0)*(1-'Net Zero 2050'!BE83)*(1-'Net Zero 2050'!BE85)</f>
        <v>15.716187964285725</v>
      </c>
    </row>
    <row r="18" spans="1:65" ht="15" hidden="1" customHeight="1">
      <c r="A18" s="314" t="s">
        <v>457</v>
      </c>
      <c r="B18" s="314" t="s">
        <v>458</v>
      </c>
      <c r="C18" s="314" t="s">
        <v>495</v>
      </c>
      <c r="D18" s="314" t="s">
        <v>460</v>
      </c>
      <c r="E18" s="314" t="s">
        <v>496</v>
      </c>
      <c r="F18" s="314" t="s">
        <v>462</v>
      </c>
      <c r="G18" s="314" t="s">
        <v>463</v>
      </c>
      <c r="H18" s="314" t="s">
        <v>464</v>
      </c>
      <c r="I18" s="314"/>
      <c r="J18" s="314"/>
      <c r="K18" s="314"/>
      <c r="L18" s="314"/>
      <c r="M18" s="314">
        <f>VLOOKUP($C18,BAU_Demands!$B$3:$BK$48,BAU_Demands!K$1,0)</f>
        <v>4.480764765</v>
      </c>
      <c r="N18" s="314">
        <f>VLOOKUP($C18,BAU_Demands!$B$3:$BK$48,BAU_Demands!L$1,0)</f>
        <v>4.2873983139999998</v>
      </c>
      <c r="O18" s="314">
        <f>VLOOKUP($C18,BAU_Demands!$B$3:$BK$48,BAU_Demands!M$1,0)</f>
        <v>3.3116198030000001</v>
      </c>
      <c r="P18" s="314">
        <f>VLOOKUP($C18,BAU_Demands!$B$3:$BK$48,BAU_Demands!N$1,0)</f>
        <v>3.9848753609999998</v>
      </c>
      <c r="Q18" s="314">
        <f>VLOOKUP($C18,BAU_Demands!$B$3:$BK$48,BAU_Demands!O$1,0)</f>
        <v>3.9848753609999998</v>
      </c>
      <c r="R18" s="314">
        <f>VLOOKUP($C18,BAU_Demands!$B$3:$BK$48,BAU_Demands!P$1,0)</f>
        <v>3.9848753609999998</v>
      </c>
      <c r="S18" s="314">
        <f>VLOOKUP($C18,BAU_Demands!$B$3:$BK$48,BAU_Demands!Q$1,0)</f>
        <v>3.9848753609999998</v>
      </c>
      <c r="T18" s="314">
        <f>VLOOKUP($C18,BAU_Demands!$B$3:$BK$48,BAU_Demands!R$1,0)</f>
        <v>3.9848753609999998</v>
      </c>
      <c r="U18" s="314">
        <f>VLOOKUP($C18,BAU_Demands!$B$3:$BK$48,BAU_Demands!S$1,0)</f>
        <v>3.9848753609999998</v>
      </c>
      <c r="V18" s="314">
        <f>VLOOKUP($C18,BAU_Demands!$B$3:$BK$48,BAU_Demands!T$1,0)</f>
        <v>3.9848753609999998</v>
      </c>
      <c r="W18" s="314">
        <f>VLOOKUP($C18,BAU_Demands!$B$3:$BK$48,BAU_Demands!U$1,0)</f>
        <v>3.9848753609999998</v>
      </c>
      <c r="X18" s="314">
        <f>VLOOKUP($C18,BAU_Demands!$B$3:$BK$48,BAU_Demands!V$1,0)</f>
        <v>3.9848753609999998</v>
      </c>
      <c r="Y18" s="314">
        <f>VLOOKUP($C18,BAU_Demands!$B$3:$BK$48,BAU_Demands!W$1,0)</f>
        <v>3.9848753609999998</v>
      </c>
      <c r="Z18" s="314">
        <f>VLOOKUP($C18,BAU_Demands!$B$3:$BK$48,BAU_Demands!X$1,0)</f>
        <v>3.9848753609999998</v>
      </c>
      <c r="AA18" s="314">
        <f>VLOOKUP($C18,BAU_Demands!$B$3:$BK$48,BAU_Demands!Y$1,0)</f>
        <v>3.9848753609999998</v>
      </c>
      <c r="AB18" s="314">
        <f>VLOOKUP($C18,BAU_Demands!$B$3:$BK$48,BAU_Demands!Z$1,0)</f>
        <v>3.9848753609999998</v>
      </c>
      <c r="AC18" s="314">
        <f>VLOOKUP($C18,BAU_Demands!$B$3:$BK$48,BAU_Demands!AA$1,0)</f>
        <v>3.9848753609999998</v>
      </c>
      <c r="AD18" s="314">
        <f>VLOOKUP($C18,BAU_Demands!$B$3:$BK$48,BAU_Demands!AB$1,0)</f>
        <v>3.9848753609999998</v>
      </c>
      <c r="AE18" s="314">
        <f>VLOOKUP($C18,BAU_Demands!$B$3:$BK$48,BAU_Demands!AC$1,0)</f>
        <v>3.9848753609999998</v>
      </c>
      <c r="AF18" s="314">
        <f>VLOOKUP($C18,BAU_Demands!$B$3:$BK$48,BAU_Demands!AD$1,0)</f>
        <v>3.9848753609999998</v>
      </c>
      <c r="AG18" s="314">
        <f>VLOOKUP($C18,BAU_Demands!$B$3:$BK$48,BAU_Demands!AE$1,0)</f>
        <v>3.9848753609999998</v>
      </c>
      <c r="AH18" s="314">
        <f>VLOOKUP($C18,BAU_Demands!$B$3:$BK$48,BAU_Demands!AF$1,0)</f>
        <v>3.9848753609999998</v>
      </c>
      <c r="AI18" s="314">
        <f>VLOOKUP($C18,BAU_Demands!$B$3:$BK$48,BAU_Demands!AG$1,0)</f>
        <v>3.9848753609999998</v>
      </c>
      <c r="AJ18" s="314">
        <f>VLOOKUP($C18,BAU_Demands!$B$3:$BK$48,BAU_Demands!AH$1,0)</f>
        <v>3.9848753609999998</v>
      </c>
      <c r="AK18" s="314">
        <f>VLOOKUP($C18,BAU_Demands!$B$3:$BK$48,BAU_Demands!AI$1,0)</f>
        <v>3.9848753609999998</v>
      </c>
      <c r="AL18" s="314">
        <f>VLOOKUP($C18,BAU_Demands!$B$3:$BK$48,BAU_Demands!AJ$1,0)</f>
        <v>3.9848753609999998</v>
      </c>
      <c r="AM18" s="314">
        <f>VLOOKUP($C18,BAU_Demands!$B$3:$BK$48,BAU_Demands!AK$1,0)</f>
        <v>3.9848753609999998</v>
      </c>
      <c r="AN18" s="314">
        <f>VLOOKUP($C18,BAU_Demands!$B$3:$BK$48,BAU_Demands!AL$1,0)</f>
        <v>3.9848753609999998</v>
      </c>
      <c r="AO18" s="314">
        <f>VLOOKUP($C18,BAU_Demands!$B$3:$BK$48,BAU_Demands!AM$1,0)</f>
        <v>3.9848753609999998</v>
      </c>
      <c r="AP18" s="314">
        <f>VLOOKUP($C18,BAU_Demands!$B$3:$BK$48,BAU_Demands!AN$1,0)</f>
        <v>3.9848753609999998</v>
      </c>
      <c r="AQ18" s="314">
        <f>VLOOKUP($C18,BAU_Demands!$B$3:$BK$48,BAU_Demands!AO$1,0)</f>
        <v>3.9848753609999998</v>
      </c>
      <c r="AR18" s="314">
        <f>VLOOKUP($C18,BAU_Demands!$B$3:$BK$48,BAU_Demands!AP$1,0)</f>
        <v>3.9848753609999998</v>
      </c>
      <c r="AS18" s="314">
        <f>VLOOKUP($C18,BAU_Demands!$B$3:$BK$48,BAU_Demands!AQ$1,0)</f>
        <v>3.9848753609999998</v>
      </c>
      <c r="AT18" s="314">
        <f>VLOOKUP($C18,BAU_Demands!$B$3:$BK$48,BAU_Demands!AR$1,0)</f>
        <v>3.9848753609999998</v>
      </c>
      <c r="AU18" s="314">
        <f>VLOOKUP($C18,BAU_Demands!$B$3:$BK$48,BAU_Demands!AS$1,0)</f>
        <v>3.9848753609999998</v>
      </c>
      <c r="AV18" s="314">
        <f>VLOOKUP($C18,BAU_Demands!$B$3:$BK$48,BAU_Demands!AT$1,0)</f>
        <v>3.9848753609999998</v>
      </c>
      <c r="AW18" s="314">
        <f>VLOOKUP($C18,BAU_Demands!$B$3:$BK$48,BAU_Demands!AU$1,0)</f>
        <v>3.9848753609999998</v>
      </c>
      <c r="AX18" s="314">
        <f>VLOOKUP($C18,BAU_Demands!$B$3:$BK$48,BAU_Demands!AV$1,0)</f>
        <v>3.9848753609999998</v>
      </c>
      <c r="AY18" s="314">
        <f>VLOOKUP($C18,BAU_Demands!$B$3:$BK$48,BAU_Demands!AW$1,0)</f>
        <v>3.9848753609999998</v>
      </c>
      <c r="AZ18" s="314">
        <f>VLOOKUP($C18,BAU_Demands!$B$3:$BK$48,BAU_Demands!AX$1,0)</f>
        <v>3.9848753609999998</v>
      </c>
      <c r="BA18" s="314">
        <f>VLOOKUP($C18,BAU_Demands!$B$3:$BK$48,BAU_Demands!AY$1,0)</f>
        <v>3.9848753609999998</v>
      </c>
      <c r="BB18" s="314">
        <f>VLOOKUP($C18,BAU_Demands!$B$3:$BK$48,BAU_Demands!AZ$1,0)</f>
        <v>3.9848753609999998</v>
      </c>
      <c r="BC18" s="314">
        <f>VLOOKUP($C18,BAU_Demands!$B$3:$BK$48,BAU_Demands!BA$1,0)</f>
        <v>3.9848753609999998</v>
      </c>
      <c r="BD18" s="314">
        <f>VLOOKUP($C18,BAU_Demands!$B$3:$BK$48,BAU_Demands!BB$1,0)</f>
        <v>3.9848753609999998</v>
      </c>
      <c r="BE18" s="314">
        <f>VLOOKUP($C18,BAU_Demands!$B$3:$BK$48,BAU_Demands!BC$1,0)</f>
        <v>3.9848753609999998</v>
      </c>
      <c r="BF18" s="314">
        <f>VLOOKUP($C18,BAU_Demands!$B$3:$BK$48,BAU_Demands!BD$1,0)</f>
        <v>3.9848753609999998</v>
      </c>
      <c r="BG18" s="314">
        <f>VLOOKUP($C18,BAU_Demands!$B$3:$BK$48,BAU_Demands!BE$1,0)</f>
        <v>3.9848753609999998</v>
      </c>
      <c r="BH18" s="314">
        <f>VLOOKUP($C18,BAU_Demands!$B$3:$BK$48,BAU_Demands!BF$1,0)</f>
        <v>3.9848753609999998</v>
      </c>
      <c r="BI18" s="314">
        <f>VLOOKUP($C18,BAU_Demands!$B$3:$BK$48,BAU_Demands!BG$1,0)</f>
        <v>3.9848753609999998</v>
      </c>
      <c r="BJ18" s="314">
        <f>VLOOKUP($C18,BAU_Demands!$B$3:$BK$48,BAU_Demands!BH$1,0)</f>
        <v>3.9848753609999998</v>
      </c>
      <c r="BK18" s="314">
        <f>VLOOKUP($C18,BAU_Demands!$B$3:$BK$48,BAU_Demands!BI$1,0)</f>
        <v>3.9848753609999998</v>
      </c>
      <c r="BL18" s="314">
        <f>VLOOKUP($C18,BAU_Demands!$B$3:$BK$48,BAU_Demands!BJ$1,0)</f>
        <v>3.9848753609999998</v>
      </c>
      <c r="BM18" s="314">
        <f>VLOOKUP($C18,BAU_Demands!$B$3:$BK$48,BAU_Demands!BK$1,0)</f>
        <v>3.9848753609999998</v>
      </c>
    </row>
    <row r="19" spans="1:65" ht="15.75" hidden="1" customHeight="1">
      <c r="A19" s="314" t="s">
        <v>457</v>
      </c>
      <c r="B19" s="314" t="s">
        <v>458</v>
      </c>
      <c r="C19" s="314" t="s">
        <v>497</v>
      </c>
      <c r="D19" s="314" t="s">
        <v>460</v>
      </c>
      <c r="E19" s="314" t="s">
        <v>498</v>
      </c>
      <c r="F19" s="314" t="s">
        <v>462</v>
      </c>
      <c r="G19" s="314" t="s">
        <v>463</v>
      </c>
      <c r="H19" s="314" t="s">
        <v>464</v>
      </c>
      <c r="I19" s="314" t="s">
        <v>44</v>
      </c>
      <c r="J19" s="314" t="s">
        <v>44</v>
      </c>
      <c r="K19" s="314" t="s">
        <v>44</v>
      </c>
      <c r="L19" s="314" t="s">
        <v>44</v>
      </c>
      <c r="M19" s="314">
        <f>VLOOKUP($C19,BAU_Demands!$B$3:$BK$48,BAU_Demands!K$1,0)</f>
        <v>2.548915091</v>
      </c>
      <c r="N19" s="314">
        <f>VLOOKUP($C19,BAU_Demands!$B$3:$BK$48,BAU_Demands!L$1,0)</f>
        <v>2.9144162329999999</v>
      </c>
      <c r="O19" s="314">
        <f>VLOOKUP($C19,BAU_Demands!$B$3:$BK$48,BAU_Demands!M$1,0)</f>
        <v>0.673872794</v>
      </c>
      <c r="P19" s="314">
        <f>VLOOKUP($C19,BAU_Demands!$B$3:$BK$48,BAU_Demands!N$1,0)</f>
        <v>3.1559712019999999</v>
      </c>
      <c r="Q19" s="314">
        <f>VLOOKUP($C19,BAU_Demands!$B$3:$BK$48,BAU_Demands!O$1,0)*(1-'Net Zero 2050'!I82)*(1-'Net Zero 2050'!I85)</f>
        <v>3.43</v>
      </c>
      <c r="R19" s="314">
        <f>VLOOKUP($C19,BAU_Demands!$B$3:$BK$48,BAU_Demands!P$1,0)*(1-'Net Zero 2050'!J82)*(1-'Net Zero 2050'!J85)</f>
        <v>3.2727219612244958</v>
      </c>
      <c r="S19" s="314">
        <f>VLOOKUP($C19,BAU_Demands!$B$3:$BK$48,BAU_Demands!Q$1,0)*(1-'Net Zero 2050'!K82)*(1-'Net Zero 2050'!K85)</f>
        <v>3.5630768020408166</v>
      </c>
      <c r="T19" s="314">
        <f>VLOOKUP($C19,BAU_Demands!$B$3:$BK$48,BAU_Demands!R$1,0)*(1-'Net Zero 2050'!L82)*(1-'Net Zero 2050'!L85)</f>
        <v>3.3579484561224557</v>
      </c>
      <c r="U19" s="314">
        <f>VLOOKUP($C19,BAU_Demands!$B$3:$BK$48,BAU_Demands!S$1,0)*(1-'Net Zero 2050'!M82)*(1-'Net Zero 2050'!M85)</f>
        <v>3.6338797897959196</v>
      </c>
      <c r="V19" s="314">
        <f>VLOOKUP($C19,BAU_Demands!$B$3:$BK$48,BAU_Demands!T$1,0)*(1-'Net Zero 2050'!N82)*(1-'Net Zero 2050'!N85)</f>
        <v>3.4322753214285791</v>
      </c>
      <c r="W19" s="314">
        <f>VLOOKUP($C19,BAU_Demands!$B$3:$BK$48,BAU_Demands!U$1,0)*(1-'Net Zero 2050'!O82)*(1-'Net Zero 2050'!O85)</f>
        <v>3.7179924244897973</v>
      </c>
      <c r="X19" s="314">
        <f>VLOOKUP($C19,BAU_Demands!$B$3:$BK$48,BAU_Demands!V$1,0)*(1-'Net Zero 2050'!P82)*(1-'Net Zero 2050'!P85)</f>
        <v>3.4917685714285795</v>
      </c>
      <c r="Y19" s="314">
        <f>VLOOKUP($C19,BAU_Demands!$B$3:$BK$48,BAU_Demands!W$1,0)*(1-'Net Zero 2050'!Q82)*(1-'Net Zero 2050'!Q85)</f>
        <v>3.7335393765306137</v>
      </c>
      <c r="Z19" s="314">
        <f>VLOOKUP($C19,BAU_Demands!$B$3:$BK$48,BAU_Demands!X$1,0)*(1-'Net Zero 2050'!R82)*(1-'Net Zero 2050'!R85)</f>
        <v>3.5508520153061318</v>
      </c>
      <c r="AA19" s="314">
        <f>VLOOKUP($C19,BAU_Demands!$B$3:$BK$48,BAU_Demands!Y$1,0)*(1-'Net Zero 2050'!S82)*(1-'Net Zero 2050'!S85)</f>
        <v>3.7572753061224509</v>
      </c>
      <c r="AB19" s="314">
        <f>VLOOKUP($C19,BAU_Demands!$B$3:$BK$48,BAU_Demands!Z$1,0)*(1-'Net Zero 2050'!T82)*(1-'Net Zero 2050'!T85)</f>
        <v>3.60019770000001</v>
      </c>
      <c r="AC19" s="314">
        <f>VLOOKUP($C19,BAU_Demands!$B$3:$BK$48,BAU_Demands!AA$1,0)*(1-'Net Zero 2050'!U82)*(1-'Net Zero 2050'!U85)</f>
        <v>3.7666252285714319</v>
      </c>
      <c r="AD19" s="314">
        <f>VLOOKUP($C19,BAU_Demands!$B$3:$BK$48,BAU_Demands!AB$1,0)*(1-'Net Zero 2050'!V82)*(1-'Net Zero 2050'!V85)</f>
        <v>3.6178139923469499</v>
      </c>
      <c r="AE19" s="314">
        <f>VLOOKUP($C19,BAU_Demands!$B$3:$BK$48,BAU_Demands!AC$1,0)*(1-'Net Zero 2050'!W82)*(1-'Net Zero 2050'!W85)</f>
        <v>3.7595807142857174</v>
      </c>
      <c r="AF19" s="314">
        <f>VLOOKUP($C19,BAU_Demands!$B$3:$BK$48,BAU_Demands!AD$1,0)*(1-'Net Zero 2050'!X82)*(1-'Net Zero 2050'!X85)</f>
        <v>3.6371696428571547</v>
      </c>
      <c r="AG19" s="314">
        <f>VLOOKUP($C19,BAU_Demands!$B$3:$BK$48,BAU_Demands!AE$1,0)*(1-'Net Zero 2050'!Y82)*(1-'Net Zero 2050'!Y85)</f>
        <v>3.7445065438775544</v>
      </c>
      <c r="AH19" s="314">
        <f>VLOOKUP($C19,BAU_Demands!$B$3:$BK$48,BAU_Demands!AF$1,0)*(1-'Net Zero 2050'!Z82)*(1-'Net Zero 2050'!Z85)</f>
        <v>3.6561536494898084</v>
      </c>
      <c r="AI19" s="314">
        <f>VLOOKUP($C19,BAU_Demands!$B$3:$BK$48,BAU_Demands!AG$1,0)*(1-'Net Zero 2050'!AA82)*(1-'Net Zero 2050'!AA85)</f>
        <v>3.731031279591841</v>
      </c>
      <c r="AJ19" s="314">
        <f>VLOOKUP($C19,BAU_Demands!$B$3:$BK$48,BAU_Demands!AH$1,0)*(1-'Net Zero 2050'!AB82)*(1-'Net Zero 2050'!AB85)</f>
        <v>3.6527076367347071</v>
      </c>
      <c r="AK19" s="314">
        <f>VLOOKUP($C19,BAU_Demands!$B$3:$BK$48,BAU_Demands!AI$1,0)*(1-'Net Zero 2050'!AC82)*(1-'Net Zero 2050'!AC85)</f>
        <v>3.7229289795918419</v>
      </c>
      <c r="AL19" s="314">
        <f>VLOOKUP($C19,BAU_Demands!$B$3:$BK$48,BAU_Demands!AJ$1,0)*(1-'Net Zero 2050'!AD82)*(1-'Net Zero 2050'!AD85)</f>
        <v>3.6352224000000142</v>
      </c>
      <c r="AM19" s="314">
        <f>VLOOKUP($C19,BAU_Demands!$B$3:$BK$48,BAU_Demands!AK$1,0)*(1-'Net Zero 2050'!AE82)*(1-'Net Zero 2050'!AE85)</f>
        <v>3.6832357714285782</v>
      </c>
      <c r="AN19" s="314">
        <f>VLOOKUP($C19,BAU_Demands!$B$3:$BK$48,BAU_Demands!AL$1,0)*(1-'Net Zero 2050'!AF82)*(1-'Net Zero 2050'!AF85)</f>
        <v>3.6049959183673623</v>
      </c>
      <c r="AO19" s="314">
        <f>VLOOKUP($C19,BAU_Demands!$B$3:$BK$48,BAU_Demands!AM$1,0)*(1-'Net Zero 2050'!AG82)*(1-'Net Zero 2050'!AG85)</f>
        <v>3.6492708265306195</v>
      </c>
      <c r="AP19" s="314">
        <f>VLOOKUP($C19,BAU_Demands!$B$3:$BK$48,BAU_Demands!AN$1,0)*(1-'Net Zero 2050'!AH82)*(1-'Net Zero 2050'!AH85)</f>
        <v>3.584632500000017</v>
      </c>
      <c r="AQ19" s="314">
        <f>VLOOKUP($C19,BAU_Demands!$B$3:$BK$48,BAU_Demands!AO$1,0)*(1-'Net Zero 2050'!AI82)*(1-'Net Zero 2050'!AI85)</f>
        <v>3.5974431428571507</v>
      </c>
      <c r="AR19" s="314">
        <f>VLOOKUP($C19,BAU_Demands!$B$3:$BK$48,BAU_Demands!AP$1,0)*(1-'Net Zero 2050'!AJ82)*(1-'Net Zero 2050'!AJ85)</f>
        <v>3.5402382653061202</v>
      </c>
      <c r="AS19" s="314">
        <f>VLOOKUP($C19,BAU_Demands!$B$3:$BK$48,BAU_Demands!AQ$1,0)*(1-'Net Zero 2050'!AK82)*(1-'Net Zero 2050'!AK85)</f>
        <v>3.5483447142857143</v>
      </c>
      <c r="AT19" s="314">
        <f>VLOOKUP($C19,BAU_Demands!$B$3:$BK$48,BAU_Demands!AR$1,0)*(1-'Net Zero 2050'!AL82)*(1-'Net Zero 2050'!AL85)</f>
        <v>3.6130253107142871</v>
      </c>
      <c r="AU19" s="314">
        <f>VLOOKUP($C19,BAU_Demands!$B$3:$BK$48,BAU_Demands!AS$1,0)*(1-'Net Zero 2050'!AM82)*(1-'Net Zero 2050'!AM85)</f>
        <v>3.6664898750000043</v>
      </c>
      <c r="AV19" s="314">
        <f>VLOOKUP($C19,BAU_Demands!$B$3:$BK$48,BAU_Demands!AT$1,0)*(1-'Net Zero 2050'!AN82)*(1-'Net Zero 2050'!AN85)</f>
        <v>3.7298848392857158</v>
      </c>
      <c r="AW19" s="314">
        <f>VLOOKUP($C19,BAU_Demands!$B$3:$BK$48,BAU_Demands!AU$1,0)*(1-'Net Zero 2050'!AO82)*(1-'Net Zero 2050'!AO85)</f>
        <v>3.7821524357142913</v>
      </c>
      <c r="AX19" s="314">
        <f>VLOOKUP($C19,BAU_Demands!$B$3:$BK$48,BAU_Demands!AV$1,0)*(1-'Net Zero 2050'!AP82)*(1-'Net Zero 2050'!AP85)</f>
        <v>3.8494707946428592</v>
      </c>
      <c r="AY19" s="314">
        <f>VLOOKUP($C19,BAU_Demands!$B$3:$BK$48,BAU_Demands!AW$1,0)*(1-'Net Zero 2050'!AQ82)*(1-'Net Zero 2050'!AQ85)</f>
        <v>3.9057061178571488</v>
      </c>
      <c r="AZ19" s="314">
        <f>VLOOKUP($C19,BAU_Demands!$B$3:$BK$48,BAU_Demands!AX$1,0)*(1-'Net Zero 2050'!AR82)*(1-'Net Zero 2050'!AR85)</f>
        <v>3.971650180357146</v>
      </c>
      <c r="BA19" s="314">
        <f>VLOOKUP($C19,BAU_Demands!$B$3:$BK$48,BAU_Demands!AY$1,0)*(1-'Net Zero 2050'!AS82)*(1-'Net Zero 2050'!AS85)</f>
        <v>4.0317424000000006</v>
      </c>
      <c r="BB19" s="314">
        <f>VLOOKUP($C19,BAU_Demands!$B$3:$BK$48,BAU_Demands!AZ$1,0)*(1-'Net Zero 2050'!AT82)*(1-'Net Zero 2050'!AT85)</f>
        <v>4.0962900000000042</v>
      </c>
      <c r="BC19" s="314">
        <f>VLOOKUP($C19,BAU_Demands!$B$3:$BK$48,BAU_Demands!BA$1,0)*(1-'Net Zero 2050'!AU82)*(1-'Net Zero 2050'!AU85)</f>
        <v>4.1601282857142872</v>
      </c>
      <c r="BD19" s="314">
        <f>VLOOKUP($C19,BAU_Demands!$B$3:$BK$48,BAU_Demands!BB$1,0)*(1-'Net Zero 2050'!AV82)*(1-'Net Zero 2050'!AV85)</f>
        <v>4.2283332875000053</v>
      </c>
      <c r="BE19" s="314">
        <f>VLOOKUP($C19,BAU_Demands!$B$3:$BK$48,BAU_Demands!BC$1,0)*(1-'Net Zero 2050'!AW82)*(1-'Net Zero 2050'!AW85)</f>
        <v>4.2957846428571456</v>
      </c>
      <c r="BF19" s="314">
        <f>VLOOKUP($C19,BAU_Demands!$B$3:$BK$48,BAU_Demands!BD$1,0)*(1-'Net Zero 2050'!AX82)*(1-'Net Zero 2050'!AX85)</f>
        <v>4.3624823517857205</v>
      </c>
      <c r="BG19" s="314">
        <f>VLOOKUP($C19,BAU_Demands!$B$3:$BK$48,BAU_Demands!BE$1,0)*(1-'Net Zero 2050'!AY82)*(1-'Net Zero 2050'!AY85)</f>
        <v>4.433435946428574</v>
      </c>
      <c r="BH19" s="314">
        <f>VLOOKUP($C19,BAU_Demands!$B$3:$BK$48,BAU_Demands!BF$1,0)*(1-'Net Zero 2050'!AZ82)*(1-'Net Zero 2050'!AZ85)</f>
        <v>4.5035915624999996</v>
      </c>
      <c r="BI19" s="314">
        <f>VLOOKUP($C19,BAU_Demands!$B$3:$BK$48,BAU_Demands!BG$1,0)*(1-'Net Zero 2050'!BA82)*(1-'Net Zero 2050'!BA85)</f>
        <v>4.5729492000000045</v>
      </c>
      <c r="BJ19" s="314">
        <f>VLOOKUP($C19,BAU_Demands!$B$3:$BK$48,BAU_Demands!BH$1,0)*(1-'Net Zero 2050'!BB82)*(1-'Net Zero 2050'!BB85)</f>
        <v>4.6464518928571437</v>
      </c>
      <c r="BK19" s="314">
        <f>VLOOKUP($C19,BAU_Demands!$B$3:$BK$48,BAU_Demands!BI$1,0)*(1-'Net Zero 2050'!BC82)*(1-'Net Zero 2050'!BC85)</f>
        <v>4.7191122750000059</v>
      </c>
      <c r="BL19" s="314">
        <f>VLOOKUP($C19,BAU_Demands!$B$3:$BK$48,BAU_Demands!BJ$1,0)*(1-'Net Zero 2050'!BD82)*(1-'Net Zero 2050'!BD85)</f>
        <v>4.7909303464285733</v>
      </c>
      <c r="BM19" s="314">
        <f>VLOOKUP($C19,BAU_Demands!$B$3:$BK$48,BAU_Demands!BK$1,0)*(1-'Net Zero 2050'!BE82)*(1-'Net Zero 2050'!BE85)</f>
        <v>4.8667826428571495</v>
      </c>
    </row>
    <row r="20" spans="1:65" ht="15.75" hidden="1" customHeight="1">
      <c r="A20" s="314" t="s">
        <v>457</v>
      </c>
      <c r="B20" s="314" t="s">
        <v>458</v>
      </c>
      <c r="C20" s="314" t="s">
        <v>499</v>
      </c>
      <c r="D20" s="314" t="s">
        <v>460</v>
      </c>
      <c r="E20" s="314" t="s">
        <v>500</v>
      </c>
      <c r="F20" s="314" t="s">
        <v>462</v>
      </c>
      <c r="G20" s="314" t="s">
        <v>463</v>
      </c>
      <c r="H20" s="314" t="s">
        <v>464</v>
      </c>
      <c r="I20" s="314" t="s">
        <v>44</v>
      </c>
      <c r="J20" s="314" t="s">
        <v>44</v>
      </c>
      <c r="K20" s="314" t="s">
        <v>44</v>
      </c>
      <c r="L20" s="314" t="s">
        <v>44</v>
      </c>
      <c r="M20" s="314">
        <f>VLOOKUP($C20,BAU_Demands!$B$3:$BK$48,BAU_Demands!K$1,0)</f>
        <v>34.952288680000002</v>
      </c>
      <c r="N20" s="314">
        <f>VLOOKUP($C20,BAU_Demands!$B$3:$BK$48,BAU_Demands!L$1,0)</f>
        <v>32.606013470000001</v>
      </c>
      <c r="O20" s="314">
        <f>VLOOKUP($C20,BAU_Demands!$B$3:$BK$48,BAU_Demands!M$1,0)</f>
        <v>25.107180830000001</v>
      </c>
      <c r="P20" s="314">
        <f>VLOOKUP($C20,BAU_Demands!$B$3:$BK$48,BAU_Demands!N$1,0)</f>
        <v>20.302984909999999</v>
      </c>
      <c r="Q20" s="314">
        <f>VLOOKUP($C20,BAU_Demands!$B$3:$BK$48,BAU_Demands!O$1,0)*(1-'Net Zero 2050'!I81)*(1-'Net Zero 2050'!I85)</f>
        <v>22.09</v>
      </c>
      <c r="R20" s="314">
        <f>VLOOKUP($C20,BAU_Demands!$B$3:$BK$48,BAU_Demands!P$1,0)*(1-'Net Zero 2050'!J81)*(1-'Net Zero 2050'!J85)</f>
        <v>21.081046867346977</v>
      </c>
      <c r="S20" s="314">
        <f>VLOOKUP($C20,BAU_Demands!$B$3:$BK$48,BAU_Demands!Q$1,0)*(1-'Net Zero 2050'!K81)*(1-'Net Zero 2050'!K85)</f>
        <v>22.923426363265307</v>
      </c>
      <c r="T20" s="314">
        <f>VLOOKUP($C20,BAU_Demands!$B$3:$BK$48,BAU_Demands!R$1,0)*(1-'Net Zero 2050'!L81)*(1-'Net Zero 2050'!L85)</f>
        <v>21.617978902551062</v>
      </c>
      <c r="U20" s="314">
        <f>VLOOKUP($C20,BAU_Demands!$B$3:$BK$48,BAU_Demands!S$1,0)*(1-'Net Zero 2050'!M81)*(1-'Net Zero 2050'!M85)</f>
        <v>23.383226473469392</v>
      </c>
      <c r="V20" s="314">
        <f>VLOOKUP($C20,BAU_Demands!$B$3:$BK$48,BAU_Demands!T$1,0)*(1-'Net Zero 2050'!N81)*(1-'Net Zero 2050'!N85)</f>
        <v>22.104945571428622</v>
      </c>
      <c r="W20" s="314">
        <f>VLOOKUP($C20,BAU_Demands!$B$3:$BK$48,BAU_Demands!U$1,0)*(1-'Net Zero 2050'!O81)*(1-'Net Zero 2050'!O85)</f>
        <v>23.930675461224499</v>
      </c>
      <c r="X20" s="314">
        <f>VLOOKUP($C20,BAU_Demands!$B$3:$BK$48,BAU_Demands!V$1,0)*(1-'Net Zero 2050'!P81)*(1-'Net Zero 2050'!P85)</f>
        <v>22.469530757142909</v>
      </c>
      <c r="Y20" s="314">
        <f>VLOOKUP($C20,BAU_Demands!$B$3:$BK$48,BAU_Demands!W$1,0)*(1-'Net Zero 2050'!Q81)*(1-'Net Zero 2050'!Q85)</f>
        <v>24.015970680612252</v>
      </c>
      <c r="Z20" s="314">
        <f>VLOOKUP($C20,BAU_Demands!$B$3:$BK$48,BAU_Demands!X$1,0)*(1-'Net Zero 2050'!R81)*(1-'Net Zero 2050'!R85)</f>
        <v>22.867486978571488</v>
      </c>
      <c r="AA20" s="314">
        <f>VLOOKUP($C20,BAU_Demands!$B$3:$BK$48,BAU_Demands!Y$1,0)*(1-'Net Zero 2050'!S81)*(1-'Net Zero 2050'!S85)</f>
        <v>24.1854177857143</v>
      </c>
      <c r="AB20" s="314">
        <f>VLOOKUP($C20,BAU_Demands!$B$3:$BK$48,BAU_Demands!Z$1,0)*(1-'Net Zero 2050'!T81)*(1-'Net Zero 2050'!T85)</f>
        <v>23.165795400000064</v>
      </c>
      <c r="AC20" s="314">
        <f>VLOOKUP($C20,BAU_Demands!$B$3:$BK$48,BAU_Demands!AA$1,0)*(1-'Net Zero 2050'!U81)*(1-'Net Zero 2050'!U85)</f>
        <v>24.221817722448996</v>
      </c>
      <c r="AD20" s="314">
        <f>VLOOKUP($C20,BAU_Demands!$B$3:$BK$48,BAU_Demands!AB$1,0)*(1-'Net Zero 2050'!V81)*(1-'Net Zero 2050'!V85)</f>
        <v>23.275872759183741</v>
      </c>
      <c r="AE20" s="314">
        <f>VLOOKUP($C20,BAU_Demands!$B$3:$BK$48,BAU_Demands!AC$1,0)*(1-'Net Zero 2050'!W81)*(1-'Net Zero 2050'!W85)</f>
        <v>24.187876714285736</v>
      </c>
      <c r="AF20" s="314">
        <f>VLOOKUP($C20,BAU_Demands!$B$3:$BK$48,BAU_Demands!AD$1,0)*(1-'Net Zero 2050'!X81)*(1-'Net Zero 2050'!X85)</f>
        <v>23.408823821428648</v>
      </c>
      <c r="AG20" s="314">
        <f>VLOOKUP($C20,BAU_Demands!$B$3:$BK$48,BAU_Demands!AE$1,0)*(1-'Net Zero 2050'!Y81)*(1-'Net Zero 2050'!Y85)</f>
        <v>24.094158805102062</v>
      </c>
      <c r="AH20" s="314">
        <f>VLOOKUP($C20,BAU_Demands!$B$3:$BK$48,BAU_Demands!AF$1,0)*(1-'Net Zero 2050'!Z81)*(1-'Net Zero 2050'!Z85)</f>
        <v>23.497898312755183</v>
      </c>
      <c r="AI20" s="314">
        <f>VLOOKUP($C20,BAU_Demands!$B$3:$BK$48,BAU_Demands!AG$1,0)*(1-'Net Zero 2050'!AA81)*(1-'Net Zero 2050'!AA85)</f>
        <v>24.018090651020437</v>
      </c>
      <c r="AJ20" s="314">
        <f>VLOOKUP($C20,BAU_Demands!$B$3:$BK$48,BAU_Demands!AH$1,0)*(1-'Net Zero 2050'!AB81)*(1-'Net Zero 2050'!AB85)</f>
        <v>23.510996799489888</v>
      </c>
      <c r="AK20" s="314">
        <f>VLOOKUP($C20,BAU_Demands!$B$3:$BK$48,BAU_Demands!AI$1,0)*(1-'Net Zero 2050'!AC81)*(1-'Net Zero 2050'!AC85)</f>
        <v>23.934038214285749</v>
      </c>
      <c r="AL20" s="314">
        <f>VLOOKUP($C20,BAU_Demands!$B$3:$BK$48,BAU_Demands!AJ$1,0)*(1-'Net Zero 2050'!AD81)*(1-'Net Zero 2050'!AD85)</f>
        <v>23.376499600000091</v>
      </c>
      <c r="AM20" s="314">
        <f>VLOOKUP($C20,BAU_Demands!$B$3:$BK$48,BAU_Demands!AK$1,0)*(1-'Net Zero 2050'!AE81)*(1-'Net Zero 2050'!AE85)</f>
        <v>23.676184457142895</v>
      </c>
      <c r="AN20" s="314">
        <f>VLOOKUP($C20,BAU_Demands!$B$3:$BK$48,BAU_Demands!AL$1,0)*(1-'Net Zero 2050'!AF81)*(1-'Net Zero 2050'!AF85)</f>
        <v>23.204157061224588</v>
      </c>
      <c r="AO20" s="314">
        <f>VLOOKUP($C20,BAU_Demands!$B$3:$BK$48,BAU_Demands!AM$1,0)*(1-'Net Zero 2050'!AG81)*(1-'Net Zero 2050'!AG85)</f>
        <v>23.46797959183678</v>
      </c>
      <c r="AP20" s="314">
        <f>VLOOKUP($C20,BAU_Demands!$B$3:$BK$48,BAU_Demands!AN$1,0)*(1-'Net Zero 2050'!AH81)*(1-'Net Zero 2050'!AH85)</f>
        <v>23.071061250000106</v>
      </c>
      <c r="AQ20" s="314">
        <f>VLOOKUP($C20,BAU_Demands!$B$3:$BK$48,BAU_Demands!AO$1,0)*(1-'Net Zero 2050'!AI81)*(1-'Net Zero 2050'!AI85)</f>
        <v>23.143178479591889</v>
      </c>
      <c r="AR20" s="314">
        <f>VLOOKUP($C20,BAU_Demands!$B$3:$BK$48,BAU_Demands!AP$1,0)*(1-'Net Zero 2050'!AJ81)*(1-'Net Zero 2050'!AJ85)</f>
        <v>22.766455306122435</v>
      </c>
      <c r="AS20" s="314">
        <f>VLOOKUP($C20,BAU_Demands!$B$3:$BK$48,BAU_Demands!AQ$1,0)*(1-'Net Zero 2050'!AK81)*(1-'Net Zero 2050'!AK85)</f>
        <v>22.827507000000001</v>
      </c>
      <c r="AT20" s="314">
        <f>VLOOKUP($C20,BAU_Demands!$B$3:$BK$48,BAU_Demands!AR$1,0)*(1-'Net Zero 2050'!AL81)*(1-'Net Zero 2050'!AL85)</f>
        <v>23.230375348214295</v>
      </c>
      <c r="AU20" s="314">
        <f>VLOOKUP($C20,BAU_Demands!$B$3:$BK$48,BAU_Demands!AS$1,0)*(1-'Net Zero 2050'!AM81)*(1-'Net Zero 2050'!AM85)</f>
        <v>23.586872275000026</v>
      </c>
      <c r="AV20" s="314">
        <f>VLOOKUP($C20,BAU_Demands!$B$3:$BK$48,BAU_Demands!AT$1,0)*(1-'Net Zero 2050'!AN81)*(1-'Net Zero 2050'!AN85)</f>
        <v>23.98683686785715</v>
      </c>
      <c r="AW20" s="314">
        <f>VLOOKUP($C20,BAU_Demands!$B$3:$BK$48,BAU_Demands!AU$1,0)*(1-'Net Zero 2050'!AO81)*(1-'Net Zero 2050'!AO85)</f>
        <v>24.345971557142885</v>
      </c>
      <c r="AX20" s="314">
        <f>VLOOKUP($C20,BAU_Demands!$B$3:$BK$48,BAU_Demands!AV$1,0)*(1-'Net Zero 2050'!AP81)*(1-'Net Zero 2050'!AP85)</f>
        <v>24.753295285714302</v>
      </c>
      <c r="AY20" s="314">
        <f>VLOOKUP($C20,BAU_Demands!$B$3:$BK$48,BAU_Demands!AW$1,0)*(1-'Net Zero 2050'!AQ81)*(1-'Net Zero 2050'!AQ85)</f>
        <v>25.130340160714326</v>
      </c>
      <c r="AZ20" s="314">
        <f>VLOOKUP($C20,BAU_Demands!$B$3:$BK$48,BAU_Demands!AX$1,0)*(1-'Net Zero 2050'!AR81)*(1-'Net Zero 2050'!AR85)</f>
        <v>25.544579703571451</v>
      </c>
      <c r="BA20" s="314">
        <f>VLOOKUP($C20,BAU_Demands!$B$3:$BK$48,BAU_Demands!AY$1,0)*(1-'Net Zero 2050'!AS81)*(1-'Net Zero 2050'!AS85)</f>
        <v>25.92862905714286</v>
      </c>
      <c r="BB20" s="314">
        <f>VLOOKUP($C20,BAU_Demands!$B$3:$BK$48,BAU_Demands!AZ$1,0)*(1-'Net Zero 2050'!AT81)*(1-'Net Zero 2050'!AT85)</f>
        <v>26.349385425000026</v>
      </c>
      <c r="BC20" s="314">
        <f>VLOOKUP($C20,BAU_Demands!$B$3:$BK$48,BAU_Demands!BA$1,0)*(1-'Net Zero 2050'!AU81)*(1-'Net Zero 2050'!AU85)</f>
        <v>26.76043305357144</v>
      </c>
      <c r="BD20" s="314">
        <f>VLOOKUP($C20,BAU_Demands!$B$3:$BK$48,BAU_Demands!BB$1,0)*(1-'Net Zero 2050'!AV81)*(1-'Net Zero 2050'!AV85)</f>
        <v>27.197370653571461</v>
      </c>
      <c r="BE20" s="314">
        <f>VLOOKUP($C20,BAU_Demands!$B$3:$BK$48,BAU_Demands!BC$1,0)*(1-'Net Zero 2050'!AW81)*(1-'Net Zero 2050'!AW85)</f>
        <v>27.634529914285729</v>
      </c>
      <c r="BF20" s="314">
        <f>VLOOKUP($C20,BAU_Demands!$B$3:$BK$48,BAU_Demands!BD$1,0)*(1-'Net Zero 2050'!AX81)*(1-'Net Zero 2050'!AX85)</f>
        <v>28.071844337500039</v>
      </c>
      <c r="BG20" s="314">
        <f>VLOOKUP($C20,BAU_Demands!$B$3:$BK$48,BAU_Demands!BE$1,0)*(1-'Net Zero 2050'!AY81)*(1-'Net Zero 2050'!AY85)</f>
        <v>28.51425695714288</v>
      </c>
      <c r="BH20" s="314">
        <f>VLOOKUP($C20,BAU_Demands!$B$3:$BK$48,BAU_Demands!BF$1,0)*(1-'Net Zero 2050'!AZ81)*(1-'Net Zero 2050'!AZ85)</f>
        <v>28.961634776785715</v>
      </c>
      <c r="BI20" s="314">
        <f>VLOOKUP($C20,BAU_Demands!$B$3:$BK$48,BAU_Demands!BG$1,0)*(1-'Net Zero 2050'!BA81)*(1-'Net Zero 2050'!BA85)</f>
        <v>29.418810000000025</v>
      </c>
      <c r="BJ20" s="314">
        <f>VLOOKUP($C20,BAU_Demands!$B$3:$BK$48,BAU_Demands!BH$1,0)*(1-'Net Zero 2050'!BB81)*(1-'Net Zero 2050'!BB85)</f>
        <v>29.880640098214297</v>
      </c>
      <c r="BK20" s="314">
        <f>VLOOKUP($C20,BAU_Demands!$B$3:$BK$48,BAU_Demands!BI$1,0)*(1-'Net Zero 2050'!BC81)*(1-'Net Zero 2050'!BC85)</f>
        <v>30.351912942857172</v>
      </c>
      <c r="BL20" s="314">
        <f>VLOOKUP($C20,BAU_Demands!$B$3:$BK$48,BAU_Demands!BJ$1,0)*(1-'Net Zero 2050'!BD81)*(1-'Net Zero 2050'!BD85)</f>
        <v>30.827530337500015</v>
      </c>
      <c r="BM20" s="314">
        <f>VLOOKUP($C20,BAU_Demands!$B$3:$BK$48,BAU_Demands!BK$1,0)*(1-'Net Zero 2050'!BE81)*(1-'Net Zero 2050'!BE85)</f>
        <v>31.312235821428612</v>
      </c>
    </row>
    <row r="21" spans="1:65" ht="15.75" hidden="1" customHeight="1">
      <c r="A21" s="30" t="s">
        <v>457</v>
      </c>
      <c r="B21" s="30" t="s">
        <v>458</v>
      </c>
      <c r="C21" s="30" t="s">
        <v>501</v>
      </c>
      <c r="D21" s="30" t="s">
        <v>460</v>
      </c>
      <c r="E21" s="30" t="s">
        <v>502</v>
      </c>
      <c r="F21" s="30" t="s">
        <v>462</v>
      </c>
      <c r="G21" s="30" t="s">
        <v>463</v>
      </c>
      <c r="H21" s="30" t="s">
        <v>464</v>
      </c>
      <c r="I21" s="30"/>
      <c r="J21" s="30"/>
      <c r="K21" s="30"/>
      <c r="L21" s="30"/>
      <c r="M21" s="30">
        <f>VLOOKUP($C21,BAU_Demands!$B$3:$BK$48,BAU_Demands!K$1,0)</f>
        <v>16.3</v>
      </c>
      <c r="N21" s="30">
        <f>VLOOKUP($C21,BAU_Demands!$B$3:$BK$48,BAU_Demands!L$1,0)</f>
        <v>16.3</v>
      </c>
      <c r="O21" s="30">
        <f>VLOOKUP($C21,BAU_Demands!$B$3:$BK$48,BAU_Demands!M$1,0)</f>
        <v>16.3</v>
      </c>
      <c r="P21" s="30">
        <f>VLOOKUP($C21,BAU_Demands!$B$3:$BK$48,BAU_Demands!N$1,0)</f>
        <v>16.3</v>
      </c>
      <c r="Q21" s="30">
        <f>VLOOKUP($C21,BAU_Demands!$B$3:$BK$48,BAU_Demands!O$1,0)</f>
        <v>16.3</v>
      </c>
      <c r="R21" s="30">
        <f>VLOOKUP($C21,BAU_Demands!$B$3:$BK$48,BAU_Demands!P$1,0)</f>
        <v>16.3</v>
      </c>
      <c r="S21" s="30">
        <f>VLOOKUP($C21,BAU_Demands!$B$3:$BK$48,BAU_Demands!Q$1,0)</f>
        <v>16.3</v>
      </c>
      <c r="T21" s="30">
        <f>VLOOKUP($C21,BAU_Demands!$B$3:$BK$48,BAU_Demands!R$1,0)</f>
        <v>16.3</v>
      </c>
      <c r="U21" s="30">
        <f>VLOOKUP($C21,BAU_Demands!$B$3:$BK$48,BAU_Demands!S$1,0)</f>
        <v>16.3</v>
      </c>
      <c r="V21" s="30">
        <f>VLOOKUP($C21,BAU_Demands!$B$3:$BK$48,BAU_Demands!T$1,0)</f>
        <v>16.3</v>
      </c>
      <c r="W21" s="30">
        <f>VLOOKUP($C21,BAU_Demands!$B$3:$BK$48,BAU_Demands!U$1,0)</f>
        <v>16.3</v>
      </c>
      <c r="X21" s="30">
        <f>VLOOKUP($C21,BAU_Demands!$B$3:$BK$48,BAU_Demands!V$1,0)</f>
        <v>16.3</v>
      </c>
      <c r="Y21" s="30">
        <f>VLOOKUP($C21,BAU_Demands!$B$3:$BK$48,BAU_Demands!W$1,0)</f>
        <v>16.3</v>
      </c>
      <c r="Z21" s="30">
        <f>VLOOKUP($C21,BAU_Demands!$B$3:$BK$48,BAU_Demands!X$1,0)</f>
        <v>16.3</v>
      </c>
      <c r="AA21" s="30">
        <f>VLOOKUP($C21,BAU_Demands!$B$3:$BK$48,BAU_Demands!Y$1,0)</f>
        <v>16.3</v>
      </c>
      <c r="AB21" s="30">
        <f>VLOOKUP($C21,BAU_Demands!$B$3:$BK$48,BAU_Demands!Z$1,0)</f>
        <v>16.3</v>
      </c>
      <c r="AC21" s="30">
        <f>VLOOKUP($C21,BAU_Demands!$B$3:$BK$48,BAU_Demands!AA$1,0)</f>
        <v>16.3</v>
      </c>
      <c r="AD21" s="30">
        <f>VLOOKUP($C21,BAU_Demands!$B$3:$BK$48,BAU_Demands!AB$1,0)</f>
        <v>16.3</v>
      </c>
      <c r="AE21" s="30">
        <f>VLOOKUP($C21,BAU_Demands!$B$3:$BK$48,BAU_Demands!AC$1,0)</f>
        <v>16.3</v>
      </c>
      <c r="AF21" s="30">
        <f>VLOOKUP($C21,BAU_Demands!$B$3:$BK$48,BAU_Demands!AD$1,0)</f>
        <v>16.3</v>
      </c>
      <c r="AG21" s="30">
        <f>VLOOKUP($C21,BAU_Demands!$B$3:$BK$48,BAU_Demands!AE$1,0)</f>
        <v>16.3</v>
      </c>
      <c r="AH21" s="30">
        <f>VLOOKUP($C21,BAU_Demands!$B$3:$BK$48,BAU_Demands!AF$1,0)</f>
        <v>16.3</v>
      </c>
      <c r="AI21" s="30">
        <f>VLOOKUP($C21,BAU_Demands!$B$3:$BK$48,BAU_Demands!AG$1,0)</f>
        <v>16.3</v>
      </c>
      <c r="AJ21" s="30">
        <f>VLOOKUP($C21,BAU_Demands!$B$3:$BK$48,BAU_Demands!AH$1,0)</f>
        <v>16.3</v>
      </c>
      <c r="AK21" s="30">
        <f>VLOOKUP($C21,BAU_Demands!$B$3:$BK$48,BAU_Demands!AI$1,0)</f>
        <v>16.3</v>
      </c>
      <c r="AL21" s="30">
        <f>VLOOKUP($C21,BAU_Demands!$B$3:$BK$48,BAU_Demands!AJ$1,0)</f>
        <v>16.3</v>
      </c>
      <c r="AM21" s="30">
        <f>VLOOKUP($C21,BAU_Demands!$B$3:$BK$48,BAU_Demands!AK$1,0)</f>
        <v>16.3</v>
      </c>
      <c r="AN21" s="30">
        <f>VLOOKUP($C21,BAU_Demands!$B$3:$BK$48,BAU_Demands!AL$1,0)</f>
        <v>16.3</v>
      </c>
      <c r="AO21" s="30">
        <f>VLOOKUP($C21,BAU_Demands!$B$3:$BK$48,BAU_Demands!AM$1,0)</f>
        <v>16.3</v>
      </c>
      <c r="AP21" s="30">
        <f>VLOOKUP($C21,BAU_Demands!$B$3:$BK$48,BAU_Demands!AN$1,0)</f>
        <v>16.3</v>
      </c>
      <c r="AQ21" s="30">
        <f>VLOOKUP($C21,BAU_Demands!$B$3:$BK$48,BAU_Demands!AO$1,0)</f>
        <v>16.3</v>
      </c>
      <c r="AR21" s="30">
        <f>VLOOKUP($C21,BAU_Demands!$B$3:$BK$48,BAU_Demands!AP$1,0)</f>
        <v>16.3</v>
      </c>
      <c r="AS21" s="30">
        <f>VLOOKUP($C21,BAU_Demands!$B$3:$BK$48,BAU_Demands!AQ$1,0)</f>
        <v>16.3</v>
      </c>
      <c r="AT21" s="30">
        <f>VLOOKUP($C21,BAU_Demands!$B$3:$BK$48,BAU_Demands!AR$1,0)</f>
        <v>16.3</v>
      </c>
      <c r="AU21" s="30">
        <f>VLOOKUP($C21,BAU_Demands!$B$3:$BK$48,BAU_Demands!AS$1,0)</f>
        <v>16.3</v>
      </c>
      <c r="AV21" s="30">
        <f>VLOOKUP($C21,BAU_Demands!$B$3:$BK$48,BAU_Demands!AT$1,0)</f>
        <v>16.3</v>
      </c>
      <c r="AW21" s="30">
        <f>VLOOKUP($C21,BAU_Demands!$B$3:$BK$48,BAU_Demands!AU$1,0)</f>
        <v>16.3</v>
      </c>
      <c r="AX21" s="30">
        <f>VLOOKUP($C21,BAU_Demands!$B$3:$BK$48,BAU_Demands!AV$1,0)</f>
        <v>16.3</v>
      </c>
      <c r="AY21" s="30">
        <f>VLOOKUP($C21,BAU_Demands!$B$3:$BK$48,BAU_Demands!AW$1,0)</f>
        <v>16.3</v>
      </c>
      <c r="AZ21" s="30">
        <f>VLOOKUP($C21,BAU_Demands!$B$3:$BK$48,BAU_Demands!AX$1,0)</f>
        <v>16.3</v>
      </c>
      <c r="BA21" s="30">
        <f>VLOOKUP($C21,BAU_Demands!$B$3:$BK$48,BAU_Demands!AY$1,0)</f>
        <v>16.3</v>
      </c>
      <c r="BB21" s="30">
        <f>VLOOKUP($C21,BAU_Demands!$B$3:$BK$48,BAU_Demands!AZ$1,0)</f>
        <v>16.3</v>
      </c>
      <c r="BC21" s="30">
        <f>VLOOKUP($C21,BAU_Demands!$B$3:$BK$48,BAU_Demands!BA$1,0)</f>
        <v>16.3</v>
      </c>
      <c r="BD21" s="30">
        <f>VLOOKUP($C21,BAU_Demands!$B$3:$BK$48,BAU_Demands!BB$1,0)</f>
        <v>16.3</v>
      </c>
      <c r="BE21" s="30">
        <f>VLOOKUP($C21,BAU_Demands!$B$3:$BK$48,BAU_Demands!BC$1,0)</f>
        <v>16.3</v>
      </c>
      <c r="BF21" s="30">
        <f>VLOOKUP($C21,BAU_Demands!$B$3:$BK$48,BAU_Demands!BD$1,0)</f>
        <v>16.3</v>
      </c>
      <c r="BG21" s="30">
        <f>VLOOKUP($C21,BAU_Demands!$B$3:$BK$48,BAU_Demands!BE$1,0)</f>
        <v>16.3</v>
      </c>
      <c r="BH21" s="30">
        <f>VLOOKUP($C21,BAU_Demands!$B$3:$BK$48,BAU_Demands!BF$1,0)</f>
        <v>16.3</v>
      </c>
      <c r="BI21" s="30">
        <f>VLOOKUP($C21,BAU_Demands!$B$3:$BK$48,BAU_Demands!BG$1,0)</f>
        <v>16.3</v>
      </c>
      <c r="BJ21" s="30">
        <f>VLOOKUP($C21,BAU_Demands!$B$3:$BK$48,BAU_Demands!BH$1,0)</f>
        <v>16.3</v>
      </c>
      <c r="BK21" s="30">
        <f>VLOOKUP($C21,BAU_Demands!$B$3:$BK$48,BAU_Demands!BI$1,0)</f>
        <v>16.3</v>
      </c>
      <c r="BL21" s="30">
        <f>VLOOKUP($C21,BAU_Demands!$B$3:$BK$48,BAU_Demands!BJ$1,0)</f>
        <v>16.3</v>
      </c>
      <c r="BM21" s="30">
        <f>VLOOKUP($C21,BAU_Demands!$B$3:$BK$48,BAU_Demands!BK$1,0)</f>
        <v>16.3</v>
      </c>
    </row>
    <row r="22" spans="1:65" ht="15.75" hidden="1" customHeight="1">
      <c r="A22" s="314" t="s">
        <v>457</v>
      </c>
      <c r="B22" s="314" t="s">
        <v>458</v>
      </c>
      <c r="C22" s="314" t="s">
        <v>503</v>
      </c>
      <c r="D22" s="314" t="s">
        <v>460</v>
      </c>
      <c r="E22" s="314" t="s">
        <v>504</v>
      </c>
      <c r="F22" s="314" t="s">
        <v>462</v>
      </c>
      <c r="G22" s="314" t="s">
        <v>463</v>
      </c>
      <c r="H22" s="314" t="s">
        <v>464</v>
      </c>
      <c r="I22" s="314"/>
      <c r="J22" s="314"/>
      <c r="K22" s="314"/>
      <c r="L22" s="314"/>
      <c r="M22" s="314">
        <f>VLOOKUP($C22,BAU_Demands!$B$3:$BK$48,BAU_Demands!K$1,0)</f>
        <v>0</v>
      </c>
      <c r="N22" s="314">
        <f>VLOOKUP($C22,BAU_Demands!$B$3:$BK$48,BAU_Demands!L$1,0)</f>
        <v>0</v>
      </c>
      <c r="O22" s="314">
        <f>VLOOKUP($C22,BAU_Demands!$B$3:$BK$48,BAU_Demands!M$1,0)</f>
        <v>0</v>
      </c>
      <c r="P22" s="314">
        <f>VLOOKUP($C22,BAU_Demands!$B$3:$BK$48,BAU_Demands!N$1,0)</f>
        <v>0</v>
      </c>
      <c r="Q22" s="314">
        <f>VLOOKUP($C22,BAU_Demands!$B$3:$BK$48,BAU_Demands!O$1,0)</f>
        <v>0</v>
      </c>
      <c r="R22" s="314">
        <f>VLOOKUP($C22,BAU_Demands!$B$3:$BK$48,BAU_Demands!P$1,0)</f>
        <v>0</v>
      </c>
      <c r="S22" s="314">
        <f>VLOOKUP($C22,BAU_Demands!$B$3:$BK$48,BAU_Demands!Q$1,0)</f>
        <v>0</v>
      </c>
      <c r="T22" s="314">
        <f>VLOOKUP($C22,BAU_Demands!$B$3:$BK$48,BAU_Demands!R$1,0)</f>
        <v>0</v>
      </c>
      <c r="U22" s="314">
        <f>VLOOKUP($C22,BAU_Demands!$B$3:$BK$48,BAU_Demands!S$1,0)</f>
        <v>0</v>
      </c>
      <c r="V22" s="314">
        <f>VLOOKUP($C22,BAU_Demands!$B$3:$BK$48,BAU_Demands!T$1,0)</f>
        <v>0</v>
      </c>
      <c r="W22" s="314">
        <f>VLOOKUP($C22,BAU_Demands!$B$3:$BK$48,BAU_Demands!U$1,0)</f>
        <v>0</v>
      </c>
      <c r="X22" s="314">
        <f>VLOOKUP($C22,BAU_Demands!$B$3:$BK$48,BAU_Demands!V$1,0)</f>
        <v>0</v>
      </c>
      <c r="Y22" s="314">
        <f>VLOOKUP($C22,BAU_Demands!$B$3:$BK$48,BAU_Demands!W$1,0)</f>
        <v>0</v>
      </c>
      <c r="Z22" s="314">
        <f>VLOOKUP($C22,BAU_Demands!$B$3:$BK$48,BAU_Demands!X$1,0)</f>
        <v>0</v>
      </c>
      <c r="AA22" s="314">
        <f>VLOOKUP($C22,BAU_Demands!$B$3:$BK$48,BAU_Demands!Y$1,0)</f>
        <v>0</v>
      </c>
      <c r="AB22" s="314">
        <f>VLOOKUP($C22,BAU_Demands!$B$3:$BK$48,BAU_Demands!Z$1,0)</f>
        <v>0</v>
      </c>
      <c r="AC22" s="314">
        <f>VLOOKUP($C22,BAU_Demands!$B$3:$BK$48,BAU_Demands!AA$1,0)</f>
        <v>0</v>
      </c>
      <c r="AD22" s="314">
        <f>VLOOKUP($C22,BAU_Demands!$B$3:$BK$48,BAU_Demands!AB$1,0)</f>
        <v>0</v>
      </c>
      <c r="AE22" s="314">
        <f>VLOOKUP($C22,BAU_Demands!$B$3:$BK$48,BAU_Demands!AC$1,0)</f>
        <v>0</v>
      </c>
      <c r="AF22" s="314">
        <f>VLOOKUP($C22,BAU_Demands!$B$3:$BK$48,BAU_Demands!AD$1,0)</f>
        <v>0</v>
      </c>
      <c r="AG22" s="314">
        <f>VLOOKUP($C22,BAU_Demands!$B$3:$BK$48,BAU_Demands!AE$1,0)</f>
        <v>0</v>
      </c>
      <c r="AH22" s="314">
        <f>VLOOKUP($C22,BAU_Demands!$B$3:$BK$48,BAU_Demands!AF$1,0)</f>
        <v>0</v>
      </c>
      <c r="AI22" s="314">
        <f>VLOOKUP($C22,BAU_Demands!$B$3:$BK$48,BAU_Demands!AG$1,0)</f>
        <v>0</v>
      </c>
      <c r="AJ22" s="314">
        <f>VLOOKUP($C22,BAU_Demands!$B$3:$BK$48,BAU_Demands!AH$1,0)</f>
        <v>0</v>
      </c>
      <c r="AK22" s="314">
        <f>VLOOKUP($C22,BAU_Demands!$B$3:$BK$48,BAU_Demands!AI$1,0)</f>
        <v>0</v>
      </c>
      <c r="AL22" s="314">
        <f>VLOOKUP($C22,BAU_Demands!$B$3:$BK$48,BAU_Demands!AJ$1,0)</f>
        <v>0</v>
      </c>
      <c r="AM22" s="314">
        <f>VLOOKUP($C22,BAU_Demands!$B$3:$BK$48,BAU_Demands!AK$1,0)</f>
        <v>0</v>
      </c>
      <c r="AN22" s="314">
        <f>VLOOKUP($C22,BAU_Demands!$B$3:$BK$48,BAU_Demands!AL$1,0)</f>
        <v>0</v>
      </c>
      <c r="AO22" s="314">
        <f>VLOOKUP($C22,BAU_Demands!$B$3:$BK$48,BAU_Demands!AM$1,0)</f>
        <v>0</v>
      </c>
      <c r="AP22" s="314">
        <f>VLOOKUP($C22,BAU_Demands!$B$3:$BK$48,BAU_Demands!AN$1,0)</f>
        <v>0</v>
      </c>
      <c r="AQ22" s="314">
        <f>VLOOKUP($C22,BAU_Demands!$B$3:$BK$48,BAU_Demands!AO$1,0)</f>
        <v>0</v>
      </c>
      <c r="AR22" s="314">
        <f>VLOOKUP($C22,BAU_Demands!$B$3:$BK$48,BAU_Demands!AP$1,0)</f>
        <v>0</v>
      </c>
      <c r="AS22" s="314">
        <f>VLOOKUP($C22,BAU_Demands!$B$3:$BK$48,BAU_Demands!AQ$1,0)</f>
        <v>0</v>
      </c>
      <c r="AT22" s="314">
        <f>VLOOKUP($C22,BAU_Demands!$B$3:$BK$48,BAU_Demands!AR$1,0)</f>
        <v>0</v>
      </c>
      <c r="AU22" s="314">
        <f>VLOOKUP($C22,BAU_Demands!$B$3:$BK$48,BAU_Demands!AS$1,0)</f>
        <v>0</v>
      </c>
      <c r="AV22" s="314">
        <f>VLOOKUP($C22,BAU_Demands!$B$3:$BK$48,BAU_Demands!AT$1,0)</f>
        <v>0</v>
      </c>
      <c r="AW22" s="314">
        <f>VLOOKUP($C22,BAU_Demands!$B$3:$BK$48,BAU_Demands!AU$1,0)</f>
        <v>0</v>
      </c>
      <c r="AX22" s="314">
        <f>VLOOKUP($C22,BAU_Demands!$B$3:$BK$48,BAU_Demands!AV$1,0)</f>
        <v>0</v>
      </c>
      <c r="AY22" s="314">
        <f>VLOOKUP($C22,BAU_Demands!$B$3:$BK$48,BAU_Demands!AW$1,0)</f>
        <v>0</v>
      </c>
      <c r="AZ22" s="314">
        <f>VLOOKUP($C22,BAU_Demands!$B$3:$BK$48,BAU_Demands!AX$1,0)</f>
        <v>0</v>
      </c>
      <c r="BA22" s="314">
        <f>VLOOKUP($C22,BAU_Demands!$B$3:$BK$48,BAU_Demands!AY$1,0)</f>
        <v>0</v>
      </c>
      <c r="BB22" s="314">
        <f>VLOOKUP($C22,BAU_Demands!$B$3:$BK$48,BAU_Demands!AZ$1,0)</f>
        <v>0</v>
      </c>
      <c r="BC22" s="314">
        <f>VLOOKUP($C22,BAU_Demands!$B$3:$BK$48,BAU_Demands!BA$1,0)</f>
        <v>0</v>
      </c>
      <c r="BD22" s="314">
        <f>VLOOKUP($C22,BAU_Demands!$B$3:$BK$48,BAU_Demands!BB$1,0)</f>
        <v>0</v>
      </c>
      <c r="BE22" s="314">
        <f>VLOOKUP($C22,BAU_Demands!$B$3:$BK$48,BAU_Demands!BC$1,0)</f>
        <v>0</v>
      </c>
      <c r="BF22" s="314">
        <f>VLOOKUP($C22,BAU_Demands!$B$3:$BK$48,BAU_Demands!BD$1,0)</f>
        <v>0</v>
      </c>
      <c r="BG22" s="314">
        <f>VLOOKUP($C22,BAU_Demands!$B$3:$BK$48,BAU_Demands!BE$1,0)</f>
        <v>0</v>
      </c>
      <c r="BH22" s="314">
        <f>VLOOKUP($C22,BAU_Demands!$B$3:$BK$48,BAU_Demands!BF$1,0)</f>
        <v>0</v>
      </c>
      <c r="BI22" s="314">
        <f>VLOOKUP($C22,BAU_Demands!$B$3:$BK$48,BAU_Demands!BG$1,0)</f>
        <v>0</v>
      </c>
      <c r="BJ22" s="314">
        <f>VLOOKUP($C22,BAU_Demands!$B$3:$BK$48,BAU_Demands!BH$1,0)</f>
        <v>0</v>
      </c>
      <c r="BK22" s="314">
        <f>VLOOKUP($C22,BAU_Demands!$B$3:$BK$48,BAU_Demands!BI$1,0)</f>
        <v>0</v>
      </c>
      <c r="BL22" s="314">
        <f>VLOOKUP($C22,BAU_Demands!$B$3:$BK$48,BAU_Demands!BJ$1,0)</f>
        <v>0</v>
      </c>
      <c r="BM22" s="314">
        <f>VLOOKUP($C22,BAU_Demands!$B$3:$BK$48,BAU_Demands!BK$1,0)</f>
        <v>0</v>
      </c>
    </row>
    <row r="23" spans="1:65" ht="15.75" hidden="1" customHeight="1">
      <c r="A23" s="314" t="s">
        <v>457</v>
      </c>
      <c r="B23" s="314" t="s">
        <v>458</v>
      </c>
      <c r="C23" s="314" t="s">
        <v>505</v>
      </c>
      <c r="D23" s="314" t="s">
        <v>460</v>
      </c>
      <c r="E23" s="314" t="s">
        <v>506</v>
      </c>
      <c r="F23" s="314" t="s">
        <v>462</v>
      </c>
      <c r="G23" s="314" t="s">
        <v>463</v>
      </c>
      <c r="H23" s="314" t="s">
        <v>464</v>
      </c>
      <c r="I23" s="314"/>
      <c r="J23" s="314"/>
      <c r="K23" s="314"/>
      <c r="L23" s="314"/>
      <c r="M23" s="314">
        <f>VLOOKUP($C23,BAU_Demands!$B$3:$BK$48,BAU_Demands!K$1,0)</f>
        <v>753.92003050000005</v>
      </c>
      <c r="N23" s="314">
        <f>VLOOKUP($C23,BAU_Demands!$B$3:$BK$48,BAU_Demands!L$1,0)</f>
        <v>796.96985310000002</v>
      </c>
      <c r="O23" s="314">
        <f>VLOOKUP($C23,BAU_Demands!$B$3:$BK$48,BAU_Demands!M$1,0)</f>
        <v>735.29581029999997</v>
      </c>
      <c r="P23" s="314">
        <f>VLOOKUP($C23,BAU_Demands!$B$3:$BK$48,BAU_Demands!N$1,0)</f>
        <v>682.98298369999998</v>
      </c>
      <c r="Q23" s="314">
        <f>VLOOKUP($C23,BAU_Demands!$B$3:$BK$48,BAU_Demands!O$1,0)</f>
        <v>685.57</v>
      </c>
      <c r="R23" s="314">
        <f>VLOOKUP($C23,BAU_Demands!$B$3:$BK$48,BAU_Demands!P$1,0)</f>
        <v>638.6</v>
      </c>
      <c r="S23" s="314">
        <f>VLOOKUP($C23,BAU_Demands!$B$3:$BK$48,BAU_Demands!Q$1,0)</f>
        <v>586.91</v>
      </c>
      <c r="T23" s="314">
        <f>VLOOKUP($C23,BAU_Demands!$B$3:$BK$48,BAU_Demands!R$1,0)</f>
        <v>541.05999999999995</v>
      </c>
      <c r="U23" s="314">
        <f>VLOOKUP($C23,BAU_Demands!$B$3:$BK$48,BAU_Demands!S$1,0)</f>
        <v>317.37</v>
      </c>
      <c r="V23" s="314">
        <f>VLOOKUP($C23,BAU_Demands!$B$3:$BK$48,BAU_Demands!T$1,0)</f>
        <v>323.52</v>
      </c>
      <c r="W23" s="314">
        <f>VLOOKUP($C23,BAU_Demands!$B$3:$BK$48,BAU_Demands!U$1,0)</f>
        <v>341.26</v>
      </c>
      <c r="X23" s="314">
        <f>VLOOKUP($C23,BAU_Demands!$B$3:$BK$48,BAU_Demands!V$1,0)</f>
        <v>359.94</v>
      </c>
      <c r="Y23" s="314">
        <f>VLOOKUP($C23,BAU_Demands!$B$3:$BK$48,BAU_Demands!W$1,0)</f>
        <v>379.08</v>
      </c>
      <c r="Z23" s="314">
        <f>VLOOKUP($C23,BAU_Demands!$B$3:$BK$48,BAU_Demands!X$1,0)</f>
        <v>381.88</v>
      </c>
      <c r="AA23" s="314">
        <f>VLOOKUP($C23,BAU_Demands!$B$3:$BK$48,BAU_Demands!Y$1,0)</f>
        <v>357.9</v>
      </c>
      <c r="AB23" s="314">
        <f>VLOOKUP($C23,BAU_Demands!$B$3:$BK$48,BAU_Demands!Z$1,0)</f>
        <v>335</v>
      </c>
      <c r="AC23" s="314">
        <f>VLOOKUP($C23,BAU_Demands!$B$3:$BK$48,BAU_Demands!AA$1,0)</f>
        <v>311.81</v>
      </c>
      <c r="AD23" s="314">
        <f>VLOOKUP($C23,BAU_Demands!$B$3:$BK$48,BAU_Demands!AB$1,0)</f>
        <v>286.07</v>
      </c>
      <c r="AE23" s="314">
        <f>VLOOKUP($C23,BAU_Demands!$B$3:$BK$48,BAU_Demands!AC$1,0)</f>
        <v>259.54000000000002</v>
      </c>
      <c r="AF23" s="314">
        <f>VLOOKUP($C23,BAU_Demands!$B$3:$BK$48,BAU_Demands!AD$1,0)</f>
        <v>236.7</v>
      </c>
      <c r="AG23" s="314">
        <f>VLOOKUP($C23,BAU_Demands!$B$3:$BK$48,BAU_Demands!AE$1,0)</f>
        <v>0</v>
      </c>
      <c r="AH23" s="314">
        <f>VLOOKUP($C23,BAU_Demands!$B$3:$BK$48,BAU_Demands!AF$1,0)</f>
        <v>0</v>
      </c>
      <c r="AI23" s="314">
        <f>VLOOKUP($C23,BAU_Demands!$B$3:$BK$48,BAU_Demands!AG$1,0)</f>
        <v>0</v>
      </c>
      <c r="AJ23" s="314">
        <f>VLOOKUP($C23,BAU_Demands!$B$3:$BK$48,BAU_Demands!AH$1,0)</f>
        <v>0</v>
      </c>
      <c r="AK23" s="314">
        <f>VLOOKUP($C23,BAU_Demands!$B$3:$BK$48,BAU_Demands!AI$1,0)</f>
        <v>0</v>
      </c>
      <c r="AL23" s="314">
        <f>VLOOKUP($C23,BAU_Demands!$B$3:$BK$48,BAU_Demands!AJ$1,0)</f>
        <v>0</v>
      </c>
      <c r="AM23" s="314">
        <f>VLOOKUP($C23,BAU_Demands!$B$3:$BK$48,BAU_Demands!AK$1,0)</f>
        <v>0</v>
      </c>
      <c r="AN23" s="314">
        <f>VLOOKUP($C23,BAU_Demands!$B$3:$BK$48,BAU_Demands!AL$1,0)</f>
        <v>0</v>
      </c>
      <c r="AO23" s="314">
        <f>VLOOKUP($C23,BAU_Demands!$B$3:$BK$48,BAU_Demands!AM$1,0)</f>
        <v>0</v>
      </c>
      <c r="AP23" s="314">
        <f>VLOOKUP($C23,BAU_Demands!$B$3:$BK$48,BAU_Demands!AN$1,0)</f>
        <v>0</v>
      </c>
      <c r="AQ23" s="314">
        <f>VLOOKUP($C23,BAU_Demands!$B$3:$BK$48,BAU_Demands!AO$1,0)</f>
        <v>0</v>
      </c>
      <c r="AR23" s="314">
        <f>VLOOKUP($C23,BAU_Demands!$B$3:$BK$48,BAU_Demands!AP$1,0)</f>
        <v>0</v>
      </c>
      <c r="AS23" s="314">
        <f>VLOOKUP($C23,BAU_Demands!$B$3:$BK$48,BAU_Demands!AQ$1,0)</f>
        <v>0</v>
      </c>
      <c r="AT23" s="314">
        <f>VLOOKUP($C23,BAU_Demands!$B$3:$BK$48,BAU_Demands!AR$1,0)</f>
        <v>0</v>
      </c>
      <c r="AU23" s="314">
        <f>VLOOKUP($C23,BAU_Demands!$B$3:$BK$48,BAU_Demands!AS$1,0)</f>
        <v>0</v>
      </c>
      <c r="AV23" s="314">
        <f>VLOOKUP($C23,BAU_Demands!$B$3:$BK$48,BAU_Demands!AT$1,0)</f>
        <v>0</v>
      </c>
      <c r="AW23" s="314">
        <f>VLOOKUP($C23,BAU_Demands!$B$3:$BK$48,BAU_Demands!AU$1,0)</f>
        <v>0</v>
      </c>
      <c r="AX23" s="314">
        <f>VLOOKUP($C23,BAU_Demands!$B$3:$BK$48,BAU_Demands!AV$1,0)</f>
        <v>0</v>
      </c>
      <c r="AY23" s="314">
        <f>VLOOKUP($C23,BAU_Demands!$B$3:$BK$48,BAU_Demands!AW$1,0)</f>
        <v>0</v>
      </c>
      <c r="AZ23" s="314">
        <f>VLOOKUP($C23,BAU_Demands!$B$3:$BK$48,BAU_Demands!AX$1,0)</f>
        <v>0</v>
      </c>
      <c r="BA23" s="314">
        <f>VLOOKUP($C23,BAU_Demands!$B$3:$BK$48,BAU_Demands!AY$1,0)</f>
        <v>0</v>
      </c>
      <c r="BB23" s="314">
        <f>VLOOKUP($C23,BAU_Demands!$B$3:$BK$48,BAU_Demands!AZ$1,0)</f>
        <v>0</v>
      </c>
      <c r="BC23" s="314">
        <f>VLOOKUP($C23,BAU_Demands!$B$3:$BK$48,BAU_Demands!BA$1,0)</f>
        <v>0</v>
      </c>
      <c r="BD23" s="314">
        <f>VLOOKUP($C23,BAU_Demands!$B$3:$BK$48,BAU_Demands!BB$1,0)</f>
        <v>0</v>
      </c>
      <c r="BE23" s="314">
        <f>VLOOKUP($C23,BAU_Demands!$B$3:$BK$48,BAU_Demands!BC$1,0)</f>
        <v>0</v>
      </c>
      <c r="BF23" s="314">
        <f>VLOOKUP($C23,BAU_Demands!$B$3:$BK$48,BAU_Demands!BD$1,0)</f>
        <v>0</v>
      </c>
      <c r="BG23" s="314">
        <f>VLOOKUP($C23,BAU_Demands!$B$3:$BK$48,BAU_Demands!BE$1,0)</f>
        <v>0</v>
      </c>
      <c r="BH23" s="314">
        <f>VLOOKUP($C23,BAU_Demands!$B$3:$BK$48,BAU_Demands!BF$1,0)</f>
        <v>0</v>
      </c>
      <c r="BI23" s="314">
        <f>VLOOKUP($C23,BAU_Demands!$B$3:$BK$48,BAU_Demands!BG$1,0)</f>
        <v>0</v>
      </c>
      <c r="BJ23" s="314">
        <f>VLOOKUP($C23,BAU_Demands!$B$3:$BK$48,BAU_Demands!BH$1,0)</f>
        <v>0</v>
      </c>
      <c r="BK23" s="314">
        <f>VLOOKUP($C23,BAU_Demands!$B$3:$BK$48,BAU_Demands!BI$1,0)</f>
        <v>0</v>
      </c>
      <c r="BL23" s="314">
        <f>VLOOKUP($C23,BAU_Demands!$B$3:$BK$48,BAU_Demands!BJ$1,0)</f>
        <v>0</v>
      </c>
      <c r="BM23" s="314">
        <f>VLOOKUP($C23,BAU_Demands!$B$3:$BK$48,BAU_Demands!BK$1,0)</f>
        <v>0</v>
      </c>
    </row>
    <row r="24" spans="1:65" ht="15.75" hidden="1" customHeight="1">
      <c r="A24" s="30" t="s">
        <v>457</v>
      </c>
      <c r="B24" s="30" t="s">
        <v>458</v>
      </c>
      <c r="C24" s="30" t="s">
        <v>507</v>
      </c>
      <c r="D24" s="30" t="s">
        <v>460</v>
      </c>
      <c r="E24" s="30" t="s">
        <v>508</v>
      </c>
      <c r="F24" s="30" t="s">
        <v>462</v>
      </c>
      <c r="G24" s="30" t="s">
        <v>463</v>
      </c>
      <c r="H24" s="30" t="s">
        <v>464</v>
      </c>
      <c r="I24" s="30"/>
      <c r="J24" s="30"/>
      <c r="K24" s="30"/>
      <c r="L24" s="30"/>
      <c r="M24" s="30">
        <f>VLOOKUP($C24,BAU_Demands!$B$3:$BK$48,BAU_Demands!K$1,0)</f>
        <v>0.91979864700000002</v>
      </c>
      <c r="N24" s="30">
        <f>VLOOKUP($C24,BAU_Demands!$B$3:$BK$48,BAU_Demands!L$1,0)</f>
        <v>6.5717789289999997</v>
      </c>
      <c r="O24" s="30">
        <f>VLOOKUP($C24,BAU_Demands!$B$3:$BK$48,BAU_Demands!M$1,0)</f>
        <v>4.8232404769999997</v>
      </c>
      <c r="P24" s="30">
        <f>VLOOKUP($C24,BAU_Demands!$B$3:$BK$48,BAU_Demands!N$1,0)</f>
        <v>1.885684366</v>
      </c>
      <c r="Q24" s="30">
        <f>VLOOKUP($C24,BAU_Demands!$B$3:$BK$48,BAU_Demands!O$1,0)</f>
        <v>0.91979999999999995</v>
      </c>
      <c r="R24" s="30">
        <f>VLOOKUP($C24,BAU_Demands!$B$3:$BK$48,BAU_Demands!P$1,0)</f>
        <v>0.91979999999999995</v>
      </c>
      <c r="S24" s="30">
        <f>VLOOKUP($C24,BAU_Demands!$B$3:$BK$48,BAU_Demands!Q$1,0)</f>
        <v>0.91979999999999995</v>
      </c>
      <c r="T24" s="30">
        <f>VLOOKUP($C24,BAU_Demands!$B$3:$BK$48,BAU_Demands!R$1,0)</f>
        <v>0.91979999999999995</v>
      </c>
      <c r="U24" s="30">
        <f>VLOOKUP($C24,BAU_Demands!$B$3:$BK$48,BAU_Demands!S$1,0)</f>
        <v>0.91979999999999995</v>
      </c>
      <c r="V24" s="30">
        <f>VLOOKUP($C24,BAU_Demands!$B$3:$BK$48,BAU_Demands!T$1,0)</f>
        <v>0.91979999999999995</v>
      </c>
      <c r="W24" s="30">
        <f>VLOOKUP($C24,BAU_Demands!$B$3:$BK$48,BAU_Demands!U$1,0)</f>
        <v>0.91979999999999995</v>
      </c>
      <c r="X24" s="30">
        <f>VLOOKUP($C24,BAU_Demands!$B$3:$BK$48,BAU_Demands!V$1,0)</f>
        <v>0.91979999999999995</v>
      </c>
      <c r="Y24" s="30">
        <f>VLOOKUP($C24,BAU_Demands!$B$3:$BK$48,BAU_Demands!W$1,0)</f>
        <v>0.91979999999999995</v>
      </c>
      <c r="Z24" s="30">
        <f>VLOOKUP($C24,BAU_Demands!$B$3:$BK$48,BAU_Demands!X$1,0)</f>
        <v>0.91979999999999995</v>
      </c>
      <c r="AA24" s="30">
        <f>VLOOKUP($C24,BAU_Demands!$B$3:$BK$48,BAU_Demands!Y$1,0)</f>
        <v>0.91979999999999995</v>
      </c>
      <c r="AB24" s="30">
        <f>VLOOKUP($C24,BAU_Demands!$B$3:$BK$48,BAU_Demands!Z$1,0)</f>
        <v>0.91979999999999995</v>
      </c>
      <c r="AC24" s="30">
        <f>VLOOKUP($C24,BAU_Demands!$B$3:$BK$48,BAU_Demands!AA$1,0)</f>
        <v>0.91979999999999995</v>
      </c>
      <c r="AD24" s="30">
        <f>VLOOKUP($C24,BAU_Demands!$B$3:$BK$48,BAU_Demands!AB$1,0)</f>
        <v>0.91979999999999995</v>
      </c>
      <c r="AE24" s="30">
        <f>VLOOKUP($C24,BAU_Demands!$B$3:$BK$48,BAU_Demands!AC$1,0)</f>
        <v>0.91979999999999995</v>
      </c>
      <c r="AF24" s="30">
        <f>VLOOKUP($C24,BAU_Demands!$B$3:$BK$48,BAU_Demands!AD$1,0)</f>
        <v>0.91979999999999995</v>
      </c>
      <c r="AG24" s="30">
        <f>VLOOKUP($C24,BAU_Demands!$B$3:$BK$48,BAU_Demands!AE$1,0)</f>
        <v>0.91979999999999995</v>
      </c>
      <c r="AH24" s="30">
        <f>VLOOKUP($C24,BAU_Demands!$B$3:$BK$48,BAU_Demands!AF$1,0)</f>
        <v>0.91979999999999995</v>
      </c>
      <c r="AI24" s="30">
        <f>VLOOKUP($C24,BAU_Demands!$B$3:$BK$48,BAU_Demands!AG$1,0)</f>
        <v>0.91979999999999995</v>
      </c>
      <c r="AJ24" s="30">
        <f>VLOOKUP($C24,BAU_Demands!$B$3:$BK$48,BAU_Demands!AH$1,0)</f>
        <v>0.91979999999999995</v>
      </c>
      <c r="AK24" s="30">
        <f>VLOOKUP($C24,BAU_Demands!$B$3:$BK$48,BAU_Demands!AI$1,0)</f>
        <v>0.91979999999999995</v>
      </c>
      <c r="AL24" s="30">
        <f>VLOOKUP($C24,BAU_Demands!$B$3:$BK$48,BAU_Demands!AJ$1,0)</f>
        <v>0.91979999999999995</v>
      </c>
      <c r="AM24" s="30">
        <f>VLOOKUP($C24,BAU_Demands!$B$3:$BK$48,BAU_Demands!AK$1,0)</f>
        <v>0.91979999999999995</v>
      </c>
      <c r="AN24" s="30">
        <f>VLOOKUP($C24,BAU_Demands!$B$3:$BK$48,BAU_Demands!AL$1,0)</f>
        <v>0.91979999999999995</v>
      </c>
      <c r="AO24" s="30">
        <f>VLOOKUP($C24,BAU_Demands!$B$3:$BK$48,BAU_Demands!AM$1,0)</f>
        <v>0.91979999999999995</v>
      </c>
      <c r="AP24" s="30">
        <f>VLOOKUP($C24,BAU_Demands!$B$3:$BK$48,BAU_Demands!AN$1,0)</f>
        <v>0.91979999999999995</v>
      </c>
      <c r="AQ24" s="30">
        <f>VLOOKUP($C24,BAU_Demands!$B$3:$BK$48,BAU_Demands!AO$1,0)</f>
        <v>0.91979999999999995</v>
      </c>
      <c r="AR24" s="30">
        <f>VLOOKUP($C24,BAU_Demands!$B$3:$BK$48,BAU_Demands!AP$1,0)</f>
        <v>0.91979999999999995</v>
      </c>
      <c r="AS24" s="30">
        <f>VLOOKUP($C24,BAU_Demands!$B$3:$BK$48,BAU_Demands!AQ$1,0)</f>
        <v>0.91979999999999995</v>
      </c>
      <c r="AT24" s="30">
        <f>VLOOKUP($C24,BAU_Demands!$B$3:$BK$48,BAU_Demands!AR$1,0)</f>
        <v>0.91979999999999995</v>
      </c>
      <c r="AU24" s="30">
        <f>VLOOKUP($C24,BAU_Demands!$B$3:$BK$48,BAU_Demands!AS$1,0)</f>
        <v>0.91979999999999995</v>
      </c>
      <c r="AV24" s="30">
        <f>VLOOKUP($C24,BAU_Demands!$B$3:$BK$48,BAU_Demands!AT$1,0)</f>
        <v>0.91979999999999995</v>
      </c>
      <c r="AW24" s="30">
        <f>VLOOKUP($C24,BAU_Demands!$B$3:$BK$48,BAU_Demands!AU$1,0)</f>
        <v>0.91979999999999995</v>
      </c>
      <c r="AX24" s="30">
        <f>VLOOKUP($C24,BAU_Demands!$B$3:$BK$48,BAU_Demands!AV$1,0)</f>
        <v>0.91979999999999995</v>
      </c>
      <c r="AY24" s="30">
        <f>VLOOKUP($C24,BAU_Demands!$B$3:$BK$48,BAU_Demands!AW$1,0)</f>
        <v>0.91979999999999995</v>
      </c>
      <c r="AZ24" s="30">
        <f>VLOOKUP($C24,BAU_Demands!$B$3:$BK$48,BAU_Demands!AX$1,0)</f>
        <v>0.91979999999999995</v>
      </c>
      <c r="BA24" s="30">
        <f>VLOOKUP($C24,BAU_Demands!$B$3:$BK$48,BAU_Demands!AY$1,0)</f>
        <v>0.91979999999999995</v>
      </c>
      <c r="BB24" s="30">
        <f>VLOOKUP($C24,BAU_Demands!$B$3:$BK$48,BAU_Demands!AZ$1,0)</f>
        <v>0.91979999999999995</v>
      </c>
      <c r="BC24" s="30">
        <f>VLOOKUP($C24,BAU_Demands!$B$3:$BK$48,BAU_Demands!BA$1,0)</f>
        <v>0.91979999999999995</v>
      </c>
      <c r="BD24" s="30">
        <f>VLOOKUP($C24,BAU_Demands!$B$3:$BK$48,BAU_Demands!BB$1,0)</f>
        <v>0.91979999999999995</v>
      </c>
      <c r="BE24" s="30">
        <f>VLOOKUP($C24,BAU_Demands!$B$3:$BK$48,BAU_Demands!BC$1,0)</f>
        <v>0.91979999999999995</v>
      </c>
      <c r="BF24" s="30">
        <f>VLOOKUP($C24,BAU_Demands!$B$3:$BK$48,BAU_Demands!BD$1,0)</f>
        <v>0.91979999999999995</v>
      </c>
      <c r="BG24" s="30">
        <f>VLOOKUP($C24,BAU_Demands!$B$3:$BK$48,BAU_Demands!BE$1,0)</f>
        <v>0.91979999999999995</v>
      </c>
      <c r="BH24" s="30">
        <f>VLOOKUP($C24,BAU_Demands!$B$3:$BK$48,BAU_Demands!BF$1,0)</f>
        <v>0.91979999999999995</v>
      </c>
      <c r="BI24" s="30">
        <f>VLOOKUP($C24,BAU_Demands!$B$3:$BK$48,BAU_Demands!BG$1,0)</f>
        <v>0.91979999999999995</v>
      </c>
      <c r="BJ24" s="30">
        <f>VLOOKUP($C24,BAU_Demands!$B$3:$BK$48,BAU_Demands!BH$1,0)</f>
        <v>0.91979999999999995</v>
      </c>
      <c r="BK24" s="30">
        <f>VLOOKUP($C24,BAU_Demands!$B$3:$BK$48,BAU_Demands!BI$1,0)</f>
        <v>0.91979999999999995</v>
      </c>
      <c r="BL24" s="30">
        <f>VLOOKUP($C24,BAU_Demands!$B$3:$BK$48,BAU_Demands!BJ$1,0)</f>
        <v>0.91979999999999995</v>
      </c>
      <c r="BM24" s="30">
        <f>VLOOKUP($C24,BAU_Demands!$B$3:$BK$48,BAU_Demands!BK$1,0)</f>
        <v>0.91979999999999995</v>
      </c>
    </row>
    <row r="25" spans="1:65" ht="15.75" hidden="1" customHeight="1">
      <c r="A25" s="314" t="s">
        <v>457</v>
      </c>
      <c r="B25" s="314" t="s">
        <v>458</v>
      </c>
      <c r="C25" s="314" t="s">
        <v>509</v>
      </c>
      <c r="D25" s="314" t="s">
        <v>460</v>
      </c>
      <c r="E25" s="314" t="s">
        <v>510</v>
      </c>
      <c r="F25" s="314" t="s">
        <v>462</v>
      </c>
      <c r="G25" s="314" t="s">
        <v>463</v>
      </c>
      <c r="H25" s="314" t="s">
        <v>464</v>
      </c>
      <c r="I25" s="314"/>
      <c r="J25" s="314"/>
      <c r="K25" s="314"/>
      <c r="L25" s="314"/>
      <c r="M25" s="314">
        <f>VLOOKUP($C25,BAU_Demands!$B$3:$BK$48,BAU_Demands!K$1,0)</f>
        <v>92.112073050000006</v>
      </c>
      <c r="N25" s="314">
        <f>VLOOKUP($C25,BAU_Demands!$B$3:$BK$48,BAU_Demands!L$1,0)</f>
        <v>85.703651559999997</v>
      </c>
      <c r="O25" s="314">
        <f>VLOOKUP($C25,BAU_Demands!$B$3:$BK$48,BAU_Demands!M$1,0)</f>
        <v>85.165860319999993</v>
      </c>
      <c r="P25" s="314">
        <f>VLOOKUP($C25,BAU_Demands!$B$3:$BK$48,BAU_Demands!N$1,0)</f>
        <v>88.949461310000004</v>
      </c>
      <c r="Q25" s="314">
        <f>VLOOKUP($C25,BAU_Demands!$B$3:$BK$48,BAU_Demands!O$1,0)</f>
        <v>91.65</v>
      </c>
      <c r="R25" s="314">
        <f>VLOOKUP($C25,BAU_Demands!$B$3:$BK$48,BAU_Demands!P$1,0)</f>
        <v>89.88</v>
      </c>
      <c r="S25" s="314">
        <f>VLOOKUP($C25,BAU_Demands!$B$3:$BK$48,BAU_Demands!Q$1,0)</f>
        <v>91.46</v>
      </c>
      <c r="T25" s="314">
        <f>VLOOKUP($C25,BAU_Demands!$B$3:$BK$48,BAU_Demands!R$1,0)</f>
        <v>90.16</v>
      </c>
      <c r="U25" s="314">
        <f>VLOOKUP($C25,BAU_Demands!$B$3:$BK$48,BAU_Demands!S$1,0)</f>
        <v>91.68</v>
      </c>
      <c r="V25" s="314">
        <f>VLOOKUP($C25,BAU_Demands!$B$3:$BK$48,BAU_Demands!T$1,0)</f>
        <v>90.04</v>
      </c>
      <c r="W25" s="314">
        <f>VLOOKUP($C25,BAU_Demands!$B$3:$BK$48,BAU_Demands!U$1,0)</f>
        <v>91.36</v>
      </c>
      <c r="X25" s="314">
        <f>VLOOKUP($C25,BAU_Demands!$B$3:$BK$48,BAU_Demands!V$1,0)</f>
        <v>90.61</v>
      </c>
      <c r="Y25" s="314">
        <f>VLOOKUP($C25,BAU_Demands!$B$3:$BK$48,BAU_Demands!W$1,0)</f>
        <v>91.51</v>
      </c>
      <c r="Z25" s="314">
        <f>VLOOKUP($C25,BAU_Demands!$B$3:$BK$48,BAU_Demands!X$1,0)</f>
        <v>90.24</v>
      </c>
      <c r="AA25" s="314">
        <f>VLOOKUP($C25,BAU_Demands!$B$3:$BK$48,BAU_Demands!Y$1,0)</f>
        <v>91.39</v>
      </c>
      <c r="AB25" s="314">
        <f>VLOOKUP($C25,BAU_Demands!$B$3:$BK$48,BAU_Demands!Z$1,0)</f>
        <v>90.45</v>
      </c>
      <c r="AC25" s="314">
        <f>VLOOKUP($C25,BAU_Demands!$B$3:$BK$48,BAU_Demands!AA$1,0)</f>
        <v>91.37</v>
      </c>
      <c r="AD25" s="314">
        <f>VLOOKUP($C25,BAU_Demands!$B$3:$BK$48,BAU_Demands!AB$1,0)</f>
        <v>90.76</v>
      </c>
      <c r="AE25" s="314">
        <f>VLOOKUP($C25,BAU_Demands!$B$3:$BK$48,BAU_Demands!AC$1,0)</f>
        <v>91.23</v>
      </c>
      <c r="AF25" s="314">
        <f>VLOOKUP($C25,BAU_Demands!$B$3:$BK$48,BAU_Demands!AD$1,0)</f>
        <v>90.86</v>
      </c>
      <c r="AG25" s="314">
        <f>VLOOKUP($C25,BAU_Demands!$B$3:$BK$48,BAU_Demands!AE$1,0)</f>
        <v>91.27</v>
      </c>
      <c r="AH25" s="314">
        <f>VLOOKUP($C25,BAU_Demands!$B$3:$BK$48,BAU_Demands!AF$1,0)</f>
        <v>90.79</v>
      </c>
      <c r="AI25" s="314">
        <f>VLOOKUP($C25,BAU_Demands!$B$3:$BK$48,BAU_Demands!AG$1,0)</f>
        <v>91.27</v>
      </c>
      <c r="AJ25" s="314">
        <f>VLOOKUP($C25,BAU_Demands!$B$3:$BK$48,BAU_Demands!AH$1,0)</f>
        <v>90.93</v>
      </c>
      <c r="AK25" s="314">
        <f>VLOOKUP($C25,BAU_Demands!$B$3:$BK$48,BAU_Demands!AI$1,0)</f>
        <v>91.26</v>
      </c>
      <c r="AL25" s="314">
        <f>VLOOKUP($C25,BAU_Demands!$B$3:$BK$48,BAU_Demands!AJ$1,0)</f>
        <v>91.21</v>
      </c>
      <c r="AM25" s="314">
        <f>VLOOKUP($C25,BAU_Demands!$B$3:$BK$48,BAU_Demands!AK$1,0)</f>
        <v>91.25</v>
      </c>
      <c r="AN25" s="314">
        <f>VLOOKUP($C25,BAU_Demands!$B$3:$BK$48,BAU_Demands!AL$1,0)</f>
        <v>91.18</v>
      </c>
      <c r="AO25" s="314">
        <f>VLOOKUP($C25,BAU_Demands!$B$3:$BK$48,BAU_Demands!AM$1,0)</f>
        <v>91.18</v>
      </c>
      <c r="AP25" s="314">
        <f>VLOOKUP($C25,BAU_Demands!$B$3:$BK$48,BAU_Demands!AN$1,0)</f>
        <v>91.21</v>
      </c>
      <c r="AQ25" s="314">
        <f>VLOOKUP($C25,BAU_Demands!$B$3:$BK$48,BAU_Demands!AO$1,0)</f>
        <v>91.39</v>
      </c>
      <c r="AR25" s="314">
        <f>VLOOKUP($C25,BAU_Demands!$B$3:$BK$48,BAU_Demands!AP$1,0)</f>
        <v>91.23</v>
      </c>
      <c r="AS25" s="314">
        <f>VLOOKUP($C25,BAU_Demands!$B$3:$BK$48,BAU_Demands!AQ$1,0)</f>
        <v>91.37</v>
      </c>
      <c r="AT25" s="314">
        <f>VLOOKUP($C25,BAU_Demands!$B$3:$BK$48,BAU_Demands!AR$1,0)</f>
        <v>91.22</v>
      </c>
      <c r="AU25" s="314">
        <f>VLOOKUP($C25,BAU_Demands!$B$3:$BK$48,BAU_Demands!AS$1,0)</f>
        <v>91.22</v>
      </c>
      <c r="AV25" s="314">
        <f>VLOOKUP($C25,BAU_Demands!$B$3:$BK$48,BAU_Demands!AT$1,0)</f>
        <v>91.25</v>
      </c>
      <c r="AW25" s="314">
        <f>VLOOKUP($C25,BAU_Demands!$B$3:$BK$48,BAU_Demands!AU$1,0)</f>
        <v>91.25</v>
      </c>
      <c r="AX25" s="314">
        <f>VLOOKUP($C25,BAU_Demands!$B$3:$BK$48,BAU_Demands!AV$1,0)</f>
        <v>91.25</v>
      </c>
      <c r="AY25" s="314">
        <f>VLOOKUP($C25,BAU_Demands!$B$3:$BK$48,BAU_Demands!AW$1,0)</f>
        <v>91.25</v>
      </c>
      <c r="AZ25" s="314">
        <f>VLOOKUP($C25,BAU_Demands!$B$3:$BK$48,BAU_Demands!AX$1,0)</f>
        <v>91.26</v>
      </c>
      <c r="BA25" s="314">
        <f>VLOOKUP($C25,BAU_Demands!$B$3:$BK$48,BAU_Demands!AY$1,0)</f>
        <v>91.27</v>
      </c>
      <c r="BB25" s="314">
        <f>VLOOKUP($C25,BAU_Demands!$B$3:$BK$48,BAU_Demands!AZ$1,0)</f>
        <v>91.27</v>
      </c>
      <c r="BC25" s="314">
        <f>VLOOKUP($C25,BAU_Demands!$B$3:$BK$48,BAU_Demands!BA$1,0)</f>
        <v>91.26</v>
      </c>
      <c r="BD25" s="314">
        <f>VLOOKUP($C25,BAU_Demands!$B$3:$BK$48,BAU_Demands!BB$1,0)</f>
        <v>91.26</v>
      </c>
      <c r="BE25" s="314">
        <f>VLOOKUP($C25,BAU_Demands!$B$3:$BK$48,BAU_Demands!BC$1,0)</f>
        <v>91.25</v>
      </c>
      <c r="BF25" s="314">
        <f>VLOOKUP($C25,BAU_Demands!$B$3:$BK$48,BAU_Demands!BD$1,0)</f>
        <v>91.25</v>
      </c>
      <c r="BG25" s="314">
        <f>VLOOKUP($C25,BAU_Demands!$B$3:$BK$48,BAU_Demands!BE$1,0)</f>
        <v>91.25</v>
      </c>
      <c r="BH25" s="314">
        <f>VLOOKUP($C25,BAU_Demands!$B$3:$BK$48,BAU_Demands!BF$1,0)</f>
        <v>91.25</v>
      </c>
      <c r="BI25" s="314">
        <f>VLOOKUP($C25,BAU_Demands!$B$3:$BK$48,BAU_Demands!BG$1,0)</f>
        <v>91.26</v>
      </c>
      <c r="BJ25" s="314">
        <f>VLOOKUP($C25,BAU_Demands!$B$3:$BK$48,BAU_Demands!BH$1,0)</f>
        <v>91.26</v>
      </c>
      <c r="BK25" s="314">
        <f>VLOOKUP($C25,BAU_Demands!$B$3:$BK$48,BAU_Demands!BI$1,0)</f>
        <v>91.26</v>
      </c>
      <c r="BL25" s="314">
        <f>VLOOKUP($C25,BAU_Demands!$B$3:$BK$48,BAU_Demands!BJ$1,0)</f>
        <v>91.26</v>
      </c>
      <c r="BM25" s="314">
        <f>VLOOKUP($C25,BAU_Demands!$B$3:$BK$48,BAU_Demands!BK$1,0)</f>
        <v>91.26</v>
      </c>
    </row>
    <row r="26" spans="1:65" ht="15.75" hidden="1" customHeight="1">
      <c r="A26" s="314" t="s">
        <v>457</v>
      </c>
      <c r="B26" s="314" t="s">
        <v>458</v>
      </c>
      <c r="C26" s="314" t="s">
        <v>511</v>
      </c>
      <c r="D26" s="314" t="s">
        <v>460</v>
      </c>
      <c r="E26" s="314" t="s">
        <v>512</v>
      </c>
      <c r="F26" s="314" t="s">
        <v>462</v>
      </c>
      <c r="G26" s="314" t="s">
        <v>463</v>
      </c>
      <c r="H26" s="314" t="s">
        <v>464</v>
      </c>
      <c r="I26" s="314"/>
      <c r="J26" s="314"/>
      <c r="K26" s="314"/>
      <c r="L26" s="314"/>
      <c r="M26" s="314">
        <f>VLOOKUP($C26,BAU_Demands!$B$3:$BK$48,BAU_Demands!K$1,0)</f>
        <v>0</v>
      </c>
      <c r="N26" s="314">
        <f>VLOOKUP($C26,BAU_Demands!$B$3:$BK$48,BAU_Demands!L$1,0)</f>
        <v>0</v>
      </c>
      <c r="O26" s="314">
        <f>VLOOKUP($C26,BAU_Demands!$B$3:$BK$48,BAU_Demands!M$1,0)</f>
        <v>0</v>
      </c>
      <c r="P26" s="314">
        <f>VLOOKUP($C26,BAU_Demands!$B$3:$BK$48,BAU_Demands!N$1,0)</f>
        <v>0</v>
      </c>
      <c r="Q26" s="314">
        <f>VLOOKUP($C26,BAU_Demands!$B$3:$BK$48,BAU_Demands!O$1,0)</f>
        <v>0</v>
      </c>
      <c r="R26" s="314">
        <f>VLOOKUP($C26,BAU_Demands!$B$3:$BK$48,BAU_Demands!P$1,0)</f>
        <v>0</v>
      </c>
      <c r="S26" s="314">
        <f>VLOOKUP($C26,BAU_Demands!$B$3:$BK$48,BAU_Demands!Q$1,0)</f>
        <v>0</v>
      </c>
      <c r="T26" s="314">
        <f>VLOOKUP($C26,BAU_Demands!$B$3:$BK$48,BAU_Demands!R$1,0)</f>
        <v>0</v>
      </c>
      <c r="U26" s="314">
        <f>VLOOKUP($C26,BAU_Demands!$B$3:$BK$48,BAU_Demands!S$1,0)</f>
        <v>0</v>
      </c>
      <c r="V26" s="314">
        <f>VLOOKUP($C26,BAU_Demands!$B$3:$BK$48,BAU_Demands!T$1,0)</f>
        <v>0</v>
      </c>
      <c r="W26" s="314">
        <f>VLOOKUP($C26,BAU_Demands!$B$3:$BK$48,BAU_Demands!U$1,0)</f>
        <v>0</v>
      </c>
      <c r="X26" s="314">
        <f>VLOOKUP($C26,BAU_Demands!$B$3:$BK$48,BAU_Demands!V$1,0)</f>
        <v>0</v>
      </c>
      <c r="Y26" s="314">
        <f>VLOOKUP($C26,BAU_Demands!$B$3:$BK$48,BAU_Demands!W$1,0)</f>
        <v>0</v>
      </c>
      <c r="Z26" s="314">
        <f>VLOOKUP($C26,BAU_Demands!$B$3:$BK$48,BAU_Demands!X$1,0)</f>
        <v>0</v>
      </c>
      <c r="AA26" s="314">
        <f>VLOOKUP($C26,BAU_Demands!$B$3:$BK$48,BAU_Demands!Y$1,0)</f>
        <v>0</v>
      </c>
      <c r="AB26" s="314">
        <f>VLOOKUP($C26,BAU_Demands!$B$3:$BK$48,BAU_Demands!Z$1,0)</f>
        <v>0</v>
      </c>
      <c r="AC26" s="314">
        <f>VLOOKUP($C26,BAU_Demands!$B$3:$BK$48,BAU_Demands!AA$1,0)</f>
        <v>0</v>
      </c>
      <c r="AD26" s="314">
        <f>VLOOKUP($C26,BAU_Demands!$B$3:$BK$48,BAU_Demands!AB$1,0)</f>
        <v>0</v>
      </c>
      <c r="AE26" s="314">
        <f>VLOOKUP($C26,BAU_Demands!$B$3:$BK$48,BAU_Demands!AC$1,0)</f>
        <v>0</v>
      </c>
      <c r="AF26" s="314">
        <f>VLOOKUP($C26,BAU_Demands!$B$3:$BK$48,BAU_Demands!AD$1,0)</f>
        <v>0</v>
      </c>
      <c r="AG26" s="314">
        <f>VLOOKUP($C26,BAU_Demands!$B$3:$BK$48,BAU_Demands!AE$1,0)</f>
        <v>0</v>
      </c>
      <c r="AH26" s="314">
        <f>VLOOKUP($C26,BAU_Demands!$B$3:$BK$48,BAU_Demands!AF$1,0)</f>
        <v>0</v>
      </c>
      <c r="AI26" s="314">
        <f>VLOOKUP($C26,BAU_Demands!$B$3:$BK$48,BAU_Demands!AG$1,0)</f>
        <v>0</v>
      </c>
      <c r="AJ26" s="314">
        <f>VLOOKUP($C26,BAU_Demands!$B$3:$BK$48,BAU_Demands!AH$1,0)</f>
        <v>0</v>
      </c>
      <c r="AK26" s="314">
        <f>VLOOKUP($C26,BAU_Demands!$B$3:$BK$48,BAU_Demands!AI$1,0)</f>
        <v>0</v>
      </c>
      <c r="AL26" s="314">
        <f>VLOOKUP($C26,BAU_Demands!$B$3:$BK$48,BAU_Demands!AJ$1,0)</f>
        <v>0</v>
      </c>
      <c r="AM26" s="314">
        <f>VLOOKUP($C26,BAU_Demands!$B$3:$BK$48,BAU_Demands!AK$1,0)</f>
        <v>0</v>
      </c>
      <c r="AN26" s="314">
        <f>VLOOKUP($C26,BAU_Demands!$B$3:$BK$48,BAU_Demands!AL$1,0)</f>
        <v>0</v>
      </c>
      <c r="AO26" s="314">
        <f>VLOOKUP($C26,BAU_Demands!$B$3:$BK$48,BAU_Demands!AM$1,0)</f>
        <v>0</v>
      </c>
      <c r="AP26" s="314">
        <f>VLOOKUP($C26,BAU_Demands!$B$3:$BK$48,BAU_Demands!AN$1,0)</f>
        <v>0</v>
      </c>
      <c r="AQ26" s="314">
        <f>VLOOKUP($C26,BAU_Demands!$B$3:$BK$48,BAU_Demands!AO$1,0)</f>
        <v>0</v>
      </c>
      <c r="AR26" s="314">
        <f>VLOOKUP($C26,BAU_Demands!$B$3:$BK$48,BAU_Demands!AP$1,0)</f>
        <v>0</v>
      </c>
      <c r="AS26" s="314">
        <f>VLOOKUP($C26,BAU_Demands!$B$3:$BK$48,BAU_Demands!AQ$1,0)</f>
        <v>0</v>
      </c>
      <c r="AT26" s="314">
        <f>VLOOKUP($C26,BAU_Demands!$B$3:$BK$48,BAU_Demands!AR$1,0)</f>
        <v>0</v>
      </c>
      <c r="AU26" s="314">
        <f>VLOOKUP($C26,BAU_Demands!$B$3:$BK$48,BAU_Demands!AS$1,0)</f>
        <v>0</v>
      </c>
      <c r="AV26" s="314">
        <f>VLOOKUP($C26,BAU_Demands!$B$3:$BK$48,BAU_Demands!AT$1,0)</f>
        <v>0</v>
      </c>
      <c r="AW26" s="314">
        <f>VLOOKUP($C26,BAU_Demands!$B$3:$BK$48,BAU_Demands!AU$1,0)</f>
        <v>0</v>
      </c>
      <c r="AX26" s="314">
        <f>VLOOKUP($C26,BAU_Demands!$B$3:$BK$48,BAU_Demands!AV$1,0)</f>
        <v>0</v>
      </c>
      <c r="AY26" s="314">
        <f>VLOOKUP($C26,BAU_Demands!$B$3:$BK$48,BAU_Demands!AW$1,0)</f>
        <v>0</v>
      </c>
      <c r="AZ26" s="314">
        <f>VLOOKUP($C26,BAU_Demands!$B$3:$BK$48,BAU_Demands!AX$1,0)</f>
        <v>0</v>
      </c>
      <c r="BA26" s="314">
        <f>VLOOKUP($C26,BAU_Demands!$B$3:$BK$48,BAU_Demands!AY$1,0)</f>
        <v>0</v>
      </c>
      <c r="BB26" s="314">
        <f>VLOOKUP($C26,BAU_Demands!$B$3:$BK$48,BAU_Demands!AZ$1,0)</f>
        <v>0</v>
      </c>
      <c r="BC26" s="314">
        <f>VLOOKUP($C26,BAU_Demands!$B$3:$BK$48,BAU_Demands!BA$1,0)</f>
        <v>0</v>
      </c>
      <c r="BD26" s="314">
        <f>VLOOKUP($C26,BAU_Demands!$B$3:$BK$48,BAU_Demands!BB$1,0)</f>
        <v>0</v>
      </c>
      <c r="BE26" s="314">
        <f>VLOOKUP($C26,BAU_Demands!$B$3:$BK$48,BAU_Demands!BC$1,0)</f>
        <v>0</v>
      </c>
      <c r="BF26" s="314">
        <f>VLOOKUP($C26,BAU_Demands!$B$3:$BK$48,BAU_Demands!BD$1,0)</f>
        <v>0</v>
      </c>
      <c r="BG26" s="314">
        <f>VLOOKUP($C26,BAU_Demands!$B$3:$BK$48,BAU_Demands!BE$1,0)</f>
        <v>0</v>
      </c>
      <c r="BH26" s="314">
        <f>VLOOKUP($C26,BAU_Demands!$B$3:$BK$48,BAU_Demands!BF$1,0)</f>
        <v>0</v>
      </c>
      <c r="BI26" s="314">
        <f>VLOOKUP($C26,BAU_Demands!$B$3:$BK$48,BAU_Demands!BG$1,0)</f>
        <v>0</v>
      </c>
      <c r="BJ26" s="314">
        <f>VLOOKUP($C26,BAU_Demands!$B$3:$BK$48,BAU_Demands!BH$1,0)</f>
        <v>0</v>
      </c>
      <c r="BK26" s="314">
        <f>VLOOKUP($C26,BAU_Demands!$B$3:$BK$48,BAU_Demands!BI$1,0)</f>
        <v>0</v>
      </c>
      <c r="BL26" s="314">
        <f>VLOOKUP($C26,BAU_Demands!$B$3:$BK$48,BAU_Demands!BJ$1,0)</f>
        <v>0</v>
      </c>
      <c r="BM26" s="314">
        <f>VLOOKUP($C26,BAU_Demands!$B$3:$BK$48,BAU_Demands!BK$1,0)</f>
        <v>0</v>
      </c>
    </row>
    <row r="27" spans="1:65" ht="15.75" hidden="1" customHeight="1">
      <c r="A27" s="314" t="s">
        <v>457</v>
      </c>
      <c r="B27" s="314" t="s">
        <v>458</v>
      </c>
      <c r="C27" s="314" t="s">
        <v>513</v>
      </c>
      <c r="D27" s="314" t="s">
        <v>460</v>
      </c>
      <c r="E27" s="314" t="s">
        <v>514</v>
      </c>
      <c r="F27" s="314" t="s">
        <v>462</v>
      </c>
      <c r="G27" s="314" t="s">
        <v>463</v>
      </c>
      <c r="H27" s="314" t="s">
        <v>464</v>
      </c>
      <c r="I27" s="314"/>
      <c r="J27" s="314"/>
      <c r="K27" s="314"/>
      <c r="L27" s="314"/>
      <c r="M27" s="314">
        <f>VLOOKUP($C27,BAU_Demands!$B$3:$BK$48,BAU_Demands!K$1,0)</f>
        <v>0</v>
      </c>
      <c r="N27" s="314">
        <f>VLOOKUP($C27,BAU_Demands!$B$3:$BK$48,BAU_Demands!L$1,0)</f>
        <v>0.12451092</v>
      </c>
      <c r="O27" s="314">
        <f>VLOOKUP($C27,BAU_Demands!$B$3:$BK$48,BAU_Demands!M$1,0)</f>
        <v>0</v>
      </c>
      <c r="P27" s="314">
        <f>VLOOKUP($C27,BAU_Demands!$B$3:$BK$48,BAU_Demands!N$1,0)</f>
        <v>3.9361462349999998</v>
      </c>
      <c r="Q27" s="314">
        <f>VLOOKUP($C27,BAU_Demands!$B$3:$BK$48,BAU_Demands!O$1,0)</f>
        <v>0</v>
      </c>
      <c r="R27" s="314">
        <f>VLOOKUP($C27,BAU_Demands!$B$3:$BK$48,BAU_Demands!P$1,0)</f>
        <v>0</v>
      </c>
      <c r="S27" s="314">
        <f>VLOOKUP($C27,BAU_Demands!$B$3:$BK$48,BAU_Demands!Q$1,0)</f>
        <v>0</v>
      </c>
      <c r="T27" s="314">
        <f>VLOOKUP($C27,BAU_Demands!$B$3:$BK$48,BAU_Demands!R$1,0)</f>
        <v>0</v>
      </c>
      <c r="U27" s="314">
        <f>VLOOKUP($C27,BAU_Demands!$B$3:$BK$48,BAU_Demands!S$1,0)</f>
        <v>0</v>
      </c>
      <c r="V27" s="314">
        <f>VLOOKUP($C27,BAU_Demands!$B$3:$BK$48,BAU_Demands!T$1,0)</f>
        <v>0</v>
      </c>
      <c r="W27" s="314">
        <f>VLOOKUP($C27,BAU_Demands!$B$3:$BK$48,BAU_Demands!U$1,0)</f>
        <v>0</v>
      </c>
      <c r="X27" s="314">
        <f>VLOOKUP($C27,BAU_Demands!$B$3:$BK$48,BAU_Demands!V$1,0)</f>
        <v>0</v>
      </c>
      <c r="Y27" s="314">
        <f>VLOOKUP($C27,BAU_Demands!$B$3:$BK$48,BAU_Demands!W$1,0)</f>
        <v>0</v>
      </c>
      <c r="Z27" s="314">
        <f>VLOOKUP($C27,BAU_Demands!$B$3:$BK$48,BAU_Demands!X$1,0)</f>
        <v>0</v>
      </c>
      <c r="AA27" s="314">
        <f>VLOOKUP($C27,BAU_Demands!$B$3:$BK$48,BAU_Demands!Y$1,0)</f>
        <v>0</v>
      </c>
      <c r="AB27" s="314">
        <f>VLOOKUP($C27,BAU_Demands!$B$3:$BK$48,BAU_Demands!Z$1,0)</f>
        <v>0</v>
      </c>
      <c r="AC27" s="314">
        <f>VLOOKUP($C27,BAU_Demands!$B$3:$BK$48,BAU_Demands!AA$1,0)</f>
        <v>0</v>
      </c>
      <c r="AD27" s="314">
        <f>VLOOKUP($C27,BAU_Demands!$B$3:$BK$48,BAU_Demands!AB$1,0)</f>
        <v>0</v>
      </c>
      <c r="AE27" s="314">
        <f>VLOOKUP($C27,BAU_Demands!$B$3:$BK$48,BAU_Demands!AC$1,0)</f>
        <v>0</v>
      </c>
      <c r="AF27" s="314">
        <f>VLOOKUP($C27,BAU_Demands!$B$3:$BK$48,BAU_Demands!AD$1,0)</f>
        <v>0</v>
      </c>
      <c r="AG27" s="314">
        <f>VLOOKUP($C27,BAU_Demands!$B$3:$BK$48,BAU_Demands!AE$1,0)</f>
        <v>0</v>
      </c>
      <c r="AH27" s="314">
        <f>VLOOKUP($C27,BAU_Demands!$B$3:$BK$48,BAU_Demands!AF$1,0)</f>
        <v>0</v>
      </c>
      <c r="AI27" s="314">
        <f>VLOOKUP($C27,BAU_Demands!$B$3:$BK$48,BAU_Demands!AG$1,0)</f>
        <v>0</v>
      </c>
      <c r="AJ27" s="314">
        <f>VLOOKUP($C27,BAU_Demands!$B$3:$BK$48,BAU_Demands!AH$1,0)</f>
        <v>0</v>
      </c>
      <c r="AK27" s="314">
        <f>VLOOKUP($C27,BAU_Demands!$B$3:$BK$48,BAU_Demands!AI$1,0)</f>
        <v>0</v>
      </c>
      <c r="AL27" s="314">
        <f>VLOOKUP($C27,BAU_Demands!$B$3:$BK$48,BAU_Demands!AJ$1,0)</f>
        <v>0</v>
      </c>
      <c r="AM27" s="314">
        <f>VLOOKUP($C27,BAU_Demands!$B$3:$BK$48,BAU_Demands!AK$1,0)</f>
        <v>0</v>
      </c>
      <c r="AN27" s="314">
        <f>VLOOKUP($C27,BAU_Demands!$B$3:$BK$48,BAU_Demands!AL$1,0)</f>
        <v>0</v>
      </c>
      <c r="AO27" s="314">
        <f>VLOOKUP($C27,BAU_Demands!$B$3:$BK$48,BAU_Demands!AM$1,0)</f>
        <v>0</v>
      </c>
      <c r="AP27" s="314">
        <f>VLOOKUP($C27,BAU_Demands!$B$3:$BK$48,BAU_Demands!AN$1,0)</f>
        <v>0</v>
      </c>
      <c r="AQ27" s="314">
        <f>VLOOKUP($C27,BAU_Demands!$B$3:$BK$48,BAU_Demands!AO$1,0)</f>
        <v>0</v>
      </c>
      <c r="AR27" s="314">
        <f>VLOOKUP($C27,BAU_Demands!$B$3:$BK$48,BAU_Demands!AP$1,0)</f>
        <v>0</v>
      </c>
      <c r="AS27" s="314">
        <f>VLOOKUP($C27,BAU_Demands!$B$3:$BK$48,BAU_Demands!AQ$1,0)</f>
        <v>0</v>
      </c>
      <c r="AT27" s="314">
        <f>VLOOKUP($C27,BAU_Demands!$B$3:$BK$48,BAU_Demands!AR$1,0)</f>
        <v>0</v>
      </c>
      <c r="AU27" s="314">
        <f>VLOOKUP($C27,BAU_Demands!$B$3:$BK$48,BAU_Demands!AS$1,0)</f>
        <v>0</v>
      </c>
      <c r="AV27" s="314">
        <f>VLOOKUP($C27,BAU_Demands!$B$3:$BK$48,BAU_Demands!AT$1,0)</f>
        <v>0</v>
      </c>
      <c r="AW27" s="314">
        <f>VLOOKUP($C27,BAU_Demands!$B$3:$BK$48,BAU_Demands!AU$1,0)</f>
        <v>0</v>
      </c>
      <c r="AX27" s="314">
        <f>VLOOKUP($C27,BAU_Demands!$B$3:$BK$48,BAU_Demands!AV$1,0)</f>
        <v>0</v>
      </c>
      <c r="AY27" s="314">
        <f>VLOOKUP($C27,BAU_Demands!$B$3:$BK$48,BAU_Demands!AW$1,0)</f>
        <v>0</v>
      </c>
      <c r="AZ27" s="314">
        <f>VLOOKUP($C27,BAU_Demands!$B$3:$BK$48,BAU_Demands!AX$1,0)</f>
        <v>0</v>
      </c>
      <c r="BA27" s="314">
        <f>VLOOKUP($C27,BAU_Demands!$B$3:$BK$48,BAU_Demands!AY$1,0)</f>
        <v>0</v>
      </c>
      <c r="BB27" s="314">
        <f>VLOOKUP($C27,BAU_Demands!$B$3:$BK$48,BAU_Demands!AZ$1,0)</f>
        <v>0</v>
      </c>
      <c r="BC27" s="314">
        <f>VLOOKUP($C27,BAU_Demands!$B$3:$BK$48,BAU_Demands!BA$1,0)</f>
        <v>0</v>
      </c>
      <c r="BD27" s="314">
        <f>VLOOKUP($C27,BAU_Demands!$B$3:$BK$48,BAU_Demands!BB$1,0)</f>
        <v>0</v>
      </c>
      <c r="BE27" s="314">
        <f>VLOOKUP($C27,BAU_Demands!$B$3:$BK$48,BAU_Demands!BC$1,0)</f>
        <v>0</v>
      </c>
      <c r="BF27" s="314">
        <f>VLOOKUP($C27,BAU_Demands!$B$3:$BK$48,BAU_Demands!BD$1,0)</f>
        <v>0</v>
      </c>
      <c r="BG27" s="314">
        <f>VLOOKUP($C27,BAU_Demands!$B$3:$BK$48,BAU_Demands!BE$1,0)</f>
        <v>0</v>
      </c>
      <c r="BH27" s="314">
        <f>VLOOKUP($C27,BAU_Demands!$B$3:$BK$48,BAU_Demands!BF$1,0)</f>
        <v>0</v>
      </c>
      <c r="BI27" s="314">
        <f>VLOOKUP($C27,BAU_Demands!$B$3:$BK$48,BAU_Demands!BG$1,0)</f>
        <v>0</v>
      </c>
      <c r="BJ27" s="314">
        <f>VLOOKUP($C27,BAU_Demands!$B$3:$BK$48,BAU_Demands!BH$1,0)</f>
        <v>0</v>
      </c>
      <c r="BK27" s="314">
        <f>VLOOKUP($C27,BAU_Demands!$B$3:$BK$48,BAU_Demands!BI$1,0)</f>
        <v>0</v>
      </c>
      <c r="BL27" s="314">
        <f>VLOOKUP($C27,BAU_Demands!$B$3:$BK$48,BAU_Demands!BJ$1,0)</f>
        <v>0</v>
      </c>
      <c r="BM27" s="314">
        <f>VLOOKUP($C27,BAU_Demands!$B$3:$BK$48,BAU_Demands!BK$1,0)</f>
        <v>0</v>
      </c>
    </row>
    <row r="28" spans="1:65" ht="15.75" hidden="1" customHeight="1">
      <c r="A28" s="30" t="s">
        <v>457</v>
      </c>
      <c r="B28" s="30" t="s">
        <v>458</v>
      </c>
      <c r="C28" s="30" t="s">
        <v>515</v>
      </c>
      <c r="D28" s="30" t="s">
        <v>460</v>
      </c>
      <c r="E28" s="30" t="s">
        <v>516</v>
      </c>
      <c r="F28" s="30" t="s">
        <v>462</v>
      </c>
      <c r="G28" s="30" t="s">
        <v>463</v>
      </c>
      <c r="H28" s="30" t="s">
        <v>464</v>
      </c>
      <c r="I28" s="30"/>
      <c r="J28" s="30"/>
      <c r="K28" s="30"/>
      <c r="L28" s="30"/>
      <c r="M28" s="30">
        <f>VLOOKUP($C28,BAU_Demands!$B$3:$BK$48,BAU_Demands!K$1,0)</f>
        <v>0</v>
      </c>
      <c r="N28" s="30">
        <f>VLOOKUP($C28,BAU_Demands!$B$3:$BK$48,BAU_Demands!L$1,0)</f>
        <v>0.173318416</v>
      </c>
      <c r="O28" s="30">
        <f>VLOOKUP($C28,BAU_Demands!$B$3:$BK$48,BAU_Demands!M$1,0)</f>
        <v>0</v>
      </c>
      <c r="P28" s="30">
        <f>VLOOKUP($C28,BAU_Demands!$B$3:$BK$48,BAU_Demands!N$1,0)</f>
        <v>0</v>
      </c>
      <c r="Q28" s="30">
        <f>VLOOKUP($C28,BAU_Demands!$B$3:$BK$48,BAU_Demands!O$1,0)</f>
        <v>0</v>
      </c>
      <c r="R28" s="30">
        <f>VLOOKUP($C28,BAU_Demands!$B$3:$BK$48,BAU_Demands!P$1,0)</f>
        <v>0</v>
      </c>
      <c r="S28" s="30">
        <f>VLOOKUP($C28,BAU_Demands!$B$3:$BK$48,BAU_Demands!Q$1,0)</f>
        <v>0</v>
      </c>
      <c r="T28" s="30">
        <f>VLOOKUP($C28,BAU_Demands!$B$3:$BK$48,BAU_Demands!R$1,0)</f>
        <v>0</v>
      </c>
      <c r="U28" s="30">
        <f>VLOOKUP($C28,BAU_Demands!$B$3:$BK$48,BAU_Demands!S$1,0)</f>
        <v>0</v>
      </c>
      <c r="V28" s="30">
        <f>VLOOKUP($C28,BAU_Demands!$B$3:$BK$48,BAU_Demands!T$1,0)</f>
        <v>0</v>
      </c>
      <c r="W28" s="30">
        <f>VLOOKUP($C28,BAU_Demands!$B$3:$BK$48,BAU_Demands!U$1,0)</f>
        <v>0</v>
      </c>
      <c r="X28" s="30">
        <f>VLOOKUP($C28,BAU_Demands!$B$3:$BK$48,BAU_Demands!V$1,0)</f>
        <v>0</v>
      </c>
      <c r="Y28" s="30">
        <f>VLOOKUP($C28,BAU_Demands!$B$3:$BK$48,BAU_Demands!W$1,0)</f>
        <v>0</v>
      </c>
      <c r="Z28" s="30">
        <f>VLOOKUP($C28,BAU_Demands!$B$3:$BK$48,BAU_Demands!X$1,0)</f>
        <v>0</v>
      </c>
      <c r="AA28" s="30">
        <f>VLOOKUP($C28,BAU_Demands!$B$3:$BK$48,BAU_Demands!Y$1,0)</f>
        <v>0</v>
      </c>
      <c r="AB28" s="30">
        <f>VLOOKUP($C28,BAU_Demands!$B$3:$BK$48,BAU_Demands!Z$1,0)</f>
        <v>0</v>
      </c>
      <c r="AC28" s="30">
        <f>VLOOKUP($C28,BAU_Demands!$B$3:$BK$48,BAU_Demands!AA$1,0)</f>
        <v>0</v>
      </c>
      <c r="AD28" s="30">
        <f>VLOOKUP($C28,BAU_Demands!$B$3:$BK$48,BAU_Demands!AB$1,0)</f>
        <v>0</v>
      </c>
      <c r="AE28" s="30">
        <f>VLOOKUP($C28,BAU_Demands!$B$3:$BK$48,BAU_Demands!AC$1,0)</f>
        <v>0</v>
      </c>
      <c r="AF28" s="30">
        <f>VLOOKUP($C28,BAU_Demands!$B$3:$BK$48,BAU_Demands!AD$1,0)</f>
        <v>0</v>
      </c>
      <c r="AG28" s="30">
        <f>VLOOKUP($C28,BAU_Demands!$B$3:$BK$48,BAU_Demands!AE$1,0)</f>
        <v>0</v>
      </c>
      <c r="AH28" s="30">
        <f>VLOOKUP($C28,BAU_Demands!$B$3:$BK$48,BAU_Demands!AF$1,0)</f>
        <v>0</v>
      </c>
      <c r="AI28" s="30">
        <f>VLOOKUP($C28,BAU_Demands!$B$3:$BK$48,BAU_Demands!AG$1,0)</f>
        <v>0</v>
      </c>
      <c r="AJ28" s="30">
        <f>VLOOKUP($C28,BAU_Demands!$B$3:$BK$48,BAU_Demands!AH$1,0)</f>
        <v>0</v>
      </c>
      <c r="AK28" s="30">
        <f>VLOOKUP($C28,BAU_Demands!$B$3:$BK$48,BAU_Demands!AI$1,0)</f>
        <v>0</v>
      </c>
      <c r="AL28" s="30">
        <f>VLOOKUP($C28,BAU_Demands!$B$3:$BK$48,BAU_Demands!AJ$1,0)</f>
        <v>0</v>
      </c>
      <c r="AM28" s="30">
        <f>VLOOKUP($C28,BAU_Demands!$B$3:$BK$48,BAU_Demands!AK$1,0)</f>
        <v>0</v>
      </c>
      <c r="AN28" s="30">
        <f>VLOOKUP($C28,BAU_Demands!$B$3:$BK$48,BAU_Demands!AL$1,0)</f>
        <v>0</v>
      </c>
      <c r="AO28" s="30">
        <f>VLOOKUP($C28,BAU_Demands!$B$3:$BK$48,BAU_Demands!AM$1,0)</f>
        <v>0</v>
      </c>
      <c r="AP28" s="30">
        <f>VLOOKUP($C28,BAU_Demands!$B$3:$BK$48,BAU_Demands!AN$1,0)</f>
        <v>0</v>
      </c>
      <c r="AQ28" s="30">
        <f>VLOOKUP($C28,BAU_Demands!$B$3:$BK$48,BAU_Demands!AO$1,0)</f>
        <v>0</v>
      </c>
      <c r="AR28" s="30">
        <f>VLOOKUP($C28,BAU_Demands!$B$3:$BK$48,BAU_Demands!AP$1,0)</f>
        <v>0</v>
      </c>
      <c r="AS28" s="30">
        <f>VLOOKUP($C28,BAU_Demands!$B$3:$BK$48,BAU_Demands!AQ$1,0)</f>
        <v>0</v>
      </c>
      <c r="AT28" s="30">
        <f>VLOOKUP($C28,BAU_Demands!$B$3:$BK$48,BAU_Demands!AR$1,0)</f>
        <v>0</v>
      </c>
      <c r="AU28" s="30">
        <f>VLOOKUP($C28,BAU_Demands!$B$3:$BK$48,BAU_Demands!AS$1,0)</f>
        <v>0</v>
      </c>
      <c r="AV28" s="30">
        <f>VLOOKUP($C28,BAU_Demands!$B$3:$BK$48,BAU_Demands!AT$1,0)</f>
        <v>0</v>
      </c>
      <c r="AW28" s="30">
        <f>VLOOKUP($C28,BAU_Demands!$B$3:$BK$48,BAU_Demands!AU$1,0)</f>
        <v>0</v>
      </c>
      <c r="AX28" s="30">
        <f>VLOOKUP($C28,BAU_Demands!$B$3:$BK$48,BAU_Demands!AV$1,0)</f>
        <v>0</v>
      </c>
      <c r="AY28" s="30">
        <f>VLOOKUP($C28,BAU_Demands!$B$3:$BK$48,BAU_Demands!AW$1,0)</f>
        <v>0</v>
      </c>
      <c r="AZ28" s="30">
        <f>VLOOKUP($C28,BAU_Demands!$B$3:$BK$48,BAU_Demands!AX$1,0)</f>
        <v>0</v>
      </c>
      <c r="BA28" s="30">
        <f>VLOOKUP($C28,BAU_Demands!$B$3:$BK$48,BAU_Demands!AY$1,0)</f>
        <v>0</v>
      </c>
      <c r="BB28" s="30">
        <f>VLOOKUP($C28,BAU_Demands!$B$3:$BK$48,BAU_Demands!AZ$1,0)</f>
        <v>0</v>
      </c>
      <c r="BC28" s="30">
        <f>VLOOKUP($C28,BAU_Demands!$B$3:$BK$48,BAU_Demands!BA$1,0)</f>
        <v>0</v>
      </c>
      <c r="BD28" s="30">
        <f>VLOOKUP($C28,BAU_Demands!$B$3:$BK$48,BAU_Demands!BB$1,0)</f>
        <v>0</v>
      </c>
      <c r="BE28" s="30">
        <f>VLOOKUP($C28,BAU_Demands!$B$3:$BK$48,BAU_Demands!BC$1,0)</f>
        <v>0</v>
      </c>
      <c r="BF28" s="30">
        <f>VLOOKUP($C28,BAU_Demands!$B$3:$BK$48,BAU_Demands!BD$1,0)</f>
        <v>0</v>
      </c>
      <c r="BG28" s="30">
        <f>VLOOKUP($C28,BAU_Demands!$B$3:$BK$48,BAU_Demands!BE$1,0)</f>
        <v>0</v>
      </c>
      <c r="BH28" s="30">
        <f>VLOOKUP($C28,BAU_Demands!$B$3:$BK$48,BAU_Demands!BF$1,0)</f>
        <v>0</v>
      </c>
      <c r="BI28" s="30">
        <f>VLOOKUP($C28,BAU_Demands!$B$3:$BK$48,BAU_Demands!BG$1,0)</f>
        <v>0</v>
      </c>
      <c r="BJ28" s="30">
        <f>VLOOKUP($C28,BAU_Demands!$B$3:$BK$48,BAU_Demands!BH$1,0)</f>
        <v>0</v>
      </c>
      <c r="BK28" s="30">
        <f>VLOOKUP($C28,BAU_Demands!$B$3:$BK$48,BAU_Demands!BI$1,0)</f>
        <v>0</v>
      </c>
      <c r="BL28" s="30">
        <f>VLOOKUP($C28,BAU_Demands!$B$3:$BK$48,BAU_Demands!BJ$1,0)</f>
        <v>0</v>
      </c>
      <c r="BM28" s="30">
        <f>VLOOKUP($C28,BAU_Demands!$B$3:$BK$48,BAU_Demands!BK$1,0)</f>
        <v>0</v>
      </c>
    </row>
    <row r="29" spans="1:65" ht="15.75" hidden="1" customHeight="1">
      <c r="A29" s="314" t="s">
        <v>457</v>
      </c>
      <c r="B29" s="314" t="s">
        <v>458</v>
      </c>
      <c r="C29" s="314" t="s">
        <v>517</v>
      </c>
      <c r="D29" s="314" t="s">
        <v>460</v>
      </c>
      <c r="E29" s="314" t="s">
        <v>518</v>
      </c>
      <c r="F29" s="314" t="s">
        <v>462</v>
      </c>
      <c r="G29" s="314" t="s">
        <v>463</v>
      </c>
      <c r="H29" s="314" t="s">
        <v>464</v>
      </c>
      <c r="I29" s="314"/>
      <c r="J29" s="314"/>
      <c r="K29" s="314"/>
      <c r="L29" s="314"/>
      <c r="M29" s="314">
        <f>VLOOKUP($C29,BAU_Demands!$B$3:$BK$48,BAU_Demands!K$1,0)</f>
        <v>30.911147620000001</v>
      </c>
      <c r="N29" s="314">
        <f>VLOOKUP($C29,BAU_Demands!$B$3:$BK$48,BAU_Demands!L$1,0)</f>
        <v>31.780154280000001</v>
      </c>
      <c r="O29" s="314">
        <f>VLOOKUP($C29,BAU_Demands!$B$3:$BK$48,BAU_Demands!M$1,0)</f>
        <v>29.868855669999999</v>
      </c>
      <c r="P29" s="314">
        <f>VLOOKUP($C29,BAU_Demands!$B$3:$BK$48,BAU_Demands!N$1,0)</f>
        <v>32.506624250000002</v>
      </c>
      <c r="Q29" s="314">
        <f>VLOOKUP($C29,BAU_Demands!$B$3:$BK$48,BAU_Demands!O$1,0)</f>
        <v>28.78</v>
      </c>
      <c r="R29" s="314">
        <f>VLOOKUP($C29,BAU_Demands!$B$3:$BK$48,BAU_Demands!P$1,0)</f>
        <v>24.34</v>
      </c>
      <c r="S29" s="314">
        <f>VLOOKUP($C29,BAU_Demands!$B$3:$BK$48,BAU_Demands!Q$1,0)</f>
        <v>19.48</v>
      </c>
      <c r="T29" s="314">
        <f>VLOOKUP($C29,BAU_Demands!$B$3:$BK$48,BAU_Demands!R$1,0)</f>
        <v>14.67</v>
      </c>
      <c r="U29" s="314">
        <f>VLOOKUP($C29,BAU_Demands!$B$3:$BK$48,BAU_Demands!S$1,0)</f>
        <v>10.49</v>
      </c>
      <c r="V29" s="314">
        <f>VLOOKUP($C29,BAU_Demands!$B$3:$BK$48,BAU_Demands!T$1,0)</f>
        <v>7.15</v>
      </c>
      <c r="W29" s="314">
        <f>VLOOKUP($C29,BAU_Demands!$B$3:$BK$48,BAU_Demands!U$1,0)</f>
        <v>3.83</v>
      </c>
      <c r="X29" s="314">
        <f>VLOOKUP($C29,BAU_Demands!$B$3:$BK$48,BAU_Demands!V$1,0)</f>
        <v>0.16</v>
      </c>
      <c r="Y29" s="314">
        <f>VLOOKUP($C29,BAU_Demands!$B$3:$BK$48,BAU_Demands!W$1,0)</f>
        <v>0</v>
      </c>
      <c r="Z29" s="314">
        <f>VLOOKUP($C29,BAU_Demands!$B$3:$BK$48,BAU_Demands!X$1,0)</f>
        <v>0</v>
      </c>
      <c r="AA29" s="314">
        <f>VLOOKUP($C29,BAU_Demands!$B$3:$BK$48,BAU_Demands!Y$1,0)</f>
        <v>0</v>
      </c>
      <c r="AB29" s="314">
        <f>VLOOKUP($C29,BAU_Demands!$B$3:$BK$48,BAU_Demands!Z$1,0)</f>
        <v>0</v>
      </c>
      <c r="AC29" s="314">
        <f>VLOOKUP($C29,BAU_Demands!$B$3:$BK$48,BAU_Demands!AA$1,0)</f>
        <v>0</v>
      </c>
      <c r="AD29" s="314">
        <f>VLOOKUP($C29,BAU_Demands!$B$3:$BK$48,BAU_Demands!AB$1,0)</f>
        <v>0</v>
      </c>
      <c r="AE29" s="314">
        <f>VLOOKUP($C29,BAU_Demands!$B$3:$BK$48,BAU_Demands!AC$1,0)</f>
        <v>0</v>
      </c>
      <c r="AF29" s="314">
        <f>VLOOKUP($C29,BAU_Demands!$B$3:$BK$48,BAU_Demands!AD$1,0)</f>
        <v>0</v>
      </c>
      <c r="AG29" s="314">
        <f>VLOOKUP($C29,BAU_Demands!$B$3:$BK$48,BAU_Demands!AE$1,0)</f>
        <v>0</v>
      </c>
      <c r="AH29" s="314">
        <f>VLOOKUP($C29,BAU_Demands!$B$3:$BK$48,BAU_Demands!AF$1,0)</f>
        <v>0</v>
      </c>
      <c r="AI29" s="314">
        <f>VLOOKUP($C29,BAU_Demands!$B$3:$BK$48,BAU_Demands!AG$1,0)</f>
        <v>0</v>
      </c>
      <c r="AJ29" s="314">
        <f>VLOOKUP($C29,BAU_Demands!$B$3:$BK$48,BAU_Demands!AH$1,0)</f>
        <v>0</v>
      </c>
      <c r="AK29" s="314">
        <f>VLOOKUP($C29,BAU_Demands!$B$3:$BK$48,BAU_Demands!AI$1,0)</f>
        <v>0</v>
      </c>
      <c r="AL29" s="314">
        <f>VLOOKUP($C29,BAU_Demands!$B$3:$BK$48,BAU_Demands!AJ$1,0)</f>
        <v>0</v>
      </c>
      <c r="AM29" s="314">
        <f>VLOOKUP($C29,BAU_Demands!$B$3:$BK$48,BAU_Demands!AK$1,0)</f>
        <v>0</v>
      </c>
      <c r="AN29" s="314">
        <f>VLOOKUP($C29,BAU_Demands!$B$3:$BK$48,BAU_Demands!AL$1,0)</f>
        <v>0</v>
      </c>
      <c r="AO29" s="314">
        <f>VLOOKUP($C29,BAU_Demands!$B$3:$BK$48,BAU_Demands!AM$1,0)</f>
        <v>0</v>
      </c>
      <c r="AP29" s="314">
        <f>VLOOKUP($C29,BAU_Demands!$B$3:$BK$48,BAU_Demands!AN$1,0)</f>
        <v>0</v>
      </c>
      <c r="AQ29" s="314">
        <f>VLOOKUP($C29,BAU_Demands!$B$3:$BK$48,BAU_Demands!AO$1,0)</f>
        <v>0</v>
      </c>
      <c r="AR29" s="314">
        <f>VLOOKUP($C29,BAU_Demands!$B$3:$BK$48,BAU_Demands!AP$1,0)</f>
        <v>0</v>
      </c>
      <c r="AS29" s="314">
        <f>VLOOKUP($C29,BAU_Demands!$B$3:$BK$48,BAU_Demands!AQ$1,0)</f>
        <v>0</v>
      </c>
      <c r="AT29" s="314">
        <f>VLOOKUP($C29,BAU_Demands!$B$3:$BK$48,BAU_Demands!AR$1,0)</f>
        <v>0</v>
      </c>
      <c r="AU29" s="314">
        <f>VLOOKUP($C29,BAU_Demands!$B$3:$BK$48,BAU_Demands!AS$1,0)</f>
        <v>0</v>
      </c>
      <c r="AV29" s="314">
        <f>VLOOKUP($C29,BAU_Demands!$B$3:$BK$48,BAU_Demands!AT$1,0)</f>
        <v>0</v>
      </c>
      <c r="AW29" s="314">
        <f>VLOOKUP($C29,BAU_Demands!$B$3:$BK$48,BAU_Demands!AU$1,0)</f>
        <v>0</v>
      </c>
      <c r="AX29" s="314">
        <f>VLOOKUP($C29,BAU_Demands!$B$3:$BK$48,BAU_Demands!AV$1,0)</f>
        <v>0</v>
      </c>
      <c r="AY29" s="314">
        <f>VLOOKUP($C29,BAU_Demands!$B$3:$BK$48,BAU_Demands!AW$1,0)</f>
        <v>0</v>
      </c>
      <c r="AZ29" s="314">
        <f>VLOOKUP($C29,BAU_Demands!$B$3:$BK$48,BAU_Demands!AX$1,0)</f>
        <v>0</v>
      </c>
      <c r="BA29" s="314">
        <f>VLOOKUP($C29,BAU_Demands!$B$3:$BK$48,BAU_Demands!AY$1,0)</f>
        <v>0</v>
      </c>
      <c r="BB29" s="314">
        <f>VLOOKUP($C29,BAU_Demands!$B$3:$BK$48,BAU_Demands!AZ$1,0)</f>
        <v>0</v>
      </c>
      <c r="BC29" s="314">
        <f>VLOOKUP($C29,BAU_Demands!$B$3:$BK$48,BAU_Demands!BA$1,0)</f>
        <v>0</v>
      </c>
      <c r="BD29" s="314">
        <f>VLOOKUP($C29,BAU_Demands!$B$3:$BK$48,BAU_Demands!BB$1,0)</f>
        <v>0</v>
      </c>
      <c r="BE29" s="314">
        <f>VLOOKUP($C29,BAU_Demands!$B$3:$BK$48,BAU_Demands!BC$1,0)</f>
        <v>0</v>
      </c>
      <c r="BF29" s="314">
        <f>VLOOKUP($C29,BAU_Demands!$B$3:$BK$48,BAU_Demands!BD$1,0)</f>
        <v>0</v>
      </c>
      <c r="BG29" s="314">
        <f>VLOOKUP($C29,BAU_Demands!$B$3:$BK$48,BAU_Demands!BE$1,0)</f>
        <v>0</v>
      </c>
      <c r="BH29" s="314">
        <f>VLOOKUP($C29,BAU_Demands!$B$3:$BK$48,BAU_Demands!BF$1,0)</f>
        <v>0</v>
      </c>
      <c r="BI29" s="314">
        <f>VLOOKUP($C29,BAU_Demands!$B$3:$BK$48,BAU_Demands!BG$1,0)</f>
        <v>0</v>
      </c>
      <c r="BJ29" s="314">
        <f>VLOOKUP($C29,BAU_Demands!$B$3:$BK$48,BAU_Demands!BH$1,0)</f>
        <v>0</v>
      </c>
      <c r="BK29" s="314">
        <f>VLOOKUP($C29,BAU_Demands!$B$3:$BK$48,BAU_Demands!BI$1,0)</f>
        <v>0</v>
      </c>
      <c r="BL29" s="314">
        <f>VLOOKUP($C29,BAU_Demands!$B$3:$BK$48,BAU_Demands!BJ$1,0)</f>
        <v>0</v>
      </c>
      <c r="BM29" s="314">
        <f>VLOOKUP($C29,BAU_Demands!$B$3:$BK$48,BAU_Demands!BK$1,0)</f>
        <v>0</v>
      </c>
    </row>
    <row r="30" spans="1:65" ht="15.75" customHeight="1">
      <c r="A30" s="314" t="s">
        <v>457</v>
      </c>
      <c r="B30" s="314" t="s">
        <v>458</v>
      </c>
      <c r="C30" s="314" t="s">
        <v>519</v>
      </c>
      <c r="D30" s="314" t="s">
        <v>460</v>
      </c>
      <c r="E30" s="314" t="s">
        <v>520</v>
      </c>
      <c r="F30" s="314" t="s">
        <v>462</v>
      </c>
      <c r="G30" s="314" t="s">
        <v>463</v>
      </c>
      <c r="H30" s="314" t="s">
        <v>464</v>
      </c>
      <c r="I30" s="314"/>
      <c r="J30" s="314"/>
      <c r="K30" s="314"/>
      <c r="L30" s="314"/>
      <c r="M30" s="314">
        <f>VLOOKUP($C30,BAU_Demands!$B$3:$BK$48,BAU_Demands!K$1,0)</f>
        <v>0</v>
      </c>
      <c r="N30" s="314">
        <f>VLOOKUP($C30,BAU_Demands!$B$3:$BK$48,BAU_Demands!L$1,0)</f>
        <v>0</v>
      </c>
      <c r="O30" s="314">
        <f>VLOOKUP($C30,BAU_Demands!$B$3:$BK$48,BAU_Demands!M$1,0)</f>
        <v>0</v>
      </c>
      <c r="P30" s="314">
        <f>VLOOKUP($C30,BAU_Demands!$B$3:$BK$48,BAU_Demands!N$1,0)</f>
        <v>0</v>
      </c>
      <c r="Q30" s="314">
        <f>VLOOKUP($C30,BAU_Demands!$B$3:$BK$48,BAU_Demands!O$1,0)</f>
        <v>0</v>
      </c>
      <c r="R30" s="314">
        <f>VLOOKUP($C30,BAU_Demands!$B$3:$BK$48,BAU_Demands!P$1,0)</f>
        <v>0</v>
      </c>
      <c r="S30" s="314">
        <f>VLOOKUP($C30,BAU_Demands!$B$3:$BK$48,BAU_Demands!Q$1,0)</f>
        <v>0</v>
      </c>
      <c r="T30" s="314">
        <f>VLOOKUP($C30,BAU_Demands!$B$3:$BK$48,BAU_Demands!R$1,0)</f>
        <v>0</v>
      </c>
      <c r="U30" s="314">
        <f>VLOOKUP($C30,BAU_Demands!$B$3:$BK$48,BAU_Demands!S$1,0)</f>
        <v>0</v>
      </c>
      <c r="V30" s="314">
        <f>VLOOKUP($C30,BAU_Demands!$B$3:$BK$48,BAU_Demands!T$1,0)</f>
        <v>0</v>
      </c>
      <c r="W30" s="314">
        <f>VLOOKUP($C30,BAU_Demands!$B$3:$BK$48,BAU_Demands!U$1,0)</f>
        <v>0</v>
      </c>
      <c r="X30" s="314">
        <f>VLOOKUP($C30,BAU_Demands!$B$3:$BK$48,BAU_Demands!V$1,0)</f>
        <v>0</v>
      </c>
      <c r="Y30" s="314">
        <f>VLOOKUP($C30,BAU_Demands!$B$3:$BK$48,BAU_Demands!W$1,0)</f>
        <v>0</v>
      </c>
      <c r="Z30" s="314">
        <f>VLOOKUP($C30,BAU_Demands!$B$3:$BK$48,BAU_Demands!X$1,0)</f>
        <v>0</v>
      </c>
      <c r="AA30" s="314">
        <f>VLOOKUP($C30,BAU_Demands!$B$3:$BK$48,BAU_Demands!Y$1,0)</f>
        <v>0</v>
      </c>
      <c r="AB30" s="314">
        <f>VLOOKUP($C30,BAU_Demands!$B$3:$BK$48,BAU_Demands!Z$1,0)</f>
        <v>0</v>
      </c>
      <c r="AC30" s="314">
        <f>VLOOKUP($C30,BAU_Demands!$B$3:$BK$48,BAU_Demands!AA$1,0)</f>
        <v>0</v>
      </c>
      <c r="AD30" s="314">
        <f>VLOOKUP($C30,BAU_Demands!$B$3:$BK$48,BAU_Demands!AB$1,0)</f>
        <v>0</v>
      </c>
      <c r="AE30" s="314">
        <f>VLOOKUP($C30,BAU_Demands!$B$3:$BK$48,BAU_Demands!AC$1,0)</f>
        <v>0</v>
      </c>
      <c r="AF30" s="314">
        <f>VLOOKUP($C30,BAU_Demands!$B$3:$BK$48,BAU_Demands!AD$1,0)</f>
        <v>0</v>
      </c>
      <c r="AG30" s="314">
        <f>VLOOKUP($C30,BAU_Demands!$B$3:$BK$48,BAU_Demands!AE$1,0)</f>
        <v>0</v>
      </c>
      <c r="AH30" s="314">
        <f>VLOOKUP($C30,BAU_Demands!$B$3:$BK$48,BAU_Demands!AF$1,0)</f>
        <v>0</v>
      </c>
      <c r="AI30" s="314">
        <f>VLOOKUP($C30,BAU_Demands!$B$3:$BK$48,BAU_Demands!AG$1,0)</f>
        <v>0</v>
      </c>
      <c r="AJ30" s="314">
        <f>VLOOKUP($C30,BAU_Demands!$B$3:$BK$48,BAU_Demands!AH$1,0)</f>
        <v>0</v>
      </c>
      <c r="AK30" s="314">
        <f>VLOOKUP($C30,BAU_Demands!$B$3:$BK$48,BAU_Demands!AI$1,0)</f>
        <v>0</v>
      </c>
      <c r="AL30" s="314">
        <f>VLOOKUP($C30,BAU_Demands!$B$3:$BK$48,BAU_Demands!AJ$1,0)</f>
        <v>0</v>
      </c>
      <c r="AM30" s="314">
        <f>VLOOKUP($C30,BAU_Demands!$B$3:$BK$48,BAU_Demands!AK$1,0)</f>
        <v>0</v>
      </c>
      <c r="AN30" s="314">
        <f>VLOOKUP($C30,BAU_Demands!$B$3:$BK$48,BAU_Demands!AL$1,0)</f>
        <v>0</v>
      </c>
      <c r="AO30" s="314">
        <f>VLOOKUP($C30,BAU_Demands!$B$3:$BK$48,BAU_Demands!AM$1,0)</f>
        <v>0</v>
      </c>
      <c r="AP30" s="314">
        <f>VLOOKUP($C30,BAU_Demands!$B$3:$BK$48,BAU_Demands!AN$1,0)</f>
        <v>0</v>
      </c>
      <c r="AQ30" s="314">
        <f>VLOOKUP($C30,BAU_Demands!$B$3:$BK$48,BAU_Demands!AO$1,0)</f>
        <v>0</v>
      </c>
      <c r="AR30" s="314">
        <f>VLOOKUP($C30,BAU_Demands!$B$3:$BK$48,BAU_Demands!AP$1,0)</f>
        <v>0</v>
      </c>
      <c r="AS30" s="314">
        <f>VLOOKUP($C30,BAU_Demands!$B$3:$BK$48,BAU_Demands!AQ$1,0)</f>
        <v>0</v>
      </c>
      <c r="AT30" s="314">
        <f>VLOOKUP($C30,BAU_Demands!$B$3:$BK$48,BAU_Demands!AR$1,0)</f>
        <v>0</v>
      </c>
      <c r="AU30" s="314">
        <f>VLOOKUP($C30,BAU_Demands!$B$3:$BK$48,BAU_Demands!AS$1,0)</f>
        <v>0</v>
      </c>
      <c r="AV30" s="314">
        <f>VLOOKUP($C30,BAU_Demands!$B$3:$BK$48,BAU_Demands!AT$1,0)</f>
        <v>0</v>
      </c>
      <c r="AW30" s="314">
        <f>VLOOKUP($C30,BAU_Demands!$B$3:$BK$48,BAU_Demands!AU$1,0)</f>
        <v>0</v>
      </c>
      <c r="AX30" s="314">
        <f>VLOOKUP($C30,BAU_Demands!$B$3:$BK$48,BAU_Demands!AV$1,0)</f>
        <v>0</v>
      </c>
      <c r="AY30" s="314">
        <f>VLOOKUP($C30,BAU_Demands!$B$3:$BK$48,BAU_Demands!AW$1,0)</f>
        <v>0</v>
      </c>
      <c r="AZ30" s="314">
        <f>VLOOKUP($C30,BAU_Demands!$B$3:$BK$48,BAU_Demands!AX$1,0)</f>
        <v>0</v>
      </c>
      <c r="BA30" s="314">
        <f>VLOOKUP($C30,BAU_Demands!$B$3:$BK$48,BAU_Demands!AY$1,0)</f>
        <v>0</v>
      </c>
      <c r="BB30" s="314">
        <f>VLOOKUP($C30,BAU_Demands!$B$3:$BK$48,BAU_Demands!AZ$1,0)</f>
        <v>0</v>
      </c>
      <c r="BC30" s="314">
        <f>VLOOKUP($C30,BAU_Demands!$B$3:$BK$48,BAU_Demands!BA$1,0)</f>
        <v>0</v>
      </c>
      <c r="BD30" s="314">
        <f>VLOOKUP($C30,BAU_Demands!$B$3:$BK$48,BAU_Demands!BB$1,0)</f>
        <v>0</v>
      </c>
      <c r="BE30" s="314">
        <f>VLOOKUP($C30,BAU_Demands!$B$3:$BK$48,BAU_Demands!BC$1,0)</f>
        <v>0</v>
      </c>
      <c r="BF30" s="314">
        <f>VLOOKUP($C30,BAU_Demands!$B$3:$BK$48,BAU_Demands!BD$1,0)</f>
        <v>0</v>
      </c>
      <c r="BG30" s="314">
        <f>VLOOKUP($C30,BAU_Demands!$B$3:$BK$48,BAU_Demands!BE$1,0)</f>
        <v>0</v>
      </c>
      <c r="BH30" s="314">
        <f>VLOOKUP($C30,BAU_Demands!$B$3:$BK$48,BAU_Demands!BF$1,0)</f>
        <v>0</v>
      </c>
      <c r="BI30" s="314">
        <f>VLOOKUP($C30,BAU_Demands!$B$3:$BK$48,BAU_Demands!BG$1,0)</f>
        <v>0</v>
      </c>
      <c r="BJ30" s="314">
        <f>VLOOKUP($C30,BAU_Demands!$B$3:$BK$48,BAU_Demands!BH$1,0)</f>
        <v>0</v>
      </c>
      <c r="BK30" s="314">
        <f>VLOOKUP($C30,BAU_Demands!$B$3:$BK$48,BAU_Demands!BI$1,0)</f>
        <v>0</v>
      </c>
      <c r="BL30" s="314">
        <f>VLOOKUP($C30,BAU_Demands!$B$3:$BK$48,BAU_Demands!BJ$1,0)</f>
        <v>0</v>
      </c>
      <c r="BM30" s="314">
        <f>VLOOKUP($C30,BAU_Demands!$B$3:$BK$48,BAU_Demands!BK$1,0)</f>
        <v>0</v>
      </c>
    </row>
    <row r="31" spans="1:65" ht="15.75" customHeight="1">
      <c r="A31" s="314" t="s">
        <v>457</v>
      </c>
      <c r="B31" s="314" t="s">
        <v>458</v>
      </c>
      <c r="C31" s="314" t="s">
        <v>521</v>
      </c>
      <c r="D31" s="314" t="s">
        <v>460</v>
      </c>
      <c r="E31" s="314" t="s">
        <v>522</v>
      </c>
      <c r="F31" s="314" t="s">
        <v>462</v>
      </c>
      <c r="G31" s="314" t="s">
        <v>463</v>
      </c>
      <c r="H31" s="314" t="s">
        <v>464</v>
      </c>
      <c r="I31" s="314" t="s">
        <v>44</v>
      </c>
      <c r="J31" s="314" t="s">
        <v>44</v>
      </c>
      <c r="K31" s="314" t="s">
        <v>44</v>
      </c>
      <c r="L31" s="314" t="s">
        <v>44</v>
      </c>
      <c r="M31" s="314">
        <f>VLOOKUP($C31,BAU_Demands!$B$3:$BK$48,BAU_Demands!K$1,0)</f>
        <v>35.971610609999999</v>
      </c>
      <c r="N31" s="314">
        <f>VLOOKUP($C31,BAU_Demands!$B$3:$BK$48,BAU_Demands!L$1,0)</f>
        <v>37.380280939999999</v>
      </c>
      <c r="O31" s="314">
        <f>VLOOKUP($C31,BAU_Demands!$B$3:$BK$48,BAU_Demands!M$1,0)</f>
        <v>36.49129731</v>
      </c>
      <c r="P31" s="314">
        <f>VLOOKUP($C31,BAU_Demands!$B$3:$BK$48,BAU_Demands!N$1,0)</f>
        <v>40.945505949999998</v>
      </c>
      <c r="Q31" s="314">
        <f>(SUM(BAU_Demands!O30:O40)-BAU_Demands!O30-BAU_Demands!O34-BAU_Demands!O35-Q33-Q36-Q37-Q38-Q39-Q40-Q35-Q32)*(1-'Net Zero 2050'!I67)*(1-'Net Zero 2050'!I68)</f>
        <v>40.793222399999991</v>
      </c>
      <c r="R31" s="314">
        <f>(SUM(BAU_Demands!P30:P40)-BAU_Demands!P30-BAU_Demands!P34-BAU_Demands!P35-R33-R36-R37-R38-R39-R40-R35-R32)*(1-'Net Zero 2050'!J67)*(1-'Net Zero 2050'!J68)</f>
        <v>41.716169145084017</v>
      </c>
      <c r="S31" s="314">
        <f>(SUM(BAU_Demands!Q30:Q40)-BAU_Demands!Q30-BAU_Demands!Q34-BAU_Demands!Q35-S33-S36-S37-S38-S39-S40-S35-S32)*(1-'Net Zero 2050'!K67)*(1-'Net Zero 2050'!K68)</f>
        <v>43.415666678384</v>
      </c>
      <c r="T31" s="314">
        <f>(SUM(BAU_Demands!R30:R40)-BAU_Demands!R30-BAU_Demands!R34-BAU_Demands!R35-T33-T36-T37-T38-T39-T40-T35-T32)*(1-'Net Zero 2050'!L67)*(1-'Net Zero 2050'!L68)</f>
        <v>44.193258874599991</v>
      </c>
      <c r="U31" s="314">
        <f>(SUM(BAU_Demands!S30:S40)-BAU_Demands!S30-BAU_Demands!S34-BAU_Demands!S35-U33-U36-U37-U38-U39-U40-U35-U32)*(1-'Net Zero 2050'!M67)*(1-'Net Zero 2050'!M68)</f>
        <v>45.770101734336002</v>
      </c>
      <c r="V31" s="314">
        <f>(SUM(BAU_Demands!T30:T40)-BAU_Demands!T30-BAU_Demands!T34-BAU_Demands!T35-V33-V36-V37-V38-V39-V40-V35-V32)*(1-'Net Zero 2050'!N67)*(1-'Net Zero 2050'!N68)</f>
        <v>46.956419398349993</v>
      </c>
      <c r="W31" s="314">
        <f>(SUM(BAU_Demands!U30:U40)-BAU_Demands!U30-BAU_Demands!U34-BAU_Demands!U35-W33-W36-W37-W38-W39-W40-W35-W32)*(1-'Net Zero 2050'!O67)*(1-'Net Zero 2050'!O68)</f>
        <v>48.858555646704012</v>
      </c>
      <c r="X31" s="314">
        <f>(SUM(BAU_Demands!V30:V40)-BAU_Demands!V30-BAU_Demands!V34-BAU_Demands!V35-X33-X36-X37-X38-X39-X40-X35-X32)*(1-'Net Zero 2050'!P67)*(1-'Net Zero 2050'!P68)</f>
        <v>49.628586351977994</v>
      </c>
      <c r="Y31" s="314">
        <f>(SUM(BAU_Demands!W30:W40)-BAU_Demands!W30-BAU_Demands!W34-BAU_Demands!W35-Y33-Y36-Y37-Y38-Y39-Y40-Y35-Y32)*(1-'Net Zero 2050'!Q67)*(1-'Net Zero 2050'!Q68)</f>
        <v>51.373068614759987</v>
      </c>
      <c r="Z31" s="314">
        <f>(SUM(BAU_Demands!X30:X40)-BAU_Demands!X30-BAU_Demands!X34-BAU_Demands!X35-Z33-Z36-Z37-Z38-Z39-Z40-Z35-Z32)*(1-'Net Zero 2050'!R67)*(1-'Net Zero 2050'!R68)</f>
        <v>52.857703235812806</v>
      </c>
      <c r="AA31" s="314">
        <f>(SUM(BAU_Demands!Y30:Y40)-BAU_Demands!Y30-BAU_Demands!Y34-BAU_Demands!Y35-AA33-AA36-AA37-AA38-AA39-AA40-AA35-AA32)*(1-'Net Zero 2050'!S67)*(1-'Net Zero 2050'!S68)</f>
        <v>54.843448280488012</v>
      </c>
      <c r="AB31" s="314">
        <f>(SUM(BAU_Demands!Z30:Z40)-BAU_Demands!Z30-BAU_Demands!Z34-BAU_Demands!Z35-AB33-AB36-AB37-AB38-AB39-AB40-AB35-AB32)*(1-'Net Zero 2050'!T67)*(1-'Net Zero 2050'!T68)</f>
        <v>56.341177800138396</v>
      </c>
      <c r="AC31" s="314">
        <f>(SUM(BAU_Demands!AA30:AA40)-BAU_Demands!AA30-BAU_Demands!AA34-BAU_Demands!AA35-AC33-AC36-AC37-AC38-AC39-AC40-AC35-AC32)*(1-'Net Zero 2050'!U67)*(1-'Net Zero 2050'!U68)</f>
        <v>58.329106524057629</v>
      </c>
      <c r="AD31" s="314">
        <f>(SUM(BAU_Demands!AB30:AB40)-BAU_Demands!AB30-BAU_Demands!AB34-BAU_Demands!AB35-AD33-AD36-AD37-AD38-AD39-AD40-AD35-AD32)*(1-'Net Zero 2050'!V67)*(1-'Net Zero 2050'!V68)</f>
        <v>59.660529740804996</v>
      </c>
      <c r="AE31" s="314">
        <f>(SUM(BAU_Demands!AC30:AC40)-BAU_Demands!AC30-BAU_Demands!AC34-BAU_Demands!AC35-AE33-AE36-AE37-AE38-AE39-AE40-AE35-AE32)*(1-'Net Zero 2050'!W67)*(1-'Net Zero 2050'!W68)</f>
        <v>61.909349967220017</v>
      </c>
      <c r="AF31" s="314">
        <f>(SUM(BAU_Demands!AD30:AD40)-BAU_Demands!AD30-BAU_Demands!AD34-BAU_Demands!AD35-AF33-AF36-AF37-AF38-AF39-AF40-AF35-AF32)*(1-'Net Zero 2050'!X67)*(1-'Net Zero 2050'!X68)</f>
        <v>63.399091832999972</v>
      </c>
      <c r="AG31" s="314">
        <f>(SUM(BAU_Demands!AE30:AE40)-BAU_Demands!AE30-BAU_Demands!AE34-BAU_Demands!AE35-AG33-AG36-AG37-AG38-AG39-AG40-AG35-AG32)*(1-'Net Zero 2050'!Y67)*(1-'Net Zero 2050'!Y68)</f>
        <v>65.567362650698996</v>
      </c>
      <c r="AH31" s="314">
        <f>(SUM(BAU_Demands!AF30:AF40)-BAU_Demands!AF30-BAU_Demands!AF34-BAU_Demands!AF35-AH33-AH36-AH37-AH38-AH39-AH40-AH35-AH32)*(1-'Net Zero 2050'!Z67)*(1-'Net Zero 2050'!Z68)</f>
        <v>67.356630976529999</v>
      </c>
      <c r="AI31" s="314">
        <f>(SUM(BAU_Demands!AG30:AG40)-BAU_Demands!AG30-BAU_Demands!AG34-BAU_Demands!AG35-AI33-AI36-AI37-AI38-AI39-AI40-AI35-AI32)*(1-'Net Zero 2050'!AA67)*(1-'Net Zero 2050'!AA68)</f>
        <v>69.579868677550024</v>
      </c>
      <c r="AJ31" s="314">
        <f>(SUM(BAU_Demands!AH30:AH40)-BAU_Demands!AH30-BAU_Demands!AH34-BAU_Demands!AH35-AJ33-AJ36-AJ37-AJ38-AJ39-AJ40-AJ35-AJ32)*(1-'Net Zero 2050'!AB67)*(1-'Net Zero 2050'!AB68)</f>
        <v>71.259544279728019</v>
      </c>
      <c r="AK31" s="314">
        <f>(SUM(BAU_Demands!AI30:AI40)-BAU_Demands!AI30-BAU_Demands!AI34-BAU_Demands!AI35-AK33-AK36-AK37-AK38-AK39-AK40-AK35-AK32)*(1-'Net Zero 2050'!AC67)*(1-'Net Zero 2050'!AC68)</f>
        <v>73.387471062429995</v>
      </c>
      <c r="AL31" s="314">
        <f>(SUM(BAU_Demands!AJ30:AJ40)-BAU_Demands!AJ30-BAU_Demands!AJ34-BAU_Demands!AJ35-AL33-AL36-AL37-AL38-AL39-AL40-AL35-AL32)*(1-'Net Zero 2050'!AD67)*(1-'Net Zero 2050'!AD68)</f>
        <v>74.800344741905974</v>
      </c>
      <c r="AM31" s="314">
        <f>(SUM(BAU_Demands!AK30:AK40)-BAU_Demands!AK30-BAU_Demands!AK34-BAU_Demands!AK35-AM33-AM36-AM37-AM38-AM39-AM40-AM35-AM32)*(1-'Net Zero 2050'!AE67)*(1-'Net Zero 2050'!AE68)</f>
        <v>77.006425662109976</v>
      </c>
      <c r="AN31" s="314">
        <f>(SUM(BAU_Demands!AL30:AL40)-BAU_Demands!AL30-BAU_Demands!AL34-BAU_Demands!AL35-AN33-AN36-AN37-AN38-AN39-AN40-AN35-AN32)*(1-'Net Zero 2050'!AF67)*(1-'Net Zero 2050'!AF68)</f>
        <v>78.613671456627955</v>
      </c>
      <c r="AO31" s="314">
        <f>(SUM(BAU_Demands!AM30:AM40)-BAU_Demands!AM30-BAU_Demands!AM34-BAU_Demands!AM35-AO33-AO36-AO37-AO38-AO39-AO40-AO35-AO32)*(1-'Net Zero 2050'!AG67)*(1-'Net Zero 2050'!AG68)</f>
        <v>80.68255174286999</v>
      </c>
      <c r="AP31" s="314">
        <f>(SUM(BAU_Demands!AN30:AN40)-BAU_Demands!AN30-BAU_Demands!AN34-BAU_Demands!AN35-AP33-AP36-AP37-AP38-AP39-AP40-AP35-AP32)*(1-'Net Zero 2050'!AH67)*(1-'Net Zero 2050'!AH68)</f>
        <v>82.164301171022018</v>
      </c>
      <c r="AQ31" s="314">
        <f>(SUM(BAU_Demands!AO30:AO40)-BAU_Demands!AO30-BAU_Demands!AO34-BAU_Demands!AO35-AQ33-AQ36-AQ37-AQ38-AQ39-AQ40-AQ35-AQ32)*(1-'Net Zero 2050'!AI67)*(1-'Net Zero 2050'!AI68)</f>
        <v>83.938045094196994</v>
      </c>
      <c r="AR31" s="314">
        <f>(SUM(BAU_Demands!AP30:AP40)-BAU_Demands!AP30-BAU_Demands!AP34-BAU_Demands!AP35-AR33-AR36-AR37-AR38-AR39-AR40-AR35-AR32)*(1-'Net Zero 2050'!AJ67)*(1-'Net Zero 2050'!AJ68)</f>
        <v>85.458105836152015</v>
      </c>
      <c r="AS31" s="314">
        <f>(SUM(BAU_Demands!AQ30:AQ40)-BAU_Demands!AQ30-BAU_Demands!AQ34-BAU_Demands!AQ35-AS33-AS36-AS37-AS38-AS39-AS40-AS35-AS32)*(1-'Net Zero 2050'!AK67)*(1-'Net Zero 2050'!AK68)</f>
        <v>87.287488816269033</v>
      </c>
      <c r="AT31" s="314">
        <f>(SUM(BAU_Demands!AR30:AR40)-BAU_Demands!AR30-BAU_Demands!AR34-BAU_Demands!AR35-AT33-AT36-AT37-AT38-AT39-AT40-AT35-AT32)*(1-'Net Zero 2050'!AL67)*(1-'Net Zero 2050'!AL68)</f>
        <v>90.856973429153669</v>
      </c>
      <c r="AU31" s="314">
        <f>(SUM(BAU_Demands!AS30:AS40)-BAU_Demands!AS30-BAU_Demands!AS34-BAU_Demands!AS35-AU33-AU36-AU37-AU38-AU39-AU40-AU35-AU32)*(1-'Net Zero 2050'!AM67)*(1-'Net Zero 2050'!AM68)</f>
        <v>93.171579306981599</v>
      </c>
      <c r="AV31" s="314">
        <f>(SUM(BAU_Demands!AT30:AT40)-BAU_Demands!AT30-BAU_Demands!AT34-BAU_Demands!AT35-AV33-AV36-AV37-AV38-AV39-AV40-AV35-AV32)*(1-'Net Zero 2050'!AN67)*(1-'Net Zero 2050'!AN68)</f>
        <v>95.563743873566722</v>
      </c>
      <c r="AW31" s="314">
        <f>(SUM(BAU_Demands!AU30:AU40)-BAU_Demands!AU30-BAU_Demands!AU34-BAU_Demands!AU35-AW33-AW36-AW37-AW38-AW39-AW40-AW35-AW32)*(1-'Net Zero 2050'!AO67)*(1-'Net Zero 2050'!AO68)</f>
        <v>97.949603138992245</v>
      </c>
      <c r="AX31" s="314">
        <f>(SUM(BAU_Demands!AV30:AV40)-BAU_Demands!AV30-BAU_Demands!AV34-BAU_Demands!AV35-AX33-AX36-AX37-AX38-AX39-AX40-AX35-AX32)*(1-'Net Zero 2050'!AP67)*(1-'Net Zero 2050'!AP68)</f>
        <v>100.43674622659326</v>
      </c>
      <c r="AY31" s="314">
        <f>(SUM(BAU_Demands!AW30:AW40)-BAU_Demands!AW30-BAU_Demands!AW34-BAU_Demands!AW35-AY33-AY36-AY37-AY38-AY39-AY40-AY35-AY32)*(1-'Net Zero 2050'!AQ67)*(1-'Net Zero 2050'!AQ68)</f>
        <v>102.9352120409385</v>
      </c>
      <c r="AZ31" s="314">
        <f>(SUM(BAU_Demands!AX30:AX40)-BAU_Demands!AX30-BAU_Demands!AX34-BAU_Demands!AX35-AZ33-AZ36-AZ37-AZ38-AZ39-AZ40-AZ35-AZ32)*(1-'Net Zero 2050'!AR67)*(1-'Net Zero 2050'!AR68)</f>
        <v>105.52789110590372</v>
      </c>
      <c r="BA31" s="314">
        <f>(SUM(BAU_Demands!AY30:AY40)-BAU_Demands!AY30-BAU_Demands!AY34-BAU_Demands!AY35-BA33-BA36-BA37-BA38-BA39-BA40-BA35-BA32)*(1-'Net Zero 2050'!AS67)*(1-'Net Zero 2050'!AS68)</f>
        <v>108.12370443143412</v>
      </c>
      <c r="BB31" s="314">
        <f>(SUM(BAU_Demands!AZ30:AZ40)-BAU_Demands!AZ30-BAU_Demands!AZ34-BAU_Demands!AZ35-BB33-BB36-BB37-BB38-BB39-BB40-BB35-BB32)*(1-'Net Zero 2050'!AT67)*(1-'Net Zero 2050'!AT68)</f>
        <v>110.81094882552838</v>
      </c>
      <c r="BC31" s="314">
        <f>(SUM(BAU_Demands!BA30:BA40)-BAU_Demands!BA30-BAU_Demands!BA34-BAU_Demands!BA35-BC33-BC36-BC37-BC38-BC39-BC40-BC35-BC32)*(1-'Net Zero 2050'!AU67)*(1-'Net Zero 2050'!AU68)</f>
        <v>113.56756599427231</v>
      </c>
      <c r="BD31" s="314">
        <f>(SUM(BAU_Demands!BB30:BB40)-BAU_Demands!BB30-BAU_Demands!BB34-BAU_Demands!BB35-BD33-BD36-BD37-BD38-BD39-BD40-BD35-BD32)*(1-'Net Zero 2050'!AV67)*(1-'Net Zero 2050'!AV68)</f>
        <v>116.40442951078543</v>
      </c>
      <c r="BE31" s="314">
        <f>(SUM(BAU_Demands!BC30:BC40)-BAU_Demands!BC30-BAU_Demands!BC34-BAU_Demands!BC35-BE33-BE36-BE37-BE38-BE39-BE40-BE35-BE32)*(1-'Net Zero 2050'!AW67)*(1-'Net Zero 2050'!AW68)</f>
        <v>119.28877947333956</v>
      </c>
      <c r="BF31" s="314">
        <f>(SUM(BAU_Demands!BD30:BD40)-BAU_Demands!BD30-BAU_Demands!BD34-BAU_Demands!BD35-BF33-BF36-BF37-BF38-BF39-BF40-BF35-BF32)*(1-'Net Zero 2050'!AX67)*(1-'Net Zero 2050'!AX68)</f>
        <v>122.22873281959019</v>
      </c>
      <c r="BG31" s="314">
        <f>(SUM(BAU_Demands!BE30:BE40)-BAU_Demands!BE30-BAU_Demands!BE34-BAU_Demands!BE35-BG33-BG36-BG37-BG38-BG39-BG40-BG35-BG32)*(1-'Net Zero 2050'!AY67)*(1-'Net Zero 2050'!AY68)</f>
        <v>125.25085358442145</v>
      </c>
      <c r="BH31" s="314">
        <f>(SUM(BAU_Demands!BF30:BF40)-BAU_Demands!BF30-BAU_Demands!BF34-BAU_Demands!BF35-BH33-BH36-BH37-BH38-BH39-BH40-BH35-BH32)*(1-'Net Zero 2050'!AZ67)*(1-'Net Zero 2050'!AZ68)</f>
        <v>128.34020017929802</v>
      </c>
      <c r="BI31" s="314">
        <f>(SUM(BAU_Demands!BG30:BG40)-BAU_Demands!BG30-BAU_Demands!BG34-BAU_Demands!BG35-BI33-BI36-BI37-BI38-BI39-BI40-BI35-BI32)*(1-'Net Zero 2050'!BA67)*(1-'Net Zero 2050'!BA68)</f>
        <v>131.53711425153128</v>
      </c>
      <c r="BJ31" s="314">
        <f>(SUM(BAU_Demands!BH30:BH40)-BAU_Demands!BH30-BAU_Demands!BH34-BAU_Demands!BH35-BJ33-BJ36-BJ37-BJ38-BJ39-BJ40-BJ35-BJ32)*(1-'Net Zero 2050'!BB67)*(1-'Net Zero 2050'!BB68)</f>
        <v>134.80731701939229</v>
      </c>
      <c r="BK31" s="314">
        <f>(SUM(BAU_Demands!BI30:BI40)-BAU_Demands!BI30-BAU_Demands!BI34-BAU_Demands!BI35-BK33-BK36-BK37-BK38-BK39-BK40-BK35-BK32)*(1-'Net Zero 2050'!BC67)*(1-'Net Zero 2050'!BC68)</f>
        <v>138.16345158828332</v>
      </c>
      <c r="BL31" s="314">
        <f>(SUM(BAU_Demands!BJ30:BJ40)-BAU_Demands!BJ30-BAU_Demands!BJ34-BAU_Demands!BJ35-BL33-BL36-BL37-BL38-BL39-BL40-BL35-BL32)*(1-'Net Zero 2050'!BD67)*(1-'Net Zero 2050'!BD68)</f>
        <v>141.59647055245546</v>
      </c>
      <c r="BM31" s="314">
        <f>(SUM(BAU_Demands!BK30:BK40)-BAU_Demands!BK30-BAU_Demands!BK34-BAU_Demands!BK35-BM33-BM36-BM37-BM38-BM39-BM40-BM35-BM32)*(1-'Net Zero 2050'!BE67)*(1-'Net Zero 2050'!BE68)</f>
        <v>145.12893576588664</v>
      </c>
    </row>
    <row r="32" spans="1:65" ht="15.75" customHeight="1">
      <c r="A32" s="30" t="s">
        <v>457</v>
      </c>
      <c r="B32" s="30" t="s">
        <v>458</v>
      </c>
      <c r="C32" s="30" t="s">
        <v>523</v>
      </c>
      <c r="D32" s="30" t="s">
        <v>460</v>
      </c>
      <c r="E32" s="30" t="s">
        <v>524</v>
      </c>
      <c r="F32" s="30" t="s">
        <v>462</v>
      </c>
      <c r="G32" s="30" t="s">
        <v>463</v>
      </c>
      <c r="H32" s="30" t="s">
        <v>464</v>
      </c>
      <c r="I32" s="30" t="s">
        <v>44</v>
      </c>
      <c r="J32" s="30" t="s">
        <v>44</v>
      </c>
      <c r="K32" s="30" t="s">
        <v>44</v>
      </c>
      <c r="L32" s="30" t="s">
        <v>44</v>
      </c>
      <c r="M32" s="30">
        <f>VLOOKUP($C32,BAU_Demands!$B$3:$BK$48,BAU_Demands!K$1,0)</f>
        <v>2.037976842</v>
      </c>
      <c r="N32" s="30">
        <f>VLOOKUP($C32,BAU_Demands!$B$3:$BK$48,BAU_Demands!L$1,0)</f>
        <v>2.0787363760000002</v>
      </c>
      <c r="O32" s="30">
        <f>VLOOKUP($C32,BAU_Demands!$B$3:$BK$48,BAU_Demands!M$1,0)</f>
        <v>2.1203111030000001</v>
      </c>
      <c r="P32" s="30">
        <f>VLOOKUP($C32,BAU_Demands!$B$3:$BK$48,BAU_Demands!N$1,0)</f>
        <v>2.16271733</v>
      </c>
      <c r="Q32" s="30">
        <f>VLOOKUP($C32,BAU_Demands!$B$3:$BK$48,BAU_Demands!O$1,0)*(1-'Net Zero 2050'!I71)</f>
        <v>2.2400000000000002</v>
      </c>
      <c r="R32" s="30">
        <f>VLOOKUP($C32,BAU_Demands!$B$3:$BK$48,BAU_Demands!P$1,0)*(1-'Net Zero 2050'!J71)</f>
        <v>2.2709930000000003</v>
      </c>
      <c r="S32" s="30">
        <f>VLOOKUP($C32,BAU_Demands!$B$3:$BK$48,BAU_Demands!Q$1,0)*(1-'Net Zero 2050'!K71)</f>
        <v>2.3402539999999998</v>
      </c>
      <c r="T32" s="30">
        <f>VLOOKUP($C32,BAU_Demands!$B$3:$BK$48,BAU_Demands!R$1,0)*(1-'Net Zero 2050'!L71)</f>
        <v>2.3594999999999997</v>
      </c>
      <c r="U32" s="30">
        <f>VLOOKUP($C32,BAU_Demands!$B$3:$BK$48,BAU_Demands!S$1,0)*(1-'Net Zero 2050'!M71)</f>
        <v>2.4249999999999998</v>
      </c>
      <c r="V32" s="30">
        <f>VLOOKUP($C32,BAU_Demands!$B$3:$BK$48,BAU_Demands!T$1,0)*(1-'Net Zero 2050'!N71)</f>
        <v>2.4704000000000002</v>
      </c>
      <c r="W32" s="30">
        <f>VLOOKUP($C32,BAU_Demands!$B$3:$BK$48,BAU_Demands!U$1,0)*(1-'Net Zero 2050'!O71)</f>
        <v>2.544</v>
      </c>
      <c r="X32" s="30">
        <f>VLOOKUP($C32,BAU_Demands!$B$3:$BK$48,BAU_Demands!V$1,0)*(1-'Net Zero 2050'!P71)</f>
        <v>2.5594000000000001</v>
      </c>
      <c r="Y32" s="30">
        <f>VLOOKUP($C32,BAU_Demands!$B$3:$BK$48,BAU_Demands!W$1,0)*(1-'Net Zero 2050'!Q71)</f>
        <v>2.6219999999999999</v>
      </c>
      <c r="Z32" s="30">
        <f>VLOOKUP($C32,BAU_Demands!$B$3:$BK$48,BAU_Demands!X$1,0)*(1-'Net Zero 2050'!R71)</f>
        <v>2.6488800000000001</v>
      </c>
      <c r="AA32" s="30">
        <f>VLOOKUP($C32,BAU_Demands!$B$3:$BK$48,BAU_Demands!Y$1,0)*(1-'Net Zero 2050'!S71)</f>
        <v>2.6830200000000004</v>
      </c>
      <c r="AB32" s="30">
        <f>VLOOKUP($C32,BAU_Demands!$B$3:$BK$48,BAU_Demands!Z$1,0)*(1-'Net Zero 2050'!T71)</f>
        <v>2.7058400000000002</v>
      </c>
      <c r="AC32" s="30">
        <f>VLOOKUP($C32,BAU_Demands!$B$3:$BK$48,BAU_Demands!AA$1,0)*(1-'Net Zero 2050'!U71)</f>
        <v>2.7356400000000001</v>
      </c>
      <c r="AD32" s="30">
        <f>VLOOKUP($C32,BAU_Demands!$B$3:$BK$48,BAU_Demands!AB$1,0)*(1-'Net Zero 2050'!V71)</f>
        <v>2.7368000000000001</v>
      </c>
      <c r="AE32" s="30">
        <f>VLOOKUP($C32,BAU_Demands!$B$3:$BK$48,BAU_Demands!AC$1,0)*(1-'Net Zero 2050'!W71)</f>
        <v>2.7413400000000001</v>
      </c>
      <c r="AF32" s="30">
        <f>VLOOKUP($C32,BAU_Demands!$B$3:$BK$48,BAU_Demands!AD$1,0)*(1-'Net Zero 2050'!X71)</f>
        <v>2.6992799999999999</v>
      </c>
      <c r="AG32" s="30">
        <f>VLOOKUP($C32,BAU_Demands!$B$3:$BK$48,BAU_Demands!AE$1,0)*(1-'Net Zero 2050'!Y71)</f>
        <v>2.6867000000000001</v>
      </c>
      <c r="AH32" s="30">
        <f>VLOOKUP($C32,BAU_Demands!$B$3:$BK$48,BAU_Demands!AF$1,0)*(1-'Net Zero 2050'!Z71)</f>
        <v>2.6539199999999998</v>
      </c>
      <c r="AI32" s="30">
        <f>VLOOKUP($C32,BAU_Demands!$B$3:$BK$48,BAU_Demands!AG$1,0)*(1-'Net Zero 2050'!AA71)</f>
        <v>2.625</v>
      </c>
      <c r="AJ32" s="30">
        <f>VLOOKUP($C32,BAU_Demands!$B$3:$BK$48,BAU_Demands!AH$1,0)*(1-'Net Zero 2050'!AB71)</f>
        <v>2.6382299999999996</v>
      </c>
      <c r="AK32" s="30">
        <f>VLOOKUP($C32,BAU_Demands!$B$3:$BK$48,BAU_Demands!AI$1,0)*(1-'Net Zero 2050'!AC71)</f>
        <v>2.6644800000000002</v>
      </c>
      <c r="AL32" s="30">
        <f>VLOOKUP($C32,BAU_Demands!$B$3:$BK$48,BAU_Demands!AJ$1,0)*(1-'Net Zero 2050'!AD71)</f>
        <v>2.6600700000000002</v>
      </c>
      <c r="AM32" s="30">
        <f>VLOOKUP($C32,BAU_Demands!$B$3:$BK$48,BAU_Demands!AK$1,0)*(1-'Net Zero 2050'!AE71)</f>
        <v>2.6757399999999998</v>
      </c>
      <c r="AN32" s="30">
        <f>VLOOKUP($C32,BAU_Demands!$B$3:$BK$48,BAU_Demands!AL$1,0)*(1-'Net Zero 2050'!AF71)</f>
        <v>2.6564999999999999</v>
      </c>
      <c r="AO32" s="30">
        <f>VLOOKUP($C32,BAU_Demands!$B$3:$BK$48,BAU_Demands!AM$1,0)*(1-'Net Zero 2050'!AG71)</f>
        <v>2.7185999999999999</v>
      </c>
      <c r="AP32" s="30">
        <f>VLOOKUP($C32,BAU_Demands!$B$3:$BK$48,BAU_Demands!AN$1,0)*(1-'Net Zero 2050'!AH71)</f>
        <v>2.74</v>
      </c>
      <c r="AQ32" s="30">
        <f>VLOOKUP($C32,BAU_Demands!$B$3:$BK$48,BAU_Demands!AO$1,0)*(1-'Net Zero 2050'!AI71)</f>
        <v>2.7744</v>
      </c>
      <c r="AR32" s="30">
        <f>VLOOKUP($C32,BAU_Demands!$B$3:$BK$48,BAU_Demands!AP$1,0)*(1-'Net Zero 2050'!AJ71)</f>
        <v>2.7944999999999998</v>
      </c>
      <c r="AS32" s="30">
        <f>VLOOKUP($C32,BAU_Demands!$B$3:$BK$48,BAU_Demands!AQ$1,0)*(1-'Net Zero 2050'!AK71)</f>
        <v>2.8273999999999995</v>
      </c>
      <c r="AT32" s="30">
        <f>VLOOKUP($C32,BAU_Demands!$B$3:$BK$48,BAU_Demands!AR$1,0)*(1-'Net Zero 2050'!AL71)</f>
        <v>2.7048683990147766</v>
      </c>
      <c r="AU32" s="30">
        <f>VLOOKUP($C32,BAU_Demands!$B$3:$BK$48,BAU_Demands!AS$1,0)*(1-'Net Zero 2050'!AM71)</f>
        <v>2.6943964847290633</v>
      </c>
      <c r="AV32" s="30">
        <f>VLOOKUP($C32,BAU_Demands!$B$3:$BK$48,BAU_Demands!AT$1,0)*(1-'Net Zero 2050'!AN71)</f>
        <v>2.6877165354679802</v>
      </c>
      <c r="AW32" s="30">
        <f>VLOOKUP($C32,BAU_Demands!$B$3:$BK$48,BAU_Demands!AU$1,0)*(1-'Net Zero 2050'!AO71)</f>
        <v>2.6726641724137896</v>
      </c>
      <c r="AX32" s="30">
        <f>VLOOKUP($C32,BAU_Demands!$B$3:$BK$48,BAU_Demands!AV$1,0)*(1-'Net Zero 2050'!AP71)</f>
        <v>2.6553909857142837</v>
      </c>
      <c r="AY32" s="30">
        <f>VLOOKUP($C32,BAU_Demands!$B$3:$BK$48,BAU_Demands!AW$1,0)*(1-'Net Zero 2050'!AQ71)</f>
        <v>2.6414933596059105</v>
      </c>
      <c r="AZ32" s="30">
        <f>VLOOKUP($C32,BAU_Demands!$B$3:$BK$48,BAU_Demands!AX$1,0)*(1-'Net Zero 2050'!AR71)</f>
        <v>2.6250973068965515</v>
      </c>
      <c r="BA32" s="30">
        <f>VLOOKUP($C32,BAU_Demands!$B$3:$BK$48,BAU_Demands!AY$1,0)*(1-'Net Zero 2050'!AS71)</f>
        <v>2.6008840463054148</v>
      </c>
      <c r="BB32" s="30">
        <f>VLOOKUP($C32,BAU_Demands!$B$3:$BK$48,BAU_Demands!AZ$1,0)*(1-'Net Zero 2050'!AT71)</f>
        <v>2.5796299418719189</v>
      </c>
      <c r="BC32" s="30">
        <f>VLOOKUP($C32,BAU_Demands!$B$3:$BK$48,BAU_Demands!BA$1,0)*(1-'Net Zero 2050'!AU71)</f>
        <v>2.5558774108374371</v>
      </c>
      <c r="BD32" s="30">
        <f>VLOOKUP($C32,BAU_Demands!$B$3:$BK$48,BAU_Demands!BB$1,0)*(1-'Net Zero 2050'!AV71)</f>
        <v>2.5345288300492612</v>
      </c>
      <c r="BE32" s="30">
        <f>VLOOKUP($C32,BAU_Demands!$B$3:$BK$48,BAU_Demands!BC$1,0)*(1-'Net Zero 2050'!AW71)</f>
        <v>2.5056406443349761</v>
      </c>
      <c r="BF32" s="30">
        <f>VLOOKUP($C32,BAU_Demands!$B$3:$BK$48,BAU_Demands!BD$1,0)*(1-'Net Zero 2050'!AX71)</f>
        <v>2.4788788059113269</v>
      </c>
      <c r="BG32" s="30">
        <f>VLOOKUP($C32,BAU_Demands!$B$3:$BK$48,BAU_Demands!BE$1,0)*(1-'Net Zero 2050'!AY71)</f>
        <v>2.4493409379310327</v>
      </c>
      <c r="BH32" s="30">
        <f>VLOOKUP($C32,BAU_Demands!$B$3:$BK$48,BAU_Demands!BF$1,0)*(1-'Net Zero 2050'!AZ71)</f>
        <v>2.4170270403940881</v>
      </c>
      <c r="BI32" s="30">
        <f>VLOOKUP($C32,BAU_Demands!$B$3:$BK$48,BAU_Demands!BG$1,0)*(1-'Net Zero 2050'!BA71)</f>
        <v>2.3819371133004932</v>
      </c>
      <c r="BJ32" s="30">
        <f>VLOOKUP($C32,BAU_Demands!$B$3:$BK$48,BAU_Demands!BH$1,0)*(1-'Net Zero 2050'!BB71)</f>
        <v>2.3481407246305377</v>
      </c>
      <c r="BK32" s="30">
        <f>VLOOKUP($C32,BAU_Demands!$B$3:$BK$48,BAU_Demands!BI$1,0)*(1-'Net Zero 2050'!BC71)</f>
        <v>2.3112907034482735</v>
      </c>
      <c r="BL32" s="30">
        <f>VLOOKUP($C32,BAU_Demands!$B$3:$BK$48,BAU_Demands!BJ$1,0)*(1-'Net Zero 2050'!BD71)</f>
        <v>2.2713870497536939</v>
      </c>
      <c r="BM32" s="30">
        <f>VLOOKUP($C32,BAU_Demands!$B$3:$BK$48,BAU_Demands!BK$1,0)*(1-'Net Zero 2050'!BE71)</f>
        <v>2.228429763546798</v>
      </c>
    </row>
    <row r="33" spans="1:65" ht="15.75" customHeight="1">
      <c r="A33" s="314" t="s">
        <v>457</v>
      </c>
      <c r="B33" s="314" t="s">
        <v>458</v>
      </c>
      <c r="C33" s="314" t="s">
        <v>525</v>
      </c>
      <c r="D33" s="314" t="s">
        <v>460</v>
      </c>
      <c r="E33" s="314" t="s">
        <v>526</v>
      </c>
      <c r="F33" s="314" t="s">
        <v>462</v>
      </c>
      <c r="G33" s="314" t="s">
        <v>463</v>
      </c>
      <c r="H33" s="314" t="s">
        <v>464</v>
      </c>
      <c r="I33" s="314"/>
      <c r="J33" s="314"/>
      <c r="K33" s="314"/>
      <c r="L33" s="314"/>
      <c r="M33" s="314">
        <f>VLOOKUP($C33,BAU_Demands!$B$3:$BK$48,BAU_Demands!K$1,0)</f>
        <v>9.4607379219999999</v>
      </c>
      <c r="N33" s="314">
        <f>VLOOKUP($C33,BAU_Demands!$B$3:$BK$48,BAU_Demands!L$1,0)</f>
        <v>9.7371299590000007</v>
      </c>
      <c r="O33" s="314">
        <f>VLOOKUP($C33,BAU_Demands!$B$3:$BK$48,BAU_Demands!M$1,0)</f>
        <v>9.2977422799999996</v>
      </c>
      <c r="P33" s="314">
        <f>VLOOKUP($C33,BAU_Demands!$B$3:$BK$48,BAU_Demands!N$1,0)</f>
        <v>10.85219682</v>
      </c>
      <c r="Q33" s="314">
        <f>VLOOKUP($C33,BAU_Demands!$B$3:$BK$48,BAU_Demands!O$1,0)*(1-'Net Zero 2050'!I76)</f>
        <v>11.26</v>
      </c>
      <c r="R33" s="314">
        <f>VLOOKUP($C33,BAU_Demands!$B$3:$BK$48,BAU_Demands!P$1,0)*(1-'Net Zero 2050'!J76)</f>
        <v>11.490432999999999</v>
      </c>
      <c r="S33" s="314">
        <f>VLOOKUP($C33,BAU_Demands!$B$3:$BK$48,BAU_Demands!Q$1,0)*(1-'Net Zero 2050'!K76)</f>
        <v>11.920532000000001</v>
      </c>
      <c r="T33" s="314">
        <f>VLOOKUP($C33,BAU_Demands!$B$3:$BK$48,BAU_Demands!R$1,0)*(1-'Net Zero 2050'!L76)</f>
        <v>12.10915</v>
      </c>
      <c r="U33" s="314">
        <f>VLOOKUP($C33,BAU_Demands!$B$3:$BK$48,BAU_Demands!S$1,0)*(1-'Net Zero 2050'!M76)</f>
        <v>12.4245</v>
      </c>
      <c r="V33" s="314">
        <f>VLOOKUP($C33,BAU_Demands!$B$3:$BK$48,BAU_Demands!T$1,0)*(1-'Net Zero 2050'!N76)</f>
        <v>12.637549999999999</v>
      </c>
      <c r="W33" s="314">
        <f>VLOOKUP($C33,BAU_Demands!$B$3:$BK$48,BAU_Demands!U$1,0)*(1-'Net Zero 2050'!O76)</f>
        <v>13.024199999999999</v>
      </c>
      <c r="X33" s="314">
        <f>VLOOKUP($C33,BAU_Demands!$B$3:$BK$48,BAU_Demands!V$1,0)*(1-'Net Zero 2050'!P76)</f>
        <v>13.11375</v>
      </c>
      <c r="Y33" s="314">
        <f>VLOOKUP($C33,BAU_Demands!$B$3:$BK$48,BAU_Demands!W$1,0)*(1-'Net Zero 2050'!Q76)</f>
        <v>13.453899999999999</v>
      </c>
      <c r="Z33" s="314">
        <f>VLOOKUP($C33,BAU_Demands!$B$3:$BK$48,BAU_Demands!X$1,0)*(1-'Net Zero 2050'!R76)</f>
        <v>13.641159999999999</v>
      </c>
      <c r="AA33" s="314">
        <f>VLOOKUP($C33,BAU_Demands!$B$3:$BK$48,BAU_Demands!Y$1,0)*(1-'Net Zero 2050'!S76)</f>
        <v>13.947479999999999</v>
      </c>
      <c r="AB33" s="314">
        <f>VLOOKUP($C33,BAU_Demands!$B$3:$BK$48,BAU_Demands!Z$1,0)*(1-'Net Zero 2050'!T76)</f>
        <v>14.123779999999998</v>
      </c>
      <c r="AC33" s="314">
        <f>VLOOKUP($C33,BAU_Demands!$B$3:$BK$48,BAU_Demands!AA$1,0)*(1-'Net Zero 2050'!U76)</f>
        <v>14.417059999999998</v>
      </c>
      <c r="AD33" s="314">
        <f>VLOOKUP($C33,BAU_Demands!$B$3:$BK$48,BAU_Demands!AB$1,0)*(1-'Net Zero 2050'!V76)</f>
        <v>14.5359</v>
      </c>
      <c r="AE33" s="314">
        <f>VLOOKUP($C33,BAU_Demands!$B$3:$BK$48,BAU_Demands!AC$1,0)*(1-'Net Zero 2050'!W76)</f>
        <v>14.844200000000003</v>
      </c>
      <c r="AF33" s="314">
        <f>VLOOKUP($C33,BAU_Demands!$B$3:$BK$48,BAU_Demands!AD$1,0)*(1-'Net Zero 2050'!X76)</f>
        <v>14.962180000000002</v>
      </c>
      <c r="AG33" s="314">
        <f>VLOOKUP($C33,BAU_Demands!$B$3:$BK$48,BAU_Demands!AE$1,0)*(1-'Net Zero 2050'!Y76)</f>
        <v>15.229859999999999</v>
      </c>
      <c r="AH33" s="314">
        <f>VLOOKUP($C33,BAU_Demands!$B$3:$BK$48,BAU_Demands!AF$1,0)*(1-'Net Zero 2050'!Z76)</f>
        <v>15.400699999999999</v>
      </c>
      <c r="AI33" s="314">
        <f>VLOOKUP($C33,BAU_Demands!$B$3:$BK$48,BAU_Demands!AG$1,0)*(1-'Net Zero 2050'!AA76)</f>
        <v>15.646199999999999</v>
      </c>
      <c r="AJ33" s="314">
        <f>VLOOKUP($C33,BAU_Demands!$B$3:$BK$48,BAU_Demands!AH$1,0)*(1-'Net Zero 2050'!AB76)</f>
        <v>15.83244</v>
      </c>
      <c r="AK33" s="314">
        <f>VLOOKUP($C33,BAU_Demands!$B$3:$BK$48,BAU_Demands!AI$1,0)*(1-'Net Zero 2050'!AC76)</f>
        <v>16.1113</v>
      </c>
      <c r="AL33" s="314">
        <f>VLOOKUP($C33,BAU_Demands!$B$3:$BK$48,BAU_Demands!AJ$1,0)*(1-'Net Zero 2050'!AD76)</f>
        <v>16.21048</v>
      </c>
      <c r="AM33" s="314">
        <f>VLOOKUP($C33,BAU_Demands!$B$3:$BK$48,BAU_Demands!AK$1,0)*(1-'Net Zero 2050'!AE76)</f>
        <v>16.479980000000001</v>
      </c>
      <c r="AN33" s="314">
        <f>VLOOKUP($C33,BAU_Demands!$B$3:$BK$48,BAU_Demands!AL$1,0)*(1-'Net Zero 2050'!AF76)</f>
        <v>16.615200000000002</v>
      </c>
      <c r="AO33" s="314">
        <f>VLOOKUP($C33,BAU_Demands!$B$3:$BK$48,BAU_Demands!AM$1,0)*(1-'Net Zero 2050'!AG76)</f>
        <v>16.97982</v>
      </c>
      <c r="AP33" s="314">
        <f>VLOOKUP($C33,BAU_Demands!$B$3:$BK$48,BAU_Demands!AN$1,0)*(1-'Net Zero 2050'!AH76)</f>
        <v>17.197040000000001</v>
      </c>
      <c r="AQ33" s="314">
        <f>VLOOKUP($C33,BAU_Demands!$B$3:$BK$48,BAU_Demands!AO$1,0)*(1-'Net Zero 2050'!AI76)</f>
        <v>17.481379999999998</v>
      </c>
      <c r="AR33" s="314">
        <f>VLOOKUP($C33,BAU_Demands!$B$3:$BK$48,BAU_Demands!AP$1,0)*(1-'Net Zero 2050'!AJ76)</f>
        <v>17.713079999999998</v>
      </c>
      <c r="AS33" s="314">
        <f>VLOOKUP($C33,BAU_Demands!$B$3:$BK$48,BAU_Demands!AQ$1,0)*(1-'Net Zero 2050'!AK76)</f>
        <v>17.994500000000002</v>
      </c>
      <c r="AT33" s="314">
        <f>VLOOKUP($C33,BAU_Demands!$B$3:$BK$48,BAU_Demands!AR$1,0)*(1-'Net Zero 2050'!AL76)</f>
        <v>17.904283889162564</v>
      </c>
      <c r="AU33" s="314">
        <f>VLOOKUP($C33,BAU_Demands!$B$3:$BK$48,BAU_Demands!AS$1,0)*(1-'Net Zero 2050'!AM76)</f>
        <v>18.097956319211821</v>
      </c>
      <c r="AV33" s="314">
        <f>VLOOKUP($C33,BAU_Demands!$B$3:$BK$48,BAU_Demands!AT$1,0)*(1-'Net Zero 2050'!AN76)</f>
        <v>18.302941378817735</v>
      </c>
      <c r="AW33" s="314">
        <f>VLOOKUP($C33,BAU_Demands!$B$3:$BK$48,BAU_Demands!AU$1,0)*(1-'Net Zero 2050'!AO76)</f>
        <v>18.494548813793106</v>
      </c>
      <c r="AX33" s="314">
        <f>VLOOKUP($C33,BAU_Demands!$B$3:$BK$48,BAU_Demands!AV$1,0)*(1-'Net Zero 2050'!AP76)</f>
        <v>18.697092229064047</v>
      </c>
      <c r="AY33" s="314">
        <f>VLOOKUP($C33,BAU_Demands!$B$3:$BK$48,BAU_Demands!AW$1,0)*(1-'Net Zero 2050'!AQ76)</f>
        <v>18.886258019704442</v>
      </c>
      <c r="AZ33" s="314">
        <f>VLOOKUP($C33,BAU_Demands!$B$3:$BK$48,BAU_Demands!AX$1,0)*(1-'Net Zero 2050'!AR76)</f>
        <v>19.08598314137932</v>
      </c>
      <c r="BA33" s="314">
        <f>VLOOKUP($C33,BAU_Demands!$B$3:$BK$48,BAU_Demands!AY$1,0)*(1-'Net Zero 2050'!AS76)</f>
        <v>19.280184073891636</v>
      </c>
      <c r="BB33" s="314">
        <f>VLOOKUP($C33,BAU_Demands!$B$3:$BK$48,BAU_Demands!AZ$1,0)*(1-'Net Zero 2050'!AT76)</f>
        <v>19.476651477832522</v>
      </c>
      <c r="BC33" s="314">
        <f>VLOOKUP($C33,BAU_Demands!$B$3:$BK$48,BAU_Demands!BA$1,0)*(1-'Net Zero 2050'!AU76)</f>
        <v>19.675197028571418</v>
      </c>
      <c r="BD33" s="314">
        <f>VLOOKUP($C33,BAU_Demands!$B$3:$BK$48,BAU_Demands!BB$1,0)*(1-'Net Zero 2050'!AV76)</f>
        <v>19.875632401477823</v>
      </c>
      <c r="BE33" s="314">
        <f>VLOOKUP($C33,BAU_Demands!$B$3:$BK$48,BAU_Demands!BC$1,0)*(1-'Net Zero 2050'!AW76)</f>
        <v>20.085371607881768</v>
      </c>
      <c r="BF33" s="314">
        <f>VLOOKUP($C33,BAU_Demands!$B$3:$BK$48,BAU_Demands!BD$1,0)*(1-'Net Zero 2050'!AX76)</f>
        <v>20.281419315270927</v>
      </c>
      <c r="BG33" s="314">
        <f>VLOOKUP($C33,BAU_Demands!$B$3:$BK$48,BAU_Demands!BE$1,0)*(1-'Net Zero 2050'!AY76)</f>
        <v>20.486394206896549</v>
      </c>
      <c r="BH33" s="314">
        <f>VLOOKUP($C33,BAU_Demands!$B$3:$BK$48,BAU_Demands!BF$1,0)*(1-'Net Zero 2050'!AZ76)</f>
        <v>20.692505622167484</v>
      </c>
      <c r="BI33" s="314">
        <f>VLOOKUP($C33,BAU_Demands!$B$3:$BK$48,BAU_Demands!BG$1,0)*(1-'Net Zero 2050'!BA76)</f>
        <v>20.899565236453203</v>
      </c>
      <c r="BJ33" s="314">
        <f>VLOOKUP($C33,BAU_Demands!$B$3:$BK$48,BAU_Demands!BH$1,0)*(1-'Net Zero 2050'!BB76)</f>
        <v>21.100096263546799</v>
      </c>
      <c r="BK33" s="314">
        <f>VLOOKUP($C33,BAU_Demands!$B$3:$BK$48,BAU_Demands!BI$1,0)*(1-'Net Zero 2050'!BC76)</f>
        <v>21.30855007684729</v>
      </c>
      <c r="BL33" s="314">
        <f>VLOOKUP($C33,BAU_Demands!$B$3:$BK$48,BAU_Demands!BJ$1,0)*(1-'Net Zero 2050'!BD76)</f>
        <v>21.510224203448285</v>
      </c>
      <c r="BM33" s="314">
        <f>VLOOKUP($C33,BAU_Demands!$B$3:$BK$48,BAU_Demands!BK$1,0)*(1-'Net Zero 2050'!BE76)</f>
        <v>21.719318917241385</v>
      </c>
    </row>
    <row r="34" spans="1:65" ht="15.75" customHeight="1">
      <c r="A34" s="314" t="s">
        <v>457</v>
      </c>
      <c r="B34" s="314" t="s">
        <v>458</v>
      </c>
      <c r="C34" s="314" t="s">
        <v>527</v>
      </c>
      <c r="D34" s="314" t="s">
        <v>460</v>
      </c>
      <c r="E34" s="314" t="s">
        <v>528</v>
      </c>
      <c r="F34" s="314" t="s">
        <v>462</v>
      </c>
      <c r="G34" s="314" t="s">
        <v>463</v>
      </c>
      <c r="H34" s="314" t="s">
        <v>464</v>
      </c>
      <c r="I34" s="314"/>
      <c r="J34" s="314"/>
      <c r="K34" s="314"/>
      <c r="L34" s="314"/>
      <c r="M34" s="314">
        <f>VLOOKUP($C34,BAU_Demands!$B$3:$BK$48,BAU_Demands!K$1,0)</f>
        <v>0</v>
      </c>
      <c r="N34" s="314">
        <f>VLOOKUP($C34,BAU_Demands!$B$3:$BK$48,BAU_Demands!L$1,0)</f>
        <v>0</v>
      </c>
      <c r="O34" s="314">
        <f>VLOOKUP($C34,BAU_Demands!$B$3:$BK$48,BAU_Demands!M$1,0)</f>
        <v>0</v>
      </c>
      <c r="P34" s="314">
        <f>VLOOKUP($C34,BAU_Demands!$B$3:$BK$48,BAU_Demands!N$1,0)</f>
        <v>0</v>
      </c>
      <c r="Q34" s="314">
        <f>VLOOKUP($C34,BAU_Demands!$B$3:$BK$48,BAU_Demands!O$1,0)</f>
        <v>0</v>
      </c>
      <c r="R34" s="314">
        <f>VLOOKUP($C34,BAU_Demands!$B$3:$BK$48,BAU_Demands!P$1,0)</f>
        <v>0</v>
      </c>
      <c r="S34" s="314">
        <f>VLOOKUP($C34,BAU_Demands!$B$3:$BK$48,BAU_Demands!Q$1,0)</f>
        <v>0</v>
      </c>
      <c r="T34" s="314">
        <f>VLOOKUP($C34,BAU_Demands!$B$3:$BK$48,BAU_Demands!R$1,0)</f>
        <v>0</v>
      </c>
      <c r="U34" s="314">
        <f>VLOOKUP($C34,BAU_Demands!$B$3:$BK$48,BAU_Demands!S$1,0)</f>
        <v>0</v>
      </c>
      <c r="V34" s="314">
        <f>VLOOKUP($C34,BAU_Demands!$B$3:$BK$48,BAU_Demands!T$1,0)</f>
        <v>0</v>
      </c>
      <c r="W34" s="314">
        <f>VLOOKUP($C34,BAU_Demands!$B$3:$BK$48,BAU_Demands!U$1,0)</f>
        <v>0</v>
      </c>
      <c r="X34" s="314">
        <f>VLOOKUP($C34,BAU_Demands!$B$3:$BK$48,BAU_Demands!V$1,0)</f>
        <v>0</v>
      </c>
      <c r="Y34" s="314">
        <f>VLOOKUP($C34,BAU_Demands!$B$3:$BK$48,BAU_Demands!W$1,0)</f>
        <v>0</v>
      </c>
      <c r="Z34" s="314">
        <f>VLOOKUP($C34,BAU_Demands!$B$3:$BK$48,BAU_Demands!X$1,0)</f>
        <v>0</v>
      </c>
      <c r="AA34" s="314">
        <f>VLOOKUP($C34,BAU_Demands!$B$3:$BK$48,BAU_Demands!Y$1,0)</f>
        <v>0</v>
      </c>
      <c r="AB34" s="314">
        <f>VLOOKUP($C34,BAU_Demands!$B$3:$BK$48,BAU_Demands!Z$1,0)</f>
        <v>0</v>
      </c>
      <c r="AC34" s="314">
        <f>VLOOKUP($C34,BAU_Demands!$B$3:$BK$48,BAU_Demands!AA$1,0)</f>
        <v>0</v>
      </c>
      <c r="AD34" s="314">
        <f>VLOOKUP($C34,BAU_Demands!$B$3:$BK$48,BAU_Demands!AB$1,0)</f>
        <v>0</v>
      </c>
      <c r="AE34" s="314">
        <f>VLOOKUP($C34,BAU_Demands!$B$3:$BK$48,BAU_Demands!AC$1,0)</f>
        <v>0</v>
      </c>
      <c r="AF34" s="314">
        <f>VLOOKUP($C34,BAU_Demands!$B$3:$BK$48,BAU_Demands!AD$1,0)</f>
        <v>0</v>
      </c>
      <c r="AG34" s="314">
        <f>VLOOKUP($C34,BAU_Demands!$B$3:$BK$48,BAU_Demands!AE$1,0)</f>
        <v>0</v>
      </c>
      <c r="AH34" s="314">
        <f>VLOOKUP($C34,BAU_Demands!$B$3:$BK$48,BAU_Demands!AF$1,0)</f>
        <v>0</v>
      </c>
      <c r="AI34" s="314">
        <f>VLOOKUP($C34,BAU_Demands!$B$3:$BK$48,BAU_Demands!AG$1,0)</f>
        <v>0</v>
      </c>
      <c r="AJ34" s="314">
        <f>VLOOKUP($C34,BAU_Demands!$B$3:$BK$48,BAU_Demands!AH$1,0)</f>
        <v>0</v>
      </c>
      <c r="AK34" s="314">
        <f>VLOOKUP($C34,BAU_Demands!$B$3:$BK$48,BAU_Demands!AI$1,0)</f>
        <v>0</v>
      </c>
      <c r="AL34" s="314">
        <f>VLOOKUP($C34,BAU_Demands!$B$3:$BK$48,BAU_Demands!AJ$1,0)</f>
        <v>0</v>
      </c>
      <c r="AM34" s="314">
        <f>VLOOKUP($C34,BAU_Demands!$B$3:$BK$48,BAU_Demands!AK$1,0)</f>
        <v>0</v>
      </c>
      <c r="AN34" s="314">
        <f>VLOOKUP($C34,BAU_Demands!$B$3:$BK$48,BAU_Demands!AL$1,0)</f>
        <v>0</v>
      </c>
      <c r="AO34" s="314">
        <f>VLOOKUP($C34,BAU_Demands!$B$3:$BK$48,BAU_Demands!AM$1,0)</f>
        <v>0</v>
      </c>
      <c r="AP34" s="314">
        <f>VLOOKUP($C34,BAU_Demands!$B$3:$BK$48,BAU_Demands!AN$1,0)</f>
        <v>0</v>
      </c>
      <c r="AQ34" s="314">
        <f>VLOOKUP($C34,BAU_Demands!$B$3:$BK$48,BAU_Demands!AO$1,0)</f>
        <v>0</v>
      </c>
      <c r="AR34" s="314">
        <f>VLOOKUP($C34,BAU_Demands!$B$3:$BK$48,BAU_Demands!AP$1,0)</f>
        <v>0</v>
      </c>
      <c r="AS34" s="314">
        <f>VLOOKUP($C34,BAU_Demands!$B$3:$BK$48,BAU_Demands!AQ$1,0)</f>
        <v>0</v>
      </c>
      <c r="AT34" s="314">
        <f>VLOOKUP($C34,BAU_Demands!$B$3:$BK$48,BAU_Demands!AR$1,0)</f>
        <v>0</v>
      </c>
      <c r="AU34" s="314">
        <f>VLOOKUP($C34,BAU_Demands!$B$3:$BK$48,BAU_Demands!AS$1,0)</f>
        <v>0</v>
      </c>
      <c r="AV34" s="314">
        <f>VLOOKUP($C34,BAU_Demands!$B$3:$BK$48,BAU_Demands!AT$1,0)</f>
        <v>0</v>
      </c>
      <c r="AW34" s="314">
        <f>VLOOKUP($C34,BAU_Demands!$B$3:$BK$48,BAU_Demands!AU$1,0)</f>
        <v>0</v>
      </c>
      <c r="AX34" s="314">
        <f>VLOOKUP($C34,BAU_Demands!$B$3:$BK$48,BAU_Demands!AV$1,0)</f>
        <v>0</v>
      </c>
      <c r="AY34" s="314">
        <f>VLOOKUP($C34,BAU_Demands!$B$3:$BK$48,BAU_Demands!AW$1,0)</f>
        <v>0</v>
      </c>
      <c r="AZ34" s="314">
        <f>VLOOKUP($C34,BAU_Demands!$B$3:$BK$48,BAU_Demands!AX$1,0)</f>
        <v>0</v>
      </c>
      <c r="BA34" s="314">
        <f>VLOOKUP($C34,BAU_Demands!$B$3:$BK$48,BAU_Demands!AY$1,0)</f>
        <v>0</v>
      </c>
      <c r="BB34" s="314">
        <f>VLOOKUP($C34,BAU_Demands!$B$3:$BK$48,BAU_Demands!AZ$1,0)</f>
        <v>0</v>
      </c>
      <c r="BC34" s="314">
        <f>VLOOKUP($C34,BAU_Demands!$B$3:$BK$48,BAU_Demands!BA$1,0)</f>
        <v>0</v>
      </c>
      <c r="BD34" s="314">
        <f>VLOOKUP($C34,BAU_Demands!$B$3:$BK$48,BAU_Demands!BB$1,0)</f>
        <v>0</v>
      </c>
      <c r="BE34" s="314">
        <f>VLOOKUP($C34,BAU_Demands!$B$3:$BK$48,BAU_Demands!BC$1,0)</f>
        <v>0</v>
      </c>
      <c r="BF34" s="314">
        <f>VLOOKUP($C34,BAU_Demands!$B$3:$BK$48,BAU_Demands!BD$1,0)</f>
        <v>0</v>
      </c>
      <c r="BG34" s="314">
        <f>VLOOKUP($C34,BAU_Demands!$B$3:$BK$48,BAU_Demands!BE$1,0)</f>
        <v>0</v>
      </c>
      <c r="BH34" s="314">
        <f>VLOOKUP($C34,BAU_Demands!$B$3:$BK$48,BAU_Demands!BF$1,0)</f>
        <v>0</v>
      </c>
      <c r="BI34" s="314">
        <f>VLOOKUP($C34,BAU_Demands!$B$3:$BK$48,BAU_Demands!BG$1,0)</f>
        <v>0</v>
      </c>
      <c r="BJ34" s="314">
        <f>VLOOKUP($C34,BAU_Demands!$B$3:$BK$48,BAU_Demands!BH$1,0)</f>
        <v>0</v>
      </c>
      <c r="BK34" s="314">
        <f>VLOOKUP($C34,BAU_Demands!$B$3:$BK$48,BAU_Demands!BI$1,0)</f>
        <v>0</v>
      </c>
      <c r="BL34" s="314">
        <f>VLOOKUP($C34,BAU_Demands!$B$3:$BK$48,BAU_Demands!BJ$1,0)</f>
        <v>0</v>
      </c>
      <c r="BM34" s="314">
        <f>VLOOKUP($C34,BAU_Demands!$B$3:$BK$48,BAU_Demands!BK$1,0)</f>
        <v>0</v>
      </c>
    </row>
    <row r="35" spans="1:65" ht="15.75" customHeight="1">
      <c r="A35" s="314" t="s">
        <v>457</v>
      </c>
      <c r="B35" s="314" t="s">
        <v>458</v>
      </c>
      <c r="C35" s="314" t="s">
        <v>529</v>
      </c>
      <c r="D35" s="314" t="s">
        <v>460</v>
      </c>
      <c r="E35" s="314" t="s">
        <v>530</v>
      </c>
      <c r="F35" s="314" t="s">
        <v>462</v>
      </c>
      <c r="G35" s="314" t="s">
        <v>463</v>
      </c>
      <c r="H35" s="314" t="s">
        <v>464</v>
      </c>
      <c r="I35" s="314" t="s">
        <v>44</v>
      </c>
      <c r="J35" s="314" t="s">
        <v>44</v>
      </c>
      <c r="K35" s="314" t="s">
        <v>44</v>
      </c>
      <c r="L35" s="314" t="s">
        <v>44</v>
      </c>
      <c r="M35" s="314">
        <v>0</v>
      </c>
      <c r="N35" s="314">
        <v>0</v>
      </c>
      <c r="O35" s="314">
        <v>0</v>
      </c>
      <c r="P35" s="314">
        <v>0</v>
      </c>
      <c r="Q35" s="314">
        <v>0</v>
      </c>
      <c r="R35" s="314">
        <v>0</v>
      </c>
      <c r="S35" s="314">
        <v>0</v>
      </c>
      <c r="T35" s="314">
        <v>0</v>
      </c>
      <c r="U35" s="314">
        <v>6.0000000000000001E-3</v>
      </c>
      <c r="V35" s="314">
        <v>6.0000000000000001E-3</v>
      </c>
      <c r="W35" s="314">
        <v>6.0000000000000001E-3</v>
      </c>
      <c r="X35" s="314">
        <v>6.0000000000000001E-3</v>
      </c>
      <c r="Y35" s="314">
        <v>1.2E-2</v>
      </c>
      <c r="Z35" s="314">
        <v>1.2E-2</v>
      </c>
      <c r="AA35" s="314">
        <v>1.2E-2</v>
      </c>
      <c r="AB35" s="314">
        <v>1.2E-2</v>
      </c>
      <c r="AC35" s="314">
        <v>2.4E-2</v>
      </c>
      <c r="AD35" s="314">
        <v>2.4E-2</v>
      </c>
      <c r="AE35" s="314">
        <v>2.4E-2</v>
      </c>
      <c r="AF35" s="314">
        <v>2.4E-2</v>
      </c>
      <c r="AG35" s="314">
        <v>0.05</v>
      </c>
      <c r="AH35" s="314">
        <v>0.05</v>
      </c>
      <c r="AI35" s="314">
        <v>0.05</v>
      </c>
      <c r="AJ35" s="314">
        <v>0.05</v>
      </c>
      <c r="AK35" s="314">
        <v>0.09</v>
      </c>
      <c r="AL35" s="314">
        <v>0.09</v>
      </c>
      <c r="AM35" s="314">
        <v>0.09</v>
      </c>
      <c r="AN35" s="314">
        <v>0.09</v>
      </c>
      <c r="AO35" s="314">
        <v>0.18</v>
      </c>
      <c r="AP35" s="314">
        <v>0.18</v>
      </c>
      <c r="AQ35" s="314">
        <v>0.18</v>
      </c>
      <c r="AR35" s="314">
        <v>0.18</v>
      </c>
      <c r="AS35" s="314">
        <v>0.18</v>
      </c>
      <c r="AT35" s="325">
        <v>0.18</v>
      </c>
      <c r="AU35" s="325">
        <v>0.18</v>
      </c>
      <c r="AV35" s="325">
        <v>0.18</v>
      </c>
      <c r="AW35" s="325">
        <v>0.18</v>
      </c>
      <c r="AX35" s="325">
        <v>0.18</v>
      </c>
      <c r="AY35" s="325">
        <v>0.18</v>
      </c>
      <c r="AZ35" s="325">
        <v>0.18</v>
      </c>
      <c r="BA35" s="325">
        <v>0.18</v>
      </c>
      <c r="BB35" s="325">
        <v>0.18</v>
      </c>
      <c r="BC35" s="325">
        <v>0.18</v>
      </c>
      <c r="BD35" s="325">
        <v>0.18</v>
      </c>
      <c r="BE35" s="325">
        <v>0.18</v>
      </c>
      <c r="BF35" s="325">
        <v>0.18</v>
      </c>
      <c r="BG35" s="325">
        <v>0.18</v>
      </c>
      <c r="BH35" s="325">
        <v>0.18</v>
      </c>
      <c r="BI35" s="325">
        <v>0.18</v>
      </c>
      <c r="BJ35" s="325">
        <v>0.18</v>
      </c>
      <c r="BK35" s="325">
        <f>'Net Zero 2050'!BC70</f>
        <v>0.18</v>
      </c>
      <c r="BL35" s="325">
        <f>'Net Zero 2050'!BD70</f>
        <v>0.18</v>
      </c>
      <c r="BM35" s="325">
        <f>'Net Zero 2050'!BE70</f>
        <v>0.18</v>
      </c>
    </row>
    <row r="36" spans="1:65" ht="15.75" customHeight="1">
      <c r="A36" s="30" t="s">
        <v>457</v>
      </c>
      <c r="B36" s="30" t="s">
        <v>458</v>
      </c>
      <c r="C36" s="30" t="s">
        <v>531</v>
      </c>
      <c r="D36" s="30" t="s">
        <v>460</v>
      </c>
      <c r="E36" s="30" t="s">
        <v>532</v>
      </c>
      <c r="F36" s="30" t="s">
        <v>462</v>
      </c>
      <c r="G36" s="30" t="s">
        <v>463</v>
      </c>
      <c r="H36" s="30" t="s">
        <v>464</v>
      </c>
      <c r="I36" s="30" t="s">
        <v>44</v>
      </c>
      <c r="J36" s="30" t="s">
        <v>44</v>
      </c>
      <c r="K36" s="30" t="s">
        <v>44</v>
      </c>
      <c r="L36" s="30" t="s">
        <v>44</v>
      </c>
      <c r="M36" s="30">
        <f>VLOOKUP($C36,BAU_Demands!$B$3:$BK$48,BAU_Demands!K$1,0)</f>
        <v>3.9680445139999998</v>
      </c>
      <c r="N36" s="30">
        <f>VLOOKUP($C36,BAU_Demands!$B$3:$BK$48,BAU_Demands!L$1,0)</f>
        <v>4.1453383629999996</v>
      </c>
      <c r="O36" s="30">
        <f>VLOOKUP($C36,BAU_Demands!$B$3:$BK$48,BAU_Demands!M$1,0)</f>
        <v>3.690260635</v>
      </c>
      <c r="P36" s="30">
        <f>VLOOKUP($C36,BAU_Demands!$B$3:$BK$48,BAU_Demands!N$1,0)</f>
        <v>4.125979772</v>
      </c>
      <c r="Q36" s="30">
        <f>VLOOKUP($C36,BAU_Demands!$B$3:$BK$48,BAU_Demands!O$1,0)*(1-'Net Zero 2050'!I75)+BAU_Demands!O32-Q32</f>
        <v>4.28</v>
      </c>
      <c r="R36" s="30">
        <f>VLOOKUP($C36,BAU_Demands!$B$3:$BK$48,BAU_Demands!P$1,0)*(1-'Net Zero 2050'!J75)+BAU_Demands!P32-R32</f>
        <v>4.3815779999999993</v>
      </c>
      <c r="S36" s="30">
        <f>VLOOKUP($C36,BAU_Demands!$B$3:$BK$48,BAU_Demands!Q$1,0)*(1-'Net Zero 2050'!K75)+BAU_Demands!Q32-S32</f>
        <v>4.5747309999999999</v>
      </c>
      <c r="T36" s="30">
        <f>VLOOKUP($C36,BAU_Demands!$B$3:$BK$48,BAU_Demands!R$1,0)*(1-'Net Zero 2050'!L75)+BAU_Demands!R32-T32</f>
        <v>4.6673499999999999</v>
      </c>
      <c r="U36" s="30">
        <f>VLOOKUP($C36,BAU_Demands!$B$3:$BK$48,BAU_Demands!S$1,0)*(1-'Net Zero 2050'!M75)+BAU_Demands!S32-U32</f>
        <v>4.7972999999999999</v>
      </c>
      <c r="V36" s="30">
        <f>VLOOKUP($C36,BAU_Demands!$B$3:$BK$48,BAU_Demands!T$1,0)*(1-'Net Zero 2050'!N75)+BAU_Demands!T32-V32</f>
        <v>4.8963999999999999</v>
      </c>
      <c r="W36" s="30">
        <f>VLOOKUP($C36,BAU_Demands!$B$3:$BK$48,BAU_Demands!U$1,0)*(1-'Net Zero 2050'!O75)+BAU_Demands!U32-W32</f>
        <v>5.0549999999999997</v>
      </c>
      <c r="X36" s="30">
        <f>VLOOKUP($C36,BAU_Demands!$B$3:$BK$48,BAU_Demands!V$1,0)*(1-'Net Zero 2050'!P75)+BAU_Demands!V32-X32</f>
        <v>5.1028500000000001</v>
      </c>
      <c r="Y36" s="30">
        <f>VLOOKUP($C36,BAU_Demands!$B$3:$BK$48,BAU_Demands!W$1,0)*(1-'Net Zero 2050'!Q75)+BAU_Demands!W32-Y32</f>
        <v>5.2498999999999993</v>
      </c>
      <c r="Z36" s="30">
        <f>VLOOKUP($C36,BAU_Demands!$B$3:$BK$48,BAU_Demands!X$1,0)*(1-'Net Zero 2050'!R75)+BAU_Demands!X32-Z32</f>
        <v>5.3663000000000007</v>
      </c>
      <c r="AA36" s="30">
        <f>VLOOKUP($C36,BAU_Demands!$B$3:$BK$48,BAU_Demands!Y$1,0)*(1-'Net Zero 2050'!S75)+BAU_Demands!Y32-AA32</f>
        <v>5.5312199999999994</v>
      </c>
      <c r="AB36" s="30">
        <f>VLOOKUP($C36,BAU_Demands!$B$3:$BK$48,BAU_Demands!Z$1,0)*(1-'Net Zero 2050'!T75)+BAU_Demands!Z32-AB32</f>
        <v>5.6474399999999996</v>
      </c>
      <c r="AC36" s="30">
        <f>VLOOKUP($C36,BAU_Demands!$B$3:$BK$48,BAU_Demands!AA$1,0)*(1-'Net Zero 2050'!U75)+BAU_Demands!AA32-AC32</f>
        <v>5.8022799999999997</v>
      </c>
      <c r="AD36" s="30">
        <f>VLOOKUP($C36,BAU_Demands!$B$3:$BK$48,BAU_Demands!AB$1,0)*(1-'Net Zero 2050'!V75)+BAU_Demands!AB32-AD32</f>
        <v>5.8973999999999993</v>
      </c>
      <c r="AE36" s="30">
        <f>VLOOKUP($C36,BAU_Demands!$B$3:$BK$48,BAU_Demands!AC$1,0)*(1-'Net Zero 2050'!W75)+BAU_Demands!AC32-AE32</f>
        <v>6.1113000000000008</v>
      </c>
      <c r="AF36" s="30">
        <f>VLOOKUP($C36,BAU_Demands!$B$3:$BK$48,BAU_Demands!AD$1,0)*(1-'Net Zero 2050'!X75)+BAU_Demands!AD32-AF32</f>
        <v>6.2458000000000009</v>
      </c>
      <c r="AG36" s="30">
        <f>VLOOKUP($C36,BAU_Demands!$B$3:$BK$48,BAU_Demands!AE$1,0)*(1-'Net Zero 2050'!Y75)+BAU_Demands!AE32-AG32</f>
        <v>6.4526400000000006</v>
      </c>
      <c r="AH36" s="30">
        <f>VLOOKUP($C36,BAU_Demands!$B$3:$BK$48,BAU_Demands!AF$1,0)*(1-'Net Zero 2050'!Z75)+BAU_Demands!AF32-AH32</f>
        <v>6.6210400000000007</v>
      </c>
      <c r="AI36" s="30">
        <f>VLOOKUP($C36,BAU_Demands!$B$3:$BK$48,BAU_Demands!AG$1,0)*(1-'Net Zero 2050'!AA75)+BAU_Demands!AG32-AI32</f>
        <v>6.8291000000000004</v>
      </c>
      <c r="AJ36" s="30">
        <f>VLOOKUP($C36,BAU_Demands!$B$3:$BK$48,BAU_Demands!AH$1,0)*(1-'Net Zero 2050'!AB75)+BAU_Demands!AH32-AJ32</f>
        <v>6.95181</v>
      </c>
      <c r="AK36" s="30">
        <f>VLOOKUP($C36,BAU_Demands!$B$3:$BK$48,BAU_Demands!AI$1,0)*(1-'Net Zero 2050'!AC75)+BAU_Demands!AI32-AK32</f>
        <v>7.1151799999999996</v>
      </c>
      <c r="AL36" s="30">
        <f>VLOOKUP($C36,BAU_Demands!$B$3:$BK$48,BAU_Demands!AJ$1,0)*(1-'Net Zero 2050'!AD75)+BAU_Demands!AJ32-AL32</f>
        <v>7.2149700000000001</v>
      </c>
      <c r="AM36" s="30">
        <f>VLOOKUP($C36,BAU_Demands!$B$3:$BK$48,BAU_Demands!AK$1,0)*(1-'Net Zero 2050'!AE75)+BAU_Demands!AK32-AM32</f>
        <v>7.3841000000000019</v>
      </c>
      <c r="AN36" s="30">
        <f>VLOOKUP($C36,BAU_Demands!$B$3:$BK$48,BAU_Demands!AL$1,0)*(1-'Net Zero 2050'!AF75)+BAU_Demands!AL32-AN32</f>
        <v>7.5145</v>
      </c>
      <c r="AO36" s="30">
        <f>VLOOKUP($C36,BAU_Demands!$B$3:$BK$48,BAU_Demands!AM$1,0)*(1-'Net Zero 2050'!AG75)+BAU_Demands!AM32-AO32</f>
        <v>7.6735599999999984</v>
      </c>
      <c r="AP36" s="30">
        <f>VLOOKUP($C36,BAU_Demands!$B$3:$BK$48,BAU_Demands!AN$1,0)*(1-'Net Zero 2050'!AH75)+BAU_Demands!AN32-AP32</f>
        <v>7.7998399999999997</v>
      </c>
      <c r="AQ36" s="30">
        <f>VLOOKUP($C36,BAU_Demands!$B$3:$BK$48,BAU_Demands!AO$1,0)*(1-'Net Zero 2050'!AI75)+BAU_Demands!AO32-AQ32</f>
        <v>7.9497199999999992</v>
      </c>
      <c r="AR36" s="30">
        <f>VLOOKUP($C36,BAU_Demands!$B$3:$BK$48,BAU_Demands!AP$1,0)*(1-'Net Zero 2050'!AJ75)+BAU_Demands!AP32-AR32</f>
        <v>8.0762999999999998</v>
      </c>
      <c r="AS36" s="30">
        <f>VLOOKUP($C36,BAU_Demands!$B$3:$BK$48,BAU_Demands!AQ$1,0)*(1-'Net Zero 2050'!AK75)+BAU_Demands!AQ32-AS32</f>
        <v>8.235100000000001</v>
      </c>
      <c r="AT36" s="30">
        <f>VLOOKUP($C36,BAU_Demands!$B$3:$BK$48,BAU_Demands!AR$1,0)*(1-'Net Zero 2050'!AL75)+BAU_Demands!AR32-AT32</f>
        <v>8.4035693374384266</v>
      </c>
      <c r="AU36" s="30">
        <f>VLOOKUP($C36,BAU_Demands!$B$3:$BK$48,BAU_Demands!AS$1,0)*(1-'Net Zero 2050'!AM75)+BAU_Demands!AS32-AU32</f>
        <v>8.5659543487684733</v>
      </c>
      <c r="AV36" s="30">
        <f>VLOOKUP($C36,BAU_Demands!$B$3:$BK$48,BAU_Demands!AT$1,0)*(1-'Net Zero 2050'!AN75)+BAU_Demands!AT32-AV32</f>
        <v>8.7408314586206899</v>
      </c>
      <c r="AW36" s="30">
        <f>VLOOKUP($C36,BAU_Demands!$B$3:$BK$48,BAU_Demands!AU$1,0)*(1-'Net Zero 2050'!AO75)+BAU_Demands!AU32-AW32</f>
        <v>8.9039676512315324</v>
      </c>
      <c r="AX36" s="30">
        <f>VLOOKUP($C36,BAU_Demands!$B$3:$BK$48,BAU_Demands!AV$1,0)*(1-'Net Zero 2050'!AP75)+BAU_Demands!AV32-AX32</f>
        <v>9.0835249413793147</v>
      </c>
      <c r="AY36" s="30">
        <f>VLOOKUP($C36,BAU_Demands!$B$3:$BK$48,BAU_Demands!AW$1,0)*(1-'Net Zero 2050'!AQ75)+BAU_Demands!AW32-AY32</f>
        <v>9.2595933399014818</v>
      </c>
      <c r="AZ36" s="30">
        <f>VLOOKUP($C36,BAU_Demands!$B$3:$BK$48,BAU_Demands!AX$1,0)*(1-'Net Zero 2050'!AR75)+BAU_Demands!AX32-AZ32</f>
        <v>9.4440675793103477</v>
      </c>
      <c r="BA36" s="30">
        <f>VLOOKUP($C36,BAU_Demands!$B$3:$BK$48,BAU_Demands!AY$1,0)*(1-'Net Zero 2050'!AS75)+BAU_Demands!AY32-BA32</f>
        <v>9.6163712453202042</v>
      </c>
      <c r="BB36" s="30">
        <f>VLOOKUP($C36,BAU_Demands!$B$3:$BK$48,BAU_Demands!AZ$1,0)*(1-'Net Zero 2050'!AT75)+BAU_Demands!AZ32-BB32</f>
        <v>9.8014976197044419</v>
      </c>
      <c r="BC36" s="30">
        <f>VLOOKUP($C36,BAU_Demands!$B$3:$BK$48,BAU_Demands!BA$1,0)*(1-'Net Zero 2050'!AU75)+BAU_Demands!BA32-BC32</f>
        <v>9.9947159605911295</v>
      </c>
      <c r="BD36" s="30">
        <f>VLOOKUP($C36,BAU_Demands!$B$3:$BK$48,BAU_Demands!BB$1,0)*(1-'Net Zero 2050'!AV75)+BAU_Demands!BB32-BD32</f>
        <v>10.19327045566502</v>
      </c>
      <c r="BE36" s="30">
        <f>VLOOKUP($C36,BAU_Demands!$B$3:$BK$48,BAU_Demands!BC$1,0)*(1-'Net Zero 2050'!AW75)+BAU_Demands!BC32-BE32</f>
        <v>10.387104660098517</v>
      </c>
      <c r="BF36" s="30">
        <f>VLOOKUP($C36,BAU_Demands!$B$3:$BK$48,BAU_Demands!BD$1,0)*(1-'Net Zero 2050'!AX75)+BAU_Demands!BD32-BF32</f>
        <v>10.594092182758621</v>
      </c>
      <c r="BG36" s="30">
        <f>VLOOKUP($C36,BAU_Demands!$B$3:$BK$48,BAU_Demands!BE$1,0)*(1-'Net Zero 2050'!AY75)+BAU_Demands!BE32-BG32</f>
        <v>10.801470289655171</v>
      </c>
      <c r="BH36" s="30">
        <f>VLOOKUP($C36,BAU_Demands!$B$3:$BK$48,BAU_Demands!BF$1,0)*(1-'Net Zero 2050'!AZ75)+BAU_Demands!BF32-BH32</f>
        <v>11.009238980788176</v>
      </c>
      <c r="BI36" s="30">
        <f>VLOOKUP($C36,BAU_Demands!$B$3:$BK$48,BAU_Demands!BG$1,0)*(1-'Net Zero 2050'!BA75)+BAU_Demands!BG32-BI32</f>
        <v>11.224749492610838</v>
      </c>
      <c r="BJ36" s="30">
        <f>VLOOKUP($C36,BAU_Demands!$B$3:$BK$48,BAU_Demands!BH$1,0)*(1-'Net Zero 2050'!BB75)+BAU_Demands!BH32-BJ32</f>
        <v>11.446455470935964</v>
      </c>
      <c r="BK36" s="30">
        <f>VLOOKUP($C36,BAU_Demands!$B$3:$BK$48,BAU_Demands!BI$1,0)*(1-'Net Zero 2050'!BC75)+BAU_Demands!BI32-BK32</f>
        <v>11.668704086699512</v>
      </c>
      <c r="BL36" s="30">
        <f>VLOOKUP($C36,BAU_Demands!$B$3:$BK$48,BAU_Demands!BJ$1,0)*(1-'Net Zero 2050'!BD75)+BAU_Demands!BJ32-BL32</f>
        <v>11.898658251724141</v>
      </c>
      <c r="BM36" s="30">
        <f>VLOOKUP($C36,BAU_Demands!$B$3:$BK$48,BAU_Demands!BK$1,0)*(1-'Net Zero 2050'!BE75)+BAU_Demands!BK32-BM32</f>
        <v>12.1290295044335</v>
      </c>
    </row>
    <row r="37" spans="1:65" ht="15.75" customHeight="1">
      <c r="A37" s="314" t="s">
        <v>457</v>
      </c>
      <c r="B37" s="314" t="s">
        <v>458</v>
      </c>
      <c r="C37" s="314" t="s">
        <v>533</v>
      </c>
      <c r="D37" s="314" t="s">
        <v>460</v>
      </c>
      <c r="E37" s="314" t="s">
        <v>534</v>
      </c>
      <c r="F37" s="314" t="s">
        <v>462</v>
      </c>
      <c r="G37" s="314" t="s">
        <v>463</v>
      </c>
      <c r="H37" s="314" t="s">
        <v>464</v>
      </c>
      <c r="I37" s="314" t="s">
        <v>44</v>
      </c>
      <c r="J37" s="314" t="s">
        <v>44</v>
      </c>
      <c r="K37" s="314" t="s">
        <v>44</v>
      </c>
      <c r="L37" s="314" t="s">
        <v>44</v>
      </c>
      <c r="M37" s="314">
        <f>VLOOKUP($C37,BAU_Demands!$B$3:$BK$48,BAU_Demands!K$1,0)</f>
        <v>1.9633782829999999</v>
      </c>
      <c r="N37" s="314">
        <f>VLOOKUP($C37,BAU_Demands!$B$3:$BK$48,BAU_Demands!L$1,0)</f>
        <v>1.5793630780000001</v>
      </c>
      <c r="O37" s="314">
        <f>VLOOKUP($C37,BAU_Demands!$B$3:$BK$48,BAU_Demands!M$1,0)</f>
        <v>0.94433599499999998</v>
      </c>
      <c r="P37" s="314">
        <f>VLOOKUP($C37,BAU_Demands!$B$3:$BK$48,BAU_Demands!N$1,0)</f>
        <v>1.6548595399999999</v>
      </c>
      <c r="Q37" s="314">
        <f>VLOOKUP($C37,BAU_Demands!$B$3:$BK$48,BAU_Demands!O$1,0)*(1-'Net Zero 2050'!I77)</f>
        <v>1.72</v>
      </c>
      <c r="R37" s="314">
        <f>VLOOKUP($C37,BAU_Demands!$B$3:$BK$48,BAU_Demands!P$1,0)*(1-'Net Zero 2050'!J77)</f>
        <v>1.7470249999999998</v>
      </c>
      <c r="S37" s="314">
        <f>VLOOKUP($C37,BAU_Demands!$B$3:$BK$48,BAU_Demands!Q$1,0)*(1-'Net Zero 2050'!K77)</f>
        <v>1.8139940000000001</v>
      </c>
      <c r="T37" s="314">
        <f>VLOOKUP($C37,BAU_Demands!$B$3:$BK$48,BAU_Demands!R$1,0)*(1-'Net Zero 2050'!L77)</f>
        <v>1.8507</v>
      </c>
      <c r="U37" s="314">
        <f>VLOOKUP($C37,BAU_Demands!$B$3:$BK$48,BAU_Demands!S$1,0)*(1-'Net Zero 2050'!M77)</f>
        <v>1.8908999999999998</v>
      </c>
      <c r="V37" s="314">
        <f>VLOOKUP($C37,BAU_Demands!$B$3:$BK$48,BAU_Demands!T$1,0)*(1-'Net Zero 2050'!N77)</f>
        <v>1.9305999999999999</v>
      </c>
      <c r="W37" s="314">
        <f>VLOOKUP($C37,BAU_Demands!$B$3:$BK$48,BAU_Demands!U$1,0)*(1-'Net Zero 2050'!O77)</f>
        <v>1.9893999999999998</v>
      </c>
      <c r="X37" s="314">
        <f>VLOOKUP($C37,BAU_Demands!$B$3:$BK$48,BAU_Demands!V$1,0)*(1-'Net Zero 2050'!P77)</f>
        <v>1.9987499999999998</v>
      </c>
      <c r="Y37" s="314">
        <f>VLOOKUP($C37,BAU_Demands!$B$3:$BK$48,BAU_Demands!W$1,0)*(1-'Net Zero 2050'!Q77)</f>
        <v>2.0467</v>
      </c>
      <c r="Z37" s="314">
        <f>VLOOKUP($C37,BAU_Demands!$B$3:$BK$48,BAU_Demands!X$1,0)*(1-'Net Zero 2050'!R77)</f>
        <v>2.0779200000000002</v>
      </c>
      <c r="AA37" s="314">
        <f>VLOOKUP($C37,BAU_Demands!$B$3:$BK$48,BAU_Demands!Y$1,0)*(1-'Net Zero 2050'!S77)</f>
        <v>2.1274199999999999</v>
      </c>
      <c r="AB37" s="314">
        <f>VLOOKUP($C37,BAU_Demands!$B$3:$BK$48,BAU_Demands!Z$1,0)*(1-'Net Zero 2050'!T77)</f>
        <v>2.1568799999999997</v>
      </c>
      <c r="AC37" s="314">
        <f>VLOOKUP($C37,BAU_Demands!$B$3:$BK$48,BAU_Demands!AA$1,0)*(1-'Net Zero 2050'!U77)</f>
        <v>2.1949199999999998</v>
      </c>
      <c r="AD37" s="314">
        <f>VLOOKUP($C37,BAU_Demands!$B$3:$BK$48,BAU_Demands!AB$1,0)*(1-'Net Zero 2050'!V77)</f>
        <v>2.2133999999999996</v>
      </c>
      <c r="AE37" s="314">
        <f>VLOOKUP($C37,BAU_Demands!$B$3:$BK$48,BAU_Demands!AC$1,0)*(1-'Net Zero 2050'!W77)</f>
        <v>2.2589000000000001</v>
      </c>
      <c r="AF37" s="314">
        <f>VLOOKUP($C37,BAU_Demands!$B$3:$BK$48,BAU_Demands!AD$1,0)*(1-'Net Zero 2050'!X77)</f>
        <v>2.2850000000000001</v>
      </c>
      <c r="AG37" s="314">
        <f>VLOOKUP($C37,BAU_Demands!$B$3:$BK$48,BAU_Demands!AE$1,0)*(1-'Net Zero 2050'!Y77)</f>
        <v>2.3193600000000001</v>
      </c>
      <c r="AH37" s="314">
        <f>VLOOKUP($C37,BAU_Demands!$B$3:$BK$48,BAU_Demands!AF$1,0)*(1-'Net Zero 2050'!Z77)</f>
        <v>2.3437799999999998</v>
      </c>
      <c r="AI37" s="314">
        <f>VLOOKUP($C37,BAU_Demands!$B$3:$BK$48,BAU_Demands!AG$1,0)*(1-'Net Zero 2050'!AA77)</f>
        <v>2.3852000000000002</v>
      </c>
      <c r="AJ37" s="314">
        <f>VLOOKUP($C37,BAU_Demands!$B$3:$BK$48,BAU_Demands!AH$1,0)*(1-'Net Zero 2050'!AB77)</f>
        <v>2.4133200000000001</v>
      </c>
      <c r="AK37" s="314">
        <f>VLOOKUP($C37,BAU_Demands!$B$3:$BK$48,BAU_Demands!AI$1,0)*(1-'Net Zero 2050'!AC77)</f>
        <v>2.4583999999999997</v>
      </c>
      <c r="AL37" s="314">
        <f>VLOOKUP($C37,BAU_Demands!$B$3:$BK$48,BAU_Demands!AJ$1,0)*(1-'Net Zero 2050'!AD77)</f>
        <v>2.47648</v>
      </c>
      <c r="AM37" s="314">
        <f>VLOOKUP($C37,BAU_Demands!$B$3:$BK$48,BAU_Demands!AK$1,0)*(1-'Net Zero 2050'!AE77)</f>
        <v>2.5114000000000001</v>
      </c>
      <c r="AN37" s="314">
        <f>VLOOKUP($C37,BAU_Demands!$B$3:$BK$48,BAU_Demands!AL$1,0)*(1-'Net Zero 2050'!AF77)</f>
        <v>2.5369999999999999</v>
      </c>
      <c r="AO37" s="314">
        <f>VLOOKUP($C37,BAU_Demands!$B$3:$BK$48,BAU_Demands!AM$1,0)*(1-'Net Zero 2050'!AG77)</f>
        <v>2.5911599999999999</v>
      </c>
      <c r="AP37" s="314">
        <f>VLOOKUP($C37,BAU_Demands!$B$3:$BK$48,BAU_Demands!AN$1,0)*(1-'Net Zero 2050'!AH77)</f>
        <v>2.6193599999999999</v>
      </c>
      <c r="AQ37" s="314">
        <f>VLOOKUP($C37,BAU_Demands!$B$3:$BK$48,BAU_Demands!AO$1,0)*(1-'Net Zero 2050'!AI77)</f>
        <v>2.6644800000000002</v>
      </c>
      <c r="AR37" s="314">
        <f>VLOOKUP($C37,BAU_Demands!$B$3:$BK$48,BAU_Demands!AP$1,0)*(1-'Net Zero 2050'!AJ77)</f>
        <v>2.7008399999999999</v>
      </c>
      <c r="AS37" s="314">
        <f>VLOOKUP($C37,BAU_Demands!$B$3:$BK$48,BAU_Demands!AQ$1,0)*(1-'Net Zero 2050'!AK77)</f>
        <v>2.7454999999999998</v>
      </c>
      <c r="AT37" s="314">
        <f>VLOOKUP($C37,BAU_Demands!$B$3:$BK$48,BAU_Demands!AR$1,0)*(1-'Net Zero 2050'!AL77)</f>
        <v>2.7283508103448275</v>
      </c>
      <c r="AU37" s="314">
        <f>VLOOKUP($C37,BAU_Demands!$B$3:$BK$48,BAU_Demands!AS$1,0)*(1-'Net Zero 2050'!AM77)</f>
        <v>2.7570783842364537</v>
      </c>
      <c r="AV37" s="314">
        <f>VLOOKUP($C37,BAU_Demands!$B$3:$BK$48,BAU_Demands!AT$1,0)*(1-'Net Zero 2050'!AN77)</f>
        <v>2.7932199694581286</v>
      </c>
      <c r="AW37" s="314">
        <f>VLOOKUP($C37,BAU_Demands!$B$3:$BK$48,BAU_Demands!AU$1,0)*(1-'Net Zero 2050'!AO77)</f>
        <v>2.8203781714285721</v>
      </c>
      <c r="AX37" s="314">
        <f>VLOOKUP($C37,BAU_Demands!$B$3:$BK$48,BAU_Demands!AV$1,0)*(1-'Net Zero 2050'!AP77)</f>
        <v>2.8467830748768486</v>
      </c>
      <c r="AY37" s="314">
        <f>VLOOKUP($C37,BAU_Demands!$B$3:$BK$48,BAU_Demands!AW$1,0)*(1-'Net Zero 2050'!AQ77)</f>
        <v>2.8804136650246317</v>
      </c>
      <c r="AZ37" s="314">
        <f>VLOOKUP($C37,BAU_Demands!$B$3:$BK$48,BAU_Demands!AX$1,0)*(1-'Net Zero 2050'!AR77)</f>
        <v>2.9131654068965531</v>
      </c>
      <c r="BA37" s="314">
        <f>VLOOKUP($C37,BAU_Demands!$B$3:$BK$48,BAU_Demands!AY$1,0)*(1-'Net Zero 2050'!AS77)</f>
        <v>2.9371848650246322</v>
      </c>
      <c r="BB37" s="314">
        <f>VLOOKUP($C37,BAU_Demands!$B$3:$BK$48,BAU_Demands!AZ$1,0)*(1-'Net Zero 2050'!AT77)</f>
        <v>2.9682416852216766</v>
      </c>
      <c r="BC37" s="314">
        <f>VLOOKUP($C37,BAU_Demands!$B$3:$BK$48,BAU_Demands!BA$1,0)*(1-'Net Zero 2050'!AU77)</f>
        <v>2.998419657142855</v>
      </c>
      <c r="BD37" s="314">
        <f>VLOOKUP($C37,BAU_Demands!$B$3:$BK$48,BAU_Demands!BB$1,0)*(1-'Net Zero 2050'!AV77)</f>
        <v>3.027718780788176</v>
      </c>
      <c r="BE37" s="314">
        <f>VLOOKUP($C37,BAU_Demands!$B$3:$BK$48,BAU_Demands!BC$1,0)*(1-'Net Zero 2050'!AW77)</f>
        <v>3.0637413921182257</v>
      </c>
      <c r="BF37" s="314">
        <f>VLOOKUP($C37,BAU_Demands!$B$3:$BK$48,BAU_Demands!BD$1,0)*(1-'Net Zero 2050'!AX77)</f>
        <v>3.0912200443349742</v>
      </c>
      <c r="BG37" s="314">
        <f>VLOOKUP($C37,BAU_Demands!$B$3:$BK$48,BAU_Demands!BE$1,0)*(1-'Net Zero 2050'!AY77)</f>
        <v>3.125296634482758</v>
      </c>
      <c r="BH37" s="314">
        <f>VLOOKUP($C37,BAU_Demands!$B$3:$BK$48,BAU_Demands!BF$1,0)*(1-'Net Zero 2050'!AZ77)</f>
        <v>3.1583688266009844</v>
      </c>
      <c r="BI37" s="314">
        <f>VLOOKUP($C37,BAU_Demands!$B$3:$BK$48,BAU_Demands!BG$1,0)*(1-'Net Zero 2050'!BA77)</f>
        <v>3.183085384236453</v>
      </c>
      <c r="BJ37" s="314">
        <f>VLOOKUP($C37,BAU_Demands!$B$3:$BK$48,BAU_Demands!BH$1,0)*(1-'Net Zero 2050'!BB77)</f>
        <v>3.214211555172414</v>
      </c>
      <c r="BK37" s="314">
        <f>VLOOKUP($C37,BAU_Demands!$B$3:$BK$48,BAU_Demands!BI$1,0)*(1-'Net Zero 2050'!BC77)</f>
        <v>3.2515590147783255</v>
      </c>
      <c r="BL37" s="314">
        <f>VLOOKUP($C37,BAU_Demands!$B$3:$BK$48,BAU_Demands!BJ$1,0)*(1-'Net Zero 2050'!BD77)</f>
        <v>3.2806136147783262</v>
      </c>
      <c r="BM37" s="314">
        <f>VLOOKUP($C37,BAU_Demands!$B$3:$BK$48,BAU_Demands!BK$1,0)*(1-'Net Zero 2050'!BE77)</f>
        <v>3.3086638167487692</v>
      </c>
    </row>
    <row r="38" spans="1:65" ht="15.75" customHeight="1">
      <c r="A38" s="314" t="s">
        <v>457</v>
      </c>
      <c r="B38" s="314" t="s">
        <v>458</v>
      </c>
      <c r="C38" s="314" t="s">
        <v>535</v>
      </c>
      <c r="D38" s="314" t="s">
        <v>460</v>
      </c>
      <c r="E38" s="314" t="s">
        <v>536</v>
      </c>
      <c r="F38" s="314" t="s">
        <v>462</v>
      </c>
      <c r="G38" s="314" t="s">
        <v>463</v>
      </c>
      <c r="H38" s="314" t="s">
        <v>464</v>
      </c>
      <c r="I38" s="314" t="s">
        <v>44</v>
      </c>
      <c r="J38" s="314" t="s">
        <v>44</v>
      </c>
      <c r="K38" s="314" t="s">
        <v>44</v>
      </c>
      <c r="L38" s="314" t="s">
        <v>44</v>
      </c>
      <c r="M38" s="314">
        <f>VLOOKUP($C38,BAU_Demands!$B$3:$BK$48,BAU_Demands!K$1,0)</f>
        <v>25.58482343</v>
      </c>
      <c r="N38" s="314">
        <f>VLOOKUP($C38,BAU_Demands!$B$3:$BK$48,BAU_Demands!L$1,0)</f>
        <v>22.023940570000001</v>
      </c>
      <c r="O38" s="314">
        <f>VLOOKUP($C38,BAU_Demands!$B$3:$BK$48,BAU_Demands!M$1,0)</f>
        <v>21.49139379</v>
      </c>
      <c r="P38" s="314">
        <f>VLOOKUP($C38,BAU_Demands!$B$3:$BK$48,BAU_Demands!N$1,0)</f>
        <v>20.510462489999998</v>
      </c>
      <c r="Q38" s="314">
        <f>VLOOKUP($C38,BAU_Demands!$B$3:$BK$48,BAU_Demands!O$1,0)*(1-'Net Zero 2050'!I72)</f>
        <v>21.29</v>
      </c>
      <c r="R38" s="314">
        <f>VLOOKUP($C38,BAU_Demands!$B$3:$BK$48,BAU_Demands!P$1,0)*(1-'Net Zero 2050'!J72)</f>
        <v>21.532499999999999</v>
      </c>
      <c r="S38" s="314">
        <f>VLOOKUP($C38,BAU_Demands!$B$3:$BK$48,BAU_Demands!Q$1,0)*(1-'Net Zero 2050'!K72)</f>
        <v>22.157799999999998</v>
      </c>
      <c r="T38" s="314">
        <f>VLOOKUP($C38,BAU_Demands!$B$3:$BK$48,BAU_Demands!R$1,0)*(1-'Net Zero 2050'!L72)</f>
        <v>22.300299999999996</v>
      </c>
      <c r="U38" s="314">
        <f>VLOOKUP($C38,BAU_Demands!$B$3:$BK$48,BAU_Demands!S$1,0)*(1-'Net Zero 2050'!M72)</f>
        <v>22.723759999999999</v>
      </c>
      <c r="V38" s="314">
        <f>VLOOKUP($C38,BAU_Demands!$B$3:$BK$48,BAU_Demands!T$1,0)*(1-'Net Zero 2050'!N72)</f>
        <v>22.931039999999996</v>
      </c>
      <c r="W38" s="314">
        <f>VLOOKUP($C38,BAU_Demands!$B$3:$BK$48,BAU_Demands!U$1,0)*(1-'Net Zero 2050'!O72)</f>
        <v>23.46208</v>
      </c>
      <c r="X38" s="314">
        <f>VLOOKUP($C38,BAU_Demands!$B$3:$BK$48,BAU_Demands!V$1,0)*(1-'Net Zero 2050'!P72)</f>
        <v>23.437240000000003</v>
      </c>
      <c r="Y38" s="314">
        <f>VLOOKUP($C38,BAU_Demands!$B$3:$BK$48,BAU_Demands!W$1,0)*(1-'Net Zero 2050'!Q72)</f>
        <v>23.851100000000002</v>
      </c>
      <c r="Z38" s="314">
        <f>VLOOKUP($C38,BAU_Demands!$B$3:$BK$48,BAU_Demands!X$1,0)*(1-'Net Zero 2050'!R72)</f>
        <v>24.012800000000002</v>
      </c>
      <c r="AA38" s="314">
        <f>VLOOKUP($C38,BAU_Demands!$B$3:$BK$48,BAU_Demands!Y$1,0)*(1-'Net Zero 2050'!S72)</f>
        <v>24.37848</v>
      </c>
      <c r="AB38" s="314">
        <f>VLOOKUP($C38,BAU_Demands!$B$3:$BK$48,BAU_Demands!Z$1,0)*(1-'Net Zero 2050'!T72)</f>
        <v>24.494959999999999</v>
      </c>
      <c r="AC38" s="314">
        <f>VLOOKUP($C38,BAU_Demands!$B$3:$BK$48,BAU_Demands!AA$1,0)*(1-'Net Zero 2050'!U72)</f>
        <v>24.800159999999998</v>
      </c>
      <c r="AD38" s="314">
        <f>VLOOKUP($C38,BAU_Demands!$B$3:$BK$48,BAU_Demands!AB$1,0)*(1-'Net Zero 2050'!V72)</f>
        <v>24.805199999999999</v>
      </c>
      <c r="AE38" s="314">
        <f>VLOOKUP($C38,BAU_Demands!$B$3:$BK$48,BAU_Demands!AC$1,0)*(1-'Net Zero 2050'!W72)</f>
        <v>25.187760000000004</v>
      </c>
      <c r="AF38" s="314">
        <f>VLOOKUP($C38,BAU_Demands!$B$3:$BK$48,BAU_Demands!AD$1,0)*(1-'Net Zero 2050'!X72)</f>
        <v>25.238880000000002</v>
      </c>
      <c r="AG38" s="314">
        <f>VLOOKUP($C38,BAU_Demands!$B$3:$BK$48,BAU_Demands!AE$1,0)*(1-'Net Zero 2050'!Y72)</f>
        <v>25.54308</v>
      </c>
      <c r="AH38" s="314">
        <f>VLOOKUP($C38,BAU_Demands!$B$3:$BK$48,BAU_Demands!AF$1,0)*(1-'Net Zero 2050'!Z72)</f>
        <v>25.660800000000002</v>
      </c>
      <c r="AI38" s="314">
        <f>VLOOKUP($C38,BAU_Demands!$B$3:$BK$48,BAU_Demands!AG$1,0)*(1-'Net Zero 2050'!AA72)</f>
        <v>25.9194</v>
      </c>
      <c r="AJ38" s="314">
        <f>VLOOKUP($C38,BAU_Demands!$B$3:$BK$48,BAU_Demands!AH$1,0)*(1-'Net Zero 2050'!AB72)</f>
        <v>26.056800000000003</v>
      </c>
      <c r="AK38" s="314">
        <f>VLOOKUP($C38,BAU_Demands!$B$3:$BK$48,BAU_Demands!AI$1,0)*(1-'Net Zero 2050'!AC72)</f>
        <v>26.349200000000003</v>
      </c>
      <c r="AL38" s="314">
        <f>VLOOKUP($C38,BAU_Demands!$B$3:$BK$48,BAU_Demands!AJ$1,0)*(1-'Net Zero 2050'!AD72)</f>
        <v>26.355</v>
      </c>
      <c r="AM38" s="314">
        <f>VLOOKUP($C38,BAU_Demands!$B$3:$BK$48,BAU_Demands!AK$1,0)*(1-'Net Zero 2050'!AE72)</f>
        <v>26.617799999999999</v>
      </c>
      <c r="AN38" s="314">
        <f>VLOOKUP($C38,BAU_Demands!$B$3:$BK$48,BAU_Demands!AL$1,0)*(1-'Net Zero 2050'!AF72)</f>
        <v>26.659600000000001</v>
      </c>
      <c r="AO38" s="314">
        <f>VLOOKUP($C38,BAU_Demands!$B$3:$BK$48,BAU_Demands!AM$1,0)*(1-'Net Zero 2050'!AG72)</f>
        <v>27.077599999999997</v>
      </c>
      <c r="AP38" s="314">
        <f>VLOOKUP($C38,BAU_Demands!$B$3:$BK$48,BAU_Demands!AN$1,0)*(1-'Net Zero 2050'!AH72)</f>
        <v>27.269639999999995</v>
      </c>
      <c r="AQ38" s="314">
        <f>VLOOKUP($C38,BAU_Demands!$B$3:$BK$48,BAU_Demands!AO$1,0)*(1-'Net Zero 2050'!AI72)</f>
        <v>27.547279999999997</v>
      </c>
      <c r="AR38" s="314">
        <f>VLOOKUP($C38,BAU_Demands!$B$3:$BK$48,BAU_Demands!AP$1,0)*(1-'Net Zero 2050'!AJ72)</f>
        <v>27.738739999999996</v>
      </c>
      <c r="AS38" s="314">
        <f>VLOOKUP($C38,BAU_Demands!$B$3:$BK$48,BAU_Demands!AQ$1,0)*(1-'Net Zero 2050'!AK72)</f>
        <v>28.013999999999999</v>
      </c>
      <c r="AT38" s="314">
        <f>VLOOKUP($C38,BAU_Demands!$B$3:$BK$48,BAU_Demands!AR$1,0)*(1-'Net Zero 2050'!AL72)</f>
        <v>27.162147783251203</v>
      </c>
      <c r="AU38" s="314">
        <f>VLOOKUP($C38,BAU_Demands!$B$3:$BK$48,BAU_Demands!AS$1,0)*(1-'Net Zero 2050'!AM72)</f>
        <v>27.192933201970412</v>
      </c>
      <c r="AV38" s="314">
        <f>VLOOKUP($C38,BAU_Demands!$B$3:$BK$48,BAU_Demands!AT$1,0)*(1-'Net Zero 2050'!AN72)</f>
        <v>27.225625862068966</v>
      </c>
      <c r="AW38" s="314">
        <f>VLOOKUP($C38,BAU_Demands!$B$3:$BK$48,BAU_Demands!AU$1,0)*(1-'Net Zero 2050'!AO72)</f>
        <v>27.227624827586197</v>
      </c>
      <c r="AX38" s="314">
        <f>VLOOKUP($C38,BAU_Demands!$B$3:$BK$48,BAU_Demands!AV$1,0)*(1-'Net Zero 2050'!AP72)</f>
        <v>27.236816403940868</v>
      </c>
      <c r="AY38" s="314">
        <f>VLOOKUP($C38,BAU_Demands!$B$3:$BK$48,BAU_Demands!AW$1,0)*(1-'Net Zero 2050'!AQ72)</f>
        <v>27.227485714285688</v>
      </c>
      <c r="AZ38" s="314">
        <f>VLOOKUP($C38,BAU_Demands!$B$3:$BK$48,BAU_Demands!AX$1,0)*(1-'Net Zero 2050'!AR72)</f>
        <v>27.211575517241343</v>
      </c>
      <c r="BA38" s="314">
        <f>VLOOKUP($C38,BAU_Demands!$B$3:$BK$48,BAU_Demands!AY$1,0)*(1-'Net Zero 2050'!AS72)</f>
        <v>27.176685714285714</v>
      </c>
      <c r="BB38" s="314">
        <f>VLOOKUP($C38,BAU_Demands!$B$3:$BK$48,BAU_Demands!AZ$1,0)*(1-'Net Zero 2050'!AT72)</f>
        <v>27.134301724137924</v>
      </c>
      <c r="BC38" s="314">
        <f>VLOOKUP($C38,BAU_Demands!$B$3:$BK$48,BAU_Demands!BA$1,0)*(1-'Net Zero 2050'!AU72)</f>
        <v>27.083737536945794</v>
      </c>
      <c r="BD38" s="314">
        <f>VLOOKUP($C38,BAU_Demands!$B$3:$BK$48,BAU_Demands!BB$1,0)*(1-'Net Zero 2050'!AV72)</f>
        <v>27.024307142857115</v>
      </c>
      <c r="BE38" s="314">
        <f>VLOOKUP($C38,BAU_Demands!$B$3:$BK$48,BAU_Demands!BC$1,0)*(1-'Net Zero 2050'!AW72)</f>
        <v>26.960724236453167</v>
      </c>
      <c r="BF38" s="314">
        <f>VLOOKUP($C38,BAU_Demands!$B$3:$BK$48,BAU_Demands!BD$1,0)*(1-'Net Zero 2050'!AX72)</f>
        <v>26.876103694581285</v>
      </c>
      <c r="BG38" s="314">
        <f>VLOOKUP($C38,BAU_Demands!$B$3:$BK$48,BAU_Demands!BE$1,0)*(1-'Net Zero 2050'!AY72)</f>
        <v>26.780787586206898</v>
      </c>
      <c r="BH38" s="314">
        <f>VLOOKUP($C38,BAU_Demands!$B$3:$BK$48,BAU_Demands!BF$1,0)*(1-'Net Zero 2050'!AZ72)</f>
        <v>26.674089901477817</v>
      </c>
      <c r="BI38" s="314">
        <f>VLOOKUP($C38,BAU_Demands!$B$3:$BK$48,BAU_Demands!BG$1,0)*(1-'Net Zero 2050'!BA72)</f>
        <v>26.550382266009827</v>
      </c>
      <c r="BJ38" s="314">
        <f>VLOOKUP($C38,BAU_Demands!$B$3:$BK$48,BAU_Demands!BH$1,0)*(1-'Net Zero 2050'!BB72)</f>
        <v>26.418977733990111</v>
      </c>
      <c r="BK38" s="314">
        <f>VLOOKUP($C38,BAU_Demands!$B$3:$BK$48,BAU_Demands!BI$1,0)*(1-'Net Zero 2050'!BC72)</f>
        <v>26.269419901477782</v>
      </c>
      <c r="BL38" s="314">
        <f>VLOOKUP($C38,BAU_Demands!$B$3:$BK$48,BAU_Demands!BJ$1,0)*(1-'Net Zero 2050'!BD72)</f>
        <v>26.105965123152707</v>
      </c>
      <c r="BM38" s="314">
        <f>VLOOKUP($C38,BAU_Demands!$B$3:$BK$48,BAU_Demands!BK$1,0)*(1-'Net Zero 2050'!BE72)</f>
        <v>25.927927389162548</v>
      </c>
    </row>
    <row r="39" spans="1:65" ht="15.75" customHeight="1">
      <c r="A39" s="314" t="s">
        <v>457</v>
      </c>
      <c r="B39" s="314" t="s">
        <v>458</v>
      </c>
      <c r="C39" s="314" t="s">
        <v>537</v>
      </c>
      <c r="D39" s="314" t="s">
        <v>460</v>
      </c>
      <c r="E39" s="314" t="s">
        <v>538</v>
      </c>
      <c r="F39" s="314" t="s">
        <v>462</v>
      </c>
      <c r="G39" s="314" t="s">
        <v>463</v>
      </c>
      <c r="H39" s="314" t="s">
        <v>464</v>
      </c>
      <c r="I39" s="314" t="s">
        <v>44</v>
      </c>
      <c r="J39" s="314" t="s">
        <v>44</v>
      </c>
      <c r="K39" s="314" t="s">
        <v>44</v>
      </c>
      <c r="L39" s="314" t="s">
        <v>44</v>
      </c>
      <c r="M39" s="314">
        <f>VLOOKUP($C39,BAU_Demands!$B$3:$BK$48,BAU_Demands!K$1,0)</f>
        <v>0.61379801499999997</v>
      </c>
      <c r="N39" s="314">
        <f>VLOOKUP($C39,BAU_Demands!$B$3:$BK$48,BAU_Demands!L$1,0)</f>
        <v>0.85415239099999996</v>
      </c>
      <c r="O39" s="314">
        <f>VLOOKUP($C39,BAU_Demands!$B$3:$BK$48,BAU_Demands!M$1,0)</f>
        <v>0.74826209600000004</v>
      </c>
      <c r="P39" s="314">
        <f>VLOOKUP($C39,BAU_Demands!$B$3:$BK$48,BAU_Demands!N$1,0)</f>
        <v>1.0382512100000001</v>
      </c>
      <c r="Q39" s="314">
        <f>VLOOKUP($C39,BAU_Demands!$B$3:$BK$48,BAU_Demands!O$1,0)*(1-'Net Zero 2050'!I73)</f>
        <v>1.08</v>
      </c>
      <c r="R39" s="314">
        <f>VLOOKUP($C39,BAU_Demands!$B$3:$BK$48,BAU_Demands!P$1,0)*(1-'Net Zero 2050'!J73)</f>
        <v>1.0981300000000001</v>
      </c>
      <c r="S39" s="314">
        <f>VLOOKUP($C39,BAU_Demands!$B$3:$BK$48,BAU_Demands!Q$1,0)*(1-'Net Zero 2050'!K73)</f>
        <v>1.1362379999999999</v>
      </c>
      <c r="T39" s="314">
        <f>VLOOKUP($C39,BAU_Demands!$B$3:$BK$48,BAU_Demands!R$1,0)*(1-'Net Zero 2050'!L73)</f>
        <v>1.1541999999999999</v>
      </c>
      <c r="U39" s="314">
        <f>VLOOKUP($C39,BAU_Demands!$B$3:$BK$48,BAU_Demands!S$1,0)*(1-'Net Zero 2050'!M73)</f>
        <v>1.1879999999999999</v>
      </c>
      <c r="V39" s="314">
        <f>VLOOKUP($C39,BAU_Demands!$B$3:$BK$48,BAU_Demands!T$1,0)*(1-'Net Zero 2050'!N73)</f>
        <v>1.2115499999999999</v>
      </c>
      <c r="W39" s="314">
        <f>VLOOKUP($C39,BAU_Demands!$B$3:$BK$48,BAU_Demands!U$1,0)*(1-'Net Zero 2050'!O73)</f>
        <v>1.2445999999999999</v>
      </c>
      <c r="X39" s="314">
        <f>VLOOKUP($C39,BAU_Demands!$B$3:$BK$48,BAU_Demands!V$1,0)*(1-'Net Zero 2050'!P73)</f>
        <v>1.2577499999999999</v>
      </c>
      <c r="Y39" s="314">
        <f>VLOOKUP($C39,BAU_Demands!$B$3:$BK$48,BAU_Demands!W$1,0)*(1-'Net Zero 2050'!Q73)</f>
        <v>1.2901</v>
      </c>
      <c r="Z39" s="314">
        <f>VLOOKUP($C39,BAU_Demands!$B$3:$BK$48,BAU_Demands!X$1,0)*(1-'Net Zero 2050'!R73)</f>
        <v>1.3083200000000001</v>
      </c>
      <c r="AA39" s="314">
        <f>VLOOKUP($C39,BAU_Demands!$B$3:$BK$48,BAU_Demands!Y$1,0)*(1-'Net Zero 2050'!S73)</f>
        <v>1.3355999999999999</v>
      </c>
      <c r="AB39" s="314">
        <f>VLOOKUP($C39,BAU_Demands!$B$3:$BK$48,BAU_Demands!Z$1,0)*(1-'Net Zero 2050'!T73)</f>
        <v>1.3527799999999999</v>
      </c>
      <c r="AC39" s="314">
        <f>VLOOKUP($C39,BAU_Demands!$B$3:$BK$48,BAU_Demands!AA$1,0)*(1-'Net Zero 2050'!U73)</f>
        <v>1.37886</v>
      </c>
      <c r="AD39" s="314">
        <f>VLOOKUP($C39,BAU_Demands!$B$3:$BK$48,BAU_Demands!AB$1,0)*(1-'Net Zero 2050'!V73)</f>
        <v>1.3856999999999999</v>
      </c>
      <c r="AE39" s="314">
        <f>VLOOKUP($C39,BAU_Demands!$B$3:$BK$48,BAU_Demands!AC$1,0)*(1-'Net Zero 2050'!W73)</f>
        <v>1.41988</v>
      </c>
      <c r="AF39" s="314">
        <f>VLOOKUP($C39,BAU_Demands!$B$3:$BK$48,BAU_Demands!AD$1,0)*(1-'Net Zero 2050'!X73)</f>
        <v>1.4349800000000001</v>
      </c>
      <c r="AG39" s="314">
        <f>VLOOKUP($C39,BAU_Demands!$B$3:$BK$48,BAU_Demands!AE$1,0)*(1-'Net Zero 2050'!Y73)</f>
        <v>1.4586600000000001</v>
      </c>
      <c r="AH39" s="314">
        <f>VLOOKUP($C39,BAU_Demands!$B$3:$BK$48,BAU_Demands!AF$1,0)*(1-'Net Zero 2050'!Z73)</f>
        <v>1.47272</v>
      </c>
      <c r="AI39" s="314">
        <f>VLOOKUP($C39,BAU_Demands!$B$3:$BK$48,BAU_Demands!AG$1,0)*(1-'Net Zero 2050'!AA73)</f>
        <v>1.4951999999999999</v>
      </c>
      <c r="AJ39" s="314">
        <f>VLOOKUP($C39,BAU_Demands!$B$3:$BK$48,BAU_Demands!AH$1,0)*(1-'Net Zero 2050'!AB73)</f>
        <v>1.5116399999999999</v>
      </c>
      <c r="AK39" s="314">
        <f>VLOOKUP($C39,BAU_Demands!$B$3:$BK$48,BAU_Demands!AI$1,0)*(1-'Net Zero 2050'!AC73)</f>
        <v>1.54528</v>
      </c>
      <c r="AL39" s="314">
        <f>VLOOKUP($C39,BAU_Demands!$B$3:$BK$48,BAU_Demands!AJ$1,0)*(1-'Net Zero 2050'!AD73)</f>
        <v>1.55216</v>
      </c>
      <c r="AM39" s="314">
        <f>VLOOKUP($C39,BAU_Demands!$B$3:$BK$48,BAU_Demands!AK$1,0)*(1-'Net Zero 2050'!AE73)</f>
        <v>1.57612</v>
      </c>
      <c r="AN39" s="314">
        <f>VLOOKUP($C39,BAU_Demands!$B$3:$BK$48,BAU_Demands!AL$1,0)*(1-'Net Zero 2050'!AF73)</f>
        <v>1.591</v>
      </c>
      <c r="AO39" s="314">
        <f>VLOOKUP($C39,BAU_Demands!$B$3:$BK$48,BAU_Demands!AM$1,0)*(1-'Net Zero 2050'!AG73)</f>
        <v>1.6216199999999998</v>
      </c>
      <c r="AP39" s="314">
        <f>VLOOKUP($C39,BAU_Demands!$B$3:$BK$48,BAU_Demands!AN$1,0)*(1-'Net Zero 2050'!AH73)</f>
        <v>1.6435199999999999</v>
      </c>
      <c r="AQ39" s="314">
        <f>VLOOKUP($C39,BAU_Demands!$B$3:$BK$48,BAU_Demands!AO$1,0)*(1-'Net Zero 2050'!AI73)</f>
        <v>1.67384</v>
      </c>
      <c r="AR39" s="314">
        <f>VLOOKUP($C39,BAU_Demands!$B$3:$BK$48,BAU_Demands!AP$1,0)*(1-'Net Zero 2050'!AJ73)</f>
        <v>1.6954799999999999</v>
      </c>
      <c r="AS39" s="314">
        <f>VLOOKUP($C39,BAU_Demands!$B$3:$BK$48,BAU_Demands!AQ$1,0)*(1-'Net Zero 2050'!AK73)</f>
        <v>1.7254999999999998</v>
      </c>
      <c r="AT39" s="314">
        <f>VLOOKUP($C39,BAU_Demands!$B$3:$BK$48,BAU_Demands!AR$1,0)*(1-'Net Zero 2050'!AL73)</f>
        <v>1.7166219384236452</v>
      </c>
      <c r="AU39" s="314">
        <f>VLOOKUP($C39,BAU_Demands!$B$3:$BK$48,BAU_Demands!AS$1,0)*(1-'Net Zero 2050'!AM73)</f>
        <v>1.7283177931034486</v>
      </c>
      <c r="AV39" s="314">
        <f>VLOOKUP($C39,BAU_Demands!$B$3:$BK$48,BAU_Demands!AT$1,0)*(1-'Net Zero 2050'!AN73)</f>
        <v>1.7478043083743846</v>
      </c>
      <c r="AW39" s="314">
        <f>VLOOKUP($C39,BAU_Demands!$B$3:$BK$48,BAU_Demands!AU$1,0)*(1-'Net Zero 2050'!AO73)</f>
        <v>1.7667886246305422</v>
      </c>
      <c r="AX39" s="314">
        <f>VLOOKUP($C39,BAU_Demands!$B$3:$BK$48,BAU_Demands!AV$1,0)*(1-'Net Zero 2050'!AP73)</f>
        <v>1.785270741871922</v>
      </c>
      <c r="AY39" s="314">
        <f>VLOOKUP($C39,BAU_Demands!$B$3:$BK$48,BAU_Demands!AW$1,0)*(1-'Net Zero 2050'!AQ73)</f>
        <v>1.8032506600985228</v>
      </c>
      <c r="AZ39" s="314">
        <f>VLOOKUP($C39,BAU_Demands!$B$3:$BK$48,BAU_Demands!AX$1,0)*(1-'Net Zero 2050'!AR73)</f>
        <v>1.8286445896551733</v>
      </c>
      <c r="BA39" s="314">
        <f>VLOOKUP($C39,BAU_Demands!$B$3:$BK$48,BAU_Demands!AY$1,0)*(1-'Net Zero 2050'!AS73)</f>
        <v>1.8455573349753704</v>
      </c>
      <c r="BB39" s="314">
        <f>VLOOKUP($C39,BAU_Demands!$B$3:$BK$48,BAU_Demands!AZ$1,0)*(1-'Net Zero 2050'!AT73)</f>
        <v>1.8619678812807894</v>
      </c>
      <c r="BC39" s="314">
        <f>VLOOKUP($C39,BAU_Demands!$B$3:$BK$48,BAU_Demands!BA$1,0)*(1-'Net Zero 2050'!AU73)</f>
        <v>1.885604114285713</v>
      </c>
      <c r="BD39" s="314">
        <f>VLOOKUP($C39,BAU_Demands!$B$3:$BK$48,BAU_Demands!BB$1,0)*(1-'Net Zero 2050'!AV73)</f>
        <v>1.9009474876847281</v>
      </c>
      <c r="BE39" s="314">
        <f>VLOOKUP($C39,BAU_Demands!$B$3:$BK$48,BAU_Demands!BC$1,0)*(1-'Net Zero 2050'!AW73)</f>
        <v>1.9233909980295558</v>
      </c>
      <c r="BF39" s="314">
        <f>VLOOKUP($C39,BAU_Demands!$B$3:$BK$48,BAU_Demands!BD$1,0)*(1-'Net Zero 2050'!AX73)</f>
        <v>1.9376671985221667</v>
      </c>
      <c r="BG39" s="314">
        <f>VLOOKUP($C39,BAU_Demands!$B$3:$BK$48,BAU_Demands!BE$1,0)*(1-'Net Zero 2050'!AY73)</f>
        <v>1.9589179862068964</v>
      </c>
      <c r="BH39" s="314">
        <f>VLOOKUP($C39,BAU_Demands!$B$3:$BK$48,BAU_Demands!BF$1,0)*(1-'Net Zero 2050'!AZ73)</f>
        <v>1.9795410251231522</v>
      </c>
      <c r="BI39" s="314">
        <f>VLOOKUP($C39,BAU_Demands!$B$3:$BK$48,BAU_Demands!BG$1,0)*(1-'Net Zero 2050'!BA73)</f>
        <v>1.999536315270936</v>
      </c>
      <c r="BJ39" s="314">
        <f>VLOOKUP($C39,BAU_Demands!$B$3:$BK$48,BAU_Demands!BH$1,0)*(1-'Net Zero 2050'!BB73)</f>
        <v>2.0189038566502462</v>
      </c>
      <c r="BK39" s="314">
        <f>VLOOKUP($C39,BAU_Demands!$B$3:$BK$48,BAU_Demands!BI$1,0)*(1-'Net Zero 2050'!BC73)</f>
        <v>2.0376436492610837</v>
      </c>
      <c r="BL39" s="314">
        <f>VLOOKUP($C39,BAU_Demands!$B$3:$BK$48,BAU_Demands!BJ$1,0)*(1-'Net Zero 2050'!BD73)</f>
        <v>2.0557556931034489</v>
      </c>
      <c r="BM39" s="314">
        <f>VLOOKUP($C39,BAU_Demands!$B$3:$BK$48,BAU_Demands!BK$1,0)*(1-'Net Zero 2050'!BE73)</f>
        <v>2.0803401251231532</v>
      </c>
    </row>
    <row r="40" spans="1:65" ht="15.75" customHeight="1">
      <c r="A40" s="30" t="s">
        <v>457</v>
      </c>
      <c r="B40" s="30" t="s">
        <v>458</v>
      </c>
      <c r="C40" s="30" t="s">
        <v>539</v>
      </c>
      <c r="D40" s="30" t="s">
        <v>460</v>
      </c>
      <c r="E40" s="30" t="s">
        <v>540</v>
      </c>
      <c r="F40" s="30" t="s">
        <v>462</v>
      </c>
      <c r="G40" s="30" t="s">
        <v>463</v>
      </c>
      <c r="H40" s="30" t="s">
        <v>464</v>
      </c>
      <c r="I40" s="30" t="s">
        <v>44</v>
      </c>
      <c r="J40" s="30" t="s">
        <v>44</v>
      </c>
      <c r="K40" s="30" t="s">
        <v>44</v>
      </c>
      <c r="L40" s="30" t="s">
        <v>44</v>
      </c>
      <c r="M40" s="30">
        <f>VLOOKUP($C40,BAU_Demands!$B$3:$BK$48,BAU_Demands!K$1,0)</f>
        <v>8.2146779050000003</v>
      </c>
      <c r="N40" s="30">
        <f>VLOOKUP($C40,BAU_Demands!$B$3:$BK$48,BAU_Demands!L$1,0)</f>
        <v>8.9578359929999998</v>
      </c>
      <c r="O40" s="30">
        <f>VLOOKUP($C40,BAU_Demands!$B$3:$BK$48,BAU_Demands!M$1,0)</f>
        <v>9.0914695680000008</v>
      </c>
      <c r="P40" s="30">
        <f>VLOOKUP($C40,BAU_Demands!$B$3:$BK$48,BAU_Demands!N$1,0)</f>
        <v>7.6698878329999998</v>
      </c>
      <c r="Q40" s="30">
        <f>VLOOKUP($C40,BAU_Demands!$B$3:$BK$48,BAU_Demands!O$1,0)*(1+'Net Zero 2050'!I78)</f>
        <v>7.67</v>
      </c>
      <c r="R40" s="30">
        <f>VLOOKUP($C40,BAU_Demands!$B$3:$BK$48,BAU_Demands!P$1,0)*(1+'Net Zero 2050'!J78)</f>
        <v>7.7083499999999994</v>
      </c>
      <c r="S40" s="30">
        <f>VLOOKUP($C40,BAU_Demands!$B$3:$BK$48,BAU_Demands!Q$1,0)*(1+'Net Zero 2050'!K78)</f>
        <v>7.7466999999999997</v>
      </c>
      <c r="T40" s="30">
        <f>VLOOKUP($C40,BAU_Demands!$B$3:$BK$48,BAU_Demands!R$1,0)*(1+'Net Zero 2050'!L78)</f>
        <v>7.7850499999999991</v>
      </c>
      <c r="U40" s="30">
        <f>VLOOKUP($C40,BAU_Demands!$B$3:$BK$48,BAU_Demands!S$1,0)*(1+'Net Zero 2050'!M78)</f>
        <v>7.8540799999999997</v>
      </c>
      <c r="V40" s="30">
        <f>VLOOKUP($C40,BAU_Demands!$B$3:$BK$48,BAU_Demands!T$1,0)*(1+'Net Zero 2050'!N78)</f>
        <v>7.9231099999999994</v>
      </c>
      <c r="W40" s="30">
        <f>VLOOKUP($C40,BAU_Demands!$B$3:$BK$48,BAU_Demands!U$1,0)*(1+'Net Zero 2050'!O78)</f>
        <v>7.99214</v>
      </c>
      <c r="X40" s="30">
        <f>VLOOKUP($C40,BAU_Demands!$B$3:$BK$48,BAU_Demands!V$1,0)*(1+'Net Zero 2050'!P78)</f>
        <v>8.0611699999999988</v>
      </c>
      <c r="Y40" s="30">
        <f>VLOOKUP($C40,BAU_Demands!$B$3:$BK$48,BAU_Demands!W$1,0)*(1+'Net Zero 2050'!Q78)</f>
        <v>8.1302000000000003</v>
      </c>
      <c r="Z40" s="30">
        <f>VLOOKUP($C40,BAU_Demands!$B$3:$BK$48,BAU_Demands!X$1,0)*(1+'Net Zero 2050'!R78)</f>
        <v>8.19923</v>
      </c>
      <c r="AA40" s="30">
        <f>VLOOKUP($C40,BAU_Demands!$B$3:$BK$48,BAU_Demands!Y$1,0)*(1+'Net Zero 2050'!S78)</f>
        <v>8.2682599999999997</v>
      </c>
      <c r="AB40" s="30">
        <f>VLOOKUP($C40,BAU_Demands!$B$3:$BK$48,BAU_Demands!Z$1,0)*(1+'Net Zero 2050'!T78)</f>
        <v>8.3372899999999994</v>
      </c>
      <c r="AC40" s="30">
        <f>VLOOKUP($C40,BAU_Demands!$B$3:$BK$48,BAU_Demands!AA$1,0)*(1+'Net Zero 2050'!U78)</f>
        <v>8.4063200000000009</v>
      </c>
      <c r="AD40" s="30">
        <f>VLOOKUP($C40,BAU_Demands!$B$3:$BK$48,BAU_Demands!AB$1,0)*(1+'Net Zero 2050'!V78)</f>
        <v>8.4753500000000006</v>
      </c>
      <c r="AE40" s="30">
        <f>VLOOKUP($C40,BAU_Demands!$B$3:$BK$48,BAU_Demands!AC$1,0)*(1+'Net Zero 2050'!W78)</f>
        <v>8.5367099999999994</v>
      </c>
      <c r="AF40" s="30">
        <f>VLOOKUP($C40,BAU_Demands!$B$3:$BK$48,BAU_Demands!AD$1,0)*(1+'Net Zero 2050'!X78)</f>
        <v>8.5904000000000007</v>
      </c>
      <c r="AG40" s="30">
        <f>VLOOKUP($C40,BAU_Demands!$B$3:$BK$48,BAU_Demands!AE$1,0)*(1+'Net Zero 2050'!Y78)</f>
        <v>8.6517600000000012</v>
      </c>
      <c r="AH40" s="30">
        <f>VLOOKUP($C40,BAU_Demands!$B$3:$BK$48,BAU_Demands!AF$1,0)*(1+'Net Zero 2050'!Z78)</f>
        <v>8.7054500000000008</v>
      </c>
      <c r="AI40" s="30">
        <f>VLOOKUP($C40,BAU_Demands!$B$3:$BK$48,BAU_Demands!AG$1,0)*(1+'Net Zero 2050'!AA78)</f>
        <v>8.7668099999999995</v>
      </c>
      <c r="AJ40" s="30">
        <f>VLOOKUP($C40,BAU_Demands!$B$3:$BK$48,BAU_Demands!AH$1,0)*(1+'Net Zero 2050'!AB78)</f>
        <v>8.8128299999999999</v>
      </c>
      <c r="AK40" s="30">
        <f>VLOOKUP($C40,BAU_Demands!$B$3:$BK$48,BAU_Demands!AI$1,0)*(1+'Net Zero 2050'!AC78)</f>
        <v>8.8588500000000003</v>
      </c>
      <c r="AL40" s="30">
        <f>VLOOKUP($C40,BAU_Demands!$B$3:$BK$48,BAU_Demands!AJ$1,0)*(1+'Net Zero 2050'!AD78)</f>
        <v>8.9048700000000007</v>
      </c>
      <c r="AM40" s="30">
        <f>VLOOKUP($C40,BAU_Demands!$B$3:$BK$48,BAU_Demands!AK$1,0)*(1+'Net Zero 2050'!AE78)</f>
        <v>8.9508899999999993</v>
      </c>
      <c r="AN40" s="30">
        <f>VLOOKUP($C40,BAU_Demands!$B$3:$BK$48,BAU_Demands!AL$1,0)*(1+'Net Zero 2050'!AF78)</f>
        <v>8.9969099999999997</v>
      </c>
      <c r="AO40" s="30">
        <f>VLOOKUP($C40,BAU_Demands!$B$3:$BK$48,BAU_Demands!AM$1,0)*(1+'Net Zero 2050'!AG78)</f>
        <v>9.019919999999999</v>
      </c>
      <c r="AP40" s="30">
        <f>VLOOKUP($C40,BAU_Demands!$B$3:$BK$48,BAU_Demands!AN$1,0)*(1+'Net Zero 2050'!AH78)</f>
        <v>9.0505999999999993</v>
      </c>
      <c r="AQ40" s="30">
        <f>VLOOKUP($C40,BAU_Demands!$B$3:$BK$48,BAU_Demands!AO$1,0)*(1+'Net Zero 2050'!AI78)</f>
        <v>9.0966199999999997</v>
      </c>
      <c r="AR40" s="30">
        <f>VLOOKUP($C40,BAU_Demands!$B$3:$BK$48,BAU_Demands!AP$1,0)*(1+'Net Zero 2050'!AJ78)</f>
        <v>9.1656500000000012</v>
      </c>
      <c r="AS40" s="30">
        <f>VLOOKUP($C40,BAU_Demands!$B$3:$BK$48,BAU_Demands!AQ$1,0)*(1+'Net Zero 2050'!AK78)</f>
        <v>9.2116699999999998</v>
      </c>
      <c r="AT40" s="30">
        <f>VLOOKUP($C40,BAU_Demands!$B$3:$BK$48,BAU_Demands!AR$1,0)*(1+'Net Zero 2050'!AL78)</f>
        <v>9.3113799999999998</v>
      </c>
      <c r="AU40" s="30">
        <f>VLOOKUP($C40,BAU_Demands!$B$3:$BK$48,BAU_Demands!AS$1,0)*(1+'Net Zero 2050'!AM78)</f>
        <v>9.3650700000000011</v>
      </c>
      <c r="AV40" s="30">
        <f>VLOOKUP($C40,BAU_Demands!$B$3:$BK$48,BAU_Demands!AT$1,0)*(1+'Net Zero 2050'!AN78)</f>
        <v>9.4187599999999989</v>
      </c>
      <c r="AW40" s="30">
        <f>VLOOKUP($C40,BAU_Demands!$B$3:$BK$48,BAU_Demands!AU$1,0)*(1+'Net Zero 2050'!AO78)</f>
        <v>9.4724499999999985</v>
      </c>
      <c r="AX40" s="30">
        <f>VLOOKUP($C40,BAU_Demands!$B$3:$BK$48,BAU_Demands!AV$1,0)*(1+'Net Zero 2050'!AP78)</f>
        <v>9.533809999999999</v>
      </c>
      <c r="AY40" s="30">
        <f>VLOOKUP($C40,BAU_Demands!$B$3:$BK$48,BAU_Demands!AW$1,0)*(1+'Net Zero 2050'!AQ78)</f>
        <v>9.5875000000000004</v>
      </c>
      <c r="AZ40" s="30">
        <f>VLOOKUP($C40,BAU_Demands!$B$3:$BK$48,BAU_Demands!AX$1,0)*(1+'Net Zero 2050'!AR78)</f>
        <v>9.6411899999999999</v>
      </c>
      <c r="BA40" s="30">
        <f>VLOOKUP($C40,BAU_Demands!$B$3:$BK$48,BAU_Demands!AY$1,0)*(1+'Net Zero 2050'!AS78)</f>
        <v>9.7025500000000005</v>
      </c>
      <c r="BB40" s="30">
        <f>VLOOKUP($C40,BAU_Demands!$B$3:$BK$48,BAU_Demands!AZ$1,0)*(1+'Net Zero 2050'!AT78)</f>
        <v>9.75624</v>
      </c>
      <c r="BC40" s="30">
        <f>VLOOKUP($C40,BAU_Demands!$B$3:$BK$48,BAU_Demands!BA$1,0)*(1+'Net Zero 2050'!AU78)</f>
        <v>9.8176000000000005</v>
      </c>
      <c r="BD40" s="30">
        <f>VLOOKUP($C40,BAU_Demands!$B$3:$BK$48,BAU_Demands!BB$1,0)*(1+'Net Zero 2050'!AV78)</f>
        <v>9.8789599999999993</v>
      </c>
      <c r="BE40" s="30">
        <f>VLOOKUP($C40,BAU_Demands!$B$3:$BK$48,BAU_Demands!BC$1,0)*(1+'Net Zero 2050'!AW78)</f>
        <v>9.9710000000000001</v>
      </c>
      <c r="BF40" s="30">
        <f>VLOOKUP($C40,BAU_Demands!$B$3:$BK$48,BAU_Demands!BD$1,0)*(1+'Net Zero 2050'!AX78)</f>
        <v>10.047700000000001</v>
      </c>
      <c r="BG40" s="30">
        <f>VLOOKUP($C40,BAU_Demands!$B$3:$BK$48,BAU_Demands!BE$1,0)*(1+'Net Zero 2050'!AY78)</f>
        <v>10.1244</v>
      </c>
      <c r="BH40" s="30">
        <f>VLOOKUP($C40,BAU_Demands!$B$3:$BK$48,BAU_Demands!BF$1,0)*(1+'Net Zero 2050'!AZ78)</f>
        <v>10.2011</v>
      </c>
      <c r="BI40" s="30">
        <f>VLOOKUP($C40,BAU_Demands!$B$3:$BK$48,BAU_Demands!BG$1,0)*(1+'Net Zero 2050'!BA78)</f>
        <v>10.23945</v>
      </c>
      <c r="BJ40" s="30">
        <f>VLOOKUP($C40,BAU_Demands!$B$3:$BK$48,BAU_Demands!BH$1,0)*(1+'Net Zero 2050'!BB78)</f>
        <v>10.277800000000001</v>
      </c>
      <c r="BK40" s="30">
        <f>VLOOKUP($C40,BAU_Demands!$B$3:$BK$48,BAU_Demands!BI$1,0)*(1+'Net Zero 2050'!BC78)</f>
        <v>10.308479999999999</v>
      </c>
      <c r="BL40" s="30">
        <f>VLOOKUP($C40,BAU_Demands!$B$3:$BK$48,BAU_Demands!BJ$1,0)*(1+'Net Zero 2050'!BD78)</f>
        <v>10.33916</v>
      </c>
      <c r="BM40" s="30">
        <f>VLOOKUP($C40,BAU_Demands!$B$3:$BK$48,BAU_Demands!BK$1,0)*(1+'Net Zero 2050'!BE78)</f>
        <v>10.3545</v>
      </c>
    </row>
    <row r="41" spans="1:65" ht="15.75" hidden="1" customHeight="1">
      <c r="A41" s="314" t="s">
        <v>457</v>
      </c>
      <c r="B41" s="314" t="s">
        <v>458</v>
      </c>
      <c r="C41" s="314" t="s">
        <v>541</v>
      </c>
      <c r="D41" s="314" t="s">
        <v>460</v>
      </c>
      <c r="E41" s="314" t="s">
        <v>542</v>
      </c>
      <c r="F41" s="314" t="s">
        <v>462</v>
      </c>
      <c r="G41" s="314" t="s">
        <v>463</v>
      </c>
      <c r="H41" s="314" t="s">
        <v>464</v>
      </c>
      <c r="I41" s="314"/>
      <c r="J41" s="314"/>
      <c r="K41" s="314"/>
      <c r="L41" s="314"/>
      <c r="M41" s="314">
        <f>VLOOKUP($C41,BAU_Demands!$B$3:$BK$48,BAU_Demands!K$1,0)</f>
        <v>1.616278579</v>
      </c>
      <c r="N41" s="314">
        <f>VLOOKUP($C41,BAU_Demands!$B$3:$BK$48,BAU_Demands!L$1,0)</f>
        <v>1.5668813159999999</v>
      </c>
      <c r="O41" s="314">
        <f>VLOOKUP($C41,BAU_Demands!$B$3:$BK$48,BAU_Demands!M$1,0)</f>
        <v>1.4792549399999999</v>
      </c>
      <c r="P41" s="314">
        <f>VLOOKUP($C41,BAU_Demands!$B$3:$BK$48,BAU_Demands!N$1,0)</f>
        <v>1.508411693</v>
      </c>
      <c r="Q41" s="314">
        <f>VLOOKUP($C41,BAU_Demands!$B$3:$BK$48,BAU_Demands!O$1,0)</f>
        <v>1.508411693</v>
      </c>
      <c r="R41" s="314">
        <f>VLOOKUP($C41,BAU_Demands!$B$3:$BK$48,BAU_Demands!P$1,0)</f>
        <v>1.508411693</v>
      </c>
      <c r="S41" s="314">
        <f>VLOOKUP($C41,BAU_Demands!$B$3:$BK$48,BAU_Demands!Q$1,0)</f>
        <v>1.508411693</v>
      </c>
      <c r="T41" s="314">
        <f>VLOOKUP($C41,BAU_Demands!$B$3:$BK$48,BAU_Demands!R$1,0)</f>
        <v>1.508411693</v>
      </c>
      <c r="U41" s="314">
        <f>VLOOKUP($C41,BAU_Demands!$B$3:$BK$48,BAU_Demands!S$1,0)</f>
        <v>1.508411693</v>
      </c>
      <c r="V41" s="314">
        <f>VLOOKUP($C41,BAU_Demands!$B$3:$BK$48,BAU_Demands!T$1,0)</f>
        <v>1.508411693</v>
      </c>
      <c r="W41" s="314">
        <f>VLOOKUP($C41,BAU_Demands!$B$3:$BK$48,BAU_Demands!U$1,0)</f>
        <v>1.508411693</v>
      </c>
      <c r="X41" s="314">
        <f>VLOOKUP($C41,BAU_Demands!$B$3:$BK$48,BAU_Demands!V$1,0)</f>
        <v>1.508411693</v>
      </c>
      <c r="Y41" s="314">
        <f>VLOOKUP($C41,BAU_Demands!$B$3:$BK$48,BAU_Demands!W$1,0)</f>
        <v>1.508411693</v>
      </c>
      <c r="Z41" s="314">
        <f>VLOOKUP($C41,BAU_Demands!$B$3:$BK$48,BAU_Demands!X$1,0)</f>
        <v>1.508411693</v>
      </c>
      <c r="AA41" s="314">
        <f>VLOOKUP($C41,BAU_Demands!$B$3:$BK$48,BAU_Demands!Y$1,0)</f>
        <v>1.508411693</v>
      </c>
      <c r="AB41" s="314">
        <f>VLOOKUP($C41,BAU_Demands!$B$3:$BK$48,BAU_Demands!Z$1,0)</f>
        <v>1.508411693</v>
      </c>
      <c r="AC41" s="314">
        <f>VLOOKUP($C41,BAU_Demands!$B$3:$BK$48,BAU_Demands!AA$1,0)</f>
        <v>1.508411693</v>
      </c>
      <c r="AD41" s="314">
        <f>VLOOKUP($C41,BAU_Demands!$B$3:$BK$48,BAU_Demands!AB$1,0)</f>
        <v>1.508411693</v>
      </c>
      <c r="AE41" s="314">
        <f>VLOOKUP($C41,BAU_Demands!$B$3:$BK$48,BAU_Demands!AC$1,0)</f>
        <v>1.508411693</v>
      </c>
      <c r="AF41" s="314">
        <f>VLOOKUP($C41,BAU_Demands!$B$3:$BK$48,BAU_Demands!AD$1,0)</f>
        <v>1.508411693</v>
      </c>
      <c r="AG41" s="314">
        <f>VLOOKUP($C41,BAU_Demands!$B$3:$BK$48,BAU_Demands!AE$1,0)</f>
        <v>1.508411693</v>
      </c>
      <c r="AH41" s="314">
        <f>VLOOKUP($C41,BAU_Demands!$B$3:$BK$48,BAU_Demands!AF$1,0)</f>
        <v>1.508411693</v>
      </c>
      <c r="AI41" s="314">
        <f>VLOOKUP($C41,BAU_Demands!$B$3:$BK$48,BAU_Demands!AG$1,0)</f>
        <v>1.508411693</v>
      </c>
      <c r="AJ41" s="314">
        <f>VLOOKUP($C41,BAU_Demands!$B$3:$BK$48,BAU_Demands!AH$1,0)</f>
        <v>1.508411693</v>
      </c>
      <c r="AK41" s="314">
        <f>VLOOKUP($C41,BAU_Demands!$B$3:$BK$48,BAU_Demands!AI$1,0)</f>
        <v>1.508411693</v>
      </c>
      <c r="AL41" s="314">
        <f>VLOOKUP($C41,BAU_Demands!$B$3:$BK$48,BAU_Demands!AJ$1,0)</f>
        <v>1.508411693</v>
      </c>
      <c r="AM41" s="314">
        <f>VLOOKUP($C41,BAU_Demands!$B$3:$BK$48,BAU_Demands!AK$1,0)</f>
        <v>1.508411693</v>
      </c>
      <c r="AN41" s="314">
        <f>VLOOKUP($C41,BAU_Demands!$B$3:$BK$48,BAU_Demands!AL$1,0)</f>
        <v>1.508411693</v>
      </c>
      <c r="AO41" s="314">
        <f>VLOOKUP($C41,BAU_Demands!$B$3:$BK$48,BAU_Demands!AM$1,0)</f>
        <v>1.508411693</v>
      </c>
      <c r="AP41" s="314">
        <f>VLOOKUP($C41,BAU_Demands!$B$3:$BK$48,BAU_Demands!AN$1,0)</f>
        <v>1.508411693</v>
      </c>
      <c r="AQ41" s="314">
        <f>VLOOKUP($C41,BAU_Demands!$B$3:$BK$48,BAU_Demands!AO$1,0)</f>
        <v>1.508411693</v>
      </c>
      <c r="AR41" s="314">
        <f>VLOOKUP($C41,BAU_Demands!$B$3:$BK$48,BAU_Demands!AP$1,0)</f>
        <v>1.508411693</v>
      </c>
      <c r="AS41" s="314">
        <f>VLOOKUP($C41,BAU_Demands!$B$3:$BK$48,BAU_Demands!AQ$1,0)</f>
        <v>1.508411693</v>
      </c>
      <c r="AT41" s="314">
        <f>VLOOKUP($C41,BAU_Demands!$B$3:$BK$48,BAU_Demands!AR$1,0)</f>
        <v>1.508411693</v>
      </c>
      <c r="AU41" s="314">
        <f>VLOOKUP($C41,BAU_Demands!$B$3:$BK$48,BAU_Demands!AS$1,0)</f>
        <v>1.508411693</v>
      </c>
      <c r="AV41" s="314">
        <f>VLOOKUP($C41,BAU_Demands!$B$3:$BK$48,BAU_Demands!AT$1,0)</f>
        <v>1.508411693</v>
      </c>
      <c r="AW41" s="314">
        <f>VLOOKUP($C41,BAU_Demands!$B$3:$BK$48,BAU_Demands!AU$1,0)</f>
        <v>1.508411693</v>
      </c>
      <c r="AX41" s="314">
        <f>VLOOKUP($C41,BAU_Demands!$B$3:$BK$48,BAU_Demands!AV$1,0)</f>
        <v>1.508411693</v>
      </c>
      <c r="AY41" s="314">
        <f>VLOOKUP($C41,BAU_Demands!$B$3:$BK$48,BAU_Demands!AW$1,0)</f>
        <v>1.508411693</v>
      </c>
      <c r="AZ41" s="314">
        <f>VLOOKUP($C41,BAU_Demands!$B$3:$BK$48,BAU_Demands!AX$1,0)</f>
        <v>1.508411693</v>
      </c>
      <c r="BA41" s="314">
        <f>VLOOKUP($C41,BAU_Demands!$B$3:$BK$48,BAU_Demands!AY$1,0)</f>
        <v>1.508411693</v>
      </c>
      <c r="BB41" s="314">
        <f>VLOOKUP($C41,BAU_Demands!$B$3:$BK$48,BAU_Demands!AZ$1,0)</f>
        <v>1.508411693</v>
      </c>
      <c r="BC41" s="314">
        <f>VLOOKUP($C41,BAU_Demands!$B$3:$BK$48,BAU_Demands!BA$1,0)</f>
        <v>1.508411693</v>
      </c>
      <c r="BD41" s="314">
        <f>VLOOKUP($C41,BAU_Demands!$B$3:$BK$48,BAU_Demands!BB$1,0)</f>
        <v>1.508411693</v>
      </c>
      <c r="BE41" s="314">
        <f>VLOOKUP($C41,BAU_Demands!$B$3:$BK$48,BAU_Demands!BC$1,0)</f>
        <v>1.508411693</v>
      </c>
      <c r="BF41" s="314">
        <f>VLOOKUP($C41,BAU_Demands!$B$3:$BK$48,BAU_Demands!BD$1,0)</f>
        <v>1.508411693</v>
      </c>
      <c r="BG41" s="314">
        <f>VLOOKUP($C41,BAU_Demands!$B$3:$BK$48,BAU_Demands!BE$1,0)</f>
        <v>1.508411693</v>
      </c>
      <c r="BH41" s="314">
        <f>VLOOKUP($C41,BAU_Demands!$B$3:$BK$48,BAU_Demands!BF$1,0)</f>
        <v>1.508411693</v>
      </c>
      <c r="BI41" s="314">
        <f>VLOOKUP($C41,BAU_Demands!$B$3:$BK$48,BAU_Demands!BG$1,0)</f>
        <v>1.508411693</v>
      </c>
      <c r="BJ41" s="314">
        <f>VLOOKUP($C41,BAU_Demands!$B$3:$BK$48,BAU_Demands!BH$1,0)</f>
        <v>1.508411693</v>
      </c>
      <c r="BK41" s="314">
        <f>VLOOKUP($C41,BAU_Demands!$B$3:$BK$48,BAU_Demands!BI$1,0)</f>
        <v>1.508411693</v>
      </c>
      <c r="BL41" s="314">
        <f>VLOOKUP($C41,BAU_Demands!$B$3:$BK$48,BAU_Demands!BJ$1,0)</f>
        <v>1.508411693</v>
      </c>
      <c r="BM41" s="314">
        <f>VLOOKUP($C41,BAU_Demands!$B$3:$BK$48,BAU_Demands!BK$1,0)</f>
        <v>1.508411693</v>
      </c>
    </row>
    <row r="42" spans="1:65" ht="14.4" hidden="1">
      <c r="A42" s="29" t="s">
        <v>457</v>
      </c>
      <c r="B42" s="29" t="s">
        <v>458</v>
      </c>
      <c r="C42" s="29" t="s">
        <v>543</v>
      </c>
      <c r="D42" s="29" t="s">
        <v>460</v>
      </c>
      <c r="E42" s="29" t="s">
        <v>544</v>
      </c>
      <c r="F42" s="29" t="s">
        <v>462</v>
      </c>
      <c r="G42" s="29" t="s">
        <v>463</v>
      </c>
      <c r="H42" s="29" t="s">
        <v>464</v>
      </c>
      <c r="I42" s="326" t="s">
        <v>44</v>
      </c>
      <c r="J42" s="326" t="s">
        <v>44</v>
      </c>
      <c r="K42" s="326" t="s">
        <v>44</v>
      </c>
      <c r="L42" s="326" t="s">
        <v>44</v>
      </c>
      <c r="M42" s="322">
        <f>VLOOKUP($C42,BAU_Demands!$B$3:$BK$48,BAU_Demands!K$1,0)</f>
        <v>26.62421775</v>
      </c>
      <c r="N42" s="322">
        <f>VLOOKUP($C42,BAU_Demands!$B$3:$BK$48,BAU_Demands!L$1,0)</f>
        <v>27.54513743</v>
      </c>
      <c r="O42" s="322">
        <f>VLOOKUP($C42,BAU_Demands!$B$3:$BK$48,BAU_Demands!M$1,0)</f>
        <v>29.009550699999998</v>
      </c>
      <c r="P42" s="322">
        <f>VLOOKUP($C42,BAU_Demands!$B$3:$BK$48,BAU_Demands!N$1,0)</f>
        <v>28.635027879999999</v>
      </c>
      <c r="Q42" s="322">
        <f>(VLOOKUP($C42,BAU_Demands!$B$3:$BK$48,BAU_Demands!O$1,0)+(BAU_Demands!O44-Q44))*(1-'Net Zero 2050'!I62)</f>
        <v>24.754042939999998</v>
      </c>
      <c r="R42" s="322">
        <f>(VLOOKUP($C42,BAU_Demands!$B$3:$BK$48,BAU_Demands!P$1,0)+(BAU_Demands!P44-R44))*(1-'Net Zero 2050'!J62)</f>
        <v>24.586792180500002</v>
      </c>
      <c r="S42" s="322">
        <f>(VLOOKUP($C42,BAU_Demands!$B$3:$BK$48,BAU_Demands!Q$1,0)+(BAU_Demands!Q44-S44))*(1-'Net Zero 2050'!K62)</f>
        <v>24.386833931999998</v>
      </c>
      <c r="T42" s="322">
        <f>(VLOOKUP($C42,BAU_Demands!$B$3:$BK$48,BAU_Demands!R$1,0)+(BAU_Demands!R44-T44))*(1-'Net Zero 2050'!L62)</f>
        <v>24.160735015</v>
      </c>
      <c r="U42" s="322">
        <f>(VLOOKUP($C42,BAU_Demands!$B$3:$BK$48,BAU_Demands!S$1,0)+(BAU_Demands!S44-U44))*(1-'Net Zero 2050'!M62)</f>
        <v>25.251693376000002</v>
      </c>
      <c r="V42" s="322">
        <f>(VLOOKUP($C42,BAU_Demands!$B$3:$BK$48,BAU_Demands!T$1,0)+(BAU_Demands!T44-V44))*(1-'Net Zero 2050'!N62)</f>
        <v>26.353765009999996</v>
      </c>
      <c r="W42" s="322">
        <f>(VLOOKUP($C42,BAU_Demands!$B$3:$BK$48,BAU_Demands!U$1,0)+(BAU_Demands!U44-W44))*(1-'Net Zero 2050'!O62)</f>
        <v>27.466592363999997</v>
      </c>
      <c r="X42" s="322">
        <f>(VLOOKUP($C42,BAU_Demands!$B$3:$BK$48,BAU_Demands!V$1,0)+(BAU_Demands!V44-X44))*(1-'Net Zero 2050'!P62)</f>
        <v>28.589041425999998</v>
      </c>
      <c r="Y42" s="322">
        <f>(VLOOKUP($C42,BAU_Demands!$B$3:$BK$48,BAU_Demands!W$1,0)+(BAU_Demands!W44-Y44))*(1-'Net Zero 2050'!Q62)</f>
        <v>29.7200813</v>
      </c>
      <c r="Z42" s="322">
        <f>(VLOOKUP($C42,BAU_Demands!$B$3:$BK$48,BAU_Demands!X$1,0)+(BAU_Demands!X44-Z44))*(1-'Net Zero 2050'!R62)</f>
        <v>30.912122335999992</v>
      </c>
      <c r="AA42" s="322">
        <f>(VLOOKUP($C42,BAU_Demands!$B$3:$BK$48,BAU_Demands!Y$1,0)+(BAU_Demands!Y44-AA44))*(1-'Net Zero 2050'!S62)</f>
        <v>32.107169769999999</v>
      </c>
      <c r="AB42" s="322">
        <f>(VLOOKUP($C42,BAU_Demands!$B$3:$BK$48,BAU_Demands!Z$1,0)+(BAU_Demands!Z44-AB44))*(1-'Net Zero 2050'!T62)</f>
        <v>33.302900223999998</v>
      </c>
      <c r="AC42" s="322">
        <f>(VLOOKUP($C42,BAU_Demands!$B$3:$BK$48,BAU_Demands!AA$1,0)+(BAU_Demands!AA44-AC44))*(1-'Net Zero 2050'!U62)</f>
        <v>34.498261429999999</v>
      </c>
      <c r="AD42" s="322">
        <f>(VLOOKUP($C42,BAU_Demands!$B$3:$BK$48,BAU_Demands!AB$1,0)+(BAU_Demands!AB44-AD44))*(1-'Net Zero 2050'!V62)</f>
        <v>35.692166399999998</v>
      </c>
      <c r="AE42" s="322">
        <f>(VLOOKUP($C42,BAU_Demands!$B$3:$BK$48,BAU_Demands!AC$1,0)+(BAU_Demands!AC44-AE44))*(1-'Net Zero 2050'!W62)</f>
        <v>36.952658600000007</v>
      </c>
      <c r="AF42" s="322">
        <f>(VLOOKUP($C42,BAU_Demands!$B$3:$BK$48,BAU_Demands!AD$1,0)+(BAU_Demands!AD44-AF44))*(1-'Net Zero 2050'!X62)</f>
        <v>38.220630799999995</v>
      </c>
      <c r="AG42" s="322">
        <f>(VLOOKUP($C42,BAU_Demands!$B$3:$BK$48,BAU_Demands!AE$1,0)+(BAU_Demands!AE44-AG44))*(1-'Net Zero 2050'!Y62)</f>
        <v>39.500481239999999</v>
      </c>
      <c r="AH42" s="322">
        <f>(VLOOKUP($C42,BAU_Demands!$B$3:$BK$48,BAU_Demands!AF$1,0)+(BAU_Demands!AF44-AH44))*(1-'Net Zero 2050'!Z62)</f>
        <v>40.789038400000003</v>
      </c>
      <c r="AI42" s="322">
        <f>(VLOOKUP($C42,BAU_Demands!$B$3:$BK$48,BAU_Demands!AG$1,0)+(BAU_Demands!AG44-AI44))*(1-'Net Zero 2050'!AA62)</f>
        <v>42.085621599999996</v>
      </c>
      <c r="AJ42" s="322">
        <f>(VLOOKUP($C42,BAU_Demands!$B$3:$BK$48,BAU_Demands!AH$1,0)+(BAU_Demands!AH44-AJ44))*(1-'Net Zero 2050'!AB62)</f>
        <v>43.093761039999997</v>
      </c>
      <c r="AK42" s="322">
        <f>(VLOOKUP($C42,BAU_Demands!$B$3:$BK$48,BAU_Demands!AI$1,0)+(BAU_Demands!AI44-AK44))*(1-'Net Zero 2050'!AC62)</f>
        <v>44.100501720000004</v>
      </c>
      <c r="AL42" s="322">
        <f>(VLOOKUP($C42,BAU_Demands!$B$3:$BK$48,BAU_Demands!AJ$1,0)+(BAU_Demands!AJ44-AL44))*(1-'Net Zero 2050'!AD62)</f>
        <v>45.112141799999996</v>
      </c>
      <c r="AM42" s="322">
        <f>(VLOOKUP($C42,BAU_Demands!$B$3:$BK$48,BAU_Demands!AK$1,0)+(BAU_Demands!AK44-AM44))*(1-'Net Zero 2050'!AE62)</f>
        <v>46.124911360000006</v>
      </c>
      <c r="AN42" s="322">
        <f>(VLOOKUP($C42,BAU_Demands!$B$3:$BK$48,BAU_Demands!AL$1,0)+(BAU_Demands!AL44-AN44))*(1-'Net Zero 2050'!AF62)</f>
        <v>47.138264360000001</v>
      </c>
      <c r="AO42" s="322">
        <f>(VLOOKUP($C42,BAU_Demands!$B$3:$BK$48,BAU_Demands!AM$1,0)+(BAU_Demands!AM44-AO44))*(1-'Net Zero 2050'!AG62)</f>
        <v>48.075052080000006</v>
      </c>
      <c r="AP42" s="322">
        <f>(VLOOKUP($C42,BAU_Demands!$B$3:$BK$48,BAU_Demands!AN$1,0)+(BAU_Demands!AN44-AP44))*(1-'Net Zero 2050'!AH62)</f>
        <v>49.010605599999998</v>
      </c>
      <c r="AQ42" s="322">
        <f>(VLOOKUP($C42,BAU_Demands!$B$3:$BK$48,BAU_Demands!AO$1,0)+(BAU_Demands!AO44-AQ44))*(1-'Net Zero 2050'!AI62)</f>
        <v>49.944401319999997</v>
      </c>
      <c r="AR42" s="322">
        <f>(VLOOKUP($C42,BAU_Demands!$B$3:$BK$48,BAU_Demands!AP$1,0)+(BAU_Demands!AP44-AR44))*(1-'Net Zero 2050'!AJ62)</f>
        <v>50.871764239999997</v>
      </c>
      <c r="AS42" s="322">
        <f>(VLOOKUP($C42,BAU_Demands!$B$3:$BK$48,BAU_Demands!AQ$1,0)+(BAU_Demands!AQ44-AS44))*(1-'Net Zero 2050'!AK62)</f>
        <v>51.801012120000003</v>
      </c>
      <c r="AT42" s="322">
        <f>(VLOOKUP($C42,BAU_Demands!$B$3:$BK$48,BAU_Demands!AR$1,0)+(BAU_Demands!AR44-AT44))*(1-'Net Zero 2050'!AL62)</f>
        <v>52.171309520000015</v>
      </c>
      <c r="AU42" s="322">
        <f>(VLOOKUP($C42,BAU_Demands!$B$3:$BK$48,BAU_Demands!AS$1,0)+(BAU_Demands!AS44-AU44))*(1-'Net Zero 2050'!AM62)</f>
        <v>52.533984800000006</v>
      </c>
      <c r="AV42" s="322">
        <f>(VLOOKUP($C42,BAU_Demands!$B$3:$BK$48,BAU_Demands!AT$1,0)+(BAU_Demands!AT44-AV44))*(1-'Net Zero 2050'!AN62)</f>
        <v>52.890017839999985</v>
      </c>
      <c r="AW42" s="322">
        <f>(VLOOKUP($C42,BAU_Demands!$B$3:$BK$48,BAU_Demands!AU$1,0)+(BAU_Demands!AU44-AW44))*(1-'Net Zero 2050'!AO62)</f>
        <v>53.222832960000012</v>
      </c>
      <c r="AX42" s="322">
        <f>(VLOOKUP($C42,BAU_Demands!$B$3:$BK$48,BAU_Demands!AV$1,0)+(BAU_Demands!AV44-AX44))*(1-'Net Zero 2050'!AP62)</f>
        <v>53.559343200000015</v>
      </c>
      <c r="AY42" s="322">
        <f>(VLOOKUP($C42,BAU_Demands!$B$3:$BK$48,BAU_Demands!AW$1,0)+(BAU_Demands!AW44-AY44))*(1-'Net Zero 2050'!AQ62)</f>
        <v>53.877063680000013</v>
      </c>
      <c r="AZ42" s="322">
        <f>(VLOOKUP($C42,BAU_Demands!$B$3:$BK$48,BAU_Demands!AX$1,0)+(BAU_Demands!AX44-AZ44))*(1-'Net Zero 2050'!AR62)</f>
        <v>54.18342951999999</v>
      </c>
      <c r="BA42" s="322">
        <f>(VLOOKUP($C42,BAU_Demands!$B$3:$BK$48,BAU_Demands!AY$1,0)+(BAU_Demands!AY44-BA44))*(1-'Net Zero 2050'!AS62)</f>
        <v>54.485875839999984</v>
      </c>
      <c r="BB42" s="322">
        <f>(VLOOKUP($C42,BAU_Demands!$B$3:$BK$48,BAU_Demands!AZ$1,0)+(BAU_Demands!AZ44-BB44))*(1-'Net Zero 2050'!AT62)</f>
        <v>54.772255120000011</v>
      </c>
      <c r="BC42" s="322">
        <f>(VLOOKUP($C42,BAU_Demands!$B$3:$BK$48,BAU_Demands!BA$1,0)+(BAU_Demands!BA44-BC44))*(1-'Net Zero 2050'!AU62)</f>
        <v>55.044272800000009</v>
      </c>
      <c r="BD42" s="322">
        <f>(VLOOKUP($C42,BAU_Demands!$B$3:$BK$48,BAU_Demands!BB$1,0)+(BAU_Demands!BB44-BD44))*(1-'Net Zero 2050'!AV62)</f>
        <v>55.30758376</v>
      </c>
      <c r="BE42" s="322">
        <f>(VLOOKUP($C42,BAU_Demands!$B$3:$BK$48,BAU_Demands!BC$1,0)+(BAU_Demands!BC44-BE44))*(1-'Net Zero 2050'!AW62)</f>
        <v>55.566765760000024</v>
      </c>
      <c r="BF42" s="322">
        <f>(VLOOKUP($C42,BAU_Demands!$B$3:$BK$48,BAU_Demands!BD$1,0)+(BAU_Demands!BD44-BF44))*(1-'Net Zero 2050'!AX62)</f>
        <v>55.802131440000011</v>
      </c>
      <c r="BG42" s="322">
        <f>(VLOOKUP($C42,BAU_Demands!$B$3:$BK$48,BAU_Demands!BE$1,0)+(BAU_Demands!BE44-BG44))*(1-'Net Zero 2050'!AY62)</f>
        <v>56.030465920000005</v>
      </c>
      <c r="BH42" s="322">
        <f>(VLOOKUP($C42,BAU_Demands!$B$3:$BK$48,BAU_Demands!BF$1,0)+(BAU_Demands!BF44-BH44))*(1-'Net Zero 2050'!AZ62)</f>
        <v>56.249824400000001</v>
      </c>
      <c r="BI42" s="322">
        <f>(VLOOKUP($C42,BAU_Demands!$B$3:$BK$48,BAU_Demands!BG$1,0)+(BAU_Demands!BG44-BI44))*(1-'Net Zero 2050'!BA62)</f>
        <v>56.44988447999998</v>
      </c>
      <c r="BJ42" s="322">
        <f>(VLOOKUP($C42,BAU_Demands!$B$3:$BK$48,BAU_Demands!BH$1,0)+(BAU_Demands!BH44-BJ44))*(1-'Net Zero 2050'!BB62)</f>
        <v>56.640818960000011</v>
      </c>
      <c r="BK42" s="322">
        <f>(VLOOKUP($C42,BAU_Demands!$B$3:$BK$48,BAU_Demands!BI$1,0)+(BAU_Demands!BI44-BK44))*(1-'Net Zero 2050'!BC62)</f>
        <v>56.817092640000013</v>
      </c>
      <c r="BL42" s="322">
        <f>(VLOOKUP($C42,BAU_Demands!$B$3:$BK$48,BAU_Demands!BJ$1,0)+(BAU_Demands!BJ44-BL44))*(1-'Net Zero 2050'!BD62)</f>
        <v>56.984121039999998</v>
      </c>
      <c r="BM42" s="322">
        <f>(VLOOKUP($C42,BAU_Demands!$B$3:$BK$48,BAU_Demands!BK$1,0)+(BAU_Demands!BK44-BM44))*(1-'Net Zero 2050'!BE62)</f>
        <v>57.134334400000022</v>
      </c>
    </row>
    <row r="43" spans="1:65" ht="15.75" hidden="1" customHeight="1">
      <c r="A43" s="314" t="s">
        <v>457</v>
      </c>
      <c r="B43" s="314" t="s">
        <v>458</v>
      </c>
      <c r="C43" s="314" t="s">
        <v>545</v>
      </c>
      <c r="D43" s="314" t="s">
        <v>460</v>
      </c>
      <c r="E43" s="314" t="s">
        <v>546</v>
      </c>
      <c r="F43" s="314" t="s">
        <v>462</v>
      </c>
      <c r="G43" s="314" t="s">
        <v>463</v>
      </c>
      <c r="H43" s="314" t="s">
        <v>464</v>
      </c>
      <c r="I43" s="314"/>
      <c r="J43" s="314"/>
      <c r="K43" s="314"/>
      <c r="L43" s="314"/>
      <c r="M43" s="314">
        <f>VLOOKUP($C43,BAU_Demands!$B$3:$BK$48,BAU_Demands!K$1,0)</f>
        <v>8.0827000000000009</v>
      </c>
      <c r="N43" s="314">
        <f>VLOOKUP($C43,BAU_Demands!$B$3:$BK$48,BAU_Demands!L$1,0)</f>
        <v>7.7285000000000004</v>
      </c>
      <c r="O43" s="314">
        <f>VLOOKUP($C43,BAU_Demands!$B$3:$BK$48,BAU_Demands!M$1,0)</f>
        <v>7.3395000000000001</v>
      </c>
      <c r="P43" s="314">
        <f>VLOOKUP($C43,BAU_Demands!$B$3:$BK$48,BAU_Demands!N$1,0)</f>
        <v>7.1161000000000003</v>
      </c>
      <c r="Q43" s="314">
        <f>BAU_Demands!O43*(1-'Net Zero 2050'!I63)</f>
        <v>6.8926999999999996</v>
      </c>
      <c r="R43" s="314">
        <f>BAU_Demands!P43*(1-'Net Zero 2050'!J63)</f>
        <v>6.5579226899999998</v>
      </c>
      <c r="S43" s="314">
        <f>BAU_Demands!Q43*(1-'Net Zero 2050'!K63)</f>
        <v>6.2313481999999993</v>
      </c>
      <c r="T43" s="314">
        <f>BAU_Demands!R43*(1-'Net Zero 2050'!L63)</f>
        <v>5.9114699999999996</v>
      </c>
      <c r="U43" s="314">
        <f>BAU_Demands!S43*(1-'Net Zero 2050'!M63)</f>
        <v>5.517239</v>
      </c>
      <c r="V43" s="314">
        <f>BAU_Demands!T43*(1-'Net Zero 2050'!N63)</f>
        <v>5.1357840000000001</v>
      </c>
      <c r="W43" s="314">
        <f>BAU_Demands!U43*(1-'Net Zero 2050'!O63)</f>
        <v>4.7671049999999999</v>
      </c>
      <c r="X43" s="314">
        <f>BAU_Demands!V43*(1-'Net Zero 2050'!P63)</f>
        <v>4.4112020000000003</v>
      </c>
      <c r="Y43" s="314">
        <f>BAU_Demands!W43*(1-'Net Zero 2050'!Q63)</f>
        <v>4.0680750000000003</v>
      </c>
      <c r="Z43" s="314">
        <f>BAU_Demands!X43*(1-'Net Zero 2050'!R63)</f>
        <v>3.7705969999999995</v>
      </c>
      <c r="AA43" s="314">
        <f>BAU_Demands!Y43*(1-'Net Zero 2050'!S63)</f>
        <v>3.4822579999999999</v>
      </c>
      <c r="AB43" s="314">
        <f>BAU_Demands!Z43*(1-'Net Zero 2050'!T63)</f>
        <v>3.2029199999999998</v>
      </c>
      <c r="AC43" s="314">
        <f>BAU_Demands!AA43*(1-'Net Zero 2050'!U63)</f>
        <v>2.9327130000000001</v>
      </c>
      <c r="AD43" s="314">
        <f>BAU_Demands!AB43*(1-'Net Zero 2050'!V63)</f>
        <v>2.6715150000000003</v>
      </c>
      <c r="AE43" s="314">
        <f>BAU_Demands!AC43*(1-'Net Zero 2050'!W63)</f>
        <v>2.3895</v>
      </c>
      <c r="AF43" s="314">
        <f>BAU_Demands!AD43*(1-'Net Zero 2050'!X63)</f>
        <v>2.1153149999999998</v>
      </c>
      <c r="AG43" s="314">
        <f>BAU_Demands!AE43*(1-'Net Zero 2050'!Y63)</f>
        <v>1.8489200000000001</v>
      </c>
      <c r="AH43" s="314">
        <f>BAU_Demands!AF43*(1-'Net Zero 2050'!Z63)</f>
        <v>1.5903999999999998</v>
      </c>
      <c r="AI43" s="314">
        <f>BAU_Demands!AG43*(1-'Net Zero 2050'!AA63)</f>
        <v>1.3396800000000002</v>
      </c>
      <c r="AJ43" s="314">
        <f>BAU_Demands!AH43*(1-'Net Zero 2050'!AB63)</f>
        <v>1.1920230000000001</v>
      </c>
      <c r="AK43" s="314">
        <f>BAU_Demands!AI43*(1-'Net Zero 2050'!AC63)</f>
        <v>1.0474080000000001</v>
      </c>
      <c r="AL43" s="314">
        <f>BAU_Demands!AJ43*(1-'Net Zero 2050'!AD63)</f>
        <v>0.90581399999999979</v>
      </c>
      <c r="AM43" s="314">
        <f>BAU_Demands!AK43*(1-'Net Zero 2050'!AE63)</f>
        <v>0.76728600000000013</v>
      </c>
      <c r="AN43" s="314">
        <f>BAU_Demands!AL43*(1-'Net Zero 2050'!AF63)</f>
        <v>0.63180000000000003</v>
      </c>
      <c r="AO43" s="314">
        <f>BAU_Demands!AM43*(1-'Net Zero 2050'!AG63)</f>
        <v>0.54394599999999993</v>
      </c>
      <c r="AP43" s="314">
        <f>BAU_Demands!AN43*(1-'Net Zero 2050'!AH63)</f>
        <v>0.45720399999999989</v>
      </c>
      <c r="AQ43" s="314">
        <f>BAU_Demands!AO43*(1-'Net Zero 2050'!AI63)</f>
        <v>0.37158299999999989</v>
      </c>
      <c r="AR43" s="314">
        <f>BAU_Demands!AP43*(1-'Net Zero 2050'!AJ63)</f>
        <v>0.28706299999999979</v>
      </c>
      <c r="AS43" s="314">
        <f>BAU_Demands!AQ43*(1-'Net Zero 2050'!AK63)</f>
        <v>0.2036550000000002</v>
      </c>
      <c r="AT43" s="314">
        <f>BAU_Demands!AR43*(1-'Net Zero 2050'!AL63)</f>
        <v>0.20231500000000016</v>
      </c>
      <c r="AU43" s="314">
        <f>BAU_Demands!AS43*(1-'Net Zero 2050'!AM63)</f>
        <v>0.20097000000000018</v>
      </c>
      <c r="AV43" s="314">
        <f>BAU_Demands!AT43*(1-'Net Zero 2050'!AN63)</f>
        <v>0.19963000000000017</v>
      </c>
      <c r="AW43" s="314">
        <f>BAU_Demands!AU43*(1-'Net Zero 2050'!AO63)</f>
        <v>0.19828500000000018</v>
      </c>
      <c r="AX43" s="314">
        <f>BAU_Demands!AV43*(1-'Net Zero 2050'!AP63)</f>
        <v>0.19694500000000018</v>
      </c>
      <c r="AY43" s="314">
        <f>BAU_Demands!AW43*(1-'Net Zero 2050'!AQ63)</f>
        <v>0.19564500000000018</v>
      </c>
      <c r="AZ43" s="314">
        <f>BAU_Demands!AX43*(1-'Net Zero 2050'!AR63)</f>
        <v>0.19435000000000016</v>
      </c>
      <c r="BA43" s="314">
        <f>BAU_Demands!AY43*(1-'Net Zero 2050'!AS63)</f>
        <v>0.19305000000000019</v>
      </c>
      <c r="BB43" s="314">
        <f>BAU_Demands!AZ43*(1-'Net Zero 2050'!AT63)</f>
        <v>0.19175000000000017</v>
      </c>
      <c r="BC43" s="314">
        <f>BAU_Demands!BA43*(1-'Net Zero 2050'!AU63)</f>
        <v>0.19045500000000015</v>
      </c>
      <c r="BD43" s="314">
        <f>BAU_Demands!BB43*(1-'Net Zero 2050'!AV63)</f>
        <v>0.18919500000000017</v>
      </c>
      <c r="BE43" s="314">
        <f>BAU_Demands!BC43*(1-'Net Zero 2050'!AW63)</f>
        <v>0.18794000000000016</v>
      </c>
      <c r="BF43" s="314">
        <f>BAU_Demands!BD43*(1-'Net Zero 2050'!AX63)</f>
        <v>0.18668500000000016</v>
      </c>
      <c r="BG43" s="314">
        <f>BAU_Demands!BE43*(1-'Net Zero 2050'!AY63)</f>
        <v>0.18543000000000018</v>
      </c>
      <c r="BH43" s="314">
        <f>BAU_Demands!BF43*(1-'Net Zero 2050'!AZ63)</f>
        <v>0.18417500000000017</v>
      </c>
      <c r="BI43" s="314">
        <f>BAU_Demands!BG43*(1-'Net Zero 2050'!BA63)</f>
        <v>0.18296000000000015</v>
      </c>
      <c r="BJ43" s="314">
        <f>BAU_Demands!BH43*(1-'Net Zero 2050'!BB63)</f>
        <v>0.18174500000000016</v>
      </c>
      <c r="BK43" s="314">
        <f>BAU_Demands!BI43*(1-'Net Zero 2050'!BC63)</f>
        <v>0.18053500000000017</v>
      </c>
      <c r="BL43" s="314">
        <f>BAU_Demands!BJ43*(1-'Net Zero 2050'!BD63)</f>
        <v>0.17932000000000015</v>
      </c>
      <c r="BM43" s="314">
        <f>BAU_Demands!BK43*(1-'Net Zero 2050'!BE63)</f>
        <v>0.17810500000000015</v>
      </c>
    </row>
    <row r="44" spans="1:65" ht="15.75" hidden="1" customHeight="1">
      <c r="A44" s="30" t="s">
        <v>457</v>
      </c>
      <c r="B44" s="30" t="s">
        <v>458</v>
      </c>
      <c r="C44" s="30" t="s">
        <v>547</v>
      </c>
      <c r="D44" s="30" t="s">
        <v>460</v>
      </c>
      <c r="E44" s="30" t="s">
        <v>548</v>
      </c>
      <c r="F44" s="30" t="s">
        <v>462</v>
      </c>
      <c r="G44" s="30" t="s">
        <v>463</v>
      </c>
      <c r="H44" s="30" t="s">
        <v>464</v>
      </c>
      <c r="I44" s="30"/>
      <c r="J44" s="30"/>
      <c r="K44" s="30"/>
      <c r="L44" s="30"/>
      <c r="M44" s="30">
        <f>VLOOKUP($C44,BAU_Demands!$B$3:$BK$48,BAU_Demands!K$1,0)</f>
        <v>37.188177500000002</v>
      </c>
      <c r="N44" s="30">
        <f>VLOOKUP($C44,BAU_Demands!$B$3:$BK$48,BAU_Demands!L$1,0)</f>
        <v>38.367604450000002</v>
      </c>
      <c r="O44" s="30">
        <f>VLOOKUP($C44,BAU_Demands!$B$3:$BK$48,BAU_Demands!M$1,0)</f>
        <v>39.136214529999997</v>
      </c>
      <c r="P44" s="30">
        <f>VLOOKUP($C44,BAU_Demands!$B$3:$BK$48,BAU_Demands!N$1,0)</f>
        <v>39.917656399999998</v>
      </c>
      <c r="Q44" s="30">
        <f>BAU_Demands!O44*(1-'Net Zero 2050'!I64)</f>
        <v>40.450000000000003</v>
      </c>
      <c r="R44" s="30">
        <f>BAU_Demands!P44*(1-'Net Zero 2050'!J64)</f>
        <v>40.715367000000001</v>
      </c>
      <c r="S44" s="30">
        <f>BAU_Demands!Q44*(1-'Net Zero 2050'!K64)</f>
        <v>40.957917000000002</v>
      </c>
      <c r="T44" s="30">
        <f>BAU_Demands!R44*(1-'Net Zero 2050'!L64)</f>
        <v>41.199199999999998</v>
      </c>
      <c r="U44" s="30">
        <f>BAU_Demands!S44*(1-'Net Zero 2050'!M64)</f>
        <v>40.592699999999994</v>
      </c>
      <c r="V44" s="30">
        <f>BAU_Demands!T44*(1-'Net Zero 2050'!N64)</f>
        <v>39.959680000000006</v>
      </c>
      <c r="W44" s="30">
        <f>BAU_Demands!U44*(1-'Net Zero 2050'!O64)</f>
        <v>39.300139999999999</v>
      </c>
      <c r="X44" s="30">
        <f>BAU_Demands!V44*(1-'Net Zero 2050'!P64)</f>
        <v>38.605319999999999</v>
      </c>
      <c r="Y44" s="30">
        <f>BAU_Demands!W44*(1-'Net Zero 2050'!Q64)</f>
        <v>37.875999999999998</v>
      </c>
      <c r="Z44" s="30">
        <f>BAU_Demands!X44*(1-'Net Zero 2050'!R64)</f>
        <v>36.9328</v>
      </c>
      <c r="AA44" s="30">
        <f>BAU_Demands!Y44*(1-'Net Zero 2050'!S64)</f>
        <v>35.960800000000006</v>
      </c>
      <c r="AB44" s="30">
        <f>BAU_Demands!Z44*(1-'Net Zero 2050'!T64)</f>
        <v>34.952400000000004</v>
      </c>
      <c r="AC44" s="30">
        <f>BAU_Demands!AA44*(1-'Net Zero 2050'!U64)</f>
        <v>33.908500000000004</v>
      </c>
      <c r="AD44" s="30">
        <f>BAU_Demands!AB44*(1-'Net Zero 2050'!V64)</f>
        <v>32.83</v>
      </c>
      <c r="AE44" s="30">
        <f>BAU_Demands!AC44*(1-'Net Zero 2050'!W64)</f>
        <v>31.913899999999998</v>
      </c>
      <c r="AF44" s="30">
        <f>BAU_Demands!AD44*(1-'Net Zero 2050'!X64)</f>
        <v>30.961440000000003</v>
      </c>
      <c r="AG44" s="30">
        <f>BAU_Demands!AE44*(1-'Net Zero 2050'!Y64)</f>
        <v>29.986620000000002</v>
      </c>
      <c r="AH44" s="30">
        <f>BAU_Demands!AF44*(1-'Net Zero 2050'!Z64)</f>
        <v>28.98348</v>
      </c>
      <c r="AI44" s="30">
        <f>BAU_Demands!AG44*(1-'Net Zero 2050'!AA64)</f>
        <v>27.952800000000003</v>
      </c>
      <c r="AJ44" s="30">
        <f>BAU_Demands!AH44*(1-'Net Zero 2050'!AB64)</f>
        <v>27.290880000000001</v>
      </c>
      <c r="AK44" s="30">
        <f>BAU_Demands!AI44*(1-'Net Zero 2050'!AC64)</f>
        <v>26.60388</v>
      </c>
      <c r="AL44" s="30">
        <f>BAU_Demands!AJ44*(1-'Net Zero 2050'!AD64)</f>
        <v>25.903200000000002</v>
      </c>
      <c r="AM44" s="30">
        <f>BAU_Demands!AK44*(1-'Net Zero 2050'!AE64)</f>
        <v>25.183859999999999</v>
      </c>
      <c r="AN44" s="30">
        <f>BAU_Demands!AL44*(1-'Net Zero 2050'!AF64)</f>
        <v>24.446400000000001</v>
      </c>
      <c r="AO44" s="30">
        <f>BAU_Demands!AM44*(1-'Net Zero 2050'!AG64)</f>
        <v>23.79392</v>
      </c>
      <c r="AP44" s="30">
        <f>BAU_Demands!AN44*(1-'Net Zero 2050'!AH64)</f>
        <v>23.125759999999996</v>
      </c>
      <c r="AQ44" s="30">
        <f>BAU_Demands!AO44*(1-'Net Zero 2050'!AI64)</f>
        <v>22.442400000000003</v>
      </c>
      <c r="AR44" s="30">
        <f>BAU_Demands!AP44*(1-'Net Zero 2050'!AJ64)</f>
        <v>21.740159999999999</v>
      </c>
      <c r="AS44" s="30">
        <f>BAU_Demands!AQ44*(1-'Net Zero 2050'!AK64)</f>
        <v>21.028000000000002</v>
      </c>
      <c r="AT44" s="30">
        <f>BAU_Demands!AR44*(1-'Net Zero 2050'!AL64)</f>
        <v>21.042259999999981</v>
      </c>
      <c r="AU44" s="30">
        <f>BAU_Demands!AS44*(1-'Net Zero 2050'!AM64)</f>
        <v>21.047399999999996</v>
      </c>
      <c r="AV44" s="30">
        <f>BAU_Demands!AT44*(1-'Net Zero 2050'!AN64)</f>
        <v>21.051420000000007</v>
      </c>
      <c r="AW44" s="30">
        <f>BAU_Demands!AU44*(1-'Net Zero 2050'!AO64)</f>
        <v>21.046479999999971</v>
      </c>
      <c r="AX44" s="30">
        <f>BAU_Demands!AV44*(1-'Net Zero 2050'!AP64)</f>
        <v>21.036599999999982</v>
      </c>
      <c r="AY44" s="30">
        <f>BAU_Demands!AW44*(1-'Net Zero 2050'!AQ64)</f>
        <v>21.021839999999994</v>
      </c>
      <c r="AZ44" s="30">
        <f>BAU_Demands!AX44*(1-'Net Zero 2050'!AR64)</f>
        <v>21.002260000000007</v>
      </c>
      <c r="BA44" s="30">
        <f>BAU_Demands!AY44*(1-'Net Zero 2050'!AS64)</f>
        <v>20.977920000000019</v>
      </c>
      <c r="BB44" s="30">
        <f>BAU_Demands!AZ44*(1-'Net Zero 2050'!AT64)</f>
        <v>20.94505999999998</v>
      </c>
      <c r="BC44" s="30">
        <f>BAU_Demands!BA44*(1-'Net Zero 2050'!AU64)</f>
        <v>20.911399999999993</v>
      </c>
      <c r="BD44" s="30">
        <f>BAU_Demands!BB44*(1-'Net Zero 2050'!AV64)</f>
        <v>20.869380000000007</v>
      </c>
      <c r="BE44" s="30">
        <f>BAU_Demands!BC44*(1-'Net Zero 2050'!AW64)</f>
        <v>20.822879999999969</v>
      </c>
      <c r="BF44" s="30">
        <f>BAU_Demands!BD44*(1-'Net Zero 2050'!AX64)</f>
        <v>20.768219999999982</v>
      </c>
      <c r="BG44" s="30">
        <f>BAU_Demands!BE44*(1-'Net Zero 2050'!AY64)</f>
        <v>20.712959999999992</v>
      </c>
      <c r="BH44" s="30">
        <f>BAU_Demands!BF44*(1-'Net Zero 2050'!AZ64)</f>
        <v>20.649700000000006</v>
      </c>
      <c r="BI44" s="30">
        <f>BAU_Demands!BG44*(1-'Net Zero 2050'!BA64)</f>
        <v>20.582240000000017</v>
      </c>
      <c r="BJ44" s="30">
        <f>BAU_Demands!BH44*(1-'Net Zero 2050'!BB64)</f>
        <v>20.506979999999981</v>
      </c>
      <c r="BK44" s="30">
        <f>BAU_Demands!BI44*(1-'Net Zero 2050'!BC64)</f>
        <v>20.431319999999992</v>
      </c>
      <c r="BL44" s="30">
        <f>BAU_Demands!BJ44*(1-'Net Zero 2050'!BD64)</f>
        <v>20.348020000000005</v>
      </c>
      <c r="BM44" s="30">
        <f>BAU_Demands!BK44*(1-'Net Zero 2050'!BE64)</f>
        <v>20.257199999999969</v>
      </c>
    </row>
    <row r="45" spans="1:65" ht="15.75" hidden="1" customHeight="1">
      <c r="A45" s="314" t="s">
        <v>457</v>
      </c>
      <c r="B45" s="314" t="s">
        <v>458</v>
      </c>
      <c r="C45" s="314" t="s">
        <v>549</v>
      </c>
      <c r="D45" s="314" t="s">
        <v>460</v>
      </c>
      <c r="E45" s="314" t="s">
        <v>550</v>
      </c>
      <c r="F45" s="314" t="s">
        <v>462</v>
      </c>
      <c r="G45" s="314" t="s">
        <v>463</v>
      </c>
      <c r="H45" s="314" t="s">
        <v>464</v>
      </c>
      <c r="I45" s="314"/>
      <c r="J45" s="314"/>
      <c r="K45" s="314"/>
      <c r="L45" s="314"/>
      <c r="M45" s="314">
        <f>VLOOKUP($C45,BAU_Demands!$B$3:$BK$48,BAU_Demands!K$1,0)</f>
        <v>2.1965064999999999E-2</v>
      </c>
      <c r="N45" s="314">
        <f>VLOOKUP($C45,BAU_Demands!$B$3:$BK$48,BAU_Demands!L$1,0)</f>
        <v>2.0567029000000001E-2</v>
      </c>
      <c r="O45" s="314">
        <f>VLOOKUP($C45,BAU_Demands!$B$3:$BK$48,BAU_Demands!M$1,0)</f>
        <v>1.9008263000000001E-2</v>
      </c>
      <c r="P45" s="314">
        <f>VLOOKUP($C45,BAU_Demands!$B$3:$BK$48,BAU_Demands!N$1,0)</f>
        <v>2.3492364000000002E-2</v>
      </c>
      <c r="Q45" s="314">
        <f>VLOOKUP($C45,BAU_Demands!$B$3:$BK$48,BAU_Demands!O$1,0)</f>
        <v>0.02</v>
      </c>
      <c r="R45" s="314">
        <f>VLOOKUP($C45,BAU_Demands!$B$3:$BK$48,BAU_Demands!P$1,0)</f>
        <v>0.02</v>
      </c>
      <c r="S45" s="314">
        <f>VLOOKUP($C45,BAU_Demands!$B$3:$BK$48,BAU_Demands!Q$1,0)</f>
        <v>0.02</v>
      </c>
      <c r="T45" s="314">
        <f>VLOOKUP($C45,BAU_Demands!$B$3:$BK$48,BAU_Demands!R$1,0)</f>
        <v>0.02</v>
      </c>
      <c r="U45" s="314">
        <f>VLOOKUP($C45,BAU_Demands!$B$3:$BK$48,BAU_Demands!S$1,0)</f>
        <v>0.03</v>
      </c>
      <c r="V45" s="314">
        <f>VLOOKUP($C45,BAU_Demands!$B$3:$BK$48,BAU_Demands!T$1,0)</f>
        <v>0.03</v>
      </c>
      <c r="W45" s="314">
        <f>VLOOKUP($C45,BAU_Demands!$B$3:$BK$48,BAU_Demands!U$1,0)</f>
        <v>0.03</v>
      </c>
      <c r="X45" s="314">
        <f>VLOOKUP($C45,BAU_Demands!$B$3:$BK$48,BAU_Demands!V$1,0)</f>
        <v>0.03</v>
      </c>
      <c r="Y45" s="314">
        <f>VLOOKUP($C45,BAU_Demands!$B$3:$BK$48,BAU_Demands!W$1,0)</f>
        <v>0.03</v>
      </c>
      <c r="Z45" s="314">
        <f>VLOOKUP($C45,BAU_Demands!$B$3:$BK$48,BAU_Demands!X$1,0)</f>
        <v>0.03</v>
      </c>
      <c r="AA45" s="314">
        <f>VLOOKUP($C45,BAU_Demands!$B$3:$BK$48,BAU_Demands!Y$1,0)</f>
        <v>0.03</v>
      </c>
      <c r="AB45" s="314">
        <f>VLOOKUP($C45,BAU_Demands!$B$3:$BK$48,BAU_Demands!Z$1,0)</f>
        <v>0.03</v>
      </c>
      <c r="AC45" s="314">
        <f>VLOOKUP($C45,BAU_Demands!$B$3:$BK$48,BAU_Demands!AA$1,0)</f>
        <v>0.03</v>
      </c>
      <c r="AD45" s="314">
        <f>VLOOKUP($C45,BAU_Demands!$B$3:$BK$48,BAU_Demands!AB$1,0)</f>
        <v>0.03</v>
      </c>
      <c r="AE45" s="314">
        <f>VLOOKUP($C45,BAU_Demands!$B$3:$BK$48,BAU_Demands!AC$1,0)</f>
        <v>0.03</v>
      </c>
      <c r="AF45" s="314">
        <f>VLOOKUP($C45,BAU_Demands!$B$3:$BK$48,BAU_Demands!AD$1,0)</f>
        <v>0.03</v>
      </c>
      <c r="AG45" s="314">
        <f>VLOOKUP($C45,BAU_Demands!$B$3:$BK$48,BAU_Demands!AE$1,0)</f>
        <v>0.03</v>
      </c>
      <c r="AH45" s="314">
        <f>VLOOKUP($C45,BAU_Demands!$B$3:$BK$48,BAU_Demands!AF$1,0)</f>
        <v>0.03</v>
      </c>
      <c r="AI45" s="314">
        <f>VLOOKUP($C45,BAU_Demands!$B$3:$BK$48,BAU_Demands!AG$1,0)</f>
        <v>0.03</v>
      </c>
      <c r="AJ45" s="314">
        <f>VLOOKUP($C45,BAU_Demands!$B$3:$BK$48,BAU_Demands!AH$1,0)</f>
        <v>0.03</v>
      </c>
      <c r="AK45" s="314">
        <f>VLOOKUP($C45,BAU_Demands!$B$3:$BK$48,BAU_Demands!AI$1,0)</f>
        <v>0.03</v>
      </c>
      <c r="AL45" s="314">
        <f>VLOOKUP($C45,BAU_Demands!$B$3:$BK$48,BAU_Demands!AJ$1,0)</f>
        <v>0.03</v>
      </c>
      <c r="AM45" s="314">
        <f>VLOOKUP($C45,BAU_Demands!$B$3:$BK$48,BAU_Demands!AK$1,0)</f>
        <v>0.03</v>
      </c>
      <c r="AN45" s="314">
        <f>VLOOKUP($C45,BAU_Demands!$B$3:$BK$48,BAU_Demands!AL$1,0)</f>
        <v>0.03</v>
      </c>
      <c r="AO45" s="314">
        <f>VLOOKUP($C45,BAU_Demands!$B$3:$BK$48,BAU_Demands!AM$1,0)</f>
        <v>0.03</v>
      </c>
      <c r="AP45" s="314">
        <f>VLOOKUP($C45,BAU_Demands!$B$3:$BK$48,BAU_Demands!AN$1,0)</f>
        <v>0.03</v>
      </c>
      <c r="AQ45" s="314">
        <f>VLOOKUP($C45,BAU_Demands!$B$3:$BK$48,BAU_Demands!AO$1,0)</f>
        <v>0.03</v>
      </c>
      <c r="AR45" s="314">
        <f>VLOOKUP($C45,BAU_Demands!$B$3:$BK$48,BAU_Demands!AP$1,0)</f>
        <v>0.03</v>
      </c>
      <c r="AS45" s="314">
        <f>VLOOKUP($C45,BAU_Demands!$B$3:$BK$48,BAU_Demands!AQ$1,0)</f>
        <v>0.03</v>
      </c>
      <c r="AT45" s="314">
        <f>VLOOKUP($C45,BAU_Demands!$B$3:$BK$48,BAU_Demands!AR$1,0)</f>
        <v>0.03</v>
      </c>
      <c r="AU45" s="314">
        <f>VLOOKUP($C45,BAU_Demands!$B$3:$BK$48,BAU_Demands!AS$1,0)</f>
        <v>0.03</v>
      </c>
      <c r="AV45" s="314">
        <f>VLOOKUP($C45,BAU_Demands!$B$3:$BK$48,BAU_Demands!AT$1,0)</f>
        <v>0.03</v>
      </c>
      <c r="AW45" s="314">
        <f>VLOOKUP($C45,BAU_Demands!$B$3:$BK$48,BAU_Demands!AU$1,0)</f>
        <v>0.03</v>
      </c>
      <c r="AX45" s="314">
        <f>VLOOKUP($C45,BAU_Demands!$B$3:$BK$48,BAU_Demands!AV$1,0)</f>
        <v>0.03</v>
      </c>
      <c r="AY45" s="314">
        <f>VLOOKUP($C45,BAU_Demands!$B$3:$BK$48,BAU_Demands!AW$1,0)</f>
        <v>0.03</v>
      </c>
      <c r="AZ45" s="314">
        <f>VLOOKUP($C45,BAU_Demands!$B$3:$BK$48,BAU_Demands!AX$1,0)</f>
        <v>0.03</v>
      </c>
      <c r="BA45" s="314">
        <f>VLOOKUP($C45,BAU_Demands!$B$3:$BK$48,BAU_Demands!AY$1,0)</f>
        <v>0.03</v>
      </c>
      <c r="BB45" s="314">
        <f>VLOOKUP($C45,BAU_Demands!$B$3:$BK$48,BAU_Demands!AZ$1,0)</f>
        <v>0.03</v>
      </c>
      <c r="BC45" s="314">
        <f>VLOOKUP($C45,BAU_Demands!$B$3:$BK$48,BAU_Demands!BA$1,0)</f>
        <v>0.03</v>
      </c>
      <c r="BD45" s="314">
        <f>VLOOKUP($C45,BAU_Demands!$B$3:$BK$48,BAU_Demands!BB$1,0)</f>
        <v>0.03</v>
      </c>
      <c r="BE45" s="314">
        <f>VLOOKUP($C45,BAU_Demands!$B$3:$BK$48,BAU_Demands!BC$1,0)</f>
        <v>0.03</v>
      </c>
      <c r="BF45" s="314">
        <f>VLOOKUP($C45,BAU_Demands!$B$3:$BK$48,BAU_Demands!BD$1,0)</f>
        <v>0.03</v>
      </c>
      <c r="BG45" s="314">
        <f>VLOOKUP($C45,BAU_Demands!$B$3:$BK$48,BAU_Demands!BE$1,0)</f>
        <v>0.03</v>
      </c>
      <c r="BH45" s="314">
        <f>VLOOKUP($C45,BAU_Demands!$B$3:$BK$48,BAU_Demands!BF$1,0)</f>
        <v>0.03</v>
      </c>
      <c r="BI45" s="314">
        <f>VLOOKUP($C45,BAU_Demands!$B$3:$BK$48,BAU_Demands!BG$1,0)</f>
        <v>0.03</v>
      </c>
      <c r="BJ45" s="314">
        <f>VLOOKUP($C45,BAU_Demands!$B$3:$BK$48,BAU_Demands!BH$1,0)</f>
        <v>0.03</v>
      </c>
      <c r="BK45" s="314">
        <f>VLOOKUP($C45,BAU_Demands!$B$3:$BK$48,BAU_Demands!BI$1,0)</f>
        <v>0.03</v>
      </c>
      <c r="BL45" s="314">
        <f>VLOOKUP($C45,BAU_Demands!$B$3:$BK$48,BAU_Demands!BJ$1,0)</f>
        <v>0.03</v>
      </c>
      <c r="BM45" s="314">
        <f>VLOOKUP($C45,BAU_Demands!$B$3:$BK$48,BAU_Demands!BK$1,0)</f>
        <v>0.03</v>
      </c>
    </row>
    <row r="46" spans="1:65" ht="15.75" hidden="1" customHeight="1">
      <c r="A46" s="314" t="s">
        <v>551</v>
      </c>
      <c r="B46" s="314" t="s">
        <v>458</v>
      </c>
      <c r="C46" s="314" t="s">
        <v>467</v>
      </c>
      <c r="D46" s="314" t="s">
        <v>460</v>
      </c>
      <c r="E46" s="314" t="s">
        <v>468</v>
      </c>
      <c r="F46" s="314" t="s">
        <v>462</v>
      </c>
      <c r="G46" s="314" t="s">
        <v>463</v>
      </c>
      <c r="H46" s="314" t="s">
        <v>464</v>
      </c>
      <c r="I46" s="314"/>
      <c r="J46" s="314"/>
      <c r="K46" s="314"/>
      <c r="L46" s="314"/>
      <c r="M46" s="226">
        <f>VLOOKUP($C46,BAU_Demands!$B$3:$BK$48,BAU_Demands!K$1,0)</f>
        <v>3.828552293</v>
      </c>
      <c r="N46" s="226">
        <f>VLOOKUP($C46,BAU_Demands!$B$3:$BK$48,BAU_Demands!L$1,0)</f>
        <v>3.8492816959999998</v>
      </c>
      <c r="O46" s="226">
        <f>VLOOKUP($C46,BAU_Demands!$B$3:$BK$48,BAU_Demands!M$1,0)</f>
        <v>1.7414440250000001</v>
      </c>
      <c r="P46" s="226">
        <f>VLOOKUP($C46,BAU_Demands!$B$3:$BK$48,BAU_Demands!N$1,0)</f>
        <v>2.3650680739999999</v>
      </c>
      <c r="Q46" s="314">
        <f>VLOOKUP($C46,BAU_Demands!$B$3:$BK$48,BAU_Demands!O$1,0)</f>
        <v>2.41</v>
      </c>
      <c r="R46" s="314">
        <f>VLOOKUP($C46,BAU_Demands!$B$3:$BK$48,BAU_Demands!P$1,0)</f>
        <v>2.4700000000000002</v>
      </c>
      <c r="S46" s="314">
        <f>VLOOKUP($C46,BAU_Demands!$B$3:$BK$48,BAU_Demands!Q$1,0)</f>
        <v>2.52</v>
      </c>
      <c r="T46" s="314">
        <f>VLOOKUP($C46,BAU_Demands!$B$3:$BK$48,BAU_Demands!R$1,0)</f>
        <v>2.57</v>
      </c>
      <c r="U46" s="314">
        <f>VLOOKUP($C46,BAU_Demands!$B$3:$BK$48,BAU_Demands!S$1,0)</f>
        <v>2.61</v>
      </c>
      <c r="V46" s="314">
        <f>VLOOKUP($C46,BAU_Demands!$B$3:$BK$48,BAU_Demands!T$1,0)</f>
        <v>2.67</v>
      </c>
      <c r="W46" s="314">
        <f>VLOOKUP($C46,BAU_Demands!$B$3:$BK$48,BAU_Demands!U$1,0)</f>
        <v>2.73</v>
      </c>
      <c r="X46" s="314">
        <f>VLOOKUP($C46,BAU_Demands!$B$3:$BK$48,BAU_Demands!V$1,0)</f>
        <v>2.77</v>
      </c>
      <c r="Y46" s="314">
        <f>VLOOKUP($C46,BAU_Demands!$B$3:$BK$48,BAU_Demands!W$1,0)</f>
        <v>2.82</v>
      </c>
      <c r="Z46" s="314">
        <f>VLOOKUP($C46,BAU_Demands!$B$3:$BK$48,BAU_Demands!X$1,0)</f>
        <v>2.88</v>
      </c>
      <c r="AA46" s="314">
        <f>VLOOKUP($C46,BAU_Demands!$B$3:$BK$48,BAU_Demands!Y$1,0)</f>
        <v>2.93</v>
      </c>
      <c r="AB46" s="314">
        <f>VLOOKUP($C46,BAU_Demands!$B$3:$BK$48,BAU_Demands!Z$1,0)</f>
        <v>2.99</v>
      </c>
      <c r="AC46" s="314">
        <f>VLOOKUP($C46,BAU_Demands!$B$3:$BK$48,BAU_Demands!AA$1,0)</f>
        <v>3.04</v>
      </c>
      <c r="AD46" s="314">
        <f>VLOOKUP($C46,BAU_Demands!$B$3:$BK$48,BAU_Demands!AB$1,0)</f>
        <v>3.09</v>
      </c>
      <c r="AE46" s="314">
        <f>VLOOKUP($C46,BAU_Demands!$B$3:$BK$48,BAU_Demands!AC$1,0)</f>
        <v>3.14</v>
      </c>
      <c r="AF46" s="314">
        <f>VLOOKUP($C46,BAU_Demands!$B$3:$BK$48,BAU_Demands!AD$1,0)</f>
        <v>3.19</v>
      </c>
      <c r="AG46" s="314">
        <f>VLOOKUP($C46,BAU_Demands!$B$3:$BK$48,BAU_Demands!AE$1,0)</f>
        <v>3.24</v>
      </c>
      <c r="AH46" s="314">
        <f>VLOOKUP($C46,BAU_Demands!$B$3:$BK$48,BAU_Demands!AF$1,0)</f>
        <v>3.3</v>
      </c>
      <c r="AI46" s="314">
        <f>VLOOKUP($C46,BAU_Demands!$B$3:$BK$48,BAU_Demands!AG$1,0)</f>
        <v>3.35</v>
      </c>
      <c r="AJ46" s="314">
        <f>VLOOKUP($C46,BAU_Demands!$B$3:$BK$48,BAU_Demands!AH$1,0)</f>
        <v>3.4</v>
      </c>
      <c r="AK46" s="314">
        <f>VLOOKUP($C46,BAU_Demands!$B$3:$BK$48,BAU_Demands!AI$1,0)</f>
        <v>3.45</v>
      </c>
      <c r="AL46" s="314">
        <f>VLOOKUP($C46,BAU_Demands!$B$3:$BK$48,BAU_Demands!AJ$1,0)</f>
        <v>3.5</v>
      </c>
      <c r="AM46" s="314">
        <f>VLOOKUP($C46,BAU_Demands!$B$3:$BK$48,BAU_Demands!AK$1,0)</f>
        <v>3.55</v>
      </c>
      <c r="AN46" s="314">
        <f>VLOOKUP($C46,BAU_Demands!$B$3:$BK$48,BAU_Demands!AL$1,0)</f>
        <v>3.59</v>
      </c>
      <c r="AO46" s="314">
        <f>VLOOKUP($C46,BAU_Demands!$B$3:$BK$48,BAU_Demands!AM$1,0)</f>
        <v>3.65</v>
      </c>
      <c r="AP46" s="314">
        <f>VLOOKUP($C46,BAU_Demands!$B$3:$BK$48,BAU_Demands!AN$1,0)</f>
        <v>3.69</v>
      </c>
      <c r="AQ46" s="314">
        <f>VLOOKUP($C46,BAU_Demands!$B$3:$BK$48,BAU_Demands!AO$1,0)</f>
        <v>3.74</v>
      </c>
      <c r="AR46" s="314">
        <f>VLOOKUP($C46,BAU_Demands!$B$3:$BK$48,BAU_Demands!AP$1,0)</f>
        <v>3.78</v>
      </c>
      <c r="AS46" s="314">
        <f>VLOOKUP($C46,BAU_Demands!$B$3:$BK$48,BAU_Demands!AQ$1,0)</f>
        <v>3.83</v>
      </c>
      <c r="AT46" s="314">
        <f>VLOOKUP($C46,BAU_Demands!$B$3:$BK$48,BAU_Demands!AR$1,0)</f>
        <v>3.88</v>
      </c>
      <c r="AU46" s="314">
        <f>VLOOKUP($C46,BAU_Demands!$B$3:$BK$48,BAU_Demands!AS$1,0)</f>
        <v>3.92</v>
      </c>
      <c r="AV46" s="314">
        <f>VLOOKUP($C46,BAU_Demands!$B$3:$BK$48,BAU_Demands!AT$1,0)</f>
        <v>3.97</v>
      </c>
      <c r="AW46" s="314">
        <f>VLOOKUP($C46,BAU_Demands!$B$3:$BK$48,BAU_Demands!AU$1,0)</f>
        <v>4.01</v>
      </c>
      <c r="AX46" s="314">
        <f>VLOOKUP($C46,BAU_Demands!$B$3:$BK$48,BAU_Demands!AV$1,0)</f>
        <v>4.0599999999999996</v>
      </c>
      <c r="AY46" s="314">
        <f>VLOOKUP($C46,BAU_Demands!$B$3:$BK$48,BAU_Demands!AW$1,0)</f>
        <v>4.0999999999999996</v>
      </c>
      <c r="AZ46" s="314">
        <f>VLOOKUP($C46,BAU_Demands!$B$3:$BK$48,BAU_Demands!AX$1,0)</f>
        <v>4.1500000000000004</v>
      </c>
      <c r="BA46" s="314">
        <f>VLOOKUP($C46,BAU_Demands!$B$3:$BK$48,BAU_Demands!AY$1,0)</f>
        <v>4.1900000000000004</v>
      </c>
      <c r="BB46" s="314">
        <f>VLOOKUP($C46,BAU_Demands!$B$3:$BK$48,BAU_Demands!AZ$1,0)</f>
        <v>4.2300000000000004</v>
      </c>
      <c r="BC46" s="314">
        <f>VLOOKUP($C46,BAU_Demands!$B$3:$BK$48,BAU_Demands!BA$1,0)</f>
        <v>4.28</v>
      </c>
      <c r="BD46" s="314">
        <f>VLOOKUP($C46,BAU_Demands!$B$3:$BK$48,BAU_Demands!BB$1,0)</f>
        <v>4.32</v>
      </c>
      <c r="BE46" s="314">
        <f>VLOOKUP($C46,BAU_Demands!$B$3:$BK$48,BAU_Demands!BC$1,0)</f>
        <v>4.3600000000000003</v>
      </c>
      <c r="BF46" s="314">
        <f>VLOOKUP($C46,BAU_Demands!$B$3:$BK$48,BAU_Demands!BD$1,0)</f>
        <v>4.4000000000000004</v>
      </c>
      <c r="BG46" s="314">
        <f>VLOOKUP($C46,BAU_Demands!$B$3:$BK$48,BAU_Demands!BE$1,0)</f>
        <v>4.4400000000000004</v>
      </c>
      <c r="BH46" s="314">
        <f>VLOOKUP($C46,BAU_Demands!$B$3:$BK$48,BAU_Demands!BF$1,0)</f>
        <v>4.4800000000000004</v>
      </c>
      <c r="BI46" s="314">
        <f>VLOOKUP($C46,BAU_Demands!$B$3:$BK$48,BAU_Demands!BG$1,0)</f>
        <v>4.5199999999999996</v>
      </c>
      <c r="BJ46" s="314">
        <f>VLOOKUP($C46,BAU_Demands!$B$3:$BK$48,BAU_Demands!BH$1,0)</f>
        <v>4.5599999999999996</v>
      </c>
      <c r="BK46" s="314">
        <f>VLOOKUP($C46,BAU_Demands!$B$3:$BK$48,BAU_Demands!BI$1,0)</f>
        <v>4.5999999999999996</v>
      </c>
      <c r="BL46" s="314">
        <f>VLOOKUP($C46,BAU_Demands!$B$3:$BK$48,BAU_Demands!BJ$1,0)</f>
        <v>4.63</v>
      </c>
      <c r="BM46" s="314">
        <f>VLOOKUP($C46,BAU_Demands!$B$3:$BK$48,BAU_Demands!BK$1,0)</f>
        <v>4.67</v>
      </c>
    </row>
    <row r="47" spans="1:65" ht="15.75" hidden="1" customHeight="1">
      <c r="A47" s="30" t="s">
        <v>551</v>
      </c>
      <c r="B47" s="30" t="s">
        <v>458</v>
      </c>
      <c r="C47" s="30" t="s">
        <v>469</v>
      </c>
      <c r="D47" s="30" t="s">
        <v>460</v>
      </c>
      <c r="E47" s="30" t="s">
        <v>470</v>
      </c>
      <c r="F47" s="30" t="s">
        <v>462</v>
      </c>
      <c r="G47" s="30" t="s">
        <v>463</v>
      </c>
      <c r="H47" s="30" t="s">
        <v>464</v>
      </c>
      <c r="I47" s="30"/>
      <c r="J47" s="30"/>
      <c r="K47" s="30"/>
      <c r="L47" s="30"/>
      <c r="M47" s="226">
        <f>VLOOKUP($C47,BAU_Demands!$B$3:$BK$48,BAU_Demands!K$1,0)</f>
        <v>0.18987436099999999</v>
      </c>
      <c r="N47" s="226">
        <f>VLOOKUP($C47,BAU_Demands!$B$3:$BK$48,BAU_Demands!L$1,0)</f>
        <v>0.20206812699999999</v>
      </c>
      <c r="O47" s="226">
        <f>VLOOKUP($C47,BAU_Demands!$B$3:$BK$48,BAU_Demands!M$1,0)</f>
        <v>0.16839010600000001</v>
      </c>
      <c r="P47" s="226">
        <f>VLOOKUP($C47,BAU_Demands!$B$3:$BK$48,BAU_Demands!N$1,0)</f>
        <v>0.19742288299999999</v>
      </c>
      <c r="Q47" s="314">
        <f>VLOOKUP($C47,BAU_Demands!$B$3:$BK$48,BAU_Demands!O$1,0)</f>
        <v>0.2</v>
      </c>
      <c r="R47" s="314">
        <f>VLOOKUP($C47,BAU_Demands!$B$3:$BK$48,BAU_Demands!P$1,0)</f>
        <v>0.21</v>
      </c>
      <c r="S47" s="314">
        <f>VLOOKUP($C47,BAU_Demands!$B$3:$BK$48,BAU_Demands!Q$1,0)</f>
        <v>0.21</v>
      </c>
      <c r="T47" s="314">
        <f>VLOOKUP($C47,BAU_Demands!$B$3:$BK$48,BAU_Demands!R$1,0)</f>
        <v>0.21</v>
      </c>
      <c r="U47" s="314">
        <f>VLOOKUP($C47,BAU_Demands!$B$3:$BK$48,BAU_Demands!S$1,0)</f>
        <v>0.22</v>
      </c>
      <c r="V47" s="314">
        <f>VLOOKUP($C47,BAU_Demands!$B$3:$BK$48,BAU_Demands!T$1,0)</f>
        <v>0.22</v>
      </c>
      <c r="W47" s="314">
        <f>VLOOKUP($C47,BAU_Demands!$B$3:$BK$48,BAU_Demands!U$1,0)</f>
        <v>0.23</v>
      </c>
      <c r="X47" s="314">
        <f>VLOOKUP($C47,BAU_Demands!$B$3:$BK$48,BAU_Demands!V$1,0)</f>
        <v>0.23</v>
      </c>
      <c r="Y47" s="314">
        <f>VLOOKUP($C47,BAU_Demands!$B$3:$BK$48,BAU_Demands!W$1,0)</f>
        <v>0.24</v>
      </c>
      <c r="Z47" s="314">
        <f>VLOOKUP($C47,BAU_Demands!$B$3:$BK$48,BAU_Demands!X$1,0)</f>
        <v>0.24</v>
      </c>
      <c r="AA47" s="314">
        <f>VLOOKUP($C47,BAU_Demands!$B$3:$BK$48,BAU_Demands!Y$1,0)</f>
        <v>0.24</v>
      </c>
      <c r="AB47" s="314">
        <f>VLOOKUP($C47,BAU_Demands!$B$3:$BK$48,BAU_Demands!Z$1,0)</f>
        <v>0.25</v>
      </c>
      <c r="AC47" s="314">
        <f>VLOOKUP($C47,BAU_Demands!$B$3:$BK$48,BAU_Demands!AA$1,0)</f>
        <v>0.25</v>
      </c>
      <c r="AD47" s="314">
        <f>VLOOKUP($C47,BAU_Demands!$B$3:$BK$48,BAU_Demands!AB$1,0)</f>
        <v>0.26</v>
      </c>
      <c r="AE47" s="314">
        <f>VLOOKUP($C47,BAU_Demands!$B$3:$BK$48,BAU_Demands!AC$1,0)</f>
        <v>0.26</v>
      </c>
      <c r="AF47" s="314">
        <f>VLOOKUP($C47,BAU_Demands!$B$3:$BK$48,BAU_Demands!AD$1,0)</f>
        <v>0.27</v>
      </c>
      <c r="AG47" s="314">
        <f>VLOOKUP($C47,BAU_Demands!$B$3:$BK$48,BAU_Demands!AE$1,0)</f>
        <v>0.27</v>
      </c>
      <c r="AH47" s="314">
        <f>VLOOKUP($C47,BAU_Demands!$B$3:$BK$48,BAU_Demands!AF$1,0)</f>
        <v>0.28000000000000003</v>
      </c>
      <c r="AI47" s="314">
        <f>VLOOKUP($C47,BAU_Demands!$B$3:$BK$48,BAU_Demands!AG$1,0)</f>
        <v>0.28000000000000003</v>
      </c>
      <c r="AJ47" s="314">
        <f>VLOOKUP($C47,BAU_Demands!$B$3:$BK$48,BAU_Demands!AH$1,0)</f>
        <v>0.28000000000000003</v>
      </c>
      <c r="AK47" s="314">
        <f>VLOOKUP($C47,BAU_Demands!$B$3:$BK$48,BAU_Demands!AI$1,0)</f>
        <v>0.28999999999999998</v>
      </c>
      <c r="AL47" s="314">
        <f>VLOOKUP($C47,BAU_Demands!$B$3:$BK$48,BAU_Demands!AJ$1,0)</f>
        <v>0.28999999999999998</v>
      </c>
      <c r="AM47" s="314">
        <f>VLOOKUP($C47,BAU_Demands!$B$3:$BK$48,BAU_Demands!AK$1,0)</f>
        <v>0.3</v>
      </c>
      <c r="AN47" s="314">
        <f>VLOOKUP($C47,BAU_Demands!$B$3:$BK$48,BAU_Demands!AL$1,0)</f>
        <v>0.3</v>
      </c>
      <c r="AO47" s="314">
        <f>VLOOKUP($C47,BAU_Demands!$B$3:$BK$48,BAU_Demands!AM$1,0)</f>
        <v>0.3</v>
      </c>
      <c r="AP47" s="314">
        <f>VLOOKUP($C47,BAU_Demands!$B$3:$BK$48,BAU_Demands!AN$1,0)</f>
        <v>0.31</v>
      </c>
      <c r="AQ47" s="314">
        <f>VLOOKUP($C47,BAU_Demands!$B$3:$BK$48,BAU_Demands!AO$1,0)</f>
        <v>0.31</v>
      </c>
      <c r="AR47" s="314">
        <f>VLOOKUP($C47,BAU_Demands!$B$3:$BK$48,BAU_Demands!AP$1,0)</f>
        <v>0.32</v>
      </c>
      <c r="AS47" s="314">
        <f>VLOOKUP($C47,BAU_Demands!$B$3:$BK$48,BAU_Demands!AQ$1,0)</f>
        <v>0.32</v>
      </c>
      <c r="AT47" s="314">
        <f>VLOOKUP($C47,BAU_Demands!$B$3:$BK$48,BAU_Demands!AR$1,0)</f>
        <v>0.32</v>
      </c>
      <c r="AU47" s="314">
        <f>VLOOKUP($C47,BAU_Demands!$B$3:$BK$48,BAU_Demands!AS$1,0)</f>
        <v>0.33</v>
      </c>
      <c r="AV47" s="314">
        <f>VLOOKUP($C47,BAU_Demands!$B$3:$BK$48,BAU_Demands!AT$1,0)</f>
        <v>0.33</v>
      </c>
      <c r="AW47" s="314">
        <f>VLOOKUP($C47,BAU_Demands!$B$3:$BK$48,BAU_Demands!AU$1,0)</f>
        <v>0.34</v>
      </c>
      <c r="AX47" s="314">
        <f>VLOOKUP($C47,BAU_Demands!$B$3:$BK$48,BAU_Demands!AV$1,0)</f>
        <v>0.34</v>
      </c>
      <c r="AY47" s="314">
        <f>VLOOKUP($C47,BAU_Demands!$B$3:$BK$48,BAU_Demands!AW$1,0)</f>
        <v>0.34</v>
      </c>
      <c r="AZ47" s="314">
        <f>VLOOKUP($C47,BAU_Demands!$B$3:$BK$48,BAU_Demands!AX$1,0)</f>
        <v>0.35</v>
      </c>
      <c r="BA47" s="314">
        <f>VLOOKUP($C47,BAU_Demands!$B$3:$BK$48,BAU_Demands!AY$1,0)</f>
        <v>0.35</v>
      </c>
      <c r="BB47" s="314">
        <f>VLOOKUP($C47,BAU_Demands!$B$3:$BK$48,BAU_Demands!AZ$1,0)</f>
        <v>0.35</v>
      </c>
      <c r="BC47" s="314">
        <f>VLOOKUP($C47,BAU_Demands!$B$3:$BK$48,BAU_Demands!BA$1,0)</f>
        <v>0.36</v>
      </c>
      <c r="BD47" s="314">
        <f>VLOOKUP($C47,BAU_Demands!$B$3:$BK$48,BAU_Demands!BB$1,0)</f>
        <v>0.36</v>
      </c>
      <c r="BE47" s="314">
        <f>VLOOKUP($C47,BAU_Demands!$B$3:$BK$48,BAU_Demands!BC$1,0)</f>
        <v>0.36</v>
      </c>
      <c r="BF47" s="314">
        <f>VLOOKUP($C47,BAU_Demands!$B$3:$BK$48,BAU_Demands!BD$1,0)</f>
        <v>0.37</v>
      </c>
      <c r="BG47" s="314">
        <f>VLOOKUP($C47,BAU_Demands!$B$3:$BK$48,BAU_Demands!BE$1,0)</f>
        <v>0.37</v>
      </c>
      <c r="BH47" s="314">
        <f>VLOOKUP($C47,BAU_Demands!$B$3:$BK$48,BAU_Demands!BF$1,0)</f>
        <v>0.37</v>
      </c>
      <c r="BI47" s="314">
        <f>VLOOKUP($C47,BAU_Demands!$B$3:$BK$48,BAU_Demands!BG$1,0)</f>
        <v>0.38</v>
      </c>
      <c r="BJ47" s="314">
        <f>VLOOKUP($C47,BAU_Demands!$B$3:$BK$48,BAU_Demands!BH$1,0)</f>
        <v>0.38</v>
      </c>
      <c r="BK47" s="314">
        <f>VLOOKUP($C47,BAU_Demands!$B$3:$BK$48,BAU_Demands!BI$1,0)</f>
        <v>0.38</v>
      </c>
      <c r="BL47" s="314">
        <f>VLOOKUP($C47,BAU_Demands!$B$3:$BK$48,BAU_Demands!BJ$1,0)</f>
        <v>0.39</v>
      </c>
      <c r="BM47" s="314">
        <f>VLOOKUP($C47,BAU_Demands!$B$3:$BK$48,BAU_Demands!BK$1,0)</f>
        <v>0.39</v>
      </c>
    </row>
    <row r="48" spans="1:65" ht="15.75" hidden="1" customHeight="1">
      <c r="A48" s="29" t="s">
        <v>551</v>
      </c>
      <c r="B48" s="29" t="s">
        <v>458</v>
      </c>
      <c r="C48" s="29" t="s">
        <v>471</v>
      </c>
      <c r="D48" s="29" t="s">
        <v>460</v>
      </c>
      <c r="E48" s="29" t="s">
        <v>472</v>
      </c>
      <c r="F48" s="29" t="s">
        <v>462</v>
      </c>
      <c r="G48" s="29" t="s">
        <v>463</v>
      </c>
      <c r="H48" s="29" t="s">
        <v>464</v>
      </c>
      <c r="I48" s="27"/>
      <c r="J48" s="27"/>
      <c r="K48" s="27"/>
      <c r="L48" s="27"/>
      <c r="M48" s="327">
        <f>VLOOKUP($C48,BAU_Demands!$B$3:$BK$48,BAU_Demands!K$1,0)</f>
        <v>0</v>
      </c>
      <c r="N48" s="327">
        <f>VLOOKUP($C48,BAU_Demands!$B$3:$BK$48,BAU_Demands!L$1,0)</f>
        <v>0</v>
      </c>
      <c r="O48" s="327">
        <f>VLOOKUP($C48,BAU_Demands!$B$3:$BK$48,BAU_Demands!M$1,0)</f>
        <v>0</v>
      </c>
      <c r="P48" s="327">
        <f>VLOOKUP($C48,BAU_Demands!$B$3:$BK$48,BAU_Demands!N$1,0)</f>
        <v>0</v>
      </c>
      <c r="Q48" s="323">
        <f>(SUM(BAU_Demands!O3+BAU_Demands!O6+BAU_Demands!O8)-Q50-Q49)*(1-'Net Zero 2070'!G96)</f>
        <v>0</v>
      </c>
      <c r="R48" s="323">
        <f>(SUM(BAU_Demands!P3+BAU_Demands!P6+BAU_Demands!P8)-R50-R49)*(1-'Net Zero 2070'!H96)</f>
        <v>3.9559213800000298E-2</v>
      </c>
      <c r="S48" s="323">
        <f>(SUM(BAU_Demands!Q3+BAU_Demands!Q6+BAU_Demands!Q8)-S50-S49)*(1-'Net Zero 2070'!I96)</f>
        <v>8.0579839800000191E-2</v>
      </c>
      <c r="T48" s="323">
        <f>(SUM(BAU_Demands!R3+BAU_Demands!R6+BAU_Demands!R8)-T50-T49)*(1-'Net Zero 2070'!J96)</f>
        <v>0.12338559200000034</v>
      </c>
      <c r="U48" s="323">
        <f>(SUM(BAU_Demands!S3+BAU_Demands!S6+BAU_Demands!S8)-U50-U49)*(1-'Net Zero 2070'!K96)</f>
        <v>0.18394157040000025</v>
      </c>
      <c r="V48" s="323">
        <f>(SUM(BAU_Demands!T3+BAU_Demands!T6+BAU_Demands!T8)-V50-V49)*(1-'Net Zero 2070'!L96)</f>
        <v>0.24747774479999979</v>
      </c>
      <c r="W48" s="323">
        <f>(SUM(BAU_Demands!U3+BAU_Demands!U6+BAU_Demands!U8)-W50-W49)*(1-'Net Zero 2070'!M96)</f>
        <v>0.31187390080000038</v>
      </c>
      <c r="X48" s="323">
        <f>(SUM(BAU_Demands!V3+BAU_Demands!V6+BAU_Demands!V8)-X50-X49)*(1-'Net Zero 2070'!N96)</f>
        <v>0.37520448000000062</v>
      </c>
      <c r="Y48" s="323">
        <f>(SUM(BAU_Demands!W3+BAU_Demands!W6+BAU_Demands!W8)-Y50-Y49)*(1-'Net Zero 2070'!O96)</f>
        <v>0.43965411000000038</v>
      </c>
      <c r="Z48" s="323">
        <f>(SUM(BAU_Demands!X3+BAU_Demands!X6+BAU_Demands!X8)-Z50-Z49)*(1-'Net Zero 2070'!P96)</f>
        <v>0.50812207200000059</v>
      </c>
      <c r="AA48" s="323">
        <f>(SUM(BAU_Demands!Y3+BAU_Demands!Y6+BAU_Demands!Y8)-AA50-AA49)*(1-'Net Zero 2070'!Q96)</f>
        <v>0.57406572000000033</v>
      </c>
      <c r="AB48" s="323">
        <f>(SUM(BAU_Demands!Z3+BAU_Demands!Z6+BAU_Demands!Z8)-AB50-AB49)*(1-'Net Zero 2070'!R96)</f>
        <v>0.64309963199999953</v>
      </c>
      <c r="AC48" s="323">
        <f>(SUM(BAU_Demands!AA3+BAU_Demands!AA6+BAU_Demands!AA8)-AC50-AC49)*(1-'Net Zero 2070'!S96)</f>
        <v>0.70983031999999946</v>
      </c>
      <c r="AD48" s="323">
        <f>(SUM(BAU_Demands!AB3+BAU_Demands!AB6+BAU_Demands!AB8)-AD50-AD49)*(1-'Net Zero 2070'!T96)</f>
        <v>0.77801268000000012</v>
      </c>
      <c r="AE48" s="323">
        <f>(SUM(BAU_Demands!AC3+BAU_Demands!AC6+BAU_Demands!AC8)-AE50-AE49)*(1-'Net Zero 2070'!U96)</f>
        <v>0.8327166999999992</v>
      </c>
      <c r="AF48" s="323">
        <f>(SUM(BAU_Demands!AD3+BAU_Demands!AD6+BAU_Demands!AD8)-AF50-AF49)*(1-'Net Zero 2070'!V96)</f>
        <v>0.88728255000000023</v>
      </c>
      <c r="AG48" s="323">
        <f>(SUM(BAU_Demands!AE3+BAU_Demands!AE6+BAU_Demands!AE8)-AG50-AG49)*(1-'Net Zero 2070'!W96)</f>
        <v>0.9436018019999991</v>
      </c>
      <c r="AH48" s="323">
        <f>(SUM(BAU_Demands!AF3+BAU_Demands!AF6+BAU_Demands!AF8)-AH50-AH49)*(1-'Net Zero 2070'!X96)</f>
        <v>1.0048826700000004</v>
      </c>
      <c r="AI48" s="323">
        <f>(SUM(BAU_Demands!AG3+BAU_Demands!AG6+BAU_Demands!AG8)-AI50-AI49)*(1-'Net Zero 2070'!Y96)</f>
        <v>1.0662059199999991</v>
      </c>
      <c r="AJ48" s="323">
        <f>(SUM(BAU_Demands!AH3+BAU_Demands!AH6+BAU_Demands!AH8)-AJ50-AJ49)*(1-'Net Zero 2070'!Z96)</f>
        <v>1.1157390749999991</v>
      </c>
      <c r="AK48" s="323">
        <f>(SUM(BAU_Demands!AI3+BAU_Demands!AI6+BAU_Demands!AI8)-AK50-AK49)*(1-'Net Zero 2070'!AA96)</f>
        <v>1.166137152000001</v>
      </c>
      <c r="AL48" s="323">
        <f>(SUM(BAU_Demands!AJ3+BAU_Demands!AJ6+BAU_Demands!AJ8)-AL50-AL49)*(1-'Net Zero 2070'!AB96)</f>
        <v>1.2162596880000005</v>
      </c>
      <c r="AM48" s="323">
        <f>(SUM(BAU_Demands!AK3+BAU_Demands!AK6+BAU_Demands!AK8)-AM50-AM49)*(1-'Net Zero 2070'!AC96)</f>
        <v>1.2722107399999993</v>
      </c>
      <c r="AN48" s="323">
        <f>(SUM(BAU_Demands!AL3+BAU_Demands!AL6+BAU_Demands!AL8)-AN50-AN49)*(1-'Net Zero 2070'!AD96)</f>
        <v>1.3289526</v>
      </c>
      <c r="AO48" s="323">
        <f>(SUM(BAU_Demands!AM3+BAU_Demands!AM6+BAU_Demands!AM8)-AO50-AO49)*(1-'Net Zero 2070'!AE96)</f>
        <v>1.3902207263999997</v>
      </c>
      <c r="AP48" s="323">
        <f>(SUM(BAU_Demands!AN3+BAU_Demands!AN6+BAU_Demands!AN8)-AP50-AP49)*(1-'Net Zero 2070'!AF96)</f>
        <v>1.4500170672000008</v>
      </c>
      <c r="AQ48" s="323">
        <f>(SUM(BAU_Demands!AO3+BAU_Demands!AO6+BAU_Demands!AO8)-AQ50-AQ49)*(1-'Net Zero 2070'!AG96)</f>
        <v>1.5106559999999996</v>
      </c>
      <c r="AR48" s="323">
        <f>(SUM(BAU_Demands!AP3+BAU_Demands!AP6+BAU_Demands!AP8)-AR50-AR49)*(1-'Net Zero 2070'!AH96)</f>
        <v>1.5753552000000002</v>
      </c>
      <c r="AS48" s="323">
        <f>(SUM(BAU_Demands!AQ3+BAU_Demands!AQ6+BAU_Demands!AQ8)-AS50-AS49)*(1-'Net Zero 2070'!AI96)</f>
        <v>1.6327499899999995</v>
      </c>
      <c r="AT48" s="323">
        <f>(SUM(BAU_Demands!AR3+BAU_Demands!AR6+BAU_Demands!AR8)-AT50-AT49)*(1-'Net Zero 2070'!AJ96)</f>
        <v>1.6958780100000004</v>
      </c>
      <c r="AU48" s="323">
        <f>(SUM(BAU_Demands!AS3+BAU_Demands!AS6+BAU_Demands!AS8)-AU50-AU49)*(1-'Net Zero 2070'!AK96)</f>
        <v>1.7494358399999996</v>
      </c>
      <c r="AV48" s="323">
        <f>(SUM(BAU_Demands!AT3+BAU_Demands!AT6+BAU_Demands!AT8)-AV50-AV49)*(1-'Net Zero 2070'!AL96)</f>
        <v>1.8086656400000003</v>
      </c>
      <c r="AW48" s="323">
        <f>(SUM(BAU_Demands!AU3+BAU_Demands!AU6+BAU_Demands!AU8)-AW50-AW49)*(1-'Net Zero 2070'!AM96)</f>
        <v>1.8684875999999988</v>
      </c>
      <c r="AX48" s="323">
        <f>(SUM(BAU_Demands!AV3+BAU_Demands!AV6+BAU_Demands!AV8)-AX50-AX49)*(1-'Net Zero 2070'!AN96)</f>
        <v>1.9323909719999999</v>
      </c>
      <c r="AY48" s="323">
        <f>(SUM(BAU_Demands!AW3+BAU_Demands!AW6+BAU_Demands!AW8)-AY50-AY49)*(1-'Net Zero 2070'!AO96)</f>
        <v>1.9961000999999985</v>
      </c>
      <c r="AZ48" s="323">
        <f>(SUM(BAU_Demands!AX3+BAU_Demands!AX6+BAU_Demands!AX8)-AZ50-AZ49)*(1-'Net Zero 2070'!AP96)</f>
        <v>2.0647120900000018</v>
      </c>
      <c r="BA48" s="323">
        <f>(SUM(BAU_Demands!AY3+BAU_Demands!AY6+BAU_Demands!AY8)-BA50-BA49)*(1-'Net Zero 2070'!AQ96)</f>
        <v>2.1310912199999987</v>
      </c>
      <c r="BB48" s="323">
        <f>(SUM(BAU_Demands!AZ3+BAU_Demands!AZ6+BAU_Demands!AZ8)-BB50-BB49)*(1-'Net Zero 2070'!AR96)</f>
        <v>2.2022899200000015</v>
      </c>
      <c r="BC48" s="323">
        <f>(SUM(BAU_Demands!BA3+BAU_Demands!BA6+BAU_Demands!BA8)-BC50-BC49)*(1-'Net Zero 2070'!AS96)</f>
        <v>2.273311979999999</v>
      </c>
      <c r="BD48" s="323">
        <f>(SUM(BAU_Demands!BB3+BAU_Demands!BB6+BAU_Demands!BB8)-BD50-BD49)*(1-'Net Zero 2070'!AT96)</f>
        <v>2.33858896</v>
      </c>
      <c r="BE48" s="323">
        <f>(SUM(BAU_Demands!BC3+BAU_Demands!BC6+BAU_Demands!BC8)-BE50-BE49)*(1-'Net Zero 2070'!AU96)</f>
        <v>2.4055932299999996</v>
      </c>
      <c r="BF48" s="323">
        <f>(SUM(BAU_Demands!BD3+BAU_Demands!BD6+BAU_Demands!BD8)-BF50-BF49)*(1-'Net Zero 2070'!AV96)</f>
        <v>2.4759712799999991</v>
      </c>
      <c r="BG48" s="323">
        <f>(SUM(BAU_Demands!BE3+BAU_Demands!BE6+BAU_Demands!BE8)-BG50-BG49)*(1-'Net Zero 2070'!AW96)</f>
        <v>2.5461576000000008</v>
      </c>
      <c r="BH48" s="323">
        <f>(SUM(BAU_Demands!BF3+BAU_Demands!BF6+BAU_Demands!BF8)-BH50-BH49)*(1-'Net Zero 2070'!AX96)</f>
        <v>2.6166696200000001</v>
      </c>
      <c r="BI48" s="323">
        <f>(SUM(BAU_Demands!BG3+BAU_Demands!BG6+BAU_Demands!BG8)-BI50-BI49)*(1-'Net Zero 2070'!AY96)</f>
        <v>2.6891135999999998</v>
      </c>
      <c r="BJ48" s="323">
        <f>(SUM(BAU_Demands!BH3+BAU_Demands!BH6+BAU_Demands!BH8)-BJ50-BJ49)*(1-'Net Zero 2070'!AZ96)</f>
        <v>2.7630567500000005</v>
      </c>
      <c r="BK48" s="323">
        <f>(SUM(BAU_Demands!BI3+BAU_Demands!BI6+BAU_Demands!BI8)-BK50-BK49)*(1-'Net Zero 2070'!BA96)</f>
        <v>2.8397032800000002</v>
      </c>
      <c r="BL48" s="323">
        <f>(SUM(BAU_Demands!BJ3+BAU_Demands!BJ6+BAU_Demands!BJ8)-BL50-BL49)*(1-'Net Zero 2070'!BB96)</f>
        <v>2.9167756800000006</v>
      </c>
      <c r="BM48" s="323">
        <f>(SUM(BAU_Demands!BK3+BAU_Demands!BK6+BAU_Demands!BK8)-BM50-BM49)*(1-'Net Zero 2070'!BC96)</f>
        <v>2.9999099999999981</v>
      </c>
    </row>
    <row r="49" spans="1:65" ht="15.75" hidden="1" customHeight="1">
      <c r="A49" s="314" t="s">
        <v>551</v>
      </c>
      <c r="B49" s="314" t="s">
        <v>458</v>
      </c>
      <c r="C49" s="314" t="s">
        <v>473</v>
      </c>
      <c r="D49" s="314" t="s">
        <v>460</v>
      </c>
      <c r="E49" s="314" t="s">
        <v>474</v>
      </c>
      <c r="F49" s="314" t="s">
        <v>462</v>
      </c>
      <c r="G49" s="314" t="s">
        <v>463</v>
      </c>
      <c r="H49" s="314" t="s">
        <v>464</v>
      </c>
      <c r="I49" s="314" t="s">
        <v>44</v>
      </c>
      <c r="J49" s="314" t="s">
        <v>44</v>
      </c>
      <c r="K49" s="314" t="s">
        <v>44</v>
      </c>
      <c r="L49" s="314" t="s">
        <v>44</v>
      </c>
      <c r="M49" s="226">
        <f>VLOOKUP($C49,BAU_Demands!$B$3:$BK$48,BAU_Demands!K$1,0)</f>
        <v>1.0525426410000001</v>
      </c>
      <c r="N49" s="226">
        <f>VLOOKUP($C49,BAU_Demands!$B$3:$BK$48,BAU_Demands!L$1,0)</f>
        <v>1.1384701150000001</v>
      </c>
      <c r="O49" s="226">
        <f>VLOOKUP($C49,BAU_Demands!$B$3:$BK$48,BAU_Demands!M$1,0)</f>
        <v>0.93313629899999995</v>
      </c>
      <c r="P49" s="226">
        <f>VLOOKUP($C49,BAU_Demands!$B$3:$BK$48,BAU_Demands!N$1,0)</f>
        <v>1.09661806</v>
      </c>
      <c r="Q49" s="314">
        <f>VLOOKUP($C7,BAU_Demands!$B$3:$BK$48,BAU_Demands!O$1,0)*(1-'Net Zero 2070'!G98)</f>
        <v>1.1299999999999999</v>
      </c>
      <c r="R49" s="314">
        <f>VLOOKUP($C7,BAU_Demands!$B$3:$BK$48,BAU_Demands!P$1,0)*(1-'Net Zero 2070'!H98)</f>
        <v>1.16883</v>
      </c>
      <c r="S49" s="314">
        <f>VLOOKUP($C7,BAU_Demands!$B$3:$BK$48,BAU_Demands!Q$1,0)*(1-'Net Zero 2070'!I98)</f>
        <v>1.1976</v>
      </c>
      <c r="T49" s="314">
        <f>VLOOKUP($C7,BAU_Demands!$B$3:$BK$48,BAU_Demands!R$1,0)*(1-'Net Zero 2070'!J98)</f>
        <v>1.22631</v>
      </c>
      <c r="U49" s="314">
        <f>VLOOKUP($C7,BAU_Demands!$B$3:$BK$48,BAU_Demands!S$1,0)*(1-'Net Zero 2070'!K98)</f>
        <v>1.245636</v>
      </c>
      <c r="V49" s="314">
        <f>VLOOKUP($C7,BAU_Demands!$B$3:$BK$48,BAU_Demands!T$1,0)*(1-'Net Zero 2070'!L98)</f>
        <v>1.2644580000000001</v>
      </c>
      <c r="W49" s="314">
        <f>VLOOKUP($C7,BAU_Demands!$B$3:$BK$48,BAU_Demands!U$1,0)*(1-'Net Zero 2070'!M98)</f>
        <v>1.2827760000000001</v>
      </c>
      <c r="X49" s="314">
        <f>VLOOKUP($C7,BAU_Demands!$B$3:$BK$48,BAU_Demands!V$1,0)*(1-'Net Zero 2070'!N98)</f>
        <v>1.2813220000000001</v>
      </c>
      <c r="Y49" s="314">
        <f>VLOOKUP($C7,BAU_Demands!$B$3:$BK$48,BAU_Demands!W$1,0)*(1-'Net Zero 2070'!O98)</f>
        <v>1.28925</v>
      </c>
      <c r="Z49" s="314">
        <f>VLOOKUP($C7,BAU_Demands!$B$3:$BK$48,BAU_Demands!X$1,0)*(1-'Net Zero 2070'!P98)</f>
        <v>1.3068599999999999</v>
      </c>
      <c r="AA49" s="314">
        <f>VLOOKUP($C7,BAU_Demands!$B$3:$BK$48,BAU_Demands!Y$1,0)*(1-'Net Zero 2070'!Q98)</f>
        <v>1.3146</v>
      </c>
      <c r="AB49" s="314">
        <f>VLOOKUP($C7,BAU_Demands!$B$3:$BK$48,BAU_Demands!Z$1,0)*(1-'Net Zero 2070'!R98)</f>
        <v>1.32202</v>
      </c>
      <c r="AC49" s="314">
        <f>VLOOKUP($C7,BAU_Demands!$B$3:$BK$48,BAU_Demands!AA$1,0)*(1-'Net Zero 2070'!S98)</f>
        <v>1.3291200000000001</v>
      </c>
      <c r="AD49" s="314">
        <f>VLOOKUP($C7,BAU_Demands!$B$3:$BK$48,BAU_Demands!AB$1,0)*(1-'Net Zero 2070'!T98)</f>
        <v>1.3359000000000001</v>
      </c>
      <c r="AE49" s="314">
        <f>VLOOKUP($C7,BAU_Demands!$B$3:$BK$48,BAU_Demands!AC$1,0)*(1-'Net Zero 2070'!U98)</f>
        <v>1.3468</v>
      </c>
      <c r="AF49" s="314">
        <f>VLOOKUP($C7,BAU_Demands!$B$3:$BK$48,BAU_Demands!AD$1,0)*(1-'Net Zero 2070'!V98)</f>
        <v>1.3574999999999999</v>
      </c>
      <c r="AG49" s="314">
        <f>VLOOKUP($C7,BAU_Demands!$B$3:$BK$48,BAU_Demands!AE$1,0)*(1-'Net Zero 2070'!W98)</f>
        <v>1.3680000000000001</v>
      </c>
      <c r="AH49" s="314">
        <f>VLOOKUP($C7,BAU_Demands!$B$3:$BK$48,BAU_Demands!AF$1,0)*(1-'Net Zero 2070'!X98)</f>
        <v>1.3872500000000001</v>
      </c>
      <c r="AI49" s="314">
        <f>VLOOKUP($C7,BAU_Demands!$B$3:$BK$48,BAU_Demands!AG$1,0)*(1-'Net Zero 2070'!Y98)</f>
        <v>1.4062000000000001</v>
      </c>
      <c r="AJ49" s="314">
        <f>VLOOKUP($C7,BAU_Demands!$B$3:$BK$48,BAU_Demands!AH$1,0)*(1-'Net Zero 2070'!Z98)</f>
        <v>1.4280700000000002</v>
      </c>
      <c r="AK49" s="314">
        <f>VLOOKUP($C7,BAU_Demands!$B$3:$BK$48,BAU_Demands!AI$1,0)*(1-'Net Zero 2070'!AA98)</f>
        <v>1.4497599999999999</v>
      </c>
      <c r="AL49" s="314">
        <f>VLOOKUP($C7,BAU_Demands!$B$3:$BK$48,BAU_Demands!AJ$1,0)*(1-'Net Zero 2070'!AB98)</f>
        <v>1.4712699999999999</v>
      </c>
      <c r="AM49" s="314">
        <f>VLOOKUP($C7,BAU_Demands!$B$3:$BK$48,BAU_Demands!AK$1,0)*(1-'Net Zero 2070'!AC98)</f>
        <v>1.4925999999999999</v>
      </c>
      <c r="AN49" s="314">
        <f>VLOOKUP($C7,BAU_Demands!$B$3:$BK$48,BAU_Demands!AL$1,0)*(1-'Net Zero 2070'!AD98)</f>
        <v>1.5225</v>
      </c>
      <c r="AO49" s="314">
        <f>VLOOKUP($C7,BAU_Demands!$B$3:$BK$48,BAU_Demands!AM$1,0)*(1-'Net Zero 2070'!AE98)</f>
        <v>1.5542959999999999</v>
      </c>
      <c r="AP49" s="314">
        <f>VLOOKUP($C7,BAU_Demands!$B$3:$BK$48,BAU_Demands!AN$1,0)*(1-'Net Zero 2070'!AF98)</f>
        <v>1.5859479999999999</v>
      </c>
      <c r="AQ49" s="314">
        <f>VLOOKUP($C7,BAU_Demands!$B$3:$BK$48,BAU_Demands!AO$1,0)*(1-'Net Zero 2070'!AG98)</f>
        <v>1.6174560000000002</v>
      </c>
      <c r="AR49" s="314">
        <f>VLOOKUP($C7,BAU_Demands!$B$3:$BK$48,BAU_Demands!AP$1,0)*(1-'Net Zero 2070'!AH98)</f>
        <v>1.64882</v>
      </c>
      <c r="AS49" s="314">
        <f>VLOOKUP($C7,BAU_Demands!$B$3:$BK$48,BAU_Demands!AQ$1,0)*(1-'Net Zero 2070'!AI98)</f>
        <v>1.6878</v>
      </c>
      <c r="AT49" s="314">
        <f>VLOOKUP($C7,BAU_Demands!$B$3:$BK$48,BAU_Demands!AR$1,0)*(1-'Net Zero 2070'!AJ98)</f>
        <v>1.71072</v>
      </c>
      <c r="AU49" s="314">
        <f>VLOOKUP($C7,BAU_Demands!$B$3:$BK$48,BAU_Demands!AS$1,0)*(1-'Net Zero 2070'!AK98)</f>
        <v>1.7346299999999999</v>
      </c>
      <c r="AV49" s="314">
        <f>VLOOKUP($C7,BAU_Demands!$B$3:$BK$48,BAU_Demands!AT$1,0)*(1-'Net Zero 2070'!AL98)</f>
        <v>1.7650499999999998</v>
      </c>
      <c r="AW49" s="314">
        <f>VLOOKUP($C7,BAU_Demands!$B$3:$BK$48,BAU_Demands!AU$1,0)*(1-'Net Zero 2070'!AM98)</f>
        <v>1.7973999999999999</v>
      </c>
      <c r="AX49" s="314">
        <f>VLOOKUP($C7,BAU_Demands!$B$3:$BK$48,BAU_Demands!AV$1,0)*(1-'Net Zero 2070'!AN98)</f>
        <v>1.83612</v>
      </c>
      <c r="AY49" s="314">
        <f>VLOOKUP($C7,BAU_Demands!$B$3:$BK$48,BAU_Demands!AW$1,0)*(1-'Net Zero 2070'!AO98)</f>
        <v>1.86826</v>
      </c>
      <c r="AZ49" s="314">
        <f>VLOOKUP($C7,BAU_Demands!$B$3:$BK$48,BAU_Demands!AX$1,0)*(1-'Net Zero 2070'!AP98)</f>
        <v>1.90665</v>
      </c>
      <c r="BA49" s="314">
        <f>VLOOKUP($C7,BAU_Demands!$B$3:$BK$48,BAU_Demands!AY$1,0)*(1-'Net Zero 2070'!AQ98)</f>
        <v>1.93858</v>
      </c>
      <c r="BB49" s="314">
        <f>VLOOKUP($C7,BAU_Demands!$B$3:$BK$48,BAU_Demands!AZ$1,0)*(1-'Net Zero 2070'!AR98)</f>
        <v>1.9766399999999997</v>
      </c>
      <c r="BC49" s="314">
        <f>VLOOKUP($C7,BAU_Demands!$B$3:$BK$48,BAU_Demands!BA$1,0)*(1-'Net Zero 2070'!AS98)</f>
        <v>2.0168699999999999</v>
      </c>
      <c r="BD49" s="314">
        <f>VLOOKUP($C7,BAU_Demands!$B$3:$BK$48,BAU_Demands!BB$1,0)*(1-'Net Zero 2070'!AT98)</f>
        <v>2.0569999999999999</v>
      </c>
      <c r="BE49" s="314">
        <f>VLOOKUP($C7,BAU_Demands!$B$3:$BK$48,BAU_Demands!BC$1,0)*(1-'Net Zero 2070'!AU98)</f>
        <v>2.0970300000000002</v>
      </c>
      <c r="BF49" s="314">
        <f>VLOOKUP($C7,BAU_Demands!$B$3:$BK$48,BAU_Demands!BD$1,0)*(1-'Net Zero 2070'!AV98)</f>
        <v>2.1344400000000001</v>
      </c>
      <c r="BG49" s="314">
        <f>VLOOKUP($C7,BAU_Demands!$B$3:$BK$48,BAU_Demands!BE$1,0)*(1-'Net Zero 2070'!AW98)</f>
        <v>2.1742199999999996</v>
      </c>
      <c r="BH49" s="314">
        <f>VLOOKUP($C7,BAU_Demands!$B$3:$BK$48,BAU_Demands!BF$1,0)*(1-'Net Zero 2070'!AX98)</f>
        <v>2.2139000000000002</v>
      </c>
      <c r="BI49" s="314">
        <f>VLOOKUP($C7,BAU_Demands!$B$3:$BK$48,BAU_Demands!BG$1,0)*(1-'Net Zero 2070'!AY98)</f>
        <v>2.2534799999999997</v>
      </c>
      <c r="BJ49" s="314">
        <f>VLOOKUP($C7,BAU_Demands!$B$3:$BK$48,BAU_Demands!BH$1,0)*(1-'Net Zero 2070'!AZ98)</f>
        <v>2.30139</v>
      </c>
      <c r="BK49" s="314">
        <f>VLOOKUP($C7,BAU_Demands!$B$3:$BK$48,BAU_Demands!BI$1,0)*(1-'Net Zero 2070'!BA98)</f>
        <v>2.34076</v>
      </c>
      <c r="BL49" s="314">
        <f>VLOOKUP($C7,BAU_Demands!$B$3:$BK$48,BAU_Demands!BJ$1,0)*(1-'Net Zero 2070'!BB98)</f>
        <v>2.3884399999999997</v>
      </c>
      <c r="BM49" s="314">
        <f>VLOOKUP($C7,BAU_Demands!$B$3:$BK$48,BAU_Demands!BK$1,0)*(1-'Net Zero 2070'!BC98)</f>
        <v>2.4359999999999999</v>
      </c>
    </row>
    <row r="50" spans="1:65" ht="15.75" hidden="1" customHeight="1">
      <c r="A50" s="314" t="s">
        <v>551</v>
      </c>
      <c r="B50" s="314" t="s">
        <v>458</v>
      </c>
      <c r="C50" s="314" t="s">
        <v>475</v>
      </c>
      <c r="D50" s="314" t="s">
        <v>460</v>
      </c>
      <c r="E50" s="314" t="s">
        <v>476</v>
      </c>
      <c r="F50" s="314" t="s">
        <v>462</v>
      </c>
      <c r="G50" s="314" t="s">
        <v>463</v>
      </c>
      <c r="H50" s="314" t="s">
        <v>464</v>
      </c>
      <c r="I50" s="314" t="s">
        <v>44</v>
      </c>
      <c r="J50" s="314" t="s">
        <v>44</v>
      </c>
      <c r="K50" s="314" t="s">
        <v>44</v>
      </c>
      <c r="L50" s="314" t="s">
        <v>44</v>
      </c>
      <c r="M50" s="226">
        <f>VLOOKUP($C50,BAU_Demands!$B$3:$BK$48,BAU_Demands!K$1,0)</f>
        <v>4.76307583</v>
      </c>
      <c r="N50" s="226">
        <f>VLOOKUP($C50,BAU_Demands!$B$3:$BK$48,BAU_Demands!L$1,0)</f>
        <v>5.2140192619999999</v>
      </c>
      <c r="O50" s="226">
        <f>VLOOKUP($C50,BAU_Demands!$B$3:$BK$48,BAU_Demands!M$1,0)</f>
        <v>4.8432446410000001</v>
      </c>
      <c r="P50" s="226">
        <f>VLOOKUP($C50,BAU_Demands!$B$3:$BK$48,BAU_Demands!N$1,0)</f>
        <v>5.4102095820000002</v>
      </c>
      <c r="Q50" s="314">
        <f>VLOOKUP($C8,BAU_Demands!$B$3:$BK$48,BAU_Demands!O$1,0)*(1-'Net Zero 2070'!G97)</f>
        <v>5.6</v>
      </c>
      <c r="R50" s="314">
        <f>VLOOKUP($C8,BAU_Demands!$B$3:$BK$48,BAU_Demands!P$1,0)*(1-'Net Zero 2070'!H97)</f>
        <v>5.7214079999999994</v>
      </c>
      <c r="S50" s="314">
        <f>VLOOKUP($C8,BAU_Demands!$B$3:$BK$48,BAU_Demands!Q$1,0)*(1-'Net Zero 2070'!I97)</f>
        <v>5.8609980000000004</v>
      </c>
      <c r="T50" s="314">
        <f>VLOOKUP($C8,BAU_Demands!$B$3:$BK$48,BAU_Demands!R$1,0)*(1-'Net Zero 2070'!J97)</f>
        <v>5.9584000000000001</v>
      </c>
      <c r="U50" s="314">
        <f>VLOOKUP($C8,BAU_Demands!$B$3:$BK$48,BAU_Demands!S$1,0)*(1-'Net Zero 2070'!K97)</f>
        <v>6.0263999999999998</v>
      </c>
      <c r="V50" s="314">
        <f>VLOOKUP($C8,BAU_Demands!$B$3:$BK$48,BAU_Demands!T$1,0)*(1-'Net Zero 2070'!L97)</f>
        <v>6.1310400000000005</v>
      </c>
      <c r="W50" s="314">
        <f>VLOOKUP($C8,BAU_Demands!$B$3:$BK$48,BAU_Demands!U$1,0)*(1-'Net Zero 2070'!M97)</f>
        <v>6.20444</v>
      </c>
      <c r="X50" s="314">
        <f>VLOOKUP($C8,BAU_Demands!$B$3:$BK$48,BAU_Demands!V$1,0)*(1-'Net Zero 2070'!N97)</f>
        <v>6.2378399999999994</v>
      </c>
      <c r="Y50" s="314">
        <f>VLOOKUP($C8,BAU_Demands!$B$3:$BK$48,BAU_Demands!W$1,0)*(1-'Net Zero 2070'!O97)</f>
        <v>6.2697999999999992</v>
      </c>
      <c r="Z50" s="314">
        <f>VLOOKUP($C8,BAU_Demands!$B$3:$BK$48,BAU_Demands!X$1,0)*(1-'Net Zero 2070'!P97)</f>
        <v>6.346919999999999</v>
      </c>
      <c r="AA50" s="314">
        <f>VLOOKUP($C8,BAU_Demands!$B$3:$BK$48,BAU_Demands!Y$1,0)*(1-'Net Zero 2070'!Q97)</f>
        <v>6.3756000000000004</v>
      </c>
      <c r="AB50" s="314">
        <f>VLOOKUP($C8,BAU_Demands!$B$3:$BK$48,BAU_Demands!Z$1,0)*(1-'Net Zero 2070'!R97)</f>
        <v>6.43032</v>
      </c>
      <c r="AC50" s="314">
        <f>VLOOKUP($C8,BAU_Demands!$B$3:$BK$48,BAU_Demands!AA$1,0)*(1-'Net Zero 2070'!S97)</f>
        <v>6.4467999999999996</v>
      </c>
      <c r="AD50" s="314">
        <f>VLOOKUP($C8,BAU_Demands!$B$3:$BK$48,BAU_Demands!AB$1,0)*(1-'Net Zero 2070'!T97)</f>
        <v>6.4710000000000001</v>
      </c>
      <c r="AE50" s="314">
        <f>VLOOKUP($C8,BAU_Demands!$B$3:$BK$48,BAU_Demands!AC$1,0)*(1-'Net Zero 2070'!U97)</f>
        <v>6.5262000000000002</v>
      </c>
      <c r="AF50" s="314">
        <f>VLOOKUP($C8,BAU_Demands!$B$3:$BK$48,BAU_Demands!AD$1,0)*(1-'Net Zero 2070'!V97)</f>
        <v>6.5712000000000002</v>
      </c>
      <c r="AG50" s="314">
        <f>VLOOKUP($C8,BAU_Demands!$B$3:$BK$48,BAU_Demands!AE$1,0)*(1-'Net Zero 2070'!W97)</f>
        <v>6.6238200000000003</v>
      </c>
      <c r="AH50" s="314">
        <f>VLOOKUP($C8,BAU_Demands!$B$3:$BK$48,BAU_Demands!AF$1,0)*(1-'Net Zero 2070'!X97)</f>
        <v>6.7014000000000005</v>
      </c>
      <c r="AI50" s="314">
        <f>VLOOKUP($C8,BAU_Demands!$B$3:$BK$48,BAU_Demands!AG$1,0)*(1-'Net Zero 2070'!Y97)</f>
        <v>6.7686000000000002</v>
      </c>
      <c r="AJ50" s="314">
        <f>VLOOKUP($C8,BAU_Demands!$B$3:$BK$48,BAU_Demands!AH$1,0)*(1-'Net Zero 2070'!Z97)</f>
        <v>6.8673799999999998</v>
      </c>
      <c r="AK50" s="314">
        <f>VLOOKUP($C8,BAU_Demands!$B$3:$BK$48,BAU_Demands!AI$1,0)*(1-'Net Zero 2070'!AA97)</f>
        <v>6.9649599999999996</v>
      </c>
      <c r="AL50" s="314">
        <f>VLOOKUP($C8,BAU_Demands!$B$3:$BK$48,BAU_Demands!AJ$1,0)*(1-'Net Zero 2070'!AB97)</f>
        <v>7.0527600000000001</v>
      </c>
      <c r="AM50" s="314">
        <f>VLOOKUP($C8,BAU_Demands!$B$3:$BK$48,BAU_Demands!AK$1,0)*(1-'Net Zero 2070'!AC97)</f>
        <v>7.1736000000000004</v>
      </c>
      <c r="AN50" s="314">
        <f>VLOOKUP($C8,BAU_Demands!$B$3:$BK$48,BAU_Demands!AL$1,0)*(1-'Net Zero 2070'!AD97)</f>
        <v>7.2845000000000004</v>
      </c>
      <c r="AO50" s="314">
        <f>VLOOKUP($C8,BAU_Demands!$B$3:$BK$48,BAU_Demands!AM$1,0)*(1-'Net Zero 2070'!AE97)</f>
        <v>7.4278799999999991</v>
      </c>
      <c r="AP50" s="314">
        <f>VLOOKUP($C8,BAU_Demands!$B$3:$BK$48,BAU_Demands!AN$1,0)*(1-'Net Zero 2070'!AF97)</f>
        <v>7.55274</v>
      </c>
      <c r="AQ50" s="314">
        <f>VLOOKUP($C8,BAU_Demands!$B$3:$BK$48,BAU_Demands!AO$1,0)*(1-'Net Zero 2070'!AG97)</f>
        <v>7.6760799999999998</v>
      </c>
      <c r="AR50" s="314">
        <f>VLOOKUP($C8,BAU_Demands!$B$3:$BK$48,BAU_Demands!AP$1,0)*(1-'Net Zero 2070'!AH97)</f>
        <v>7.8145799999999994</v>
      </c>
      <c r="AS50" s="314">
        <f>VLOOKUP($C8,BAU_Demands!$B$3:$BK$48,BAU_Demands!AQ$1,0)*(1-'Net Zero 2070'!AI97)</f>
        <v>7.9431000000000003</v>
      </c>
      <c r="AT50" s="314">
        <f>VLOOKUP($C8,BAU_Demands!$B$3:$BK$48,BAU_Demands!AR$1,0)*(1-'Net Zero 2070'!AJ97)</f>
        <v>8.06325</v>
      </c>
      <c r="AU50" s="314">
        <f>VLOOKUP($C8,BAU_Demands!$B$3:$BK$48,BAU_Demands!AS$1,0)*(1-'Net Zero 2070'!AK97)</f>
        <v>8.1905599999999996</v>
      </c>
      <c r="AV50" s="314">
        <f>VLOOKUP($C8,BAU_Demands!$B$3:$BK$48,BAU_Demands!AT$1,0)*(1-'Net Zero 2070'!AL97)</f>
        <v>8.3167299999999997</v>
      </c>
      <c r="AW50" s="314">
        <f>VLOOKUP($C8,BAU_Demands!$B$3:$BK$48,BAU_Demands!AU$1,0)*(1-'Net Zero 2070'!AM97)</f>
        <v>8.4499400000000016</v>
      </c>
      <c r="AX50" s="314">
        <f>VLOOKUP($C8,BAU_Demands!$B$3:$BK$48,BAU_Demands!AV$1,0)*(1-'Net Zero 2070'!AN97)</f>
        <v>8.5900999999999996</v>
      </c>
      <c r="AY50" s="314">
        <f>VLOOKUP($C8,BAU_Demands!$B$3:$BK$48,BAU_Demands!AW$1,0)*(1-'Net Zero 2070'!AO97)</f>
        <v>8.7371200000000009</v>
      </c>
      <c r="AZ50" s="314">
        <f>VLOOKUP($C8,BAU_Demands!$B$3:$BK$48,BAU_Demands!AX$1,0)*(1-'Net Zero 2070'!AP97)</f>
        <v>8.8828199999999988</v>
      </c>
      <c r="BA50" s="314">
        <f>VLOOKUP($C8,BAU_Demands!$B$3:$BK$48,BAU_Demands!AY$1,0)*(1-'Net Zero 2070'!AQ97)</f>
        <v>9.0272000000000006</v>
      </c>
      <c r="BB50" s="314">
        <f>VLOOKUP($C8,BAU_Demands!$B$3:$BK$48,BAU_Demands!AZ$1,0)*(1-'Net Zero 2070'!AR97)</f>
        <v>9.1863199999999985</v>
      </c>
      <c r="BC50" s="314">
        <f>VLOOKUP($C8,BAU_Demands!$B$3:$BK$48,BAU_Demands!BA$1,0)*(1-'Net Zero 2070'!AS97)</f>
        <v>9.3360000000000003</v>
      </c>
      <c r="BD50" s="314">
        <f>VLOOKUP($C8,BAU_Demands!$B$3:$BK$48,BAU_Demands!BB$1,0)*(1-'Net Zero 2070'!AT97)</f>
        <v>9.5121599999999997</v>
      </c>
      <c r="BE50" s="314">
        <f>VLOOKUP($C8,BAU_Demands!$B$3:$BK$48,BAU_Demands!BC$1,0)*(1-'Net Zero 2070'!AU97)</f>
        <v>9.6793600000000009</v>
      </c>
      <c r="BF50" s="314">
        <f>VLOOKUP($C8,BAU_Demands!$B$3:$BK$48,BAU_Demands!BD$1,0)*(1-'Net Zero 2070'!AV97)</f>
        <v>9.8614800000000002</v>
      </c>
      <c r="BG50" s="314">
        <f>VLOOKUP($C8,BAU_Demands!$B$3:$BK$48,BAU_Demands!BE$1,0)*(1-'Net Zero 2070'!AW97)</f>
        <v>10.03464</v>
      </c>
      <c r="BH50" s="314">
        <f>VLOOKUP($C8,BAU_Demands!$B$3:$BK$48,BAU_Demands!BF$1,0)*(1-'Net Zero 2070'!AX97)</f>
        <v>10.214700000000001</v>
      </c>
      <c r="BI50" s="314">
        <f>VLOOKUP($C8,BAU_Demands!$B$3:$BK$48,BAU_Demands!BG$1,0)*(1-'Net Zero 2070'!AY97)</f>
        <v>10.39372</v>
      </c>
      <c r="BJ50" s="314">
        <f>VLOOKUP($C8,BAU_Demands!$B$3:$BK$48,BAU_Demands!BH$1,0)*(1-'Net Zero 2070'!AZ97)</f>
        <v>10.579560000000001</v>
      </c>
      <c r="BK50" s="314">
        <f>VLOOKUP($C8,BAU_Demands!$B$3:$BK$48,BAU_Demands!BI$1,0)*(1-'Net Zero 2070'!BA97)</f>
        <v>10.764320000000001</v>
      </c>
      <c r="BL50" s="314">
        <f>VLOOKUP($C8,BAU_Demands!$B$3:$BK$48,BAU_Demands!BJ$1,0)*(1-'Net Zero 2070'!BB97)</f>
        <v>10.955820000000001</v>
      </c>
      <c r="BM50" s="314">
        <f>VLOOKUP($C8,BAU_Demands!$B$3:$BK$48,BAU_Demands!BK$1,0)*(1-'Net Zero 2070'!BC97)</f>
        <v>11.154000000000002</v>
      </c>
    </row>
    <row r="51" spans="1:65" ht="15.75" hidden="1" customHeight="1">
      <c r="A51" s="314" t="s">
        <v>551</v>
      </c>
      <c r="B51" s="314" t="s">
        <v>458</v>
      </c>
      <c r="C51" s="314" t="s">
        <v>477</v>
      </c>
      <c r="D51" s="314" t="s">
        <v>460</v>
      </c>
      <c r="E51" s="314" t="s">
        <v>478</v>
      </c>
      <c r="F51" s="314" t="s">
        <v>462</v>
      </c>
      <c r="G51" s="314" t="s">
        <v>463</v>
      </c>
      <c r="H51" s="314" t="s">
        <v>464</v>
      </c>
      <c r="I51" s="314"/>
      <c r="J51" s="314"/>
      <c r="K51" s="314"/>
      <c r="L51" s="314"/>
      <c r="M51" s="226">
        <f>VLOOKUP($C51,BAU_Demands!$B$3:$BK$48,BAU_Demands!K$1,0)</f>
        <v>4.480764765</v>
      </c>
      <c r="N51" s="226">
        <f>VLOOKUP($C51,BAU_Demands!$B$3:$BK$48,BAU_Demands!L$1,0)</f>
        <v>4.2873983139999998</v>
      </c>
      <c r="O51" s="226">
        <f>VLOOKUP($C51,BAU_Demands!$B$3:$BK$48,BAU_Demands!M$1,0)</f>
        <v>3.3116198030000001</v>
      </c>
      <c r="P51" s="226">
        <f>VLOOKUP($C51,BAU_Demands!$B$3:$BK$48,BAU_Demands!N$1,0)</f>
        <v>3.9848753609999998</v>
      </c>
      <c r="Q51" s="314">
        <f>VLOOKUP($C51,BAU_Demands!$B$3:$BK$48,BAU_Demands!O$1,0)</f>
        <v>3.9848753609999998</v>
      </c>
      <c r="R51" s="314">
        <f>VLOOKUP($C51,BAU_Demands!$B$3:$BK$48,BAU_Demands!P$1,0)</f>
        <v>3.9848753609999998</v>
      </c>
      <c r="S51" s="314">
        <f>VLOOKUP($C51,BAU_Demands!$B$3:$BK$48,BAU_Demands!Q$1,0)</f>
        <v>3.9848753609999998</v>
      </c>
      <c r="T51" s="314">
        <f>VLOOKUP($C51,BAU_Demands!$B$3:$BK$48,BAU_Demands!R$1,0)</f>
        <v>3.9848753609999998</v>
      </c>
      <c r="U51" s="314">
        <f>VLOOKUP($C51,BAU_Demands!$B$3:$BK$48,BAU_Demands!S$1,0)</f>
        <v>3.9848753609999998</v>
      </c>
      <c r="V51" s="314">
        <f>VLOOKUP($C51,BAU_Demands!$B$3:$BK$48,BAU_Demands!T$1,0)</f>
        <v>3.9848753609999998</v>
      </c>
      <c r="W51" s="314">
        <f>VLOOKUP($C51,BAU_Demands!$B$3:$BK$48,BAU_Demands!U$1,0)</f>
        <v>3.9848753609999998</v>
      </c>
      <c r="X51" s="314">
        <f>VLOOKUP($C51,BAU_Demands!$B$3:$BK$48,BAU_Demands!V$1,0)</f>
        <v>3.9848753609999998</v>
      </c>
      <c r="Y51" s="314">
        <f>VLOOKUP($C51,BAU_Demands!$B$3:$BK$48,BAU_Demands!W$1,0)</f>
        <v>3.9848753609999998</v>
      </c>
      <c r="Z51" s="314">
        <f>VLOOKUP($C51,BAU_Demands!$B$3:$BK$48,BAU_Demands!X$1,0)</f>
        <v>3.9848753609999998</v>
      </c>
      <c r="AA51" s="314">
        <f>VLOOKUP($C51,BAU_Demands!$B$3:$BK$48,BAU_Demands!Y$1,0)</f>
        <v>3.9848753609999998</v>
      </c>
      <c r="AB51" s="314">
        <f>VLOOKUP($C51,BAU_Demands!$B$3:$BK$48,BAU_Demands!Z$1,0)</f>
        <v>3.9848753609999998</v>
      </c>
      <c r="AC51" s="314">
        <f>VLOOKUP($C51,BAU_Demands!$B$3:$BK$48,BAU_Demands!AA$1,0)</f>
        <v>3.9848753609999998</v>
      </c>
      <c r="AD51" s="314">
        <f>VLOOKUP($C51,BAU_Demands!$B$3:$BK$48,BAU_Demands!AB$1,0)</f>
        <v>3.9848753609999998</v>
      </c>
      <c r="AE51" s="314">
        <f>VLOOKUP($C51,BAU_Demands!$B$3:$BK$48,BAU_Demands!AC$1,0)</f>
        <v>3.9848753609999998</v>
      </c>
      <c r="AF51" s="314">
        <f>VLOOKUP($C51,BAU_Demands!$B$3:$BK$48,BAU_Demands!AD$1,0)</f>
        <v>3.9848753609999998</v>
      </c>
      <c r="AG51" s="314">
        <f>VLOOKUP($C51,BAU_Demands!$B$3:$BK$48,BAU_Demands!AE$1,0)</f>
        <v>3.9848753609999998</v>
      </c>
      <c r="AH51" s="314">
        <f>VLOOKUP($C51,BAU_Demands!$B$3:$BK$48,BAU_Demands!AF$1,0)</f>
        <v>3.9848753609999998</v>
      </c>
      <c r="AI51" s="314">
        <f>VLOOKUP($C51,BAU_Demands!$B$3:$BK$48,BAU_Demands!AG$1,0)</f>
        <v>3.9848753609999998</v>
      </c>
      <c r="AJ51" s="314">
        <f>VLOOKUP($C51,BAU_Demands!$B$3:$BK$48,BAU_Demands!AH$1,0)</f>
        <v>3.9848753609999998</v>
      </c>
      <c r="AK51" s="314">
        <f>VLOOKUP($C51,BAU_Demands!$B$3:$BK$48,BAU_Demands!AI$1,0)</f>
        <v>3.9848753609999998</v>
      </c>
      <c r="AL51" s="314">
        <f>VLOOKUP($C51,BAU_Demands!$B$3:$BK$48,BAU_Demands!AJ$1,0)</f>
        <v>3.9848753609999998</v>
      </c>
      <c r="AM51" s="314">
        <f>VLOOKUP($C51,BAU_Demands!$B$3:$BK$48,BAU_Demands!AK$1,0)</f>
        <v>3.9848753609999998</v>
      </c>
      <c r="AN51" s="314">
        <f>VLOOKUP($C51,BAU_Demands!$B$3:$BK$48,BAU_Demands!AL$1,0)</f>
        <v>3.9848753609999998</v>
      </c>
      <c r="AO51" s="314">
        <f>VLOOKUP($C51,BAU_Demands!$B$3:$BK$48,BAU_Demands!AM$1,0)</f>
        <v>3.9848753609999998</v>
      </c>
      <c r="AP51" s="314">
        <f>VLOOKUP($C51,BAU_Demands!$B$3:$BK$48,BAU_Demands!AN$1,0)</f>
        <v>3.9848753609999998</v>
      </c>
      <c r="AQ51" s="314">
        <f>VLOOKUP($C51,BAU_Demands!$B$3:$BK$48,BAU_Demands!AO$1,0)</f>
        <v>3.9848753609999998</v>
      </c>
      <c r="AR51" s="314">
        <f>VLOOKUP($C51,BAU_Demands!$B$3:$BK$48,BAU_Demands!AP$1,0)</f>
        <v>3.9848753609999998</v>
      </c>
      <c r="AS51" s="314">
        <f>VLOOKUP($C51,BAU_Demands!$B$3:$BK$48,BAU_Demands!AQ$1,0)</f>
        <v>3.9848753609999998</v>
      </c>
      <c r="AT51" s="314">
        <f>VLOOKUP($C51,BAU_Demands!$B$3:$BK$48,BAU_Demands!AR$1,0)</f>
        <v>3.9848753609999998</v>
      </c>
      <c r="AU51" s="314">
        <f>VLOOKUP($C51,BAU_Demands!$B$3:$BK$48,BAU_Demands!AS$1,0)</f>
        <v>3.9848753609999998</v>
      </c>
      <c r="AV51" s="314">
        <f>VLOOKUP($C51,BAU_Demands!$B$3:$BK$48,BAU_Demands!AT$1,0)</f>
        <v>3.9848753609999998</v>
      </c>
      <c r="AW51" s="314">
        <f>VLOOKUP($C51,BAU_Demands!$B$3:$BK$48,BAU_Demands!AU$1,0)</f>
        <v>3.9848753609999998</v>
      </c>
      <c r="AX51" s="314">
        <f>VLOOKUP($C51,BAU_Demands!$B$3:$BK$48,BAU_Demands!AV$1,0)</f>
        <v>3.9848753609999998</v>
      </c>
      <c r="AY51" s="314">
        <f>VLOOKUP($C51,BAU_Demands!$B$3:$BK$48,BAU_Demands!AW$1,0)</f>
        <v>3.9848753609999998</v>
      </c>
      <c r="AZ51" s="314">
        <f>VLOOKUP($C51,BAU_Demands!$B$3:$BK$48,BAU_Demands!AX$1,0)</f>
        <v>3.9848753609999998</v>
      </c>
      <c r="BA51" s="314">
        <f>VLOOKUP($C51,BAU_Demands!$B$3:$BK$48,BAU_Demands!AY$1,0)</f>
        <v>3.9848753609999998</v>
      </c>
      <c r="BB51" s="314">
        <f>VLOOKUP($C51,BAU_Demands!$B$3:$BK$48,BAU_Demands!AZ$1,0)</f>
        <v>3.9848753609999998</v>
      </c>
      <c r="BC51" s="314">
        <f>VLOOKUP($C51,BAU_Demands!$B$3:$BK$48,BAU_Demands!BA$1,0)</f>
        <v>3.9848753609999998</v>
      </c>
      <c r="BD51" s="314">
        <f>VLOOKUP($C51,BAU_Demands!$B$3:$BK$48,BAU_Demands!BB$1,0)</f>
        <v>3.9848753609999998</v>
      </c>
      <c r="BE51" s="314">
        <f>VLOOKUP($C51,BAU_Demands!$B$3:$BK$48,BAU_Demands!BC$1,0)</f>
        <v>3.9848753609999998</v>
      </c>
      <c r="BF51" s="314">
        <f>VLOOKUP($C51,BAU_Demands!$B$3:$BK$48,BAU_Demands!BD$1,0)</f>
        <v>3.9848753609999998</v>
      </c>
      <c r="BG51" s="314">
        <f>VLOOKUP($C51,BAU_Demands!$B$3:$BK$48,BAU_Demands!BE$1,0)</f>
        <v>3.9848753609999998</v>
      </c>
      <c r="BH51" s="314">
        <f>VLOOKUP($C51,BAU_Demands!$B$3:$BK$48,BAU_Demands!BF$1,0)</f>
        <v>3.9848753609999998</v>
      </c>
      <c r="BI51" s="314">
        <f>VLOOKUP($C51,BAU_Demands!$B$3:$BK$48,BAU_Demands!BG$1,0)</f>
        <v>3.9848753609999998</v>
      </c>
      <c r="BJ51" s="314">
        <f>VLOOKUP($C51,BAU_Demands!$B$3:$BK$48,BAU_Demands!BH$1,0)</f>
        <v>3.9848753609999998</v>
      </c>
      <c r="BK51" s="314">
        <f>VLOOKUP($C51,BAU_Demands!$B$3:$BK$48,BAU_Demands!BI$1,0)</f>
        <v>3.9848753609999998</v>
      </c>
      <c r="BL51" s="314">
        <f>VLOOKUP($C51,BAU_Demands!$B$3:$BK$48,BAU_Demands!BJ$1,0)</f>
        <v>3.9848753609999998</v>
      </c>
      <c r="BM51" s="314">
        <f>VLOOKUP($C51,BAU_Demands!$B$3:$BK$48,BAU_Demands!BK$1,0)</f>
        <v>3.9848753609999998</v>
      </c>
    </row>
    <row r="52" spans="1:65" ht="14.4" hidden="1">
      <c r="A52" s="29" t="s">
        <v>551</v>
      </c>
      <c r="B52" s="29" t="s">
        <v>458</v>
      </c>
      <c r="C52" s="29" t="s">
        <v>479</v>
      </c>
      <c r="D52" s="29" t="s">
        <v>460</v>
      </c>
      <c r="E52" s="29" t="s">
        <v>480</v>
      </c>
      <c r="F52" s="29" t="s">
        <v>462</v>
      </c>
      <c r="G52" s="29" t="s">
        <v>463</v>
      </c>
      <c r="H52" s="29" t="s">
        <v>464</v>
      </c>
      <c r="I52" s="29"/>
      <c r="J52" s="29"/>
      <c r="K52" s="29"/>
      <c r="L52" s="29"/>
      <c r="M52" s="327">
        <f>VLOOKUP($C52,BAU_Demands!$B$3:$BK$48,BAU_Demands!K$1,0)</f>
        <v>24.96296225</v>
      </c>
      <c r="N52" s="327">
        <f>VLOOKUP($C52,BAU_Demands!$B$3:$BK$48,BAU_Demands!L$1,0)</f>
        <v>26.060401219999999</v>
      </c>
      <c r="O52" s="327">
        <f>VLOOKUP($C52,BAU_Demands!$B$3:$BK$48,BAU_Demands!M$1,0)</f>
        <v>23.917782280000001</v>
      </c>
      <c r="P52" s="327">
        <f>VLOOKUP($C52,BAU_Demands!$B$3:$BK$48,BAU_Demands!N$1,0)</f>
        <v>25.15051399</v>
      </c>
      <c r="Q52" s="322">
        <f>(SUM(BAU_Demands!O9:O13)-BAU_Demands!O10-BAU_Demands!O13-Q54-Q55)*(1-'Net Zero 2070'!G92)</f>
        <v>25.315399999999997</v>
      </c>
      <c r="R52" s="322">
        <f>(SUM(BAU_Demands!P9:P13)-BAU_Demands!P10-BAU_Demands!P13-R54-R55)*(1-'Net Zero 2070'!H92)</f>
        <v>26.481846560799998</v>
      </c>
      <c r="S52" s="322">
        <f>(SUM(BAU_Demands!Q9:Q13)-BAU_Demands!Q10-BAU_Demands!Q13-S54-S55)*(1-'Net Zero 2070'!I92)</f>
        <v>26.697388723200003</v>
      </c>
      <c r="T52" s="322">
        <f>(SUM(BAU_Demands!R9:R13)-BAU_Demands!R10-BAU_Demands!R13-T54-T55)*(1-'Net Zero 2070'!J92)</f>
        <v>27.839424640000001</v>
      </c>
      <c r="U52" s="322">
        <f>(SUM(BAU_Demands!S9:S13)-BAU_Demands!S10-BAU_Demands!S13-U54-U55)*(1-'Net Zero 2070'!K92)</f>
        <v>27.903737131199996</v>
      </c>
      <c r="V52" s="322">
        <f>(SUM(BAU_Demands!T9:T13)-BAU_Demands!T10-BAU_Demands!T13-V54-V55)*(1-'Net Zero 2070'!L92)</f>
        <v>29.212763142000011</v>
      </c>
      <c r="W52" s="322">
        <f>(SUM(BAU_Demands!U9:U13)-BAU_Demands!U10-BAU_Demands!U13-W54-W55)*(1-'Net Zero 2070'!M92)</f>
        <v>29.501958211400002</v>
      </c>
      <c r="X52" s="322">
        <f>(SUM(BAU_Demands!V9:V13)-BAU_Demands!V10-BAU_Demands!V13-X54-X55)*(1-'Net Zero 2070'!N92)</f>
        <v>30.560286226399992</v>
      </c>
      <c r="Y52" s="322">
        <f>(SUM(BAU_Demands!W9:W13)-BAU_Demands!W10-BAU_Demands!W13-Y54-Y55)*(1-'Net Zero 2070'!O92)</f>
        <v>30.784858679999999</v>
      </c>
      <c r="Z52" s="322">
        <f>(SUM(BAU_Demands!X9:X13)-BAU_Demands!X10-BAU_Demands!X13-Z54-Z55)*(1-'Net Zero 2070'!P92)</f>
        <v>32.150015586000002</v>
      </c>
      <c r="AA52" s="322">
        <f>(SUM(BAU_Demands!Y9:Y13)-BAU_Demands!Y10-BAU_Demands!Y13-AA54-AA55)*(1-'Net Zero 2070'!Q92)</f>
        <v>32.483558360000004</v>
      </c>
      <c r="AB52" s="322">
        <f>(SUM(BAU_Demands!Z9:Z13)-BAU_Demands!Z10-BAU_Demands!Z13-AB54-AB55)*(1-'Net Zero 2070'!R92)</f>
        <v>33.763493193999992</v>
      </c>
      <c r="AC52" s="322">
        <f>(SUM(BAU_Demands!AA9:AA13)-BAU_Demands!AA10-BAU_Demands!AA13-AC54-AC55)*(1-'Net Zero 2070'!S92)</f>
        <v>34.144815112000003</v>
      </c>
      <c r="AD52" s="322">
        <f>(SUM(BAU_Demands!AB9:AB13)-BAU_Demands!AB10-BAU_Demands!AB13-AD54-AD55)*(1-'Net Zero 2070'!T92)</f>
        <v>35.241221918000008</v>
      </c>
      <c r="AE52" s="322">
        <f>(SUM(BAU_Demands!AC9:AC13)-BAU_Demands!AC10-BAU_Demands!AC13-AE54-AE55)*(1-'Net Zero 2070'!U92)</f>
        <v>35.758325957000011</v>
      </c>
      <c r="AF52" s="322">
        <f>(SUM(BAU_Demands!AD9:AD13)-BAU_Demands!AD10-BAU_Demands!AD13-AF54-AF55)*(1-'Net Zero 2070'!V92)</f>
        <v>36.800056079999997</v>
      </c>
      <c r="AG52" s="322">
        <f>(SUM(BAU_Demands!AE9:AE13)-BAU_Demands!AE10-BAU_Demands!AE13-AG54-AG55)*(1-'Net Zero 2070'!W92)</f>
        <v>37.306058888999992</v>
      </c>
      <c r="AH52" s="322">
        <f>(SUM(BAU_Demands!AF9:AF13)-BAU_Demands!AF10-BAU_Demands!AF13-AH54-AH55)*(1-'Net Zero 2070'!X92)</f>
        <v>38.421274239999995</v>
      </c>
      <c r="AI52" s="322">
        <f>(SUM(BAU_Demands!AG9:AG13)-BAU_Demands!AG10-BAU_Demands!AG13-AI54-AI55)*(1-'Net Zero 2070'!Y92)</f>
        <v>38.956297532999997</v>
      </c>
      <c r="AJ52" s="322">
        <f>(SUM(BAU_Demands!AH9:AH13)-BAU_Demands!AH10-BAU_Demands!AH13-AJ54-AJ55)*(1-'Net Zero 2070'!Z92)</f>
        <v>39.961829269999996</v>
      </c>
      <c r="AK52" s="322">
        <f>(SUM(BAU_Demands!AI9:AI13)-BAU_Demands!AI10-BAU_Demands!AI13-AK54-AK55)*(1-'Net Zero 2070'!AA92)</f>
        <v>40.527305786000007</v>
      </c>
      <c r="AL52" s="322">
        <f>(SUM(BAU_Demands!AJ9:AJ13)-BAU_Demands!AJ10-BAU_Demands!AJ13-AL54-AL55)*(1-'Net Zero 2070'!AB92)</f>
        <v>41.307970464000007</v>
      </c>
      <c r="AM52" s="322">
        <f>(SUM(BAU_Demands!AK9:AK13)-BAU_Demands!AK10-BAU_Demands!AK13-AM54-AM55)*(1-'Net Zero 2070'!AC92)</f>
        <v>41.899535999999998</v>
      </c>
      <c r="AN52" s="322">
        <f>(SUM(BAU_Demands!AL9:AL13)-BAU_Demands!AL10-BAU_Demands!AL13-AN54-AN55)*(1-'Net Zero 2070'!AD92)</f>
        <v>42.700381088</v>
      </c>
      <c r="AO52" s="322">
        <f>(SUM(BAU_Demands!AM9:AM13)-BAU_Demands!AM10-BAU_Demands!AM13-AO54-AO55)*(1-'Net Zero 2070'!AE92)</f>
        <v>43.376542203999996</v>
      </c>
      <c r="AP52" s="322">
        <f>(SUM(BAU_Demands!AN9:AN13)-BAU_Demands!AN10-BAU_Demands!AN13-AP54-AP55)*(1-'Net Zero 2070'!AF92)</f>
        <v>44.163605439999998</v>
      </c>
      <c r="AQ52" s="322">
        <f>(SUM(BAU_Demands!AO9:AO13)-BAU_Demands!AO10-BAU_Demands!AO13-AQ54-AQ55)*(1-'Net Zero 2070'!AG92)</f>
        <v>44.663443440000002</v>
      </c>
      <c r="AR52" s="322">
        <f>(SUM(BAU_Demands!AP9:AP13)-BAU_Demands!AP10-BAU_Demands!AP13-AR54-AR55)*(1-'Net Zero 2070'!AH92)</f>
        <v>45.435759615999991</v>
      </c>
      <c r="AS52" s="322">
        <f>(SUM(BAU_Demands!AQ9:AQ13)-BAU_Demands!AQ10-BAU_Demands!AQ13-AS54-AS55)*(1-'Net Zero 2070'!AI92)</f>
        <v>45.858827500000004</v>
      </c>
      <c r="AT52" s="322">
        <f>(SUM(BAU_Demands!AR9:AR13)-BAU_Demands!AR10-BAU_Demands!AR13-AT54-AT55)*(1-'Net Zero 2070'!AJ92)</f>
        <v>46.713785699999995</v>
      </c>
      <c r="AU52" s="322">
        <f>(SUM(BAU_Demands!AS9:AS13)-BAU_Demands!AS10-BAU_Demands!AS13-AU54-AU55)*(1-'Net Zero 2070'!AK92)</f>
        <v>47.433122100000006</v>
      </c>
      <c r="AV52" s="322">
        <f>(SUM(BAU_Demands!AT9:AT13)-BAU_Demands!AT10-BAU_Demands!AT13-AV54-AV55)*(1-'Net Zero 2070'!AL92)</f>
        <v>48.073049499999996</v>
      </c>
      <c r="AW52" s="322">
        <f>(SUM(BAU_Demands!AU9:AU13)-BAU_Demands!AU10-BAU_Demands!AU13-AW54-AW55)*(1-'Net Zero 2070'!AM92)</f>
        <v>48.754723159999998</v>
      </c>
      <c r="AX52" s="322">
        <f>(SUM(BAU_Demands!AV9:AV13)-BAU_Demands!AV10-BAU_Demands!AV13-AX54-AX55)*(1-'Net Zero 2070'!AN92)</f>
        <v>49.423837800000001</v>
      </c>
      <c r="AY52" s="322">
        <f>(SUM(BAU_Demands!AW9:AW13)-BAU_Demands!AW10-BAU_Demands!AW13-AY54-AY55)*(1-'Net Zero 2070'!AO92)</f>
        <v>50.097010250000011</v>
      </c>
      <c r="AZ52" s="322">
        <f>(SUM(BAU_Demands!AX9:AX13)-BAU_Demands!AX10-BAU_Demands!AX13-AZ54-AZ55)*(1-'Net Zero 2070'!AP92)</f>
        <v>50.771397359999995</v>
      </c>
      <c r="BA52" s="322">
        <f>(SUM(BAU_Demands!AY9:AY13)-BAU_Demands!AY10-BAU_Demands!AY13-BA54-BA55)*(1-'Net Zero 2070'!AQ92)</f>
        <v>51.403085799999999</v>
      </c>
      <c r="BB52" s="322">
        <f>(SUM(BAU_Demands!AZ9:AZ13)-BAU_Demands!AZ10-BAU_Demands!AZ13-BB54-BB55)*(1-'Net Zero 2070'!AR92)</f>
        <v>52.068606259999996</v>
      </c>
      <c r="BC52" s="322">
        <f>(SUM(BAU_Demands!BA9:BA13)-BAU_Demands!BA10-BAU_Demands!BA13-BC54-BC55)*(1-'Net Zero 2070'!AS92)</f>
        <v>52.690034249999989</v>
      </c>
      <c r="BD52" s="322">
        <f>(SUM(BAU_Demands!BB9:BB13)-BAU_Demands!BB10-BAU_Demands!BB13-BD54-BD55)*(1-'Net Zero 2070'!AT92)</f>
        <v>53.322106949999998</v>
      </c>
      <c r="BE52" s="322">
        <f>(SUM(BAU_Demands!BC9:BC13)-BAU_Demands!BC10-BAU_Demands!BC13-BE54-BE55)*(1-'Net Zero 2070'!AU92)</f>
        <v>53.965510199999997</v>
      </c>
      <c r="BF52" s="322">
        <f>(SUM(BAU_Demands!BD9:BD13)-BAU_Demands!BD10-BAU_Demands!BD13-BF54-BF55)*(1-'Net Zero 2070'!AV92)</f>
        <v>54.599784749999998</v>
      </c>
      <c r="BG52" s="322">
        <f>(SUM(BAU_Demands!BE9:BE13)-BAU_Demands!BE10-BAU_Demands!BE13-BG54-BG55)*(1-'Net Zero 2070'!AW92)</f>
        <v>55.166491520000001</v>
      </c>
      <c r="BH52" s="322">
        <f>(SUM(BAU_Demands!BF9:BF13)-BAU_Demands!BF10-BAU_Demands!BF13-BH54-BH55)*(1-'Net Zero 2070'!AX92)</f>
        <v>55.795601925</v>
      </c>
      <c r="BI52" s="322">
        <f>(SUM(BAU_Demands!BG9:BG13)-BAU_Demands!BG10-BAU_Demands!BG13-BI54-BI55)*(1-'Net Zero 2070'!AY92)</f>
        <v>56.383741759999992</v>
      </c>
      <c r="BJ52" s="322">
        <f>(SUM(BAU_Demands!BH9:BH13)-BAU_Demands!BH10-BAU_Demands!BH13-BJ54-BJ55)*(1-'Net Zero 2070'!AZ92)</f>
        <v>56.969739200000006</v>
      </c>
      <c r="BK52" s="322">
        <f>(SUM(BAU_Demands!BI9:BI13)-BAU_Demands!BI10-BAU_Demands!BI13-BK54-BK55)*(1-'Net Zero 2070'!BA92)</f>
        <v>57.543502400000008</v>
      </c>
      <c r="BL52" s="322">
        <f>(SUM(BAU_Demands!BJ9:BJ13)-BAU_Demands!BJ10-BAU_Demands!BJ13-BL54-BL55)*(1-'Net Zero 2070'!BB92)</f>
        <v>58.10792</v>
      </c>
      <c r="BM52" s="322">
        <f>(SUM(BAU_Demands!BK9:BK13)-BAU_Demands!BK10-BAU_Demands!BK13-BM54-BM55)*(1-'Net Zero 2070'!BC92)</f>
        <v>58.64567027999999</v>
      </c>
    </row>
    <row r="53" spans="1:65" ht="15.75" hidden="1" customHeight="1">
      <c r="A53" s="314" t="s">
        <v>551</v>
      </c>
      <c r="B53" s="314" t="s">
        <v>458</v>
      </c>
      <c r="C53" s="314" t="s">
        <v>481</v>
      </c>
      <c r="D53" s="314" t="s">
        <v>460</v>
      </c>
      <c r="E53" s="314" t="s">
        <v>482</v>
      </c>
      <c r="F53" s="314" t="s">
        <v>462</v>
      </c>
      <c r="G53" s="314" t="s">
        <v>463</v>
      </c>
      <c r="H53" s="314" t="s">
        <v>464</v>
      </c>
      <c r="I53" s="314"/>
      <c r="J53" s="314"/>
      <c r="K53" s="314"/>
      <c r="L53" s="314"/>
      <c r="M53" s="226">
        <f>VLOOKUP($C53,BAU_Demands!$B$3:$BK$48,BAU_Demands!K$1,0)</f>
        <v>0.27453468800000003</v>
      </c>
      <c r="N53" s="226">
        <f>VLOOKUP($C53,BAU_Demands!$B$3:$BK$48,BAU_Demands!L$1,0)</f>
        <v>0.28255511900000002</v>
      </c>
      <c r="O53" s="226">
        <f>VLOOKUP($C53,BAU_Demands!$B$3:$BK$48,BAU_Demands!M$1,0)</f>
        <v>0.269804828</v>
      </c>
      <c r="P53" s="226">
        <f>VLOOKUP($C53,BAU_Demands!$B$3:$BK$48,BAU_Demands!N$1,0)</f>
        <v>0.31491248199999999</v>
      </c>
      <c r="Q53" s="314">
        <f>VLOOKUP($C53,BAU_Demands!$B$3:$BK$48,BAU_Demands!O$1,0)</f>
        <v>0.32</v>
      </c>
      <c r="R53" s="314">
        <f>VLOOKUP($C53,BAU_Demands!$B$3:$BK$48,BAU_Demands!P$1,0)</f>
        <v>0.33</v>
      </c>
      <c r="S53" s="314">
        <f>VLOOKUP($C53,BAU_Demands!$B$3:$BK$48,BAU_Demands!Q$1,0)</f>
        <v>0.33</v>
      </c>
      <c r="T53" s="314">
        <f>VLOOKUP($C53,BAU_Demands!$B$3:$BK$48,BAU_Demands!R$1,0)</f>
        <v>0.35</v>
      </c>
      <c r="U53" s="314">
        <f>VLOOKUP($C53,BAU_Demands!$B$3:$BK$48,BAU_Demands!S$1,0)</f>
        <v>0.35</v>
      </c>
      <c r="V53" s="314">
        <f>VLOOKUP($C53,BAU_Demands!$B$3:$BK$48,BAU_Demands!T$1,0)</f>
        <v>0.37</v>
      </c>
      <c r="W53" s="314">
        <f>VLOOKUP($C53,BAU_Demands!$B$3:$BK$48,BAU_Demands!U$1,0)</f>
        <v>0.37</v>
      </c>
      <c r="X53" s="314">
        <f>VLOOKUP($C53,BAU_Demands!$B$3:$BK$48,BAU_Demands!V$1,0)</f>
        <v>0.38</v>
      </c>
      <c r="Y53" s="314">
        <f>VLOOKUP($C53,BAU_Demands!$B$3:$BK$48,BAU_Demands!W$1,0)</f>
        <v>0.39</v>
      </c>
      <c r="Z53" s="314">
        <f>VLOOKUP($C53,BAU_Demands!$B$3:$BK$48,BAU_Demands!X$1,0)</f>
        <v>0.4</v>
      </c>
      <c r="AA53" s="314">
        <f>VLOOKUP($C53,BAU_Demands!$B$3:$BK$48,BAU_Demands!Y$1,0)</f>
        <v>0.41</v>
      </c>
      <c r="AB53" s="314">
        <f>VLOOKUP($C53,BAU_Demands!$B$3:$BK$48,BAU_Demands!Z$1,0)</f>
        <v>0.42</v>
      </c>
      <c r="AC53" s="314">
        <f>VLOOKUP($C53,BAU_Demands!$B$3:$BK$48,BAU_Demands!AA$1,0)</f>
        <v>0.43</v>
      </c>
      <c r="AD53" s="314">
        <f>VLOOKUP($C53,BAU_Demands!$B$3:$BK$48,BAU_Demands!AB$1,0)</f>
        <v>0.44</v>
      </c>
      <c r="AE53" s="314">
        <f>VLOOKUP($C53,BAU_Demands!$B$3:$BK$48,BAU_Demands!AC$1,0)</f>
        <v>0.45</v>
      </c>
      <c r="AF53" s="314">
        <f>VLOOKUP($C53,BAU_Demands!$B$3:$BK$48,BAU_Demands!AD$1,0)</f>
        <v>0.46</v>
      </c>
      <c r="AG53" s="314">
        <f>VLOOKUP($C53,BAU_Demands!$B$3:$BK$48,BAU_Demands!AE$1,0)</f>
        <v>0.47</v>
      </c>
      <c r="AH53" s="314">
        <f>VLOOKUP($C53,BAU_Demands!$B$3:$BK$48,BAU_Demands!AF$1,0)</f>
        <v>0.48</v>
      </c>
      <c r="AI53" s="314">
        <f>VLOOKUP($C53,BAU_Demands!$B$3:$BK$48,BAU_Demands!AG$1,0)</f>
        <v>0.49</v>
      </c>
      <c r="AJ53" s="314">
        <f>VLOOKUP($C53,BAU_Demands!$B$3:$BK$48,BAU_Demands!AH$1,0)</f>
        <v>0.5</v>
      </c>
      <c r="AK53" s="314">
        <f>VLOOKUP($C53,BAU_Demands!$B$3:$BK$48,BAU_Demands!AI$1,0)</f>
        <v>0.51</v>
      </c>
      <c r="AL53" s="314">
        <f>VLOOKUP($C53,BAU_Demands!$B$3:$BK$48,BAU_Demands!AJ$1,0)</f>
        <v>0.52</v>
      </c>
      <c r="AM53" s="314">
        <f>VLOOKUP($C53,BAU_Demands!$B$3:$BK$48,BAU_Demands!AK$1,0)</f>
        <v>0.52</v>
      </c>
      <c r="AN53" s="314">
        <f>VLOOKUP($C53,BAU_Demands!$B$3:$BK$48,BAU_Demands!AL$1,0)</f>
        <v>0.53</v>
      </c>
      <c r="AO53" s="314">
        <f>VLOOKUP($C53,BAU_Demands!$B$3:$BK$48,BAU_Demands!AM$1,0)</f>
        <v>0.54</v>
      </c>
      <c r="AP53" s="314">
        <f>VLOOKUP($C53,BAU_Demands!$B$3:$BK$48,BAU_Demands!AN$1,0)</f>
        <v>0.55000000000000004</v>
      </c>
      <c r="AQ53" s="314">
        <f>VLOOKUP($C53,BAU_Demands!$B$3:$BK$48,BAU_Demands!AO$1,0)</f>
        <v>0.56000000000000005</v>
      </c>
      <c r="AR53" s="314">
        <f>VLOOKUP($C53,BAU_Demands!$B$3:$BK$48,BAU_Demands!AP$1,0)</f>
        <v>0.56999999999999995</v>
      </c>
      <c r="AS53" s="314">
        <f>VLOOKUP($C53,BAU_Demands!$B$3:$BK$48,BAU_Demands!AQ$1,0)</f>
        <v>0.57999999999999996</v>
      </c>
      <c r="AT53" s="314">
        <f>VLOOKUP($C53,BAU_Demands!$B$3:$BK$48,BAU_Demands!AR$1,0)</f>
        <v>0.59</v>
      </c>
      <c r="AU53" s="314">
        <f>VLOOKUP($C53,BAU_Demands!$B$3:$BK$48,BAU_Demands!AS$1,0)</f>
        <v>0.59</v>
      </c>
      <c r="AV53" s="314">
        <f>VLOOKUP($C53,BAU_Demands!$B$3:$BK$48,BAU_Demands!AT$1,0)</f>
        <v>0.6</v>
      </c>
      <c r="AW53" s="314">
        <f>VLOOKUP($C53,BAU_Demands!$B$3:$BK$48,BAU_Demands!AU$1,0)</f>
        <v>0.61</v>
      </c>
      <c r="AX53" s="314">
        <f>VLOOKUP($C53,BAU_Demands!$B$3:$BK$48,BAU_Demands!AV$1,0)</f>
        <v>0.62</v>
      </c>
      <c r="AY53" s="314">
        <f>VLOOKUP($C53,BAU_Demands!$B$3:$BK$48,BAU_Demands!AW$1,0)</f>
        <v>0.63</v>
      </c>
      <c r="AZ53" s="314">
        <f>VLOOKUP($C53,BAU_Demands!$B$3:$BK$48,BAU_Demands!AX$1,0)</f>
        <v>0.64</v>
      </c>
      <c r="BA53" s="314">
        <f>VLOOKUP($C53,BAU_Demands!$B$3:$BK$48,BAU_Demands!AY$1,0)</f>
        <v>0.64</v>
      </c>
      <c r="BB53" s="314">
        <f>VLOOKUP($C53,BAU_Demands!$B$3:$BK$48,BAU_Demands!AZ$1,0)</f>
        <v>0.65</v>
      </c>
      <c r="BC53" s="314">
        <f>VLOOKUP($C53,BAU_Demands!$B$3:$BK$48,BAU_Demands!BA$1,0)</f>
        <v>0.66</v>
      </c>
      <c r="BD53" s="314">
        <f>VLOOKUP($C53,BAU_Demands!$B$3:$BK$48,BAU_Demands!BB$1,0)</f>
        <v>0.67</v>
      </c>
      <c r="BE53" s="314">
        <f>VLOOKUP($C53,BAU_Demands!$B$3:$BK$48,BAU_Demands!BC$1,0)</f>
        <v>0.68</v>
      </c>
      <c r="BF53" s="314">
        <f>VLOOKUP($C53,BAU_Demands!$B$3:$BK$48,BAU_Demands!BD$1,0)</f>
        <v>0.68</v>
      </c>
      <c r="BG53" s="314">
        <f>VLOOKUP($C53,BAU_Demands!$B$3:$BK$48,BAU_Demands!BE$1,0)</f>
        <v>0.69</v>
      </c>
      <c r="BH53" s="314">
        <f>VLOOKUP($C53,BAU_Demands!$B$3:$BK$48,BAU_Demands!BF$1,0)</f>
        <v>0.7</v>
      </c>
      <c r="BI53" s="314">
        <f>VLOOKUP($C53,BAU_Demands!$B$3:$BK$48,BAU_Demands!BG$1,0)</f>
        <v>0.71</v>
      </c>
      <c r="BJ53" s="314">
        <f>VLOOKUP($C53,BAU_Demands!$B$3:$BK$48,BAU_Demands!BH$1,0)</f>
        <v>0.71</v>
      </c>
      <c r="BK53" s="314">
        <f>VLOOKUP($C53,BAU_Demands!$B$3:$BK$48,BAU_Demands!BI$1,0)</f>
        <v>0.72</v>
      </c>
      <c r="BL53" s="314">
        <f>VLOOKUP($C53,BAU_Demands!$B$3:$BK$48,BAU_Demands!BJ$1,0)</f>
        <v>0.73</v>
      </c>
      <c r="BM53" s="314">
        <f>VLOOKUP($C53,BAU_Demands!$B$3:$BK$48,BAU_Demands!BK$1,0)</f>
        <v>0.73</v>
      </c>
    </row>
    <row r="54" spans="1:65" ht="15.75" hidden="1" customHeight="1">
      <c r="A54" s="30" t="s">
        <v>551</v>
      </c>
      <c r="B54" s="30" t="s">
        <v>458</v>
      </c>
      <c r="C54" s="30" t="s">
        <v>483</v>
      </c>
      <c r="D54" s="30" t="s">
        <v>460</v>
      </c>
      <c r="E54" s="30" t="s">
        <v>484</v>
      </c>
      <c r="F54" s="30" t="s">
        <v>462</v>
      </c>
      <c r="G54" s="30" t="s">
        <v>463</v>
      </c>
      <c r="H54" s="30" t="s">
        <v>464</v>
      </c>
      <c r="I54" s="30" t="s">
        <v>44</v>
      </c>
      <c r="J54" s="30" t="s">
        <v>44</v>
      </c>
      <c r="K54" s="30" t="s">
        <v>44</v>
      </c>
      <c r="L54" s="30" t="s">
        <v>44</v>
      </c>
      <c r="M54" s="226">
        <f>VLOOKUP($C54,BAU_Demands!$B$3:$BK$48,BAU_Demands!K$1,0)</f>
        <v>2.3911177970000002</v>
      </c>
      <c r="N54" s="226">
        <f>VLOOKUP($C54,BAU_Demands!$B$3:$BK$48,BAU_Demands!L$1,0)</f>
        <v>2.397757151</v>
      </c>
      <c r="O54" s="226">
        <f>VLOOKUP($C54,BAU_Demands!$B$3:$BK$48,BAU_Demands!M$1,0)</f>
        <v>2.240690061</v>
      </c>
      <c r="P54" s="226">
        <f>VLOOKUP($C54,BAU_Demands!$B$3:$BK$48,BAU_Demands!N$1,0)</f>
        <v>2.3810967559999998</v>
      </c>
      <c r="Q54" s="30">
        <f>VLOOKUP($C12,BAU_Demands!$B$3:$BK$48,BAU_Demands!O$1,0)*(1-'Net Zero 2070'!G94)</f>
        <v>2.4</v>
      </c>
      <c r="R54" s="30">
        <f>VLOOKUP($C12,BAU_Demands!$B$3:$BK$48,BAU_Demands!P$1,0)*(1-'Net Zero 2070'!H94)</f>
        <v>2.5042269999999998</v>
      </c>
      <c r="S54" s="30">
        <f>VLOOKUP($C12,BAU_Demands!$B$3:$BK$48,BAU_Demands!Q$1,0)*(1-'Net Zero 2070'!I94)</f>
        <v>2.5181089999999999</v>
      </c>
      <c r="T54" s="30">
        <f>VLOOKUP($C12,BAU_Demands!$B$3:$BK$48,BAU_Demands!R$1,0)*(1-'Net Zero 2070'!J94)</f>
        <v>2.6215200000000003</v>
      </c>
      <c r="U54" s="30">
        <f>VLOOKUP($C12,BAU_Demands!$B$3:$BK$48,BAU_Demands!S$1,0)*(1-'Net Zero 2070'!K94)</f>
        <v>2.5829760000000004</v>
      </c>
      <c r="V54" s="30">
        <f>VLOOKUP($C12,BAU_Demands!$B$3:$BK$48,BAU_Demands!T$1,0)*(1-'Net Zero 2070'!L94)</f>
        <v>2.6697259999999998</v>
      </c>
      <c r="W54" s="30">
        <f>VLOOKUP($C12,BAU_Demands!$B$3:$BK$48,BAU_Demands!U$1,0)*(1-'Net Zero 2070'!M94)</f>
        <v>2.6482680000000003</v>
      </c>
      <c r="X54" s="30">
        <f>VLOOKUP($C12,BAU_Demands!$B$3:$BK$48,BAU_Demands!V$1,0)*(1-'Net Zero 2070'!N94)</f>
        <v>2.7009940000000001</v>
      </c>
      <c r="Y54" s="30">
        <f>VLOOKUP($C12,BAU_Demands!$B$3:$BK$48,BAU_Demands!W$1,0)*(1-'Net Zero 2070'!O94)</f>
        <v>2.6772000000000005</v>
      </c>
      <c r="Z54" s="30">
        <f>VLOOKUP($C12,BAU_Demands!$B$3:$BK$48,BAU_Demands!X$1,0)*(1-'Net Zero 2070'!P94)</f>
        <v>2.7603200000000001</v>
      </c>
      <c r="AA54" s="30">
        <f>VLOOKUP($C12,BAU_Demands!$B$3:$BK$48,BAU_Demands!Y$1,0)*(1-'Net Zero 2070'!Q94)</f>
        <v>2.7507199999999998</v>
      </c>
      <c r="AB54" s="30">
        <f>VLOOKUP($C12,BAU_Demands!$B$3:$BK$48,BAU_Demands!Z$1,0)*(1-'Net Zero 2070'!R94)</f>
        <v>2.81996</v>
      </c>
      <c r="AC54" s="30">
        <f>VLOOKUP($C12,BAU_Demands!$B$3:$BK$48,BAU_Demands!AA$1,0)*(1-'Net Zero 2070'!S94)</f>
        <v>2.81656</v>
      </c>
      <c r="AD54" s="30">
        <f>VLOOKUP($C12,BAU_Demands!$B$3:$BK$48,BAU_Demands!AB$1,0)*(1-'Net Zero 2070'!T94)</f>
        <v>2.8637999999999999</v>
      </c>
      <c r="AE54" s="30">
        <f>VLOOKUP($C12,BAU_Demands!$B$3:$BK$48,BAU_Demands!AC$1,0)*(1-'Net Zero 2070'!U94)</f>
        <v>2.8662399999999999</v>
      </c>
      <c r="AF54" s="30">
        <f>VLOOKUP($C12,BAU_Demands!$B$3:$BK$48,BAU_Demands!AD$1,0)*(1-'Net Zero 2070'!V94)</f>
        <v>2.9092799999999999</v>
      </c>
      <c r="AG54" s="30">
        <f>VLOOKUP($C12,BAU_Demands!$B$3:$BK$48,BAU_Demands!AE$1,0)*(1-'Net Zero 2070'!W94)</f>
        <v>2.9087200000000002</v>
      </c>
      <c r="AH54" s="30">
        <f>VLOOKUP($C12,BAU_Demands!$B$3:$BK$48,BAU_Demands!AF$1,0)*(1-'Net Zero 2070'!X94)</f>
        <v>2.9556800000000001</v>
      </c>
      <c r="AI54" s="30">
        <f>VLOOKUP($C12,BAU_Demands!$B$3:$BK$48,BAU_Demands!AG$1,0)*(1-'Net Zero 2070'!Y94)</f>
        <v>2.952</v>
      </c>
      <c r="AJ54" s="30">
        <f>VLOOKUP($C12,BAU_Demands!$B$3:$BK$48,BAU_Demands!AH$1,0)*(1-'Net Zero 2070'!Z94)</f>
        <v>2.99376</v>
      </c>
      <c r="AK54" s="30">
        <f>VLOOKUP($C12,BAU_Demands!$B$3:$BK$48,BAU_Demands!AI$1,0)*(1-'Net Zero 2070'!AA94)</f>
        <v>3.0105599999999999</v>
      </c>
      <c r="AL54" s="30">
        <f>VLOOKUP($C12,BAU_Demands!$B$3:$BK$48,BAU_Demands!AJ$1,0)*(1-'Net Zero 2070'!AB94)</f>
        <v>3.0341600000000004</v>
      </c>
      <c r="AM54" s="30">
        <f>VLOOKUP($C12,BAU_Demands!$B$3:$BK$48,BAU_Demands!AK$1,0)*(1-'Net Zero 2070'!AC94)</f>
        <v>3.0489600000000001</v>
      </c>
      <c r="AN54" s="30">
        <f>VLOOKUP($C12,BAU_Demands!$B$3:$BK$48,BAU_Demands!AL$1,0)*(1-'Net Zero 2070'!AD94)</f>
        <v>3.0704000000000002</v>
      </c>
      <c r="AO54" s="30">
        <f>VLOOKUP($C12,BAU_Demands!$B$3:$BK$48,BAU_Demands!AM$1,0)*(1-'Net Zero 2070'!AE94)</f>
        <v>3.0989400000000002</v>
      </c>
      <c r="AP54" s="30">
        <f>VLOOKUP($C12,BAU_Demands!$B$3:$BK$48,BAU_Demands!AN$1,0)*(1-'Net Zero 2070'!AF94)</f>
        <v>3.1266399999999996</v>
      </c>
      <c r="AQ54" s="30">
        <f>VLOOKUP($C12,BAU_Demands!$B$3:$BK$48,BAU_Demands!AO$1,0)*(1-'Net Zero 2070'!AG94)</f>
        <v>3.1386600000000002</v>
      </c>
      <c r="AR54" s="30">
        <f>VLOOKUP($C12,BAU_Demands!$B$3:$BK$48,BAU_Demands!AP$1,0)*(1-'Net Zero 2070'!AH94)</f>
        <v>3.1647999999999996</v>
      </c>
      <c r="AS54" s="30">
        <f>VLOOKUP($C12,BAU_Demands!$B$3:$BK$48,BAU_Demands!AQ$1,0)*(1-'Net Zero 2070'!AI94)</f>
        <v>3.1754999999999995</v>
      </c>
      <c r="AT54" s="30">
        <f>VLOOKUP($C12,BAU_Demands!$B$3:$BK$48,BAU_Demands!AR$1,0)*(1-'Net Zero 2070'!AJ94)</f>
        <v>3.2161799999999996</v>
      </c>
      <c r="AU54" s="30">
        <f>VLOOKUP($C12,BAU_Demands!$B$3:$BK$48,BAU_Demands!AS$1,0)*(1-'Net Zero 2070'!AK94)</f>
        <v>3.2417799999999999</v>
      </c>
      <c r="AV54" s="30">
        <f>VLOOKUP($C12,BAU_Demands!$B$3:$BK$48,BAU_Demands!AT$1,0)*(1-'Net Zero 2070'!AL94)</f>
        <v>3.2668999999999997</v>
      </c>
      <c r="AW54" s="30">
        <f>VLOOKUP($C12,BAU_Demands!$B$3:$BK$48,BAU_Demands!AU$1,0)*(1-'Net Zero 2070'!AM94)</f>
        <v>3.2986800000000001</v>
      </c>
      <c r="AX54" s="30">
        <f>VLOOKUP($C12,BAU_Demands!$B$3:$BK$48,BAU_Demands!AV$1,0)*(1-'Net Zero 2070'!AN94)</f>
        <v>3.3227999999999995</v>
      </c>
      <c r="AY54" s="30">
        <f>VLOOKUP($C12,BAU_Demands!$B$3:$BK$48,BAU_Demands!AW$1,0)*(1-'Net Zero 2070'!AO94)</f>
        <v>3.363</v>
      </c>
      <c r="AZ54" s="30">
        <f>VLOOKUP($C12,BAU_Demands!$B$3:$BK$48,BAU_Demands!AX$1,0)*(1-'Net Zero 2070'!AP94)</f>
        <v>3.3958599999999994</v>
      </c>
      <c r="BA54" s="30">
        <f>VLOOKUP($C12,BAU_Demands!$B$3:$BK$48,BAU_Demands!AY$1,0)*(1-'Net Zero 2070'!AQ94)</f>
        <v>3.42848</v>
      </c>
      <c r="BB54" s="30">
        <f>VLOOKUP($C12,BAU_Demands!$B$3:$BK$48,BAU_Demands!AZ$1,0)*(1-'Net Zero 2070'!AR94)</f>
        <v>3.4608599999999994</v>
      </c>
      <c r="BC54" s="30">
        <f>VLOOKUP($C12,BAU_Demands!$B$3:$BK$48,BAU_Demands!BA$1,0)*(1-'Net Zero 2070'!AS94)</f>
        <v>3.4929999999999999</v>
      </c>
      <c r="BD54" s="30">
        <f>VLOOKUP($C12,BAU_Demands!$B$3:$BK$48,BAU_Demands!BB$1,0)*(1-'Net Zero 2070'!AT94)</f>
        <v>3.5299500000000004</v>
      </c>
      <c r="BE54" s="30">
        <f>VLOOKUP($C12,BAU_Demands!$B$3:$BK$48,BAU_Demands!BC$1,0)*(1-'Net Zero 2070'!AU94)</f>
        <v>3.5667800000000001</v>
      </c>
      <c r="BF54" s="30">
        <f>VLOOKUP($C12,BAU_Demands!$B$3:$BK$48,BAU_Demands!BD$1,0)*(1-'Net Zero 2070'!AV94)</f>
        <v>3.6034900000000003</v>
      </c>
      <c r="BG54" s="30">
        <f>VLOOKUP($C12,BAU_Demands!$B$3:$BK$48,BAU_Demands!BE$1,0)*(1-'Net Zero 2070'!AW94)</f>
        <v>3.6400800000000002</v>
      </c>
      <c r="BH54" s="30">
        <f>VLOOKUP($C12,BAU_Demands!$B$3:$BK$48,BAU_Demands!BF$1,0)*(1-'Net Zero 2070'!AX94)</f>
        <v>3.6765500000000002</v>
      </c>
      <c r="BI54" s="30">
        <f>VLOOKUP($C12,BAU_Demands!$B$3:$BK$48,BAU_Demands!BG$1,0)*(1-'Net Zero 2070'!AY94)</f>
        <v>3.7059599999999997</v>
      </c>
      <c r="BJ54" s="30">
        <f>VLOOKUP($C12,BAU_Demands!$B$3:$BK$48,BAU_Demands!BH$1,0)*(1-'Net Zero 2070'!AZ94)</f>
        <v>3.7422000000000004</v>
      </c>
      <c r="BK54" s="30">
        <f>VLOOKUP($C12,BAU_Demands!$B$3:$BK$48,BAU_Demands!BI$1,0)*(1-'Net Zero 2070'!BA94)</f>
        <v>3.7713999999999999</v>
      </c>
      <c r="BL54" s="30">
        <f>VLOOKUP($C12,BAU_Demands!$B$3:$BK$48,BAU_Demands!BJ$1,0)*(1-'Net Zero 2070'!BB94)</f>
        <v>3.8005000000000004</v>
      </c>
      <c r="BM54" s="30">
        <f>VLOOKUP($C12,BAU_Demands!$B$3:$BK$48,BAU_Demands!BK$1,0)*(1-'Net Zero 2070'!BC94)</f>
        <v>3.8363999999999994</v>
      </c>
    </row>
    <row r="55" spans="1:65" ht="15.75" hidden="1" customHeight="1">
      <c r="A55" s="314" t="s">
        <v>551</v>
      </c>
      <c r="B55" s="314" t="s">
        <v>458</v>
      </c>
      <c r="C55" s="314" t="s">
        <v>485</v>
      </c>
      <c r="D55" s="314" t="s">
        <v>460</v>
      </c>
      <c r="E55" s="314" t="s">
        <v>486</v>
      </c>
      <c r="F55" s="314" t="s">
        <v>462</v>
      </c>
      <c r="G55" s="314" t="s">
        <v>463</v>
      </c>
      <c r="H55" s="314" t="s">
        <v>464</v>
      </c>
      <c r="I55" s="314" t="s">
        <v>44</v>
      </c>
      <c r="J55" s="314" t="s">
        <v>44</v>
      </c>
      <c r="K55" s="314" t="s">
        <v>44</v>
      </c>
      <c r="L55" s="314" t="s">
        <v>44</v>
      </c>
      <c r="M55" s="226">
        <f>VLOOKUP($C55,BAU_Demands!$B$3:$BK$48,BAU_Demands!K$1,0)</f>
        <v>5.736839035</v>
      </c>
      <c r="N55" s="226">
        <f>VLOOKUP($C55,BAU_Demands!$B$3:$BK$48,BAU_Demands!L$1,0)</f>
        <v>4.7138772869999999</v>
      </c>
      <c r="O55" s="226">
        <f>VLOOKUP($C55,BAU_Demands!$B$3:$BK$48,BAU_Demands!M$1,0)</f>
        <v>4.5998940529999999</v>
      </c>
      <c r="P55" s="226">
        <f>VLOOKUP($C55,BAU_Demands!$B$3:$BK$48,BAU_Demands!N$1,0)</f>
        <v>4.3899411639999997</v>
      </c>
      <c r="Q55" s="314">
        <f>VLOOKUP($C13,BAU_Demands!$B$3:$BK$48,BAU_Demands!O$1,0)*(1-'Net Zero 2070'!G93)</f>
        <v>4.42</v>
      </c>
      <c r="R55" s="314">
        <f>VLOOKUP($C13,BAU_Demands!$B$3:$BK$48,BAU_Demands!P$1,0)*(1-'Net Zero 2070'!H93)</f>
        <v>4.6047540000000007</v>
      </c>
      <c r="S55" s="314">
        <f>VLOOKUP($C13,BAU_Demands!$B$3:$BK$48,BAU_Demands!Q$1,0)*(1-'Net Zero 2070'!I93)</f>
        <v>4.6287779999999996</v>
      </c>
      <c r="T55" s="314">
        <f>VLOOKUP($C13,BAU_Demands!$B$3:$BK$48,BAU_Demands!R$1,0)*(1-'Net Zero 2070'!J93)</f>
        <v>4.8113999999999999</v>
      </c>
      <c r="U55" s="314">
        <f>VLOOKUP($C13,BAU_Demands!$B$3:$BK$48,BAU_Demands!S$1,0)*(1-'Net Zero 2070'!K93)</f>
        <v>4.7920800000000003</v>
      </c>
      <c r="V55" s="314">
        <f>VLOOKUP($C13,BAU_Demands!$B$3:$BK$48,BAU_Demands!T$1,0)*(1-'Net Zero 2070'!L93)</f>
        <v>4.9877999999999991</v>
      </c>
      <c r="W55" s="314">
        <f>VLOOKUP($C13,BAU_Demands!$B$3:$BK$48,BAU_Demands!U$1,0)*(1-'Net Zero 2070'!M93)</f>
        <v>5.0057999999999998</v>
      </c>
      <c r="X55" s="314">
        <f>VLOOKUP($C13,BAU_Demands!$B$3:$BK$48,BAU_Demands!V$1,0)*(1-'Net Zero 2070'!N93)</f>
        <v>5.1487799999999995</v>
      </c>
      <c r="Y55" s="314">
        <f>VLOOKUP($C13,BAU_Demands!$B$3:$BK$48,BAU_Demands!W$1,0)*(1-'Net Zero 2070'!O93)</f>
        <v>5.1551999999999998</v>
      </c>
      <c r="Z55" s="314">
        <f>VLOOKUP($C13,BAU_Demands!$B$3:$BK$48,BAU_Demands!X$1,0)*(1-'Net Zero 2070'!P93)</f>
        <v>5.3519399999999999</v>
      </c>
      <c r="AA55" s="314">
        <f>VLOOKUP($C13,BAU_Demands!$B$3:$BK$48,BAU_Demands!Y$1,0)*(1-'Net Zero 2070'!Q93)</f>
        <v>5.3751599999999993</v>
      </c>
      <c r="AB55" s="314">
        <f>VLOOKUP($C13,BAU_Demands!$B$3:$BK$48,BAU_Demands!Z$1,0)*(1-'Net Zero 2070'!R93)</f>
        <v>5.548379999999999</v>
      </c>
      <c r="AC55" s="314">
        <f>VLOOKUP($C13,BAU_Demands!$B$3:$BK$48,BAU_Demands!AA$1,0)*(1-'Net Zero 2070'!S93)</f>
        <v>5.5785599999999995</v>
      </c>
      <c r="AD55" s="314">
        <f>VLOOKUP($C13,BAU_Demands!$B$3:$BK$48,BAU_Demands!AB$1,0)*(1-'Net Zero 2070'!T93)</f>
        <v>5.7195</v>
      </c>
      <c r="AE55" s="314">
        <f>VLOOKUP($C13,BAU_Demands!$B$3:$BK$48,BAU_Demands!AC$1,0)*(1-'Net Zero 2070'!U93)</f>
        <v>5.7720000000000002</v>
      </c>
      <c r="AF55" s="314">
        <f>VLOOKUP($C13,BAU_Demands!$B$3:$BK$48,BAU_Demands!AD$1,0)*(1-'Net Zero 2070'!V93)</f>
        <v>5.9064000000000005</v>
      </c>
      <c r="AG55" s="314">
        <f>VLOOKUP($C13,BAU_Demands!$B$3:$BK$48,BAU_Demands!AE$1,0)*(1-'Net Zero 2070'!W93)</f>
        <v>5.9566499999999998</v>
      </c>
      <c r="AH55" s="314">
        <f>VLOOKUP($C13,BAU_Demands!$B$3:$BK$48,BAU_Demands!AF$1,0)*(1-'Net Zero 2070'!X93)</f>
        <v>6.0970000000000004</v>
      </c>
      <c r="AI55" s="314">
        <f>VLOOKUP($C13,BAU_Demands!$B$3:$BK$48,BAU_Demands!AG$1,0)*(1-'Net Zero 2070'!Y93)</f>
        <v>6.1539999999999999</v>
      </c>
      <c r="AJ55" s="314">
        <f>VLOOKUP($C13,BAU_Demands!$B$3:$BK$48,BAU_Demands!AH$1,0)*(1-'Net Zero 2070'!Z93)</f>
        <v>6.2729999999999997</v>
      </c>
      <c r="AK55" s="314">
        <f>VLOOKUP($C13,BAU_Demands!$B$3:$BK$48,BAU_Demands!AI$1,0)*(1-'Net Zero 2070'!AA93)</f>
        <v>6.3276500000000002</v>
      </c>
      <c r="AL55" s="314">
        <f>VLOOKUP($C13,BAU_Demands!$B$3:$BK$48,BAU_Demands!AJ$1,0)*(1-'Net Zero 2070'!AB93)</f>
        <v>6.4169</v>
      </c>
      <c r="AM55" s="314">
        <f>VLOOKUP($C13,BAU_Demands!$B$3:$BK$48,BAU_Demands!AK$1,0)*(1-'Net Zero 2070'!AC93)</f>
        <v>6.4693499999999995</v>
      </c>
      <c r="AN55" s="314">
        <f>VLOOKUP($C13,BAU_Demands!$B$3:$BK$48,BAU_Demands!AL$1,0)*(1-'Net Zero 2070'!AD93)</f>
        <v>6.556</v>
      </c>
      <c r="AO55" s="314">
        <f>VLOOKUP($C13,BAU_Demands!$B$3:$BK$48,BAU_Demands!AM$1,0)*(1-'Net Zero 2070'!AE93)</f>
        <v>6.6313200000000005</v>
      </c>
      <c r="AP55" s="314">
        <f>VLOOKUP($C13,BAU_Demands!$B$3:$BK$48,BAU_Demands!AN$1,0)*(1-'Net Zero 2070'!AF93)</f>
        <v>6.7231199999999998</v>
      </c>
      <c r="AQ55" s="314">
        <f>VLOOKUP($C13,BAU_Demands!$B$3:$BK$48,BAU_Demands!AO$1,0)*(1-'Net Zero 2070'!AG93)</f>
        <v>6.7617200000000004</v>
      </c>
      <c r="AR55" s="314">
        <f>VLOOKUP($C13,BAU_Demands!$B$3:$BK$48,BAU_Demands!AP$1,0)*(1-'Net Zero 2070'!AH93)</f>
        <v>6.8515199999999998</v>
      </c>
      <c r="AS55" s="314">
        <f>VLOOKUP($C13,BAU_Demands!$B$3:$BK$48,BAU_Demands!AQ$1,0)*(1-'Net Zero 2070'!AI93)</f>
        <v>6.8971999999999998</v>
      </c>
      <c r="AT55" s="314">
        <f>VLOOKUP($C13,BAU_Demands!$B$3:$BK$48,BAU_Demands!AR$1,0)*(1-'Net Zero 2070'!AJ93)</f>
        <v>6.9931200000000002</v>
      </c>
      <c r="AU55" s="314">
        <f>VLOOKUP($C13,BAU_Demands!$B$3:$BK$48,BAU_Demands!AS$1,0)*(1-'Net Zero 2070'!AK93)</f>
        <v>7.0711199999999996</v>
      </c>
      <c r="AV55" s="314">
        <f>VLOOKUP($C13,BAU_Demands!$B$3:$BK$48,BAU_Demands!AT$1,0)*(1-'Net Zero 2070'!AL93)</f>
        <v>7.1398900000000003</v>
      </c>
      <c r="AW55" s="314">
        <f>VLOOKUP($C13,BAU_Demands!$B$3:$BK$48,BAU_Demands!AU$1,0)*(1-'Net Zero 2070'!AM93)</f>
        <v>7.2164799999999998</v>
      </c>
      <c r="AX55" s="314">
        <f>VLOOKUP($C13,BAU_Demands!$B$3:$BK$48,BAU_Demands!AV$1,0)*(1-'Net Zero 2070'!AN93)</f>
        <v>7.2923500000000008</v>
      </c>
      <c r="AY55" s="314">
        <f>VLOOKUP($C13,BAU_Demands!$B$3:$BK$48,BAU_Demands!AW$1,0)*(1-'Net Zero 2070'!AO93)</f>
        <v>7.3762499999999998</v>
      </c>
      <c r="AZ55" s="314">
        <f>VLOOKUP($C13,BAU_Demands!$B$3:$BK$48,BAU_Demands!AX$1,0)*(1-'Net Zero 2070'!AP93)</f>
        <v>7.4512599999999996</v>
      </c>
      <c r="BA55" s="314">
        <f>VLOOKUP($C13,BAU_Demands!$B$3:$BK$48,BAU_Demands!AY$1,0)*(1-'Net Zero 2070'!AQ93)</f>
        <v>7.5342200000000004</v>
      </c>
      <c r="BB55" s="314">
        <f>VLOOKUP($C13,BAU_Demands!$B$3:$BK$48,BAU_Demands!AZ$1,0)*(1-'Net Zero 2070'!AR93)</f>
        <v>7.6083299999999996</v>
      </c>
      <c r="BC55" s="314">
        <f>VLOOKUP($C13,BAU_Demands!$B$3:$BK$48,BAU_Demands!BA$1,0)*(1-'Net Zero 2070'!AS93)</f>
        <v>7.6903500000000005</v>
      </c>
      <c r="BD55" s="314">
        <f>VLOOKUP($C13,BAU_Demands!$B$3:$BK$48,BAU_Demands!BB$1,0)*(1-'Net Zero 2070'!AT93)</f>
        <v>7.7645400000000002</v>
      </c>
      <c r="BE55" s="314">
        <f>VLOOKUP($C13,BAU_Demands!$B$3:$BK$48,BAU_Demands!BC$1,0)*(1-'Net Zero 2070'!AU93)</f>
        <v>7.8468599999999995</v>
      </c>
      <c r="BF55" s="314">
        <f>VLOOKUP($C13,BAU_Demands!$B$3:$BK$48,BAU_Demands!BD$1,0)*(1-'Net Zero 2070'!AV93)</f>
        <v>7.9289599999999991</v>
      </c>
      <c r="BG55" s="314">
        <f>VLOOKUP($C13,BAU_Demands!$B$3:$BK$48,BAU_Demands!BE$1,0)*(1-'Net Zero 2070'!AW93)</f>
        <v>8.01084</v>
      </c>
      <c r="BH55" s="314">
        <f>VLOOKUP($C13,BAU_Demands!$B$3:$BK$48,BAU_Demands!BF$1,0)*(1-'Net Zero 2070'!AX93)</f>
        <v>8.0841999999999992</v>
      </c>
      <c r="BI55" s="314">
        <f>VLOOKUP($C13,BAU_Demands!$B$3:$BK$48,BAU_Demands!BG$1,0)*(1-'Net Zero 2070'!AY93)</f>
        <v>8.1754999999999995</v>
      </c>
      <c r="BJ55" s="314">
        <f>VLOOKUP($C13,BAU_Demands!$B$3:$BK$48,BAU_Demands!BH$1,0)*(1-'Net Zero 2070'!AZ93)</f>
        <v>8.2584999999999997</v>
      </c>
      <c r="BK55" s="314">
        <f>VLOOKUP($C13,BAU_Demands!$B$3:$BK$48,BAU_Demands!BI$1,0)*(1-'Net Zero 2070'!BA93)</f>
        <v>8.3414999999999999</v>
      </c>
      <c r="BL55" s="314">
        <f>VLOOKUP($C13,BAU_Demands!$B$3:$BK$48,BAU_Demands!BJ$1,0)*(1-'Net Zero 2070'!BB93)</f>
        <v>8.4245000000000001</v>
      </c>
      <c r="BM55" s="314">
        <f>VLOOKUP($C13,BAU_Demands!$B$3:$BK$48,BAU_Demands!BK$1,0)*(1-'Net Zero 2070'!BC93)</f>
        <v>8.4992000000000001</v>
      </c>
    </row>
    <row r="56" spans="1:65" ht="15.75" hidden="1" customHeight="1">
      <c r="A56" s="314" t="s">
        <v>551</v>
      </c>
      <c r="B56" s="314" t="s">
        <v>458</v>
      </c>
      <c r="C56" s="314" t="s">
        <v>487</v>
      </c>
      <c r="D56" s="314" t="s">
        <v>460</v>
      </c>
      <c r="E56" s="314" t="s">
        <v>488</v>
      </c>
      <c r="F56" s="314" t="s">
        <v>462</v>
      </c>
      <c r="G56" s="314" t="s">
        <v>463</v>
      </c>
      <c r="H56" s="314" t="s">
        <v>464</v>
      </c>
      <c r="I56" s="314"/>
      <c r="J56" s="314"/>
      <c r="K56" s="314"/>
      <c r="L56" s="314"/>
      <c r="M56" s="226">
        <f>VLOOKUP($C56,BAU_Demands!$B$3:$BK$48,BAU_Demands!K$1,0)</f>
        <v>9.9128536000000003E-2</v>
      </c>
      <c r="N56" s="226">
        <f>VLOOKUP($C56,BAU_Demands!$B$3:$BK$48,BAU_Demands!L$1,0)</f>
        <v>0.12304462300000001</v>
      </c>
      <c r="O56" s="226">
        <f>VLOOKUP($C56,BAU_Demands!$B$3:$BK$48,BAU_Demands!M$1,0)</f>
        <v>3.4599036E-2</v>
      </c>
      <c r="P56" s="226">
        <f>VLOOKUP($C56,BAU_Demands!$B$3:$BK$48,BAU_Demands!N$1,0)</f>
        <v>0.23700357599999999</v>
      </c>
      <c r="Q56" s="314">
        <f>VLOOKUP($C56,BAU_Demands!$B$3:$BK$48,BAU_Demands!O$1,0)</f>
        <v>0.24</v>
      </c>
      <c r="R56" s="314">
        <f>VLOOKUP($C56,BAU_Demands!$B$3:$BK$48,BAU_Demands!P$1,0)</f>
        <v>0.25</v>
      </c>
      <c r="S56" s="314">
        <f>VLOOKUP($C56,BAU_Demands!$B$3:$BK$48,BAU_Demands!Q$1,0)</f>
        <v>0.25</v>
      </c>
      <c r="T56" s="314">
        <f>VLOOKUP($C56,BAU_Demands!$B$3:$BK$48,BAU_Demands!R$1,0)</f>
        <v>0.26</v>
      </c>
      <c r="U56" s="314">
        <f>VLOOKUP($C56,BAU_Demands!$B$3:$BK$48,BAU_Demands!S$1,0)</f>
        <v>0.26</v>
      </c>
      <c r="V56" s="314">
        <f>VLOOKUP($C56,BAU_Demands!$B$3:$BK$48,BAU_Demands!T$1,0)</f>
        <v>0.28000000000000003</v>
      </c>
      <c r="W56" s="314">
        <f>VLOOKUP($C56,BAU_Demands!$B$3:$BK$48,BAU_Demands!U$1,0)</f>
        <v>0.28000000000000003</v>
      </c>
      <c r="X56" s="314">
        <f>VLOOKUP($C56,BAU_Demands!$B$3:$BK$48,BAU_Demands!V$1,0)</f>
        <v>0.28999999999999998</v>
      </c>
      <c r="Y56" s="314">
        <f>VLOOKUP($C56,BAU_Demands!$B$3:$BK$48,BAU_Demands!W$1,0)</f>
        <v>0.28999999999999998</v>
      </c>
      <c r="Z56" s="314">
        <f>VLOOKUP($C56,BAU_Demands!$B$3:$BK$48,BAU_Demands!X$1,0)</f>
        <v>0.3</v>
      </c>
      <c r="AA56" s="314">
        <f>VLOOKUP($C56,BAU_Demands!$B$3:$BK$48,BAU_Demands!Y$1,0)</f>
        <v>0.31</v>
      </c>
      <c r="AB56" s="314">
        <f>VLOOKUP($C56,BAU_Demands!$B$3:$BK$48,BAU_Demands!Z$1,0)</f>
        <v>0.32</v>
      </c>
      <c r="AC56" s="314">
        <f>VLOOKUP($C56,BAU_Demands!$B$3:$BK$48,BAU_Demands!AA$1,0)</f>
        <v>0.32</v>
      </c>
      <c r="AD56" s="314">
        <f>VLOOKUP($C56,BAU_Demands!$B$3:$BK$48,BAU_Demands!AB$1,0)</f>
        <v>0.33</v>
      </c>
      <c r="AE56" s="314">
        <f>VLOOKUP($C56,BAU_Demands!$B$3:$BK$48,BAU_Demands!AC$1,0)</f>
        <v>0.34</v>
      </c>
      <c r="AF56" s="314">
        <f>VLOOKUP($C56,BAU_Demands!$B$3:$BK$48,BAU_Demands!AD$1,0)</f>
        <v>0.35</v>
      </c>
      <c r="AG56" s="314">
        <f>VLOOKUP($C56,BAU_Demands!$B$3:$BK$48,BAU_Demands!AE$1,0)</f>
        <v>0.35</v>
      </c>
      <c r="AH56" s="314">
        <f>VLOOKUP($C56,BAU_Demands!$B$3:$BK$48,BAU_Demands!AF$1,0)</f>
        <v>0.36</v>
      </c>
      <c r="AI56" s="314">
        <f>VLOOKUP($C56,BAU_Demands!$B$3:$BK$48,BAU_Demands!AG$1,0)</f>
        <v>0.37</v>
      </c>
      <c r="AJ56" s="314">
        <f>VLOOKUP($C56,BAU_Demands!$B$3:$BK$48,BAU_Demands!AH$1,0)</f>
        <v>0.38</v>
      </c>
      <c r="AK56" s="314">
        <f>VLOOKUP($C56,BAU_Demands!$B$3:$BK$48,BAU_Demands!AI$1,0)</f>
        <v>0.38</v>
      </c>
      <c r="AL56" s="314">
        <f>VLOOKUP($C56,BAU_Demands!$B$3:$BK$48,BAU_Demands!AJ$1,0)</f>
        <v>0.39</v>
      </c>
      <c r="AM56" s="314">
        <f>VLOOKUP($C56,BAU_Demands!$B$3:$BK$48,BAU_Demands!AK$1,0)</f>
        <v>0.39</v>
      </c>
      <c r="AN56" s="314">
        <f>VLOOKUP($C56,BAU_Demands!$B$3:$BK$48,BAU_Demands!AL$1,0)</f>
        <v>0.4</v>
      </c>
      <c r="AO56" s="314">
        <f>VLOOKUP($C56,BAU_Demands!$B$3:$BK$48,BAU_Demands!AM$1,0)</f>
        <v>0.41</v>
      </c>
      <c r="AP56" s="314">
        <f>VLOOKUP($C56,BAU_Demands!$B$3:$BK$48,BAU_Demands!AN$1,0)</f>
        <v>0.42</v>
      </c>
      <c r="AQ56" s="314">
        <f>VLOOKUP($C56,BAU_Demands!$B$3:$BK$48,BAU_Demands!AO$1,0)</f>
        <v>0.42</v>
      </c>
      <c r="AR56" s="314">
        <f>VLOOKUP($C56,BAU_Demands!$B$3:$BK$48,BAU_Demands!AP$1,0)</f>
        <v>0.43</v>
      </c>
      <c r="AS56" s="314">
        <f>VLOOKUP($C56,BAU_Demands!$B$3:$BK$48,BAU_Demands!AQ$1,0)</f>
        <v>0.43</v>
      </c>
      <c r="AT56" s="314">
        <f>VLOOKUP($C56,BAU_Demands!$B$3:$BK$48,BAU_Demands!AR$1,0)</f>
        <v>0.44</v>
      </c>
      <c r="AU56" s="314">
        <f>VLOOKUP($C56,BAU_Demands!$B$3:$BK$48,BAU_Demands!AS$1,0)</f>
        <v>0.45</v>
      </c>
      <c r="AV56" s="314">
        <f>VLOOKUP($C56,BAU_Demands!$B$3:$BK$48,BAU_Demands!AT$1,0)</f>
        <v>0.45</v>
      </c>
      <c r="AW56" s="314">
        <f>VLOOKUP($C56,BAU_Demands!$B$3:$BK$48,BAU_Demands!AU$1,0)</f>
        <v>0.46</v>
      </c>
      <c r="AX56" s="314">
        <f>VLOOKUP($C56,BAU_Demands!$B$3:$BK$48,BAU_Demands!AV$1,0)</f>
        <v>0.47</v>
      </c>
      <c r="AY56" s="314">
        <f>VLOOKUP($C56,BAU_Demands!$B$3:$BK$48,BAU_Demands!AW$1,0)</f>
        <v>0.47</v>
      </c>
      <c r="AZ56" s="314">
        <f>VLOOKUP($C56,BAU_Demands!$B$3:$BK$48,BAU_Demands!AX$1,0)</f>
        <v>0.48</v>
      </c>
      <c r="BA56" s="314">
        <f>VLOOKUP($C56,BAU_Demands!$B$3:$BK$48,BAU_Demands!AY$1,0)</f>
        <v>0.48</v>
      </c>
      <c r="BB56" s="314">
        <f>VLOOKUP($C56,BAU_Demands!$B$3:$BK$48,BAU_Demands!AZ$1,0)</f>
        <v>0.49</v>
      </c>
      <c r="BC56" s="314">
        <f>VLOOKUP($C56,BAU_Demands!$B$3:$BK$48,BAU_Demands!BA$1,0)</f>
        <v>0.5</v>
      </c>
      <c r="BD56" s="314">
        <f>VLOOKUP($C56,BAU_Demands!$B$3:$BK$48,BAU_Demands!BB$1,0)</f>
        <v>0.5</v>
      </c>
      <c r="BE56" s="314">
        <f>VLOOKUP($C56,BAU_Demands!$B$3:$BK$48,BAU_Demands!BC$1,0)</f>
        <v>0.51</v>
      </c>
      <c r="BF56" s="314">
        <f>VLOOKUP($C56,BAU_Demands!$B$3:$BK$48,BAU_Demands!BD$1,0)</f>
        <v>0.51</v>
      </c>
      <c r="BG56" s="314">
        <f>VLOOKUP($C56,BAU_Demands!$B$3:$BK$48,BAU_Demands!BE$1,0)</f>
        <v>0.52</v>
      </c>
      <c r="BH56" s="314">
        <f>VLOOKUP($C56,BAU_Demands!$B$3:$BK$48,BAU_Demands!BF$1,0)</f>
        <v>0.53</v>
      </c>
      <c r="BI56" s="314">
        <f>VLOOKUP($C56,BAU_Demands!$B$3:$BK$48,BAU_Demands!BG$1,0)</f>
        <v>0.53</v>
      </c>
      <c r="BJ56" s="314">
        <f>VLOOKUP($C56,BAU_Demands!$B$3:$BK$48,BAU_Demands!BH$1,0)</f>
        <v>0.54</v>
      </c>
      <c r="BK56" s="314">
        <f>VLOOKUP($C56,BAU_Demands!$B$3:$BK$48,BAU_Demands!BI$1,0)</f>
        <v>0.54</v>
      </c>
      <c r="BL56" s="314">
        <f>VLOOKUP($C56,BAU_Demands!$B$3:$BK$48,BAU_Demands!BJ$1,0)</f>
        <v>0.55000000000000004</v>
      </c>
      <c r="BM56" s="314">
        <f>VLOOKUP($C56,BAU_Demands!$B$3:$BK$48,BAU_Demands!BK$1,0)</f>
        <v>0.55000000000000004</v>
      </c>
    </row>
    <row r="57" spans="1:65" ht="14.4" hidden="1">
      <c r="A57" s="29" t="s">
        <v>551</v>
      </c>
      <c r="B57" s="29" t="s">
        <v>458</v>
      </c>
      <c r="C57" s="29" t="s">
        <v>489</v>
      </c>
      <c r="D57" s="29" t="s">
        <v>460</v>
      </c>
      <c r="E57" s="29" t="s">
        <v>490</v>
      </c>
      <c r="F57" s="29" t="s">
        <v>462</v>
      </c>
      <c r="G57" s="29" t="s">
        <v>463</v>
      </c>
      <c r="H57" s="29" t="s">
        <v>464</v>
      </c>
      <c r="I57" s="29" t="s">
        <v>44</v>
      </c>
      <c r="J57" s="29" t="s">
        <v>44</v>
      </c>
      <c r="K57" s="29" t="s">
        <v>44</v>
      </c>
      <c r="L57" s="29" t="s">
        <v>44</v>
      </c>
      <c r="M57" s="327">
        <f>VLOOKUP($C57,BAU_Demands!$B$3:$BK$48,BAU_Demands!K$1,0)</f>
        <v>2.0131327520000002</v>
      </c>
      <c r="N57" s="327">
        <f>VLOOKUP($C57,BAU_Demands!$B$3:$BK$48,BAU_Demands!L$1,0)</f>
        <v>1.852291168</v>
      </c>
      <c r="O57" s="327">
        <f>VLOOKUP($C57,BAU_Demands!$B$3:$BK$48,BAU_Demands!M$1,0)</f>
        <v>1.9887452189999999</v>
      </c>
      <c r="P57" s="327">
        <f>VLOOKUP($C57,BAU_Demands!$B$3:$BK$48,BAU_Demands!N$1,0)</f>
        <v>2.2581693889999999</v>
      </c>
      <c r="Q57" s="324">
        <f>(SUM(BAU_Demands!O14:O19)-Q58-Q59-Q61-Q62-BAU_Demands!O17)*(1-'Net Zero 2070'!G81)*(1-'Net Zero 2070'!I86)</f>
        <v>2.4573099999999966</v>
      </c>
      <c r="R57" s="324">
        <f>(SUM(BAU_Demands!P14:P19)-R58-R59-R61-R62-BAU_Demands!P17)*(1-'Net Zero 2070'!H81)*(1-'Net Zero 2070'!J86)</f>
        <v>2.7483116768407392</v>
      </c>
      <c r="S57" s="324">
        <f>(SUM(BAU_Demands!Q14:Q19)-S58-S59-S61-S62-BAU_Demands!Q17)*(1-'Net Zero 2070'!I81)*(1-'Net Zero 2070'!K86)</f>
        <v>3.4387629289801529</v>
      </c>
      <c r="T57" s="324">
        <f>(SUM(BAU_Demands!R14:R19)-T58-T59-T61-T62-BAU_Demands!R17)*(1-'Net Zero 2070'!J81)*(1-'Net Zero 2070'!L86)</f>
        <v>3.6718302810642132</v>
      </c>
      <c r="U57" s="324">
        <f>(SUM(BAU_Demands!S14:S19)-U58-U59-U61-U62-BAU_Demands!S17)*(1-'Net Zero 2070'!K81)*(1-'Net Zero 2070'!M86)</f>
        <v>4.52756210745628</v>
      </c>
      <c r="V57" s="324">
        <f>(SUM(BAU_Demands!T14:T19)-V58-V59-V61-V62-BAU_Demands!T17)*(1-'Net Zero 2070'!L81)*(1-'Net Zero 2070'!N86)</f>
        <v>4.8086328852800033</v>
      </c>
      <c r="W57" s="324">
        <f>(SUM(BAU_Demands!U14:U19)-W58-W59-W61-W62-BAU_Demands!U17)*(1-'Net Zero 2070'!M81)*(1-'Net Zero 2070'!O86)</f>
        <v>5.7863213918278431</v>
      </c>
      <c r="X57" s="324">
        <f>(SUM(BAU_Demands!V14:V19)-X58-X59-X61-X62-BAU_Demands!V17)*(1-'Net Zero 2070'!N81)*(1-'Net Zero 2070'!P86)</f>
        <v>5.9843117932728562</v>
      </c>
      <c r="Y57" s="324">
        <f>(SUM(BAU_Demands!W14:W19)-Y58-Y59-Y61-Y62-BAU_Demands!W17)*(1-'Net Zero 2070'!O81)*(1-'Net Zero 2070'!Q86)</f>
        <v>6.9998397383139368</v>
      </c>
      <c r="Z57" s="324">
        <f>(SUM(BAU_Demands!X14:X19)-Z58-Z59-Z61-Z62-BAU_Demands!X17)*(1-'Net Zero 2070'!P81)*(1-'Net Zero 2070'!R86)</f>
        <v>7.2665769713987141</v>
      </c>
      <c r="AA57" s="324">
        <f>(SUM(BAU_Demands!Y14:Y19)-AA58-AA59-AA61-AA62-BAU_Demands!Y17)*(1-'Net Zero 2070'!Q81)*(1-'Net Zero 2070'!S86)</f>
        <v>8.3324199678212185</v>
      </c>
      <c r="AB57" s="324">
        <f>(SUM(BAU_Demands!Z14:Z19)-AB58-AB59-AB61-AB62-BAU_Demands!Z17)*(1-'Net Zero 2070'!R81)*(1-'Net Zero 2070'!T86)</f>
        <v>8.6114122299195444</v>
      </c>
      <c r="AC57" s="324">
        <f>(SUM(BAU_Demands!AA14:AA19)-AC58-AC59-AC61-AC62-BAU_Demands!AA17)*(1-'Net Zero 2070'!S81)*(1-'Net Zero 2070'!U86)</f>
        <v>9.6765384398267145</v>
      </c>
      <c r="AD57" s="324">
        <f>(SUM(BAU_Demands!AB14:AB19)-AD58-AD59-AD61-AD62-BAU_Demands!AB17)*(1-'Net Zero 2070'!T81)*(1-'Net Zero 2070'!V86)</f>
        <v>9.953240884680298</v>
      </c>
      <c r="AE57" s="324">
        <f>(SUM(BAU_Demands!AC14:AC19)-AE58-AE59-AE61-AE62-BAU_Demands!AC17)*(1-'Net Zero 2070'!U81)*(1-'Net Zero 2070'!W86)</f>
        <v>11.012644459244136</v>
      </c>
      <c r="AF57" s="324">
        <f>(SUM(BAU_Demands!AD14:AD19)-AF58-AF59-AF61-AF62-BAU_Demands!AD17)*(1-'Net Zero 2070'!V81)*(1-'Net Zero 2070'!X86)</f>
        <v>11.320489619090777</v>
      </c>
      <c r="AG57" s="324">
        <f>(SUM(BAU_Demands!AE14:AE19)-AG58-AG59-AG61-AG62-BAU_Demands!AE17)*(1-'Net Zero 2070'!W81)*(1-'Net Zero 2070'!Y86)</f>
        <v>12.351699588968518</v>
      </c>
      <c r="AH57" s="324">
        <f>(SUM(BAU_Demands!AF14:AF19)-AH58-AH59-AH61-AH62-BAU_Demands!AF17)*(1-'Net Zero 2070'!X81)*(1-'Net Zero 2070'!Z86)</f>
        <v>12.748252559405056</v>
      </c>
      <c r="AI57" s="324">
        <f>(SUM(BAU_Demands!AG14:AG19)-AI58-AI59-AI61-AI62-BAU_Demands!AG17)*(1-'Net Zero 2070'!Y81)*(1-'Net Zero 2070'!AA86)</f>
        <v>13.760479349805514</v>
      </c>
      <c r="AJ57" s="324">
        <f>(SUM(BAU_Demands!AH14:AH19)-AJ58-AJ59-AJ61-AJ62-BAU_Demands!AH17)*(1-'Net Zero 2070'!Z81)*(1-'Net Zero 2070'!AB86)</f>
        <v>14.168870887980557</v>
      </c>
      <c r="AK57" s="324">
        <f>(SUM(BAU_Demands!AI14:AI19)-AK58-AK59-AK61-AK62-BAU_Demands!AI17)*(1-'Net Zero 2070'!AA81)*(1-'Net Zero 2070'!AC86)</f>
        <v>15.162955354539966</v>
      </c>
      <c r="AL57" s="324">
        <f>(SUM(BAU_Demands!AJ14:AJ19)-AL58-AL59-AL61-AL62-BAU_Demands!AJ17)*(1-'Net Zero 2070'!AB81)*(1-'Net Zero 2070'!AD86)</f>
        <v>15.550191088149841</v>
      </c>
      <c r="AM57" s="324">
        <f>(SUM(BAU_Demands!AK14:AK19)-AM58-AM59-AM61-AM62-BAU_Demands!AK17)*(1-'Net Zero 2070'!AC81)*(1-'Net Zero 2070'!AE86)</f>
        <v>16.530483094301484</v>
      </c>
      <c r="AN57" s="324">
        <f>(SUM(BAU_Demands!AL14:AL19)-AN58-AN59-AN61-AN62-BAU_Demands!AL17)*(1-'Net Zero 2070'!AD81)*(1-'Net Zero 2070'!AF86)</f>
        <v>16.989758273123986</v>
      </c>
      <c r="AO57" s="324">
        <f>(SUM(BAU_Demands!AM14:AM19)-AO58-AO59-AO61-AO62-BAU_Demands!AM17)*(1-'Net Zero 2070'!AE81)*(1-'Net Zero 2070'!AG86)</f>
        <v>17.962650851397452</v>
      </c>
      <c r="AP57" s="324">
        <f>(SUM(BAU_Demands!AN14:AN19)-AP58-AP59-AP61-AP62-BAU_Demands!AN17)*(1-'Net Zero 2070'!AF81)*(1-'Net Zero 2070'!AH86)</f>
        <v>18.450092628453596</v>
      </c>
      <c r="AQ57" s="324">
        <f>(SUM(BAU_Demands!AO14:AO19)-AQ58-AQ59-AQ61-AQ62-BAU_Demands!AO17)*(1-'Net Zero 2070'!AG81)*(1-'Net Zero 2070'!AI86)</f>
        <v>19.33844421131576</v>
      </c>
      <c r="AR57" s="324">
        <f>(SUM(BAU_Demands!AP14:AP19)-AR58-AR59-AR61-AR62-BAU_Demands!AP17)*(1-'Net Zero 2070'!AH81)*(1-'Net Zero 2070'!AJ86)</f>
        <v>19.871880401365278</v>
      </c>
      <c r="AS57" s="324">
        <f>(SUM(BAU_Demands!AQ14:AQ19)-AS58-AS59-AS61-AS62-BAU_Demands!AQ17)*(1-'Net Zero 2070'!AI81)*(1-'Net Zero 2070'!AK86)</f>
        <v>20.72381688314934</v>
      </c>
      <c r="AT57" s="324">
        <f>(SUM(BAU_Demands!AR14:AR19)-AT58-AT59-AT61-AT62-BAU_Demands!AR17)*(1-'Net Zero 2070'!AJ81)*(1-'Net Zero 2070'!AL86)</f>
        <v>21.517362801050776</v>
      </c>
      <c r="AU57" s="324">
        <f>(SUM(BAU_Demands!AS14:AS19)-AU58-AU59-AU61-AU62-BAU_Demands!AS17)*(1-'Net Zero 2070'!AK81)*(1-'Net Zero 2070'!AM86)</f>
        <v>22.278442916464847</v>
      </c>
      <c r="AV57" s="324">
        <f>(SUM(BAU_Demands!AT14:AT19)-AV58-AV59-AV61-AV62-BAU_Demands!AT17)*(1-'Net Zero 2070'!AL81)*(1-'Net Zero 2070'!AN86)</f>
        <v>23.104381272571135</v>
      </c>
      <c r="AW57" s="324">
        <f>(SUM(BAU_Demands!AU14:AU19)-AW58-AW59-AW61-AW62-BAU_Demands!AU17)*(1-'Net Zero 2070'!AM81)*(1-'Net Zero 2070'!AO86)</f>
        <v>23.906439021477187</v>
      </c>
      <c r="AX57" s="324">
        <f>(SUM(BAU_Demands!AV14:AV19)-AX58-AX59-AX61-AX62-BAU_Demands!AV17)*(1-'Net Zero 2070'!AN81)*(1-'Net Zero 2070'!AP86)</f>
        <v>24.784012507012857</v>
      </c>
      <c r="AY57" s="324">
        <f>(SUM(BAU_Demands!AW14:AW19)-AY58-AY59-AY61-AY62-BAU_Demands!AW17)*(1-'Net Zero 2070'!AO81)*(1-'Net Zero 2070'!AQ86)</f>
        <v>25.619806111468527</v>
      </c>
      <c r="AZ57" s="324">
        <f>(SUM(BAU_Demands!AX14:AX19)-AZ58-AZ59-AZ61-AZ62-BAU_Demands!AX17)*(1-'Net Zero 2070'!AP81)*(1-'Net Zero 2070'!AR86)</f>
        <v>26.555326545860702</v>
      </c>
      <c r="BA57" s="324">
        <f>(SUM(BAU_Demands!AY14:AY19)-BA58-BA59-BA61-BA62-BAU_Demands!AY17)*(1-'Net Zero 2070'!AQ81)*(1-'Net Zero 2070'!AS86)</f>
        <v>27.452269640224163</v>
      </c>
      <c r="BB57" s="324">
        <f>(SUM(BAU_Demands!AZ14:AZ19)-BB58-BB59-BB61-BB62-BAU_Demands!AZ17)*(1-'Net Zero 2070'!AR81)*(1-'Net Zero 2070'!AT86)</f>
        <v>28.397883955702543</v>
      </c>
      <c r="BC57" s="324">
        <f>(SUM(BAU_Demands!BA14:BA19)-BC58-BC59-BC61-BC62-BAU_Demands!BA17)*(1-'Net Zero 2070'!AS81)*(1-'Net Zero 2070'!AU86)</f>
        <v>29.353166648340402</v>
      </c>
      <c r="BD57" s="324">
        <f>(SUM(BAU_Demands!BB14:BB19)-BD58-BD59-BD61-BD62-BAU_Demands!BB17)*(1-'Net Zero 2070'!AT81)*(1-'Net Zero 2070'!AV86)</f>
        <v>30.397573779424931</v>
      </c>
      <c r="BE57" s="324">
        <f>(SUM(BAU_Demands!BC14:BC19)-BE58-BE59-BE61-BE62-BAU_Demands!BC17)*(1-'Net Zero 2070'!AU81)*(1-'Net Zero 2070'!AW86)</f>
        <v>31.418935129638104</v>
      </c>
      <c r="BF57" s="324">
        <f>(SUM(BAU_Demands!BD14:BD19)-BF58-BF59-BF61-BF62-BAU_Demands!BD17)*(1-'Net Zero 2070'!AV81)*(1-'Net Zero 2070'!AX86)</f>
        <v>32.49783341250744</v>
      </c>
      <c r="BG57" s="324">
        <f>(SUM(BAU_Demands!BE14:BE19)-BG58-BG59-BG61-BG62-BAU_Demands!BE17)*(1-'Net Zero 2070'!AW81)*(1-'Net Zero 2070'!AY86)</f>
        <v>33.573779900754381</v>
      </c>
      <c r="BH57" s="324">
        <f>(SUM(BAU_Demands!BF14:BF19)-BH58-BH59-BH61-BH62-BAU_Demands!BF17)*(1-'Net Zero 2070'!AX81)*(1-'Net Zero 2070'!AZ86)</f>
        <v>34.717745586892846</v>
      </c>
      <c r="BI57" s="324">
        <f>(SUM(BAU_Demands!BG14:BG19)-BI58-BI59-BI61-BI62-BAU_Demands!BG17)*(1-'Net Zero 2070'!AY81)*(1-'Net Zero 2070'!BA86)</f>
        <v>35.88592696676789</v>
      </c>
      <c r="BJ57" s="324">
        <f>(SUM(BAU_Demands!BH14:BH19)-BJ58-BJ59-BJ61-BJ62-BAU_Demands!BH17)*(1-'Net Zero 2070'!AZ81)*(1-'Net Zero 2070'!BB86)</f>
        <v>37.088424918162495</v>
      </c>
      <c r="BK57" s="324">
        <f>(SUM(BAU_Demands!BI14:BI19)-BK58-BK59-BK61-BK62-BAU_Demands!BI17)*(1-'Net Zero 2070'!BA81)*(1-'Net Zero 2070'!BC86)</f>
        <v>38.286895062711245</v>
      </c>
      <c r="BL57" s="324">
        <f>(SUM(BAU_Demands!BJ14:BJ19)-BL58-BL59-BL61-BL62-BAU_Demands!BJ17)*(1-'Net Zero 2070'!BB81)*(1-'Net Zero 2070'!BD86)</f>
        <v>39.553955790266137</v>
      </c>
      <c r="BM57" s="324">
        <f>(SUM(BAU_Demands!BK14:BK19)-BM58-BM59-BM61-BM62-BAU_Demands!BK17)*(1-'Net Zero 2070'!BC81)*(1-'Net Zero 2070'!BE86)</f>
        <v>40.844513960758405</v>
      </c>
    </row>
    <row r="58" spans="1:65" ht="15.75" hidden="1" customHeight="1">
      <c r="A58" s="314" t="s">
        <v>551</v>
      </c>
      <c r="B58" s="314" t="s">
        <v>458</v>
      </c>
      <c r="C58" s="314" t="s">
        <v>491</v>
      </c>
      <c r="D58" s="314" t="s">
        <v>460</v>
      </c>
      <c r="E58" s="314" t="s">
        <v>492</v>
      </c>
      <c r="F58" s="314" t="s">
        <v>462</v>
      </c>
      <c r="G58" s="314" t="s">
        <v>463</v>
      </c>
      <c r="H58" s="314" t="s">
        <v>464</v>
      </c>
      <c r="I58" s="314"/>
      <c r="J58" s="314"/>
      <c r="K58" s="314"/>
      <c r="L58" s="314"/>
      <c r="M58" s="226">
        <f>VLOOKUP($C58,BAU_Demands!$B$3:$BK$48,BAU_Demands!K$1,0)</f>
        <v>1.368450092</v>
      </c>
      <c r="N58" s="226">
        <f>VLOOKUP($C58,BAU_Demands!$B$3:$BK$48,BAU_Demands!L$1,0)</f>
        <v>1.05043928</v>
      </c>
      <c r="O58" s="226">
        <f>VLOOKUP($C58,BAU_Demands!$B$3:$BK$48,BAU_Demands!M$1,0)</f>
        <v>1.5998269759999999</v>
      </c>
      <c r="P58" s="226">
        <f>VLOOKUP($C58,BAU_Demands!$B$3:$BK$48,BAU_Demands!N$1,0)</f>
        <v>1.8325867499999999</v>
      </c>
      <c r="Q58" s="314">
        <f>(VLOOKUP($C16,BAU_Demands!$B$3:$BK$48,BAU_Demands!O$1,0)*(1-'Net Zero 2070'!G85))*(1-'Net Zero 2070'!I86)</f>
        <v>1.99</v>
      </c>
      <c r="R58" s="314">
        <f>(VLOOKUP($C16,BAU_Demands!$B$3:$BK$48,BAU_Demands!P$1,0)*(1-'Net Zero 2070'!H85))*(1-'Net Zero 2070'!J86)</f>
        <v>1.9221739982142863</v>
      </c>
      <c r="S58" s="314">
        <f>(VLOOKUP($C16,BAU_Demands!$B$3:$BK$48,BAU_Demands!Q$1,0)*(1-'Net Zero 2070'!I85))*(1-'Net Zero 2070'!K86)</f>
        <v>2.1005780473214304</v>
      </c>
      <c r="T58" s="314">
        <f>(VLOOKUP($C16,BAU_Demands!$B$3:$BK$48,BAU_Demands!R$1,0)*(1-'Net Zero 2070'!J85))*(1-'Net Zero 2070'!L86)</f>
        <v>2.0032764745535734</v>
      </c>
      <c r="U58" s="314">
        <f>(VLOOKUP($C16,BAU_Demands!$B$3:$BK$48,BAU_Demands!S$1,0)*(1-'Net Zero 2070'!K85))*(1-'Net Zero 2070'!M86)</f>
        <v>2.1816163339285706</v>
      </c>
      <c r="V58" s="314">
        <f>(VLOOKUP($C16,BAU_Demands!$B$3:$BK$48,BAU_Demands!T$1,0)*(1-'Net Zero 2070'!L85))*(1-'Net Zero 2070'!N86)</f>
        <v>2.0800859531250002</v>
      </c>
      <c r="W58" s="314">
        <f>(VLOOKUP($C16,BAU_Demands!$B$3:$BK$48,BAU_Demands!U$1,0)*(1-'Net Zero 2070'!M85))*(1-'Net Zero 2070'!O86)</f>
        <v>2.2714679625000009</v>
      </c>
      <c r="X58" s="314">
        <f>(VLOOKUP($C16,BAU_Demands!$B$3:$BK$48,BAU_Demands!V$1,0)*(1-'Net Zero 2070'!N85))*(1-'Net Zero 2070'!P86)</f>
        <v>2.1518023821428582</v>
      </c>
      <c r="Y58" s="314">
        <f>(VLOOKUP($C16,BAU_Demands!$B$3:$BK$48,BAU_Demands!W$1,0)*(1-'Net Zero 2070'!O85))*(1-'Net Zero 2070'!Q86)</f>
        <v>2.3275711821428602</v>
      </c>
      <c r="Z58" s="314">
        <f>(VLOOKUP($C16,BAU_Demands!$B$3:$BK$48,BAU_Demands!X$1,0)*(1-'Net Zero 2070'!P85))*(1-'Net Zero 2070'!R86)</f>
        <v>2.2349394727678566</v>
      </c>
      <c r="AA58" s="314">
        <f>(VLOOKUP($C16,BAU_Demands!$B$3:$BK$48,BAU_Demands!Y$1,0)*(1-'Net Zero 2070'!Q85))*(1-'Net Zero 2070'!S86)</f>
        <v>2.3853082700892858</v>
      </c>
      <c r="AB58" s="314">
        <f>(VLOOKUP($C16,BAU_Demands!$B$3:$BK$48,BAU_Demands!Z$1,0)*(1-'Net Zero 2070'!R85))*(1-'Net Zero 2070'!T86)</f>
        <v>2.3108056125000012</v>
      </c>
      <c r="AC58" s="314">
        <f>(VLOOKUP($C16,BAU_Demands!$B$3:$BK$48,BAU_Demands!AA$1,0)*(1-'Net Zero 2070'!S85))*(1-'Net Zero 2070'!U86)</f>
        <v>2.4376710000000017</v>
      </c>
      <c r="AD58" s="314">
        <f>(VLOOKUP($C16,BAU_Demands!$B$3:$BK$48,BAU_Demands!AB$1,0)*(1-'Net Zero 2070'!T85))*(1-'Net Zero 2070'!V86)</f>
        <v>2.3718228187500028</v>
      </c>
      <c r="AE58" s="314">
        <f>(VLOOKUP($C16,BAU_Demands!$B$3:$BK$48,BAU_Demands!AC$1,0)*(1-'Net Zero 2070'!U85))*(1-'Net Zero 2070'!W86)</f>
        <v>2.4880467790178562</v>
      </c>
      <c r="AF58" s="314">
        <f>(VLOOKUP($C16,BAU_Demands!$B$3:$BK$48,BAU_Demands!AD$1,0)*(1-'Net Zero 2070'!V85))*(1-'Net Zero 2070'!X86)</f>
        <v>2.4331838281249998</v>
      </c>
      <c r="AG58" s="314">
        <f>(VLOOKUP($C16,BAU_Demands!$B$3:$BK$48,BAU_Demands!AE$1,0)*(1-'Net Zero 2070'!W85))*(1-'Net Zero 2070'!Y86)</f>
        <v>2.5366012071428581</v>
      </c>
      <c r="AH58" s="314">
        <f>(VLOOKUP($C16,BAU_Demands!$B$3:$BK$48,BAU_Demands!AF$1,0)*(1-'Net Zero 2070'!X85))*(1-'Net Zero 2070'!Z86)</f>
        <v>2.5059561950892877</v>
      </c>
      <c r="AI58" s="314">
        <f>(VLOOKUP($C16,BAU_Demands!$B$3:$BK$48,BAU_Demands!AG$1,0)*(1-'Net Zero 2070'!Y85))*(1-'Net Zero 2070'!AA86)</f>
        <v>2.5887512857142889</v>
      </c>
      <c r="AJ58" s="314">
        <f>(VLOOKUP($C16,BAU_Demands!$B$3:$BK$48,BAU_Demands!AH$1,0)*(1-'Net Zero 2070'!Z85))*(1-'Net Zero 2070'!AB86)</f>
        <v>2.5692588502232132</v>
      </c>
      <c r="AK58" s="314">
        <f>(VLOOKUP($C16,BAU_Demands!$B$3:$BK$48,BAU_Demands!AI$1,0)*(1-'Net Zero 2070'!AA85))*(1-'Net Zero 2070'!AC86)</f>
        <v>2.6445076249999997</v>
      </c>
      <c r="AL58" s="314">
        <f>(VLOOKUP($C16,BAU_Demands!$B$3:$BK$48,BAU_Demands!AJ$1,0)*(1-'Net Zero 2070'!AB85))*(1-'Net Zero 2070'!AD86)</f>
        <v>2.6160843741071438</v>
      </c>
      <c r="AM58" s="314">
        <f>(VLOOKUP($C16,BAU_Demands!$B$3:$BK$48,BAU_Demands!AK$1,0)*(1-'Net Zero 2070'!AC85))*(1-'Net Zero 2070'!AE86)</f>
        <v>2.6882751468750028</v>
      </c>
      <c r="AN58" s="314">
        <f>(VLOOKUP($C16,BAU_Demands!$B$3:$BK$48,BAU_Demands!AL$1,0)*(1-'Net Zero 2070'!AD85))*(1-'Net Zero 2070'!AF86)</f>
        <v>2.6741127857142888</v>
      </c>
      <c r="AO58" s="314">
        <f>(VLOOKUP($C16,BAU_Demands!$B$3:$BK$48,BAU_Demands!AM$1,0)*(1-'Net Zero 2070'!AE85))*(1-'Net Zero 2070'!AG86)</f>
        <v>2.7395677589285703</v>
      </c>
      <c r="AP58" s="314">
        <f>(VLOOKUP($C16,BAU_Demands!$B$3:$BK$48,BAU_Demands!AN$1,0)*(1-'Net Zero 2070'!AF85))*(1-'Net Zero 2070'!AH86)</f>
        <v>2.7357159374999998</v>
      </c>
      <c r="AQ58" s="314">
        <f>(VLOOKUP($C16,BAU_Demands!$B$3:$BK$48,BAU_Demands!AO$1,0)*(1-'Net Zero 2070'!AG85))*(1-'Net Zero 2070'!AI86)</f>
        <v>2.7836193883928586</v>
      </c>
      <c r="AR58" s="314">
        <f>(VLOOKUP($C16,BAU_Demands!$B$3:$BK$48,BAU_Demands!AP$1,0)*(1-'Net Zero 2070'!AH85))*(1-'Net Zero 2070'!AJ86)</f>
        <v>2.7785724687500024</v>
      </c>
      <c r="AS58" s="314">
        <f>(VLOOKUP($C16,BAU_Demands!$B$3:$BK$48,BAU_Demands!AQ$1,0)*(1-'Net Zero 2070'!AI85))*(1-'Net Zero 2070'!AK86)</f>
        <v>2.8308289821428612</v>
      </c>
      <c r="AT58" s="314">
        <f>(VLOOKUP($C16,BAU_Demands!$B$3:$BK$48,BAU_Demands!AR$1,0)*(1-'Net Zero 2070'!AJ85))*(1-'Net Zero 2070'!AL86)</f>
        <v>2.8747178035714276</v>
      </c>
      <c r="AU58" s="314">
        <f>(VLOOKUP($C16,BAU_Demands!$B$3:$BK$48,BAU_Demands!AS$1,0)*(1-'Net Zero 2070'!AK85))*(1-'Net Zero 2070'!AM86)</f>
        <v>2.9104051785714287</v>
      </c>
      <c r="AV58" s="314">
        <f>(VLOOKUP($C16,BAU_Demands!$B$3:$BK$48,BAU_Demands!AT$1,0)*(1-'Net Zero 2070'!AL85))*(1-'Net Zero 2070'!AN86)</f>
        <v>2.9452059107142872</v>
      </c>
      <c r="AW58" s="314">
        <f>(VLOOKUP($C16,BAU_Demands!$B$3:$BK$48,BAU_Demands!AU$1,0)*(1-'Net Zero 2070'!AM85))*(1-'Net Zero 2070'!AO86)</f>
        <v>2.9791200000000027</v>
      </c>
      <c r="AX58" s="314">
        <f>(VLOOKUP($C16,BAU_Demands!$B$3:$BK$48,BAU_Demands!AV$1,0)*(1-'Net Zero 2070'!AN85))*(1-'Net Zero 2070'!AP86)</f>
        <v>3.0191851741071472</v>
      </c>
      <c r="AY58" s="314">
        <f>(VLOOKUP($C16,BAU_Demands!$B$3:$BK$48,BAU_Demands!AW$1,0)*(1-'Net Zero 2070'!AO85))*(1-'Net Zero 2070'!AQ86)</f>
        <v>3.0512705624999987</v>
      </c>
      <c r="AZ58" s="314">
        <f>(VLOOKUP($C16,BAU_Demands!$B$3:$BK$48,BAU_Demands!AX$1,0)*(1-'Net Zero 2070'!AP85))*(1-'Net Zero 2070'!AR86)</f>
        <v>3.0893962053571431</v>
      </c>
      <c r="BA58" s="314">
        <f>(VLOOKUP($C16,BAU_Demands!$B$3:$BK$48,BAU_Demands!AY$1,0)*(1-'Net Zero 2070'!AQ85))*(1-'Net Zero 2070'!AS86)</f>
        <v>3.1265243750000016</v>
      </c>
      <c r="BB58" s="314">
        <f>(VLOOKUP($C16,BAU_Demands!$B$3:$BK$48,BAU_Demands!AZ$1,0)*(1-'Net Zero 2070'!AR85))*(1-'Net Zero 2070'!AT86)</f>
        <v>3.1694711383928604</v>
      </c>
      <c r="BC58" s="314">
        <f>(VLOOKUP($C16,BAU_Demands!$B$3:$BK$48,BAU_Demands!BA$1,0)*(1-'Net Zero 2070'!AS85))*(1-'Net Zero 2070'!AU86)</f>
        <v>3.2045489464285759</v>
      </c>
      <c r="BD58" s="314">
        <f>(VLOOKUP($C16,BAU_Demands!$B$3:$BK$48,BAU_Demands!BB$1,0)*(1-'Net Zero 2070'!AT85))*(1-'Net Zero 2070'!AV86)</f>
        <v>3.2453345178571413</v>
      </c>
      <c r="BE58" s="314">
        <f>(VLOOKUP($C16,BAU_Demands!$B$3:$BK$48,BAU_Demands!BC$1,0)*(1-'Net Zero 2070'!AU85))*(1-'Net Zero 2070'!AW86)</f>
        <v>3.285011785714286</v>
      </c>
      <c r="BF58" s="314">
        <f>(VLOOKUP($C16,BAU_Demands!$B$3:$BK$48,BAU_Demands!BD$1,0)*(1-'Net Zero 2070'!AV85))*(1-'Net Zero 2070'!AX86)</f>
        <v>3.3235807500000019</v>
      </c>
      <c r="BG58" s="314">
        <f>(VLOOKUP($C16,BAU_Demands!$B$3:$BK$48,BAU_Demands!BE$1,0)*(1-'Net Zero 2070'!AW85))*(1-'Net Zero 2070'!AY86)</f>
        <v>3.361041410714289</v>
      </c>
      <c r="BH58" s="314">
        <f>(VLOOKUP($C16,BAU_Demands!$B$3:$BK$48,BAU_Demands!BF$1,0)*(1-'Net Zero 2070'!AX85))*(1-'Net Zero 2070'!AZ86)</f>
        <v>3.3973937678571482</v>
      </c>
      <c r="BI58" s="314">
        <f>(VLOOKUP($C16,BAU_Demands!$B$3:$BK$48,BAU_Demands!BG$1,0)*(1-'Net Zero 2070'!AY85))*(1-'Net Zero 2070'!BA86)</f>
        <v>3.4390659821428553</v>
      </c>
      <c r="BJ58" s="314">
        <f>(VLOOKUP($C16,BAU_Demands!$B$3:$BK$48,BAU_Demands!BH$1,0)*(1-'Net Zero 2070'!AZ85))*(1-'Net Zero 2070'!BB86)</f>
        <v>3.4795190625000001</v>
      </c>
      <c r="BK58" s="314">
        <f>(VLOOKUP($C16,BAU_Demands!$B$3:$BK$48,BAU_Demands!BI$1,0)*(1-'Net Zero 2070'!BA85))*(1-'Net Zero 2070'!BC86)</f>
        <v>3.5187530089285732</v>
      </c>
      <c r="BL58" s="314">
        <f>(VLOOKUP($C16,BAU_Demands!$B$3:$BK$48,BAU_Demands!BJ$1,0)*(1-'Net Zero 2070'!BB85))*(1-'Net Zero 2070'!BD86)</f>
        <v>3.5567678214285747</v>
      </c>
      <c r="BM58" s="314">
        <f>(VLOOKUP($C16,BAU_Demands!$B$3:$BK$48,BAU_Demands!BK$1,0)*(1-'Net Zero 2070'!BC85))*(1-'Net Zero 2070'!BE86)</f>
        <v>3.5997700000000052</v>
      </c>
    </row>
    <row r="59" spans="1:65" ht="15.75" hidden="1" customHeight="1">
      <c r="A59" s="30" t="s">
        <v>551</v>
      </c>
      <c r="B59" s="30" t="s">
        <v>458</v>
      </c>
      <c r="C59" s="30" t="s">
        <v>493</v>
      </c>
      <c r="D59" s="30" t="s">
        <v>460</v>
      </c>
      <c r="E59" s="30" t="s">
        <v>494</v>
      </c>
      <c r="F59" s="30" t="s">
        <v>462</v>
      </c>
      <c r="G59" s="30" t="s">
        <v>463</v>
      </c>
      <c r="H59" s="30" t="s">
        <v>464</v>
      </c>
      <c r="I59" s="30" t="s">
        <v>44</v>
      </c>
      <c r="J59" s="30" t="s">
        <v>44</v>
      </c>
      <c r="K59" s="30" t="s">
        <v>44</v>
      </c>
      <c r="L59" s="30" t="s">
        <v>44</v>
      </c>
      <c r="M59" s="226">
        <f>VLOOKUP($C59,BAU_Demands!$B$3:$BK$48,BAU_Demands!K$1,0)</f>
        <v>5.7711699510000001</v>
      </c>
      <c r="N59" s="226">
        <f>VLOOKUP($C59,BAU_Demands!$B$3:$BK$48,BAU_Demands!L$1,0)</f>
        <v>7.8918634460000003</v>
      </c>
      <c r="O59" s="226">
        <f>VLOOKUP($C59,BAU_Demands!$B$3:$BK$48,BAU_Demands!M$1,0)</f>
        <v>8.4675547279999996</v>
      </c>
      <c r="P59" s="226">
        <f>VLOOKUP($C59,BAU_Demands!$B$3:$BK$48,BAU_Demands!N$1,0)</f>
        <v>8.6230478349999995</v>
      </c>
      <c r="Q59" s="30">
        <f>VLOOKUP($C17,BAU_Demands!$B$3:$BK$48,BAU_Demands!O$1,0)*(1-'Net Zero 2070'!G84)*(1-'Net Zero 2070'!I86)</f>
        <v>9.3800000000000008</v>
      </c>
      <c r="R59" s="30">
        <f>VLOOKUP($C17,BAU_Demands!$B$3:$BK$48,BAU_Demands!P$1,0)*(1-'Net Zero 2070'!H84)*(1-'Net Zero 2070'!J86)</f>
        <v>9.0262913008928596</v>
      </c>
      <c r="S59" s="30">
        <f>VLOOKUP($C17,BAU_Demands!$B$3:$BK$48,BAU_Demands!Q$1,0)*(1-'Net Zero 2070'!I84)*(1-'Net Zero 2070'!K86)</f>
        <v>9.8943115500000083</v>
      </c>
      <c r="T59" s="30">
        <f>VLOOKUP($C17,BAU_Demands!$B$3:$BK$48,BAU_Demands!R$1,0)*(1-'Net Zero 2070'!J84)*(1-'Net Zero 2070'!L86)</f>
        <v>9.4134545017857238</v>
      </c>
      <c r="U59" s="30">
        <f>VLOOKUP($C17,BAU_Demands!$B$3:$BK$48,BAU_Demands!S$1,0)*(1-'Net Zero 2070'!K84)*(1-'Net Zero 2070'!M86)</f>
        <v>10.273779123214281</v>
      </c>
      <c r="V59" s="30">
        <f>VLOOKUP($C17,BAU_Demands!$B$3:$BK$48,BAU_Demands!T$1,0)*(1-'Net Zero 2070'!L84)*(1-'Net Zero 2070'!N86)</f>
        <v>9.7925507656250002</v>
      </c>
      <c r="W59" s="30">
        <f>VLOOKUP($C17,BAU_Demands!$B$3:$BK$48,BAU_Demands!U$1,0)*(1-'Net Zero 2070'!M84)*(1-'Net Zero 2070'!O86)</f>
        <v>10.700303625000004</v>
      </c>
      <c r="X59" s="30">
        <f>VLOOKUP($C17,BAU_Demands!$B$3:$BK$48,BAU_Demands!V$1,0)*(1-'Net Zero 2070'!N84)*(1-'Net Zero 2070'!P86)</f>
        <v>10.137586222767863</v>
      </c>
      <c r="Y59" s="30">
        <f>VLOOKUP($C17,BAU_Demands!$B$3:$BK$48,BAU_Demands!W$1,0)*(1-'Net Zero 2070'!O84)*(1-'Net Zero 2070'!Q86)</f>
        <v>10.941417289285726</v>
      </c>
      <c r="Z59" s="30">
        <f>VLOOKUP($C17,BAU_Demands!$B$3:$BK$48,BAU_Demands!X$1,0)*(1-'Net Zero 2070'!P84)*(1-'Net Zero 2070'!R86)</f>
        <v>10.523217031696426</v>
      </c>
      <c r="AA59" s="30">
        <f>VLOOKUP($C17,BAU_Demands!$B$3:$BK$48,BAU_Demands!Y$1,0)*(1-'Net Zero 2070'!Q84)*(1-'Net Zero 2070'!S86)</f>
        <v>11.238643459821429</v>
      </c>
      <c r="AB59" s="30">
        <f>VLOOKUP($C17,BAU_Demands!$B$3:$BK$48,BAU_Demands!Z$1,0)*(1-'Net Zero 2070'!R84)*(1-'Net Zero 2070'!T86)</f>
        <v>10.874898168750004</v>
      </c>
      <c r="AC59" s="30">
        <f>VLOOKUP($C17,BAU_Demands!$B$3:$BK$48,BAU_Demands!AA$1,0)*(1-'Net Zero 2070'!S84)*(1-'Net Zero 2070'!U86)</f>
        <v>11.483171603571437</v>
      </c>
      <c r="AD59" s="30">
        <f>VLOOKUP($C17,BAU_Demands!$B$3:$BK$48,BAU_Demands!AB$1,0)*(1-'Net Zero 2070'!T84)*(1-'Net Zero 2070'!V86)</f>
        <v>11.154442096875014</v>
      </c>
      <c r="AE59" s="30">
        <f>VLOOKUP($C17,BAU_Demands!$B$3:$BK$48,BAU_Demands!AC$1,0)*(1-'Net Zero 2070'!U84)*(1-'Net Zero 2070'!W86)</f>
        <v>11.718445580357139</v>
      </c>
      <c r="AF59" s="30">
        <f>VLOOKUP($C17,BAU_Demands!$B$3:$BK$48,BAU_Demands!AD$1,0)*(1-'Net Zero 2070'!V84)*(1-'Net Zero 2070'!X86)</f>
        <v>11.4695251484375</v>
      </c>
      <c r="AG59" s="30">
        <f>VLOOKUP($C17,BAU_Demands!$B$3:$BK$48,BAU_Demands!AE$1,0)*(1-'Net Zero 2070'!W84)*(1-'Net Zero 2070'!Y86)</f>
        <v>11.936946857142862</v>
      </c>
      <c r="AH59" s="30">
        <f>VLOOKUP($C17,BAU_Demands!$B$3:$BK$48,BAU_Demands!AF$1,0)*(1-'Net Zero 2070'!X84)*(1-'Net Zero 2070'!Z86)</f>
        <v>11.784545636383939</v>
      </c>
      <c r="AI59" s="30">
        <f>VLOOKUP($C17,BAU_Demands!$B$3:$BK$48,BAU_Demands!AG$1,0)*(1-'Net Zero 2070'!Y84)*(1-'Net Zero 2070'!AA86)</f>
        <v>12.191400586160729</v>
      </c>
      <c r="AJ59" s="30">
        <f>VLOOKUP($C17,BAU_Demands!$B$3:$BK$48,BAU_Demands!AH$1,0)*(1-'Net Zero 2070'!Z84)*(1-'Net Zero 2070'!AB86)</f>
        <v>12.077917772544637</v>
      </c>
      <c r="AK59" s="30">
        <f>VLOOKUP($C17,BAU_Demands!$B$3:$BK$48,BAU_Demands!AI$1,0)*(1-'Net Zero 2070'!AA84)*(1-'Net Zero 2070'!AC86)</f>
        <v>12.4545224375</v>
      </c>
      <c r="AL59" s="30">
        <f>VLOOKUP($C17,BAU_Demands!$B$3:$BK$48,BAU_Demands!AJ$1,0)*(1-'Net Zero 2070'!AB84)*(1-'Net Zero 2070'!AD86)</f>
        <v>12.320660839732147</v>
      </c>
      <c r="AM59" s="30">
        <f>VLOOKUP($C17,BAU_Demands!$B$3:$BK$48,BAU_Demands!AK$1,0)*(1-'Net Zero 2070'!AC84)*(1-'Net Zero 2070'!AE86)</f>
        <v>12.65116229062501</v>
      </c>
      <c r="AN59" s="30">
        <f>VLOOKUP($C17,BAU_Demands!$B$3:$BK$48,BAU_Demands!AL$1,0)*(1-'Net Zero 2070'!AD84)*(1-'Net Zero 2070'!AF86)</f>
        <v>12.566031428571442</v>
      </c>
      <c r="AO59" s="30">
        <f>VLOOKUP($C17,BAU_Demands!$B$3:$BK$48,BAU_Demands!AM$1,0)*(1-'Net Zero 2070'!AE84)*(1-'Net Zero 2070'!AG86)</f>
        <v>12.893422776785709</v>
      </c>
      <c r="AP59" s="30">
        <f>VLOOKUP($C17,BAU_Demands!$B$3:$BK$48,BAU_Demands!AN$1,0)*(1-'Net Zero 2070'!AF84)*(1-'Net Zero 2070'!AH86)</f>
        <v>12.859368046874998</v>
      </c>
      <c r="AQ59" s="30">
        <f>VLOOKUP($C17,BAU_Demands!$B$3:$BK$48,BAU_Demands!AO$1,0)*(1-'Net Zero 2070'!AG84)*(1-'Net Zero 2070'!AI86)</f>
        <v>13.099385357142864</v>
      </c>
      <c r="AR59" s="30">
        <f>VLOOKUP($C17,BAU_Demands!$B$3:$BK$48,BAU_Demands!AP$1,0)*(1-'Net Zero 2070'!AH84)*(1-'Net Zero 2070'!AJ86)</f>
        <v>13.082138281250012</v>
      </c>
      <c r="AS59" s="30">
        <f>VLOOKUP($C17,BAU_Demands!$B$3:$BK$48,BAU_Demands!AQ$1,0)*(1-'Net Zero 2070'!AI84)*(1-'Net Zero 2070'!AK86)</f>
        <v>13.334886910714303</v>
      </c>
      <c r="AT59" s="30">
        <f>VLOOKUP($C17,BAU_Demands!$B$3:$BK$48,BAU_Demands!AR$1,0)*(1-'Net Zero 2070'!AJ84)*(1-'Net Zero 2070'!AL86)</f>
        <v>13.524240575892851</v>
      </c>
      <c r="AU59" s="30">
        <f>VLOOKUP($C17,BAU_Demands!$B$3:$BK$48,BAU_Demands!AS$1,0)*(1-'Net Zero 2070'!AK84)*(1-'Net Zero 2070'!AM86)</f>
        <v>13.68034513392857</v>
      </c>
      <c r="AV59" s="30">
        <f>VLOOKUP($C17,BAU_Demands!$B$3:$BK$48,BAU_Demands!AT$1,0)*(1-'Net Zero 2070'!AL84)*(1-'Net Zero 2070'!AN86)</f>
        <v>13.861054031250006</v>
      </c>
      <c r="AW59" s="30">
        <f>VLOOKUP($C17,BAU_Demands!$B$3:$BK$48,BAU_Demands!AU$1,0)*(1-'Net Zero 2070'!AM84)*(1-'Net Zero 2070'!AO86)</f>
        <v>14.023143428571441</v>
      </c>
      <c r="AX59" s="30">
        <f>VLOOKUP($C17,BAU_Demands!$B$3:$BK$48,BAU_Demands!AV$1,0)*(1-'Net Zero 2070'!AN84)*(1-'Net Zero 2070'!AP86)</f>
        <v>14.202134455357163</v>
      </c>
      <c r="AY59" s="30">
        <f>VLOOKUP($C17,BAU_Demands!$B$3:$BK$48,BAU_Demands!AW$1,0)*(1-'Net Zero 2070'!AO84)*(1-'Net Zero 2070'!AQ86)</f>
        <v>14.369599124999993</v>
      </c>
      <c r="AZ59" s="30">
        <f>VLOOKUP($C17,BAU_Demands!$B$3:$BK$48,BAU_Demands!AX$1,0)*(1-'Net Zero 2070'!AP84)*(1-'Net Zero 2070'!AR86)</f>
        <v>14.55341127232143</v>
      </c>
      <c r="BA59" s="30">
        <f>VLOOKUP($C17,BAU_Demands!$B$3:$BK$48,BAU_Demands!AY$1,0)*(1-'Net Zero 2070'!AQ84)*(1-'Net Zero 2070'!AS86)</f>
        <v>14.718714750000007</v>
      </c>
      <c r="BB59" s="30">
        <f>VLOOKUP($C17,BAU_Demands!$B$3:$BK$48,BAU_Demands!AZ$1,0)*(1-'Net Zero 2070'!AR84)*(1-'Net Zero 2070'!AT86)</f>
        <v>14.899922383928583</v>
      </c>
      <c r="BC59" s="30">
        <f>VLOOKUP($C17,BAU_Demands!$B$3:$BK$48,BAU_Demands!BA$1,0)*(1-'Net Zero 2070'!AS84)*(1-'Net Zero 2070'!AU86)</f>
        <v>15.069492830357165</v>
      </c>
      <c r="BD59" s="30">
        <f>VLOOKUP($C17,BAU_Demands!$B$3:$BK$48,BAU_Demands!BB$1,0)*(1-'Net Zero 2070'!AT84)*(1-'Net Zero 2070'!AV86)</f>
        <v>15.261118517857138</v>
      </c>
      <c r="BE59" s="30">
        <f>VLOOKUP($C17,BAU_Demands!$B$3:$BK$48,BAU_Demands!BC$1,0)*(1-'Net Zero 2070'!AU84)*(1-'Net Zero 2070'!AW86)</f>
        <v>15.440885357142857</v>
      </c>
      <c r="BF59" s="30">
        <f>VLOOKUP($C17,BAU_Demands!$B$3:$BK$48,BAU_Demands!BD$1,0)*(1-'Net Zero 2070'!AV84)*(1-'Net Zero 2070'!AX86)</f>
        <v>15.622148406250011</v>
      </c>
      <c r="BG59" s="30">
        <f>VLOOKUP($C17,BAU_Demands!$B$3:$BK$48,BAU_Demands!BE$1,0)*(1-'Net Zero 2070'!AW84)*(1-'Net Zero 2070'!AY86)</f>
        <v>15.804741419642875</v>
      </c>
      <c r="BH59" s="30">
        <f>VLOOKUP($C17,BAU_Demands!$B$3:$BK$48,BAU_Demands!BF$1,0)*(1-'Net Zero 2070'!AX84)*(1-'Net Zero 2070'!AZ86)</f>
        <v>15.988498151785739</v>
      </c>
      <c r="BI59" s="30">
        <f>VLOOKUP($C17,BAU_Demands!$B$3:$BK$48,BAU_Demands!BG$1,0)*(1-'Net Zero 2070'!AY84)*(1-'Net Zero 2070'!BA86)</f>
        <v>16.17325235714285</v>
      </c>
      <c r="BJ59" s="30">
        <f>VLOOKUP($C17,BAU_Demands!$B$3:$BK$48,BAU_Demands!BH$1,0)*(1-'Net Zero 2070'!AZ84)*(1-'Net Zero 2070'!BB86)</f>
        <v>16.358837790178573</v>
      </c>
      <c r="BK59" s="30">
        <f>VLOOKUP($C17,BAU_Demands!$B$3:$BK$48,BAU_Demands!BI$1,0)*(1-'Net Zero 2070'!BA84)*(1-'Net Zero 2070'!BC86)</f>
        <v>16.551405535714292</v>
      </c>
      <c r="BL59" s="30">
        <f>VLOOKUP($C17,BAU_Demands!$B$3:$BK$48,BAU_Demands!BJ$1,0)*(1-'Net Zero 2070'!BB84)*(1-'Net Zero 2070'!BD86)</f>
        <v>16.738099272321445</v>
      </c>
      <c r="BM59" s="30">
        <f>VLOOKUP($C17,BAU_Demands!$B$3:$BK$48,BAU_Demands!BK$1,0)*(1-'Net Zero 2070'!BC84)*(1-'Net Zero 2070'!BE86)</f>
        <v>16.925125500000025</v>
      </c>
    </row>
    <row r="60" spans="1:65" ht="15.75" hidden="1" customHeight="1">
      <c r="A60" s="314" t="s">
        <v>551</v>
      </c>
      <c r="B60" s="314" t="s">
        <v>458</v>
      </c>
      <c r="C60" s="314" t="s">
        <v>495</v>
      </c>
      <c r="D60" s="314" t="s">
        <v>460</v>
      </c>
      <c r="E60" s="314" t="s">
        <v>496</v>
      </c>
      <c r="F60" s="314" t="s">
        <v>462</v>
      </c>
      <c r="G60" s="314" t="s">
        <v>463</v>
      </c>
      <c r="H60" s="314" t="s">
        <v>464</v>
      </c>
      <c r="I60" s="314"/>
      <c r="J60" s="314"/>
      <c r="K60" s="314"/>
      <c r="L60" s="314"/>
      <c r="M60" s="226">
        <f>VLOOKUP($C60,BAU_Demands!$B$3:$BK$48,BAU_Demands!K$1,0)</f>
        <v>4.480764765</v>
      </c>
      <c r="N60" s="226">
        <f>VLOOKUP($C60,BAU_Demands!$B$3:$BK$48,BAU_Demands!L$1,0)</f>
        <v>4.2873983139999998</v>
      </c>
      <c r="O60" s="226">
        <f>VLOOKUP($C60,BAU_Demands!$B$3:$BK$48,BAU_Demands!M$1,0)</f>
        <v>3.3116198030000001</v>
      </c>
      <c r="P60" s="226">
        <f>VLOOKUP($C60,BAU_Demands!$B$3:$BK$48,BAU_Demands!N$1,0)</f>
        <v>3.9848753609999998</v>
      </c>
      <c r="Q60" s="314">
        <f>VLOOKUP($C60,BAU_Demands!$B$3:$BK$48,BAU_Demands!O$1,0)*(1-'Net Zero 2070'!I86)</f>
        <v>3.9848753609999998</v>
      </c>
      <c r="R60" s="314">
        <f>VLOOKUP($C60,BAU_Demands!$B$3:$BK$48,BAU_Demands!P$1,0)*(1-'Net Zero 2070'!J86)</f>
        <v>3.9730915152896142</v>
      </c>
      <c r="S60" s="314">
        <f>VLOOKUP($C60,BAU_Demands!$B$3:$BK$48,BAU_Demands!Q$1,0)*(1-'Net Zero 2070'!K86)</f>
        <v>3.9609803405317177</v>
      </c>
      <c r="T60" s="314">
        <f>VLOOKUP($C60,BAU_Demands!$B$3:$BK$48,BAU_Demands!R$1,0)*(1-'Net Zero 2070'!L86)</f>
        <v>3.9491964948213321</v>
      </c>
      <c r="U60" s="314">
        <f>VLOOKUP($C60,BAU_Demands!$B$3:$BK$48,BAU_Demands!S$1,0)*(1-'Net Zero 2070'!M86)</f>
        <v>3.9279201067331355</v>
      </c>
      <c r="V60" s="314">
        <f>VLOOKUP($C60,BAU_Demands!$B$3:$BK$48,BAU_Demands!T$1,0)*(1-'Net Zero 2070'!N86)</f>
        <v>3.90697104769245</v>
      </c>
      <c r="W60" s="314">
        <f>VLOOKUP($C60,BAU_Demands!$B$3:$BK$48,BAU_Demands!U$1,0)*(1-'Net Zero 2070'!O86)</f>
        <v>3.8860219886517644</v>
      </c>
      <c r="X60" s="314">
        <f>VLOOKUP($C60,BAU_Demands!$B$3:$BK$48,BAU_Demands!V$1,0)*(1-'Net Zero 2070'!P86)</f>
        <v>3.8650729296110784</v>
      </c>
      <c r="Y60" s="314">
        <f>VLOOKUP($C60,BAU_Demands!$B$3:$BK$48,BAU_Demands!W$1,0)*(1-'Net Zero 2070'!Q86)</f>
        <v>3.8437965415228819</v>
      </c>
      <c r="Z60" s="314">
        <f>VLOOKUP($C60,BAU_Demands!$B$3:$BK$48,BAU_Demands!X$1,0)*(1-'Net Zero 2070'!R86)</f>
        <v>3.8205561791496212</v>
      </c>
      <c r="AA60" s="314">
        <f>VLOOKUP($C60,BAU_Demands!$B$3:$BK$48,BAU_Demands!Y$1,0)*(1-'Net Zero 2070'!S86)</f>
        <v>3.7973158167763605</v>
      </c>
      <c r="AB60" s="314">
        <f>VLOOKUP($C60,BAU_Demands!$B$3:$BK$48,BAU_Demands!Z$1,0)*(1-'Net Zero 2070'!T86)</f>
        <v>3.7740754544030999</v>
      </c>
      <c r="AC60" s="314">
        <f>VLOOKUP($C60,BAU_Demands!$B$3:$BK$48,BAU_Demands!AA$1,0)*(1-'Net Zero 2070'!U86)</f>
        <v>3.7505077629823282</v>
      </c>
      <c r="AD60" s="314">
        <f>VLOOKUP($C60,BAU_Demands!$B$3:$BK$48,BAU_Demands!AB$1,0)*(1-'Net Zero 2070'!V86)</f>
        <v>3.7272674006090676</v>
      </c>
      <c r="AE60" s="314">
        <f>VLOOKUP($C60,BAU_Demands!$B$3:$BK$48,BAU_Demands!AC$1,0)*(1-'Net Zero 2070'!W86)</f>
        <v>3.7082823158534461</v>
      </c>
      <c r="AF60" s="314">
        <f>VLOOKUP($C60,BAU_Demands!$B$3:$BK$48,BAU_Demands!AD$1,0)*(1-'Net Zero 2070'!X86)</f>
        <v>3.6892972310978247</v>
      </c>
      <c r="AG60" s="314">
        <f>VLOOKUP($C60,BAU_Demands!$B$3:$BK$48,BAU_Demands!AE$1,0)*(1-'Net Zero 2070'!Y86)</f>
        <v>3.6703121463422033</v>
      </c>
      <c r="AH60" s="314">
        <f>VLOOKUP($C60,BAU_Demands!$B$3:$BK$48,BAU_Demands!AF$1,0)*(1-'Net Zero 2070'!Z86)</f>
        <v>3.6513270615865818</v>
      </c>
      <c r="AI60" s="314">
        <f>VLOOKUP($C60,BAU_Demands!$B$3:$BK$48,BAU_Demands!AG$1,0)*(1-'Net Zero 2070'!AA86)</f>
        <v>3.6323419768309608</v>
      </c>
      <c r="AJ60" s="314">
        <f>VLOOKUP($C60,BAU_Demands!$B$3:$BK$48,BAU_Demands!AH$1,0)*(1-'Net Zero 2070'!AB86)</f>
        <v>3.6192488149305322</v>
      </c>
      <c r="AK60" s="314">
        <f>VLOOKUP($C60,BAU_Demands!$B$3:$BK$48,BAU_Demands!AI$1,0)*(1-'Net Zero 2070'!AC86)</f>
        <v>3.6058283239825926</v>
      </c>
      <c r="AL60" s="314">
        <f>VLOOKUP($C60,BAU_Demands!$B$3:$BK$48,BAU_Demands!AJ$1,0)*(1-'Net Zero 2070'!AD86)</f>
        <v>3.5927351620821639</v>
      </c>
      <c r="AM60" s="314">
        <f>VLOOKUP($C60,BAU_Demands!$B$3:$BK$48,BAU_Demands!AK$1,0)*(1-'Net Zero 2070'!AE86)</f>
        <v>3.5793146711342252</v>
      </c>
      <c r="AN60" s="314">
        <f>VLOOKUP($C60,BAU_Demands!$B$3:$BK$48,BAU_Demands!AL$1,0)*(1-'Net Zero 2070'!AF86)</f>
        <v>3.5658941801862851</v>
      </c>
      <c r="AO60" s="314">
        <f>VLOOKUP($C60,BAU_Demands!$B$3:$BK$48,BAU_Demands!AM$1,0)*(1-'Net Zero 2070'!AG86)</f>
        <v>3.5577109539985181</v>
      </c>
      <c r="AP60" s="314">
        <f>VLOOKUP($C60,BAU_Demands!$B$3:$BK$48,BAU_Demands!AN$1,0)*(1-'Net Zero 2070'!AH86)</f>
        <v>3.5495277278107498</v>
      </c>
      <c r="AQ60" s="314">
        <f>VLOOKUP($C60,BAU_Demands!$B$3:$BK$48,BAU_Demands!AO$1,0)*(1-'Net Zero 2070'!AI86)</f>
        <v>3.5413445016229823</v>
      </c>
      <c r="AR60" s="314">
        <f>VLOOKUP($C60,BAU_Demands!$B$3:$BK$48,BAU_Demands!AP$1,0)*(1-'Net Zero 2070'!AJ86)</f>
        <v>3.5331612754352144</v>
      </c>
      <c r="AS60" s="314">
        <f>VLOOKUP($C60,BAU_Demands!$B$3:$BK$48,BAU_Demands!AQ$1,0)*(1-'Net Zero 2070'!AK86)</f>
        <v>3.5331612754352144</v>
      </c>
      <c r="AT60" s="314">
        <f>VLOOKUP($C60,BAU_Demands!$B$3:$BK$48,BAU_Demands!AR$1,0)*(1-'Net Zero 2070'!AL86)</f>
        <v>3.5331612754352144</v>
      </c>
      <c r="AU60" s="314">
        <f>VLOOKUP($C60,BAU_Demands!$B$3:$BK$48,BAU_Demands!AS$1,0)*(1-'Net Zero 2070'!AM86)</f>
        <v>3.5331612754352144</v>
      </c>
      <c r="AV60" s="314">
        <f>VLOOKUP($C60,BAU_Demands!$B$3:$BK$48,BAU_Demands!AT$1,0)*(1-'Net Zero 2070'!AN86)</f>
        <v>3.5331612754352144</v>
      </c>
      <c r="AW60" s="314">
        <f>VLOOKUP($C60,BAU_Demands!$B$3:$BK$48,BAU_Demands!AU$1,0)*(1-'Net Zero 2070'!AO86)</f>
        <v>3.5331612754352144</v>
      </c>
      <c r="AX60" s="314">
        <f>VLOOKUP($C60,BAU_Demands!$B$3:$BK$48,BAU_Demands!AV$1,0)*(1-'Net Zero 2070'!AP86)</f>
        <v>3.5331612754352144</v>
      </c>
      <c r="AY60" s="314">
        <f>VLOOKUP($C60,BAU_Demands!$B$3:$BK$48,BAU_Demands!AW$1,0)*(1-'Net Zero 2070'!AQ86)</f>
        <v>3.5331612754352144</v>
      </c>
      <c r="AZ60" s="314">
        <f>VLOOKUP($C60,BAU_Demands!$B$3:$BK$48,BAU_Demands!AX$1,0)*(1-'Net Zero 2070'!AR86)</f>
        <v>3.5331612754352144</v>
      </c>
      <c r="BA60" s="314">
        <f>VLOOKUP($C60,BAU_Demands!$B$3:$BK$48,BAU_Demands!AY$1,0)*(1-'Net Zero 2070'!AS86)</f>
        <v>3.5331612754352144</v>
      </c>
      <c r="BB60" s="314">
        <f>VLOOKUP($C60,BAU_Demands!$B$3:$BK$48,BAU_Demands!AZ$1,0)*(1-'Net Zero 2070'!AT86)</f>
        <v>3.5331612754352144</v>
      </c>
      <c r="BC60" s="314">
        <f>VLOOKUP($C60,BAU_Demands!$B$3:$BK$48,BAU_Demands!BA$1,0)*(1-'Net Zero 2070'!AU86)</f>
        <v>3.5331612754352144</v>
      </c>
      <c r="BD60" s="314">
        <f>VLOOKUP($C60,BAU_Demands!$B$3:$BK$48,BAU_Demands!BB$1,0)*(1-'Net Zero 2070'!AV86)</f>
        <v>3.5331612754352144</v>
      </c>
      <c r="BE60" s="314">
        <f>VLOOKUP($C60,BAU_Demands!$B$3:$BK$48,BAU_Demands!BC$1,0)*(1-'Net Zero 2070'!AW86)</f>
        <v>3.5331612754352144</v>
      </c>
      <c r="BF60" s="314">
        <f>VLOOKUP($C60,BAU_Demands!$B$3:$BK$48,BAU_Demands!BD$1,0)*(1-'Net Zero 2070'!AX86)</f>
        <v>3.5331612754352144</v>
      </c>
      <c r="BG60" s="314">
        <f>VLOOKUP($C60,BAU_Demands!$B$3:$BK$48,BAU_Demands!BE$1,0)*(1-'Net Zero 2070'!AY86)</f>
        <v>3.5331612754352144</v>
      </c>
      <c r="BH60" s="314">
        <f>VLOOKUP($C60,BAU_Demands!$B$3:$BK$48,BAU_Demands!BF$1,0)*(1-'Net Zero 2070'!AZ86)</f>
        <v>3.5331612754352144</v>
      </c>
      <c r="BI60" s="314">
        <f>VLOOKUP($C60,BAU_Demands!$B$3:$BK$48,BAU_Demands!BG$1,0)*(1-'Net Zero 2070'!BA86)</f>
        <v>3.5331612754352144</v>
      </c>
      <c r="BJ60" s="314">
        <f>VLOOKUP($C60,BAU_Demands!$B$3:$BK$48,BAU_Demands!BH$1,0)*(1-'Net Zero 2070'!BB86)</f>
        <v>3.5331612754352144</v>
      </c>
      <c r="BK60" s="314">
        <f>VLOOKUP($C60,BAU_Demands!$B$3:$BK$48,BAU_Demands!BI$1,0)*(1-'Net Zero 2070'!BC86)</f>
        <v>3.5331612754352144</v>
      </c>
      <c r="BL60" s="314">
        <f>VLOOKUP($C60,BAU_Demands!$B$3:$BK$48,BAU_Demands!BJ$1,0)*(1-'Net Zero 2070'!BD86)</f>
        <v>3.5331612754352144</v>
      </c>
      <c r="BM60" s="314">
        <f>VLOOKUP($C60,BAU_Demands!$B$3:$BK$48,BAU_Demands!BK$1,0)*(1-'Net Zero 2070'!BE86)</f>
        <v>3.5331612754352144</v>
      </c>
    </row>
    <row r="61" spans="1:65" ht="15.75" hidden="1" customHeight="1">
      <c r="A61" s="314" t="s">
        <v>551</v>
      </c>
      <c r="B61" s="314" t="s">
        <v>458</v>
      </c>
      <c r="C61" s="314" t="s">
        <v>497</v>
      </c>
      <c r="D61" s="314" t="s">
        <v>460</v>
      </c>
      <c r="E61" s="314" t="s">
        <v>498</v>
      </c>
      <c r="F61" s="314" t="s">
        <v>462</v>
      </c>
      <c r="G61" s="314" t="s">
        <v>463</v>
      </c>
      <c r="H61" s="314" t="s">
        <v>464</v>
      </c>
      <c r="I61" s="314" t="s">
        <v>44</v>
      </c>
      <c r="J61" s="314" t="s">
        <v>44</v>
      </c>
      <c r="K61" s="314" t="s">
        <v>44</v>
      </c>
      <c r="L61" s="314" t="s">
        <v>44</v>
      </c>
      <c r="M61" s="226">
        <f>VLOOKUP($C61,BAU_Demands!$B$3:$BK$48,BAU_Demands!K$1,0)</f>
        <v>2.548915091</v>
      </c>
      <c r="N61" s="226">
        <f>VLOOKUP($C61,BAU_Demands!$B$3:$BK$48,BAU_Demands!L$1,0)</f>
        <v>2.9144162329999999</v>
      </c>
      <c r="O61" s="226">
        <f>VLOOKUP($C61,BAU_Demands!$B$3:$BK$48,BAU_Demands!M$1,0)</f>
        <v>0.673872794</v>
      </c>
      <c r="P61" s="226">
        <f>VLOOKUP($C61,BAU_Demands!$B$3:$BK$48,BAU_Demands!N$1,0)</f>
        <v>3.1559712019999999</v>
      </c>
      <c r="Q61" s="314">
        <f>VLOOKUP($C19,BAU_Demands!$B$3:$BK$48,BAU_Demands!O$1,0)*(1-'Net Zero 2070'!G83)*(1-'Net Zero 2070'!I86)</f>
        <v>3.43</v>
      </c>
      <c r="R61" s="314">
        <f>VLOOKUP($C19,BAU_Demands!$B$3:$BK$48,BAU_Demands!P$1,0)*(1-'Net Zero 2070'!H83)*(1-'Net Zero 2070'!J86)</f>
        <v>3.2924847750000015</v>
      </c>
      <c r="S61" s="314">
        <f>VLOOKUP($C19,BAU_Demands!$B$3:$BK$48,BAU_Demands!Q$1,0)*(1-'Net Zero 2070'!I83)*(1-'Net Zero 2070'!K86)</f>
        <v>3.6067419589285747</v>
      </c>
      <c r="T61" s="314">
        <f>VLOOKUP($C19,BAU_Demands!$B$3:$BK$48,BAU_Demands!R$1,0)*(1-'Net Zero 2070'!J83)*(1-'Net Zero 2070'!L86)</f>
        <v>3.4205967482142907</v>
      </c>
      <c r="U61" s="314">
        <f>VLOOKUP($C19,BAU_Demands!$B$3:$BK$48,BAU_Demands!S$1,0)*(1-'Net Zero 2070'!K83)*(1-'Net Zero 2070'!M86)</f>
        <v>3.7256444309523884</v>
      </c>
      <c r="V61" s="314">
        <f>VLOOKUP($C19,BAU_Demands!$B$3:$BK$48,BAU_Demands!T$1,0)*(1-'Net Zero 2070'!L83)*(1-'Net Zero 2070'!N86)</f>
        <v>3.5422841458333423</v>
      </c>
      <c r="W61" s="314">
        <f>VLOOKUP($C19,BAU_Demands!$B$3:$BK$48,BAU_Demands!U$1,0)*(1-'Net Zero 2070'!M83)*(1-'Net Zero 2070'!O86)</f>
        <v>3.8632265035714402</v>
      </c>
      <c r="X61" s="314">
        <f>VLOOKUP($C19,BAU_Demands!$B$3:$BK$48,BAU_Demands!V$1,0)*(1-'Net Zero 2070'!N83)*(1-'Net Zero 2070'!P86)</f>
        <v>3.6534245238095364</v>
      </c>
      <c r="Y61" s="314">
        <f>VLOOKUP($C19,BAU_Demands!$B$3:$BK$48,BAU_Demands!W$1,0)*(1-'Net Zero 2070'!O83)*(1-'Net Zero 2070'!Q86)</f>
        <v>3.934267300000001</v>
      </c>
      <c r="Z61" s="314">
        <f>VLOOKUP($C19,BAU_Demands!$B$3:$BK$48,BAU_Demands!X$1,0)*(1-'Net Zero 2070'!P83)*(1-'Net Zero 2070'!R86)</f>
        <v>3.7691420982142887</v>
      </c>
      <c r="AA61" s="314">
        <f>VLOOKUP($C19,BAU_Demands!$B$3:$BK$48,BAU_Demands!Y$1,0)*(1-'Net Zero 2070'!Q83)*(1-'Net Zero 2070'!S86)</f>
        <v>4.018197202380958</v>
      </c>
      <c r="AB61" s="314">
        <f>VLOOKUP($C19,BAU_Demands!$B$3:$BK$48,BAU_Demands!Z$1,0)*(1-'Net Zero 2070'!R83)*(1-'Net Zero 2070'!T86)</f>
        <v>3.8798740750000067</v>
      </c>
      <c r="AC61" s="314">
        <f>VLOOKUP($C19,BAU_Demands!$B$3:$BK$48,BAU_Demands!AA$1,0)*(1-'Net Zero 2070'!S83)*(1-'Net Zero 2070'!U86)</f>
        <v>4.0913343000000095</v>
      </c>
      <c r="AD61" s="314">
        <f>VLOOKUP($C19,BAU_Demands!$B$3:$BK$48,BAU_Demands!AB$1,0)*(1-'Net Zero 2070'!T83)*(1-'Net Zero 2070'!V86)</f>
        <v>3.9616121056547735</v>
      </c>
      <c r="AE61" s="314">
        <f>VLOOKUP($C19,BAU_Demands!$B$3:$BK$48,BAU_Demands!AC$1,0)*(1-'Net Zero 2070'!U83)*(1-'Net Zero 2070'!W86)</f>
        <v>4.1512037053571564</v>
      </c>
      <c r="AF61" s="314">
        <f>VLOOKUP($C19,BAU_Demands!$B$3:$BK$48,BAU_Demands!AD$1,0)*(1-'Net Zero 2070'!V83)*(1-'Net Zero 2070'!X86)</f>
        <v>4.0504843749999999</v>
      </c>
      <c r="AG61" s="314">
        <f>VLOOKUP($C19,BAU_Demands!$B$3:$BK$48,BAU_Demands!AE$1,0)*(1-'Net Zero 2070'!W83)*(1-'Net Zero 2070'!Y86)</f>
        <v>4.206791302380954</v>
      </c>
      <c r="AH61" s="314">
        <f>VLOOKUP($C19,BAU_Demands!$B$3:$BK$48,BAU_Demands!AF$1,0)*(1-'Net Zero 2070'!X83)*(1-'Net Zero 2070'!Z86)</f>
        <v>4.1447905366071467</v>
      </c>
      <c r="AI61" s="314">
        <f>VLOOKUP($C19,BAU_Demands!$B$3:$BK$48,BAU_Demands!AG$1,0)*(1-'Net Zero 2070'!Y83)*(1-'Net Zero 2070'!AA86)</f>
        <v>4.2691607910714353</v>
      </c>
      <c r="AJ61" s="314">
        <f>VLOOKUP($C19,BAU_Demands!$B$3:$BK$48,BAU_Demands!AH$1,0)*(1-'Net Zero 2070'!Z83)*(1-'Net Zero 2070'!AB86)</f>
        <v>4.2197129071428661</v>
      </c>
      <c r="AK61" s="314">
        <f>VLOOKUP($C19,BAU_Demands!$B$3:$BK$48,BAU_Demands!AI$1,0)*(1-'Net Zero 2070'!AA83)*(1-'Net Zero 2070'!AC86)</f>
        <v>4.3434171428571551</v>
      </c>
      <c r="AL61" s="314">
        <f>VLOOKUP($C19,BAU_Demands!$B$3:$BK$48,BAU_Demands!AJ$1,0)*(1-'Net Zero 2070'!AB83)*(1-'Net Zero 2070'!AD86)</f>
        <v>4.2843692571428713</v>
      </c>
      <c r="AM61" s="314">
        <f>VLOOKUP($C19,BAU_Demands!$B$3:$BK$48,BAU_Demands!AK$1,0)*(1-'Net Zero 2070'!AC83)*(1-'Net Zero 2070'!AE86)</f>
        <v>4.3866314916666855</v>
      </c>
      <c r="AN61" s="314">
        <f>VLOOKUP($C19,BAU_Demands!$B$3:$BK$48,BAU_Demands!AL$1,0)*(1-'Net Zero 2070'!AD83)*(1-'Net Zero 2070'!AF86)</f>
        <v>4.3400571428571437</v>
      </c>
      <c r="AO61" s="314">
        <f>VLOOKUP($C19,BAU_Demands!$B$3:$BK$48,BAU_Demands!AM$1,0)*(1-'Net Zero 2070'!AE83)*(1-'Net Zero 2070'!AG86)</f>
        <v>4.4425905714285756</v>
      </c>
      <c r="AP61" s="314">
        <f>VLOOKUP($C19,BAU_Demands!$B$3:$BK$48,BAU_Demands!AN$1,0)*(1-'Net Zero 2070'!AF83)*(1-'Net Zero 2070'!AH86)</f>
        <v>4.4144085416666732</v>
      </c>
      <c r="AQ61" s="314">
        <f>VLOOKUP($C19,BAU_Demands!$B$3:$BK$48,BAU_Demands!AO$1,0)*(1-'Net Zero 2070'!AG83)*(1-'Net Zero 2070'!AI86)</f>
        <v>4.4831772500000104</v>
      </c>
      <c r="AR61" s="314">
        <f>VLOOKUP($C19,BAU_Demands!$B$3:$BK$48,BAU_Demands!AP$1,0)*(1-'Net Zero 2070'!AH83)*(1-'Net Zero 2070'!AJ86)</f>
        <v>4.4664633928571549</v>
      </c>
      <c r="AS61" s="314">
        <f>VLOOKUP($C19,BAU_Demands!$B$3:$BK$48,BAU_Demands!AQ$1,0)*(1-'Net Zero 2070'!AI83)*(1-'Net Zero 2070'!AK86)</f>
        <v>4.5339960238095394</v>
      </c>
      <c r="AT61" s="314">
        <f>VLOOKUP($C19,BAU_Demands!$B$3:$BK$48,BAU_Demands!AR$1,0)*(1-'Net Zero 2070'!AJ83)*(1-'Net Zero 2070'!AL86)</f>
        <v>4.5855690833333522</v>
      </c>
      <c r="AU61" s="314">
        <f>VLOOKUP($C19,BAU_Demands!$B$3:$BK$48,BAU_Demands!AS$1,0)*(1-'Net Zero 2070'!AK83)*(1-'Net Zero 2070'!AM86)</f>
        <v>4.6216258928571436</v>
      </c>
      <c r="AV61" s="314">
        <f>VLOOKUP($C19,BAU_Demands!$B$3:$BK$48,BAU_Demands!AT$1,0)*(1-'Net Zero 2070'!AL83)*(1-'Net Zero 2070'!AN86)</f>
        <v>4.6689135119047647</v>
      </c>
      <c r="AW61" s="314">
        <f>VLOOKUP($C19,BAU_Demands!$B$3:$BK$48,BAU_Demands!AU$1,0)*(1-'Net Zero 2070'!AM83)*(1-'Net Zero 2070'!AO86)</f>
        <v>4.7009804285714356</v>
      </c>
      <c r="AX61" s="314">
        <f>VLOOKUP($C19,BAU_Demands!$B$3:$BK$48,BAU_Demands!AV$1,0)*(1-'Net Zero 2070'!AN83)*(1-'Net Zero 2070'!AP86)</f>
        <v>4.7504107678571517</v>
      </c>
      <c r="AY61" s="314">
        <f>VLOOKUP($C19,BAU_Demands!$B$3:$BK$48,BAU_Demands!AW$1,0)*(1-'Net Zero 2070'!AO83)*(1-'Net Zero 2070'!AQ86)</f>
        <v>4.7847681785714418</v>
      </c>
      <c r="AZ61" s="314">
        <f>VLOOKUP($C19,BAU_Demands!$B$3:$BK$48,BAU_Demands!AX$1,0)*(1-'Net Zero 2070'!AP83)*(1-'Net Zero 2070'!AR86)</f>
        <v>4.8296175297619213</v>
      </c>
      <c r="BA61" s="314">
        <f>VLOOKUP($C19,BAU_Demands!$B$3:$BK$48,BAU_Demands!AY$1,0)*(1-'Net Zero 2070'!AQ83)*(1-'Net Zero 2070'!AS86)</f>
        <v>4.8658960000000198</v>
      </c>
      <c r="BB61" s="314">
        <f>VLOOKUP($C19,BAU_Demands!$B$3:$BK$48,BAU_Demands!AZ$1,0)*(1-'Net Zero 2070'!AR83)*(1-'Net Zero 2070'!AT86)</f>
        <v>4.9060904761905002</v>
      </c>
      <c r="BC61" s="314">
        <f>VLOOKUP($C19,BAU_Demands!$B$3:$BK$48,BAU_Demands!BA$1,0)*(1-'Net Zero 2070'!AS83)*(1-'Net Zero 2070'!AU86)</f>
        <v>4.9439205714285732</v>
      </c>
      <c r="BD61" s="314">
        <f>VLOOKUP($C19,BAU_Demands!$B$3:$BK$48,BAU_Demands!BB$1,0)*(1-'Net Zero 2070'!AT83)*(1-'Net Zero 2070'!AV86)</f>
        <v>4.9853711250000057</v>
      </c>
      <c r="BE61" s="314">
        <f>VLOOKUP($C19,BAU_Demands!$B$3:$BK$48,BAU_Demands!BC$1,0)*(1-'Net Zero 2070'!AU83)*(1-'Net Zero 2070'!AW86)</f>
        <v>5.0243095238095332</v>
      </c>
      <c r="BF61" s="314">
        <f>VLOOKUP($C19,BAU_Demands!$B$3:$BK$48,BAU_Demands!BD$1,0)*(1-'Net Zero 2070'!AV83)*(1-'Net Zero 2070'!AX86)</f>
        <v>5.0607357678571558</v>
      </c>
      <c r="BG61" s="314">
        <f>VLOOKUP($C19,BAU_Demands!$B$3:$BK$48,BAU_Demands!BE$1,0)*(1-'Net Zero 2070'!AW83)*(1-'Net Zero 2070'!AY86)</f>
        <v>5.1004130357143032</v>
      </c>
      <c r="BH61" s="314">
        <f>VLOOKUP($C19,BAU_Demands!$B$3:$BK$48,BAU_Demands!BF$1,0)*(1-'Net Zero 2070'!AX83)*(1-'Net Zero 2070'!AZ86)</f>
        <v>5.1374303750000205</v>
      </c>
      <c r="BI61" s="314">
        <f>VLOOKUP($C19,BAU_Demands!$B$3:$BK$48,BAU_Demands!BG$1,0)*(1-'Net Zero 2070'!AY83)*(1-'Net Zero 2070'!BA86)</f>
        <v>5.1717877857143115</v>
      </c>
      <c r="BJ61" s="314">
        <f>VLOOKUP($C19,BAU_Demands!$B$3:$BK$48,BAU_Demands!BH$1,0)*(1-'Net Zero 2070'!AZ83)*(1-'Net Zero 2070'!BB86)</f>
        <v>5.2090267857142862</v>
      </c>
      <c r="BK61" s="314">
        <f>VLOOKUP($C19,BAU_Demands!$B$3:$BK$48,BAU_Demands!BI$1,0)*(1-'Net Zero 2070'!BA83)*(1-'Net Zero 2070'!BC86)</f>
        <v>5.243458083333338</v>
      </c>
      <c r="BL61" s="314">
        <f>VLOOKUP($C19,BAU_Demands!$B$3:$BK$48,BAU_Demands!BJ$1,0)*(1-'Net Zero 2070'!BB83)*(1-'Net Zero 2070'!BD86)</f>
        <v>5.2750816785714365</v>
      </c>
      <c r="BM61" s="314">
        <f>VLOOKUP($C19,BAU_Demands!$B$3:$BK$48,BAU_Demands!BK$1,0)*(1-'Net Zero 2070'!BC83)*(1-'Net Zero 2070'!BE86)</f>
        <v>5.3092174285714417</v>
      </c>
    </row>
    <row r="62" spans="1:65" ht="15.75" hidden="1" customHeight="1">
      <c r="A62" s="314" t="s">
        <v>551</v>
      </c>
      <c r="B62" s="314" t="s">
        <v>458</v>
      </c>
      <c r="C62" s="314" t="s">
        <v>499</v>
      </c>
      <c r="D62" s="314" t="s">
        <v>460</v>
      </c>
      <c r="E62" s="314" t="s">
        <v>500</v>
      </c>
      <c r="F62" s="314" t="s">
        <v>462</v>
      </c>
      <c r="G62" s="314" t="s">
        <v>463</v>
      </c>
      <c r="H62" s="314" t="s">
        <v>464</v>
      </c>
      <c r="I62" s="314" t="s">
        <v>44</v>
      </c>
      <c r="J62" s="314" t="s">
        <v>44</v>
      </c>
      <c r="K62" s="314" t="s">
        <v>44</v>
      </c>
      <c r="L62" s="314" t="s">
        <v>44</v>
      </c>
      <c r="M62" s="226">
        <f>VLOOKUP($C62,BAU_Demands!$B$3:$BK$48,BAU_Demands!K$1,0)</f>
        <v>34.952288680000002</v>
      </c>
      <c r="N62" s="226">
        <f>VLOOKUP($C62,BAU_Demands!$B$3:$BK$48,BAU_Demands!L$1,0)</f>
        <v>32.606013470000001</v>
      </c>
      <c r="O62" s="226">
        <f>VLOOKUP($C62,BAU_Demands!$B$3:$BK$48,BAU_Demands!M$1,0)</f>
        <v>25.107180830000001</v>
      </c>
      <c r="P62" s="226">
        <f>VLOOKUP($C62,BAU_Demands!$B$3:$BK$48,BAU_Demands!N$1,0)</f>
        <v>20.302984909999999</v>
      </c>
      <c r="Q62" s="314">
        <f>VLOOKUP($C20,BAU_Demands!$B$3:$BK$48,BAU_Demands!O$1,0)*(1-'Net Zero 2070'!G82)*(1-'Net Zero 2070'!I86)</f>
        <v>22.09</v>
      </c>
      <c r="R62" s="314">
        <f>VLOOKUP($C20,BAU_Demands!$B$3:$BK$48,BAU_Demands!P$1,0)*(1-'Net Zero 2070'!H82)*(1-'Net Zero 2070'!J86)</f>
        <v>21.208347875000008</v>
      </c>
      <c r="S62" s="314">
        <f>VLOOKUP($C20,BAU_Demands!$B$3:$BK$48,BAU_Demands!Q$1,0)*(1-'Net Zero 2070'!I82)*(1-'Net Zero 2070'!K86)</f>
        <v>23.2043507059524</v>
      </c>
      <c r="T62" s="314">
        <f>VLOOKUP($C20,BAU_Demands!$B$3:$BK$48,BAU_Demands!R$1,0)*(1-'Net Zero 2070'!J82)*(1-'Net Zero 2070'!L86)</f>
        <v>22.021299404464315</v>
      </c>
      <c r="U62" s="314">
        <f>VLOOKUP($C20,BAU_Demands!$B$3:$BK$48,BAU_Demands!S$1,0)*(1-'Net Zero 2070'!K82)*(1-'Net Zero 2070'!M86)</f>
        <v>23.973711990476239</v>
      </c>
      <c r="V62" s="314">
        <f>VLOOKUP($C20,BAU_Demands!$B$3:$BK$48,BAU_Demands!T$1,0)*(1-'Net Zero 2070'!L82)*(1-'Net Zero 2070'!N86)</f>
        <v>22.813437416666723</v>
      </c>
      <c r="W62" s="314">
        <f>VLOOKUP($C20,BAU_Demands!$B$3:$BK$48,BAU_Demands!U$1,0)*(1-'Net Zero 2070'!M82)*(1-'Net Zero 2070'!O86)</f>
        <v>24.865467471428648</v>
      </c>
      <c r="X62" s="314">
        <f>VLOOKUP($C20,BAU_Demands!$B$3:$BK$48,BAU_Demands!V$1,0)*(1-'Net Zero 2070'!N82)*(1-'Net Zero 2070'!P86)</f>
        <v>23.509786810714367</v>
      </c>
      <c r="Y62" s="314">
        <f>VLOOKUP($C20,BAU_Demands!$B$3:$BK$48,BAU_Demands!W$1,0)*(1-'Net Zero 2070'!O82)*(1-'Net Zero 2070'!Q86)</f>
        <v>25.307151900000008</v>
      </c>
      <c r="Z62" s="314">
        <f>VLOOKUP($C20,BAU_Demands!$B$3:$BK$48,BAU_Demands!X$1,0)*(1-'Net Zero 2070'!P82)*(1-'Net Zero 2070'!R86)</f>
        <v>24.27327511250002</v>
      </c>
      <c r="AA62" s="314">
        <f>VLOOKUP($C20,BAU_Demands!$B$3:$BK$48,BAU_Demands!Y$1,0)*(1-'Net Zero 2070'!Q82)*(1-'Net Zero 2070'!S86)</f>
        <v>25.864960687500034</v>
      </c>
      <c r="AB62" s="314">
        <f>VLOOKUP($C20,BAU_Demands!$B$3:$BK$48,BAU_Demands!Z$1,0)*(1-'Net Zero 2070'!R82)*(1-'Net Zero 2070'!T86)</f>
        <v>24.965398150000045</v>
      </c>
      <c r="AC62" s="314">
        <f>VLOOKUP($C20,BAU_Demands!$B$3:$BK$48,BAU_Demands!AA$1,0)*(1-'Net Zero 2070'!S82)*(1-'Net Zero 2070'!U86)</f>
        <v>26.309905457142918</v>
      </c>
      <c r="AD62" s="314">
        <f>VLOOKUP($C20,BAU_Demands!$B$3:$BK$48,BAU_Demands!AB$1,0)*(1-'Net Zero 2070'!T82)*(1-'Net Zero 2070'!V86)</f>
        <v>25.487761252381027</v>
      </c>
      <c r="AE62" s="314">
        <f>VLOOKUP($C20,BAU_Demands!$B$3:$BK$48,BAU_Demands!AC$1,0)*(1-'Net Zero 2070'!U82)*(1-'Net Zero 2070'!W86)</f>
        <v>26.707447205357237</v>
      </c>
      <c r="AF62" s="314">
        <f>VLOOKUP($C20,BAU_Demands!$B$3:$BK$48,BAU_Demands!AD$1,0)*(1-'Net Zero 2070'!V82)*(1-'Net Zero 2070'!X86)</f>
        <v>26.068917437499998</v>
      </c>
      <c r="AG62" s="314">
        <f>VLOOKUP($C20,BAU_Demands!$B$3:$BK$48,BAU_Demands!AE$1,0)*(1-'Net Zero 2070'!W82)*(1-'Net Zero 2070'!Y86)</f>
        <v>27.068746311904771</v>
      </c>
      <c r="AH62" s="314">
        <f>VLOOKUP($C20,BAU_Demands!$B$3:$BK$48,BAU_Demands!AF$1,0)*(1-'Net Zero 2070'!X82)*(1-'Net Zero 2070'!Z86)</f>
        <v>26.638340697321457</v>
      </c>
      <c r="AI62" s="314">
        <f>VLOOKUP($C20,BAU_Demands!$B$3:$BK$48,BAU_Demands!AG$1,0)*(1-'Net Zero 2070'!Y82)*(1-'Net Zero 2070'!AA86)</f>
        <v>27.482238341071476</v>
      </c>
      <c r="AJ62" s="314">
        <f>VLOOKUP($C20,BAU_Demands!$B$3:$BK$48,BAU_Demands!AH$1,0)*(1-'Net Zero 2070'!Z82)*(1-'Net Zero 2070'!AB86)</f>
        <v>27.160579636011967</v>
      </c>
      <c r="AK62" s="314">
        <f>VLOOKUP($C20,BAU_Demands!$B$3:$BK$48,BAU_Demands!AI$1,0)*(1-'Net Zero 2070'!AA82)*(1-'Net Zero 2070'!AC86)</f>
        <v>27.923044583333414</v>
      </c>
      <c r="AL62" s="314">
        <f>VLOOKUP($C20,BAU_Demands!$B$3:$BK$48,BAU_Demands!AJ$1,0)*(1-'Net Zero 2070'!AB82)*(1-'Net Zero 2070'!AD86)</f>
        <v>27.550874528571519</v>
      </c>
      <c r="AM62" s="314">
        <f>VLOOKUP($C20,BAU_Demands!$B$3:$BK$48,BAU_Demands!AK$1,0)*(1-'Net Zero 2070'!AC82)*(1-'Net Zero 2070'!AE86)</f>
        <v>28.197678016666782</v>
      </c>
      <c r="AN62" s="314">
        <f>VLOOKUP($C20,BAU_Demands!$B$3:$BK$48,BAU_Demands!AL$1,0)*(1-'Net Zero 2070'!AD82)*(1-'Net Zero 2070'!AF86)</f>
        <v>27.935501142857149</v>
      </c>
      <c r="AO62" s="314">
        <f>VLOOKUP($C20,BAU_Demands!$B$3:$BK$48,BAU_Demands!AM$1,0)*(1-'Net Zero 2070'!AE82)*(1-'Net Zero 2070'!AG86)</f>
        <v>28.569714285714312</v>
      </c>
      <c r="AP62" s="314">
        <f>VLOOKUP($C20,BAU_Demands!$B$3:$BK$48,BAU_Demands!AN$1,0)*(1-'Net Zero 2070'!AF82)*(1-'Net Zero 2070'!AH86)</f>
        <v>28.411584687500042</v>
      </c>
      <c r="AQ62" s="314">
        <f>VLOOKUP($C20,BAU_Demands!$B$3:$BK$48,BAU_Demands!AO$1,0)*(1-'Net Zero 2070'!AG82)*(1-'Net Zero 2070'!AI86)</f>
        <v>28.841309544642918</v>
      </c>
      <c r="AR62" s="314">
        <f>VLOOKUP($C20,BAU_Demands!$B$3:$BK$48,BAU_Demands!AP$1,0)*(1-'Net Zero 2070'!AH82)*(1-'Net Zero 2070'!AJ86)</f>
        <v>28.722795357142935</v>
      </c>
      <c r="AS62" s="314">
        <f>VLOOKUP($C20,BAU_Demands!$B$3:$BK$48,BAU_Demands!AQ$1,0)*(1-'Net Zero 2070'!AI82)*(1-'Net Zero 2070'!AK86)</f>
        <v>29.168481166666762</v>
      </c>
      <c r="AT62" s="314">
        <f>VLOOKUP($C20,BAU_Demands!$B$3:$BK$48,BAU_Demands!AR$1,0)*(1-'Net Zero 2070'!AJ82)*(1-'Net Zero 2070'!AL86)</f>
        <v>29.483461041666793</v>
      </c>
      <c r="AU62" s="314">
        <f>VLOOKUP($C20,BAU_Demands!$B$3:$BK$48,BAU_Demands!AS$1,0)*(1-'Net Zero 2070'!AK82)*(1-'Net Zero 2070'!AM86)</f>
        <v>29.731351607142859</v>
      </c>
      <c r="AV62" s="314">
        <f>VLOOKUP($C20,BAU_Demands!$B$3:$BK$48,BAU_Demands!AT$1,0)*(1-'Net Zero 2070'!AL82)*(1-'Net Zero 2070'!AN86)</f>
        <v>30.025717035714305</v>
      </c>
      <c r="AW62" s="314">
        <f>VLOOKUP($C20,BAU_Demands!$B$3:$BK$48,BAU_Demands!AU$1,0)*(1-'Net Zero 2070'!AM82)*(1-'Net Zero 2070'!AO86)</f>
        <v>30.260529619047659</v>
      </c>
      <c r="AX62" s="314">
        <f>VLOOKUP($C20,BAU_Demands!$B$3:$BK$48,BAU_Demands!AV$1,0)*(1-'Net Zero 2070'!AN82)*(1-'Net Zero 2070'!AP86)</f>
        <v>30.546619714285775</v>
      </c>
      <c r="AY62" s="314">
        <f>VLOOKUP($C20,BAU_Demands!$B$3:$BK$48,BAU_Demands!AW$1,0)*(1-'Net Zero 2070'!AO82)*(1-'Net Zero 2070'!AQ86)</f>
        <v>30.786456607142945</v>
      </c>
      <c r="AZ62" s="314">
        <f>VLOOKUP($C20,BAU_Demands!$B$3:$BK$48,BAU_Demands!AX$1,0)*(1-'Net Zero 2070'!AP82)*(1-'Net Zero 2070'!AR86)</f>
        <v>31.062793630952488</v>
      </c>
      <c r="BA62" s="314">
        <f>VLOOKUP($C20,BAU_Demands!$B$3:$BK$48,BAU_Demands!AY$1,0)*(1-'Net Zero 2070'!AQ82)*(1-'Net Zero 2070'!AS86)</f>
        <v>31.293173000000131</v>
      </c>
      <c r="BB62" s="314">
        <f>VLOOKUP($C20,BAU_Demands!$B$3:$BK$48,BAU_Demands!AZ$1,0)*(1-'Net Zero 2070'!AR82)*(1-'Net Zero 2070'!AT86)</f>
        <v>31.558426988095391</v>
      </c>
      <c r="BC62" s="314">
        <f>VLOOKUP($C20,BAU_Demands!$B$3:$BK$48,BAU_Demands!BA$1,0)*(1-'Net Zero 2070'!AS82)*(1-'Net Zero 2070'!AU86)</f>
        <v>31.802253773809539</v>
      </c>
      <c r="BD62" s="314">
        <f>VLOOKUP($C20,BAU_Demands!$B$3:$BK$48,BAU_Demands!BB$1,0)*(1-'Net Zero 2070'!AT82)*(1-'Net Zero 2070'!AV86)</f>
        <v>32.066768892857176</v>
      </c>
      <c r="BE62" s="314">
        <f>VLOOKUP($C20,BAU_Demands!$B$3:$BK$48,BAU_Demands!BC$1,0)*(1-'Net Zero 2070'!AU82)*(1-'Net Zero 2070'!AW86)</f>
        <v>32.321087619047674</v>
      </c>
      <c r="BF62" s="314">
        <f>VLOOKUP($C20,BAU_Demands!$B$3:$BK$48,BAU_Demands!BD$1,0)*(1-'Net Zero 2070'!AV82)*(1-'Net Zero 2070'!AX86)</f>
        <v>32.564988291666751</v>
      </c>
      <c r="BG62" s="314">
        <f>VLOOKUP($C20,BAU_Demands!$B$3:$BK$48,BAU_Demands!BE$1,0)*(1-'Net Zero 2070'!AW82)*(1-'Net Zero 2070'!AY86)</f>
        <v>32.804012428571539</v>
      </c>
      <c r="BH62" s="314">
        <f>VLOOKUP($C20,BAU_Demands!$B$3:$BK$48,BAU_Demands!BF$1,0)*(1-'Net Zero 2070'!AX82)*(1-'Net Zero 2070'!AZ86)</f>
        <v>33.03771670833347</v>
      </c>
      <c r="BI62" s="314">
        <f>VLOOKUP($C20,BAU_Demands!$B$3:$BK$48,BAU_Demands!BG$1,0)*(1-'Net Zero 2070'!AY82)*(1-'Net Zero 2070'!BA86)</f>
        <v>33.271273214285877</v>
      </c>
      <c r="BJ62" s="314">
        <f>VLOOKUP($C20,BAU_Demands!$B$3:$BK$48,BAU_Demands!BH$1,0)*(1-'Net Zero 2070'!AZ82)*(1-'Net Zero 2070'!BB86)</f>
        <v>33.498475446428571</v>
      </c>
      <c r="BK62" s="314">
        <f>VLOOKUP($C20,BAU_Demands!$B$3:$BK$48,BAU_Demands!BI$1,0)*(1-'Net Zero 2070'!BA82)*(1-'Net Zero 2070'!BC86)</f>
        <v>33.724347714285742</v>
      </c>
      <c r="BL62" s="314">
        <f>VLOOKUP($C20,BAU_Demands!$B$3:$BK$48,BAU_Demands!BJ$1,0)*(1-'Net Zero 2070'!BB82)*(1-'Net Zero 2070'!BD86)</f>
        <v>33.942831291666721</v>
      </c>
      <c r="BM62" s="314">
        <f>VLOOKUP($C20,BAU_Demands!$B$3:$BK$48,BAU_Demands!BK$1,0)*(1-'Net Zero 2070'!BC82)*(1-'Net Zero 2070'!BE86)</f>
        <v>34.158802714285791</v>
      </c>
    </row>
    <row r="63" spans="1:65" ht="15.75" hidden="1" customHeight="1">
      <c r="A63" s="30" t="s">
        <v>551</v>
      </c>
      <c r="B63" s="30" t="s">
        <v>458</v>
      </c>
      <c r="C63" s="30" t="s">
        <v>501</v>
      </c>
      <c r="D63" s="30" t="s">
        <v>460</v>
      </c>
      <c r="E63" s="30" t="s">
        <v>502</v>
      </c>
      <c r="F63" s="30" t="s">
        <v>462</v>
      </c>
      <c r="G63" s="30" t="s">
        <v>463</v>
      </c>
      <c r="H63" s="30" t="s">
        <v>464</v>
      </c>
      <c r="I63" s="30"/>
      <c r="J63" s="30"/>
      <c r="K63" s="30"/>
      <c r="L63" s="30"/>
      <c r="M63" s="226">
        <f>VLOOKUP($C63,BAU_Demands!$B$3:$BK$48,BAU_Demands!K$1,0)</f>
        <v>16.3</v>
      </c>
      <c r="N63" s="226">
        <f>VLOOKUP($C63,BAU_Demands!$B$3:$BK$48,BAU_Demands!L$1,0)</f>
        <v>16.3</v>
      </c>
      <c r="O63" s="226">
        <f>VLOOKUP($C63,BAU_Demands!$B$3:$BK$48,BAU_Demands!M$1,0)</f>
        <v>16.3</v>
      </c>
      <c r="P63" s="226">
        <f>VLOOKUP($C63,BAU_Demands!$B$3:$BK$48,BAU_Demands!N$1,0)</f>
        <v>16.3</v>
      </c>
      <c r="Q63" s="30">
        <f>VLOOKUP($C63,BAU_Demands!$B$3:$BK$48,BAU_Demands!O$1,0)</f>
        <v>16.3</v>
      </c>
      <c r="R63" s="30">
        <f>VLOOKUP($C63,BAU_Demands!$B$3:$BK$48,BAU_Demands!P$1,0)</f>
        <v>16.3</v>
      </c>
      <c r="S63" s="30">
        <f>VLOOKUP($C63,BAU_Demands!$B$3:$BK$48,BAU_Demands!Q$1,0)</f>
        <v>16.3</v>
      </c>
      <c r="T63" s="30">
        <f>VLOOKUP($C63,BAU_Demands!$B$3:$BK$48,BAU_Demands!R$1,0)</f>
        <v>16.3</v>
      </c>
      <c r="U63" s="30">
        <f>VLOOKUP($C63,BAU_Demands!$B$3:$BK$48,BAU_Demands!S$1,0)</f>
        <v>16.3</v>
      </c>
      <c r="V63" s="30">
        <f>VLOOKUP($C63,BAU_Demands!$B$3:$BK$48,BAU_Demands!T$1,0)</f>
        <v>16.3</v>
      </c>
      <c r="W63" s="30">
        <f>VLOOKUP($C63,BAU_Demands!$B$3:$BK$48,BAU_Demands!U$1,0)</f>
        <v>16.3</v>
      </c>
      <c r="X63" s="30">
        <f>VLOOKUP($C63,BAU_Demands!$B$3:$BK$48,BAU_Demands!V$1,0)</f>
        <v>16.3</v>
      </c>
      <c r="Y63" s="30">
        <f>VLOOKUP($C63,BAU_Demands!$B$3:$BK$48,BAU_Demands!W$1,0)</f>
        <v>16.3</v>
      </c>
      <c r="Z63" s="30">
        <f>VLOOKUP($C63,BAU_Demands!$B$3:$BK$48,BAU_Demands!X$1,0)</f>
        <v>16.3</v>
      </c>
      <c r="AA63" s="30">
        <f>VLOOKUP($C63,BAU_Demands!$B$3:$BK$48,BAU_Demands!Y$1,0)</f>
        <v>16.3</v>
      </c>
      <c r="AB63" s="30">
        <f>VLOOKUP($C63,BAU_Demands!$B$3:$BK$48,BAU_Demands!Z$1,0)</f>
        <v>16.3</v>
      </c>
      <c r="AC63" s="30">
        <f>VLOOKUP($C63,BAU_Demands!$B$3:$BK$48,BAU_Demands!AA$1,0)</f>
        <v>16.3</v>
      </c>
      <c r="AD63" s="30">
        <f>VLOOKUP($C63,BAU_Demands!$B$3:$BK$48,BAU_Demands!AB$1,0)</f>
        <v>16.3</v>
      </c>
      <c r="AE63" s="30">
        <f>VLOOKUP($C63,BAU_Demands!$B$3:$BK$48,BAU_Demands!AC$1,0)</f>
        <v>16.3</v>
      </c>
      <c r="AF63" s="30">
        <f>VLOOKUP($C63,BAU_Demands!$B$3:$BK$48,BAU_Demands!AD$1,0)</f>
        <v>16.3</v>
      </c>
      <c r="AG63" s="30">
        <f>VLOOKUP($C63,BAU_Demands!$B$3:$BK$48,BAU_Demands!AE$1,0)</f>
        <v>16.3</v>
      </c>
      <c r="AH63" s="30">
        <f>VLOOKUP($C63,BAU_Demands!$B$3:$BK$48,BAU_Demands!AF$1,0)</f>
        <v>16.3</v>
      </c>
      <c r="AI63" s="30">
        <f>VLOOKUP($C63,BAU_Demands!$B$3:$BK$48,BAU_Demands!AG$1,0)</f>
        <v>16.3</v>
      </c>
      <c r="AJ63" s="30">
        <f>VLOOKUP($C63,BAU_Demands!$B$3:$BK$48,BAU_Demands!AH$1,0)</f>
        <v>16.3</v>
      </c>
      <c r="AK63" s="30">
        <f>VLOOKUP($C63,BAU_Demands!$B$3:$BK$48,BAU_Demands!AI$1,0)</f>
        <v>16.3</v>
      </c>
      <c r="AL63" s="30">
        <f>VLOOKUP($C63,BAU_Demands!$B$3:$BK$48,BAU_Demands!AJ$1,0)</f>
        <v>16.3</v>
      </c>
      <c r="AM63" s="30">
        <f>VLOOKUP($C63,BAU_Demands!$B$3:$BK$48,BAU_Demands!AK$1,0)</f>
        <v>16.3</v>
      </c>
      <c r="AN63" s="30">
        <f>VLOOKUP($C63,BAU_Demands!$B$3:$BK$48,BAU_Demands!AL$1,0)</f>
        <v>16.3</v>
      </c>
      <c r="AO63" s="30">
        <f>VLOOKUP($C63,BAU_Demands!$B$3:$BK$48,BAU_Demands!AM$1,0)</f>
        <v>16.3</v>
      </c>
      <c r="AP63" s="30">
        <f>VLOOKUP($C63,BAU_Demands!$B$3:$BK$48,BAU_Demands!AN$1,0)</f>
        <v>16.3</v>
      </c>
      <c r="AQ63" s="30">
        <f>VLOOKUP($C63,BAU_Demands!$B$3:$BK$48,BAU_Demands!AO$1,0)</f>
        <v>16.3</v>
      </c>
      <c r="AR63" s="30">
        <f>VLOOKUP($C63,BAU_Demands!$B$3:$BK$48,BAU_Demands!AP$1,0)</f>
        <v>16.3</v>
      </c>
      <c r="AS63" s="30">
        <f>VLOOKUP($C63,BAU_Demands!$B$3:$BK$48,BAU_Demands!AQ$1,0)</f>
        <v>16.3</v>
      </c>
      <c r="AT63" s="30">
        <f>VLOOKUP($C63,BAU_Demands!$B$3:$BK$48,BAU_Demands!AR$1,0)</f>
        <v>16.3</v>
      </c>
      <c r="AU63" s="30">
        <f>VLOOKUP($C63,BAU_Demands!$B$3:$BK$48,BAU_Demands!AS$1,0)</f>
        <v>16.3</v>
      </c>
      <c r="AV63" s="30">
        <f>VLOOKUP($C63,BAU_Demands!$B$3:$BK$48,BAU_Demands!AT$1,0)</f>
        <v>16.3</v>
      </c>
      <c r="AW63" s="30">
        <f>VLOOKUP($C63,BAU_Demands!$B$3:$BK$48,BAU_Demands!AU$1,0)</f>
        <v>16.3</v>
      </c>
      <c r="AX63" s="30">
        <f>VLOOKUP($C63,BAU_Demands!$B$3:$BK$48,BAU_Demands!AV$1,0)</f>
        <v>16.3</v>
      </c>
      <c r="AY63" s="30">
        <f>VLOOKUP($C63,BAU_Demands!$B$3:$BK$48,BAU_Demands!AW$1,0)</f>
        <v>16.3</v>
      </c>
      <c r="AZ63" s="30">
        <f>VLOOKUP($C63,BAU_Demands!$B$3:$BK$48,BAU_Demands!AX$1,0)</f>
        <v>16.3</v>
      </c>
      <c r="BA63" s="30">
        <f>VLOOKUP($C63,BAU_Demands!$B$3:$BK$48,BAU_Demands!AY$1,0)</f>
        <v>16.3</v>
      </c>
      <c r="BB63" s="30">
        <f>VLOOKUP($C63,BAU_Demands!$B$3:$BK$48,BAU_Demands!AZ$1,0)</f>
        <v>16.3</v>
      </c>
      <c r="BC63" s="30">
        <f>VLOOKUP($C63,BAU_Demands!$B$3:$BK$48,BAU_Demands!BA$1,0)</f>
        <v>16.3</v>
      </c>
      <c r="BD63" s="30">
        <f>VLOOKUP($C63,BAU_Demands!$B$3:$BK$48,BAU_Demands!BB$1,0)</f>
        <v>16.3</v>
      </c>
      <c r="BE63" s="30">
        <f>VLOOKUP($C63,BAU_Demands!$B$3:$BK$48,BAU_Demands!BC$1,0)</f>
        <v>16.3</v>
      </c>
      <c r="BF63" s="30">
        <f>VLOOKUP($C63,BAU_Demands!$B$3:$BK$48,BAU_Demands!BD$1,0)</f>
        <v>16.3</v>
      </c>
      <c r="BG63" s="30">
        <f>VLOOKUP($C63,BAU_Demands!$B$3:$BK$48,BAU_Demands!BE$1,0)</f>
        <v>16.3</v>
      </c>
      <c r="BH63" s="30">
        <f>VLOOKUP($C63,BAU_Demands!$B$3:$BK$48,BAU_Demands!BF$1,0)</f>
        <v>16.3</v>
      </c>
      <c r="BI63" s="30">
        <f>VLOOKUP($C63,BAU_Demands!$B$3:$BK$48,BAU_Demands!BG$1,0)</f>
        <v>16.3</v>
      </c>
      <c r="BJ63" s="30">
        <f>VLOOKUP($C63,BAU_Demands!$B$3:$BK$48,BAU_Demands!BH$1,0)</f>
        <v>16.3</v>
      </c>
      <c r="BK63" s="30">
        <f>VLOOKUP($C63,BAU_Demands!$B$3:$BK$48,BAU_Demands!BI$1,0)</f>
        <v>16.3</v>
      </c>
      <c r="BL63" s="30">
        <f>VLOOKUP($C63,BAU_Demands!$B$3:$BK$48,BAU_Demands!BJ$1,0)</f>
        <v>16.3</v>
      </c>
      <c r="BM63" s="30">
        <f>VLOOKUP($C63,BAU_Demands!$B$3:$BK$48,BAU_Demands!BK$1,0)</f>
        <v>16.3</v>
      </c>
    </row>
    <row r="64" spans="1:65" ht="15.75" hidden="1" customHeight="1">
      <c r="A64" s="314" t="s">
        <v>551</v>
      </c>
      <c r="B64" s="314" t="s">
        <v>458</v>
      </c>
      <c r="C64" s="314" t="s">
        <v>552</v>
      </c>
      <c r="D64" s="314" t="s">
        <v>460</v>
      </c>
      <c r="E64" s="314" t="s">
        <v>553</v>
      </c>
      <c r="F64" s="314" t="s">
        <v>462</v>
      </c>
      <c r="G64" s="314" t="s">
        <v>463</v>
      </c>
      <c r="H64" s="314" t="s">
        <v>464</v>
      </c>
      <c r="I64" s="314"/>
      <c r="J64" s="314"/>
      <c r="K64" s="314"/>
      <c r="L64" s="314"/>
      <c r="M64" s="226" t="e">
        <f>VLOOKUP($C64,BAU_Demands!$B$3:$BK$48,BAU_Demands!K$1,0)</f>
        <v>#N/A</v>
      </c>
      <c r="N64" s="226" t="e">
        <f>VLOOKUP($C64,BAU_Demands!$B$3:$BK$48,BAU_Demands!L$1,0)</f>
        <v>#N/A</v>
      </c>
      <c r="O64" s="226" t="e">
        <f>VLOOKUP($C64,BAU_Demands!$B$3:$BK$48,BAU_Demands!M$1,0)</f>
        <v>#N/A</v>
      </c>
      <c r="P64" s="226" t="e">
        <f>VLOOKUP($C64,BAU_Demands!$B$3:$BK$48,BAU_Demands!N$1,0)</f>
        <v>#N/A</v>
      </c>
      <c r="Q64" s="314" t="e">
        <f>VLOOKUP($C64,BAU_Demands!$B$3:$BK$48,BAU_Demands!O$1,0)</f>
        <v>#N/A</v>
      </c>
      <c r="R64" s="314" t="e">
        <f>VLOOKUP($C64,BAU_Demands!$B$3:$BK$48,BAU_Demands!P$1,0)</f>
        <v>#N/A</v>
      </c>
      <c r="S64" s="314" t="e">
        <f>VLOOKUP($C64,BAU_Demands!$B$3:$BK$48,BAU_Demands!Q$1,0)</f>
        <v>#N/A</v>
      </c>
      <c r="T64" s="314" t="e">
        <f>VLOOKUP($C64,BAU_Demands!$B$3:$BK$48,BAU_Demands!R$1,0)</f>
        <v>#N/A</v>
      </c>
      <c r="U64" s="314" t="e">
        <f>VLOOKUP($C64,BAU_Demands!$B$3:$BK$48,BAU_Demands!S$1,0)</f>
        <v>#N/A</v>
      </c>
      <c r="V64" s="314" t="e">
        <f>VLOOKUP($C64,BAU_Demands!$B$3:$BK$48,BAU_Demands!T$1,0)</f>
        <v>#N/A</v>
      </c>
      <c r="W64" s="314" t="e">
        <f>VLOOKUP($C64,BAU_Demands!$B$3:$BK$48,BAU_Demands!U$1,0)</f>
        <v>#N/A</v>
      </c>
      <c r="X64" s="314" t="e">
        <f>VLOOKUP($C64,BAU_Demands!$B$3:$BK$48,BAU_Demands!V$1,0)</f>
        <v>#N/A</v>
      </c>
      <c r="Y64" s="314" t="e">
        <f>VLOOKUP($C64,BAU_Demands!$B$3:$BK$48,BAU_Demands!W$1,0)</f>
        <v>#N/A</v>
      </c>
      <c r="Z64" s="314" t="e">
        <f>VLOOKUP($C64,BAU_Demands!$B$3:$BK$48,BAU_Demands!X$1,0)</f>
        <v>#N/A</v>
      </c>
      <c r="AA64" s="314" t="e">
        <f>VLOOKUP($C64,BAU_Demands!$B$3:$BK$48,BAU_Demands!Y$1,0)</f>
        <v>#N/A</v>
      </c>
      <c r="AB64" s="314" t="e">
        <f>VLOOKUP($C64,BAU_Demands!$B$3:$BK$48,BAU_Demands!Z$1,0)</f>
        <v>#N/A</v>
      </c>
      <c r="AC64" s="314" t="e">
        <f>VLOOKUP($C64,BAU_Demands!$B$3:$BK$48,BAU_Demands!AA$1,0)</f>
        <v>#N/A</v>
      </c>
      <c r="AD64" s="314" t="e">
        <f>VLOOKUP($C64,BAU_Demands!$B$3:$BK$48,BAU_Demands!AB$1,0)</f>
        <v>#N/A</v>
      </c>
      <c r="AE64" s="314" t="e">
        <f>VLOOKUP($C64,BAU_Demands!$B$3:$BK$48,BAU_Demands!AC$1,0)</f>
        <v>#N/A</v>
      </c>
      <c r="AF64" s="314" t="e">
        <f>VLOOKUP($C64,BAU_Demands!$B$3:$BK$48,BAU_Demands!AD$1,0)</f>
        <v>#N/A</v>
      </c>
      <c r="AG64" s="314" t="e">
        <f>VLOOKUP($C64,BAU_Demands!$B$3:$BK$48,BAU_Demands!AE$1,0)</f>
        <v>#N/A</v>
      </c>
      <c r="AH64" s="314" t="e">
        <f>VLOOKUP($C64,BAU_Demands!$B$3:$BK$48,BAU_Demands!AF$1,0)</f>
        <v>#N/A</v>
      </c>
      <c r="AI64" s="314" t="e">
        <f>VLOOKUP($C64,BAU_Demands!$B$3:$BK$48,BAU_Demands!AG$1,0)</f>
        <v>#N/A</v>
      </c>
      <c r="AJ64" s="314" t="e">
        <f>VLOOKUP($C64,BAU_Demands!$B$3:$BK$48,BAU_Demands!AH$1,0)</f>
        <v>#N/A</v>
      </c>
      <c r="AK64" s="314" t="e">
        <f>VLOOKUP($C64,BAU_Demands!$B$3:$BK$48,BAU_Demands!AI$1,0)</f>
        <v>#N/A</v>
      </c>
      <c r="AL64" s="314" t="e">
        <f>VLOOKUP($C64,BAU_Demands!$B$3:$BK$48,BAU_Demands!AJ$1,0)</f>
        <v>#N/A</v>
      </c>
      <c r="AM64" s="314" t="e">
        <f>VLOOKUP($C64,BAU_Demands!$B$3:$BK$48,BAU_Demands!AK$1,0)</f>
        <v>#N/A</v>
      </c>
      <c r="AN64" s="314" t="e">
        <f>VLOOKUP($C64,BAU_Demands!$B$3:$BK$48,BAU_Demands!AL$1,0)</f>
        <v>#N/A</v>
      </c>
      <c r="AO64" s="314" t="e">
        <f>VLOOKUP($C64,BAU_Demands!$B$3:$BK$48,BAU_Demands!AM$1,0)</f>
        <v>#N/A</v>
      </c>
      <c r="AP64" s="314" t="e">
        <f>VLOOKUP($C64,BAU_Demands!$B$3:$BK$48,BAU_Demands!AN$1,0)</f>
        <v>#N/A</v>
      </c>
      <c r="AQ64" s="314" t="e">
        <f>VLOOKUP($C64,BAU_Demands!$B$3:$BK$48,BAU_Demands!AO$1,0)</f>
        <v>#N/A</v>
      </c>
      <c r="AR64" s="314" t="e">
        <f>VLOOKUP($C64,BAU_Demands!$B$3:$BK$48,BAU_Demands!AP$1,0)</f>
        <v>#N/A</v>
      </c>
      <c r="AS64" s="314" t="e">
        <f>VLOOKUP($C64,BAU_Demands!$B$3:$BK$48,BAU_Demands!AQ$1,0)</f>
        <v>#N/A</v>
      </c>
      <c r="AT64" s="314" t="e">
        <f>VLOOKUP($C64,BAU_Demands!$B$3:$BK$48,BAU_Demands!AR$1,0)</f>
        <v>#N/A</v>
      </c>
      <c r="AU64" s="314" t="e">
        <f>VLOOKUP($C64,BAU_Demands!$B$3:$BK$48,BAU_Demands!AS$1,0)</f>
        <v>#N/A</v>
      </c>
      <c r="AV64" s="314" t="e">
        <f>VLOOKUP($C64,BAU_Demands!$B$3:$BK$48,BAU_Demands!AT$1,0)</f>
        <v>#N/A</v>
      </c>
      <c r="AW64" s="314" t="e">
        <f>VLOOKUP($C64,BAU_Demands!$B$3:$BK$48,BAU_Demands!AU$1,0)</f>
        <v>#N/A</v>
      </c>
      <c r="AX64" s="314" t="e">
        <f>VLOOKUP($C64,BAU_Demands!$B$3:$BK$48,BAU_Demands!AV$1,0)</f>
        <v>#N/A</v>
      </c>
      <c r="AY64" s="314" t="e">
        <f>VLOOKUP($C64,BAU_Demands!$B$3:$BK$48,BAU_Demands!AW$1,0)</f>
        <v>#N/A</v>
      </c>
      <c r="AZ64" s="314" t="e">
        <f>VLOOKUP($C64,BAU_Demands!$B$3:$BK$48,BAU_Demands!AX$1,0)</f>
        <v>#N/A</v>
      </c>
      <c r="BA64" s="314" t="e">
        <f>VLOOKUP($C64,BAU_Demands!$B$3:$BK$48,BAU_Demands!AY$1,0)</f>
        <v>#N/A</v>
      </c>
      <c r="BB64" s="314" t="e">
        <f>VLOOKUP($C64,BAU_Demands!$B$3:$BK$48,BAU_Demands!AZ$1,0)</f>
        <v>#N/A</v>
      </c>
      <c r="BC64" s="314" t="e">
        <f>VLOOKUP($C64,BAU_Demands!$B$3:$BK$48,BAU_Demands!BA$1,0)</f>
        <v>#N/A</v>
      </c>
      <c r="BD64" s="314" t="e">
        <f>VLOOKUP($C64,BAU_Demands!$B$3:$BK$48,BAU_Demands!BB$1,0)</f>
        <v>#N/A</v>
      </c>
      <c r="BE64" s="314" t="e">
        <f>VLOOKUP($C64,BAU_Demands!$B$3:$BK$48,BAU_Demands!BC$1,0)</f>
        <v>#N/A</v>
      </c>
      <c r="BF64" s="314" t="e">
        <f>VLOOKUP($C64,BAU_Demands!$B$3:$BK$48,BAU_Demands!BD$1,0)</f>
        <v>#N/A</v>
      </c>
      <c r="BG64" s="314" t="e">
        <f>VLOOKUP($C64,BAU_Demands!$B$3:$BK$48,BAU_Demands!BE$1,0)</f>
        <v>#N/A</v>
      </c>
      <c r="BH64" s="314" t="e">
        <f>VLOOKUP($C64,BAU_Demands!$B$3:$BK$48,BAU_Demands!BF$1,0)</f>
        <v>#N/A</v>
      </c>
      <c r="BI64" s="314" t="e">
        <f>VLOOKUP($C64,BAU_Demands!$B$3:$BK$48,BAU_Demands!BG$1,0)</f>
        <v>#N/A</v>
      </c>
      <c r="BJ64" s="314" t="e">
        <f>VLOOKUP($C64,BAU_Demands!$B$3:$BK$48,BAU_Demands!BH$1,0)</f>
        <v>#N/A</v>
      </c>
      <c r="BK64" s="314" t="e">
        <f>VLOOKUP($C64,BAU_Demands!$B$3:$BK$48,BAU_Demands!BI$1,0)</f>
        <v>#N/A</v>
      </c>
      <c r="BL64" s="314" t="e">
        <f>VLOOKUP($C64,BAU_Demands!$B$3:$BK$48,BAU_Demands!BJ$1,0)</f>
        <v>#N/A</v>
      </c>
      <c r="BM64" s="314" t="e">
        <f>VLOOKUP($C64,BAU_Demands!$B$3:$BK$48,BAU_Demands!BK$1,0)</f>
        <v>#N/A</v>
      </c>
    </row>
    <row r="65" spans="1:65" ht="15.75" hidden="1" customHeight="1">
      <c r="A65" s="314" t="s">
        <v>551</v>
      </c>
      <c r="B65" s="314" t="s">
        <v>458</v>
      </c>
      <c r="C65" s="314" t="s">
        <v>503</v>
      </c>
      <c r="D65" s="314" t="s">
        <v>460</v>
      </c>
      <c r="E65" s="314" t="s">
        <v>504</v>
      </c>
      <c r="F65" s="314" t="s">
        <v>462</v>
      </c>
      <c r="G65" s="314" t="s">
        <v>463</v>
      </c>
      <c r="H65" s="314" t="s">
        <v>464</v>
      </c>
      <c r="I65" s="314"/>
      <c r="J65" s="314"/>
      <c r="K65" s="314"/>
      <c r="L65" s="314"/>
      <c r="M65" s="226">
        <f>VLOOKUP($C65,BAU_Demands!$B$3:$BK$48,BAU_Demands!K$1,0)</f>
        <v>0</v>
      </c>
      <c r="N65" s="226">
        <f>VLOOKUP($C65,BAU_Demands!$B$3:$BK$48,BAU_Demands!L$1,0)</f>
        <v>0</v>
      </c>
      <c r="O65" s="226">
        <f>VLOOKUP($C65,BAU_Demands!$B$3:$BK$48,BAU_Demands!M$1,0)</f>
        <v>0</v>
      </c>
      <c r="P65" s="226">
        <f>VLOOKUP($C65,BAU_Demands!$B$3:$BK$48,BAU_Demands!N$1,0)</f>
        <v>0</v>
      </c>
      <c r="Q65" s="314">
        <f>VLOOKUP($C65,BAU_Demands!$B$3:$BK$48,BAU_Demands!O$1,0)</f>
        <v>0</v>
      </c>
      <c r="R65" s="314">
        <f>VLOOKUP($C65,BAU_Demands!$B$3:$BK$48,BAU_Demands!P$1,0)</f>
        <v>0</v>
      </c>
      <c r="S65" s="314">
        <f>VLOOKUP($C65,BAU_Demands!$B$3:$BK$48,BAU_Demands!Q$1,0)</f>
        <v>0</v>
      </c>
      <c r="T65" s="314">
        <f>VLOOKUP($C65,BAU_Demands!$B$3:$BK$48,BAU_Demands!R$1,0)</f>
        <v>0</v>
      </c>
      <c r="U65" s="314">
        <f>VLOOKUP($C65,BAU_Demands!$B$3:$BK$48,BAU_Demands!S$1,0)</f>
        <v>0</v>
      </c>
      <c r="V65" s="314">
        <f>VLOOKUP($C65,BAU_Demands!$B$3:$BK$48,BAU_Demands!T$1,0)</f>
        <v>0</v>
      </c>
      <c r="W65" s="314">
        <f>VLOOKUP($C65,BAU_Demands!$B$3:$BK$48,BAU_Demands!U$1,0)</f>
        <v>0</v>
      </c>
      <c r="X65" s="314">
        <f>VLOOKUP($C65,BAU_Demands!$B$3:$BK$48,BAU_Demands!V$1,0)</f>
        <v>0</v>
      </c>
      <c r="Y65" s="314">
        <f>VLOOKUP($C65,BAU_Demands!$B$3:$BK$48,BAU_Demands!W$1,0)</f>
        <v>0</v>
      </c>
      <c r="Z65" s="314">
        <f>VLOOKUP($C65,BAU_Demands!$B$3:$BK$48,BAU_Demands!X$1,0)</f>
        <v>0</v>
      </c>
      <c r="AA65" s="314">
        <f>VLOOKUP($C65,BAU_Demands!$B$3:$BK$48,BAU_Demands!Y$1,0)</f>
        <v>0</v>
      </c>
      <c r="AB65" s="314">
        <f>VLOOKUP($C65,BAU_Demands!$B$3:$BK$48,BAU_Demands!Z$1,0)</f>
        <v>0</v>
      </c>
      <c r="AC65" s="314">
        <f>VLOOKUP($C65,BAU_Demands!$B$3:$BK$48,BAU_Demands!AA$1,0)</f>
        <v>0</v>
      </c>
      <c r="AD65" s="314">
        <f>VLOOKUP($C65,BAU_Demands!$B$3:$BK$48,BAU_Demands!AB$1,0)</f>
        <v>0</v>
      </c>
      <c r="AE65" s="314">
        <f>VLOOKUP($C65,BAU_Demands!$B$3:$BK$48,BAU_Demands!AC$1,0)</f>
        <v>0</v>
      </c>
      <c r="AF65" s="314">
        <f>VLOOKUP($C65,BAU_Demands!$B$3:$BK$48,BAU_Demands!AD$1,0)</f>
        <v>0</v>
      </c>
      <c r="AG65" s="314">
        <f>VLOOKUP($C65,BAU_Demands!$B$3:$BK$48,BAU_Demands!AE$1,0)</f>
        <v>0</v>
      </c>
      <c r="AH65" s="314">
        <f>VLOOKUP($C65,BAU_Demands!$B$3:$BK$48,BAU_Demands!AF$1,0)</f>
        <v>0</v>
      </c>
      <c r="AI65" s="314">
        <f>VLOOKUP($C65,BAU_Demands!$B$3:$BK$48,BAU_Demands!AG$1,0)</f>
        <v>0</v>
      </c>
      <c r="AJ65" s="314">
        <f>VLOOKUP($C65,BAU_Demands!$B$3:$BK$48,BAU_Demands!AH$1,0)</f>
        <v>0</v>
      </c>
      <c r="AK65" s="314">
        <f>VLOOKUP($C65,BAU_Demands!$B$3:$BK$48,BAU_Demands!AI$1,0)</f>
        <v>0</v>
      </c>
      <c r="AL65" s="314">
        <f>VLOOKUP($C65,BAU_Demands!$B$3:$BK$48,BAU_Demands!AJ$1,0)</f>
        <v>0</v>
      </c>
      <c r="AM65" s="314">
        <f>VLOOKUP($C65,BAU_Demands!$B$3:$BK$48,BAU_Demands!AK$1,0)</f>
        <v>0</v>
      </c>
      <c r="AN65" s="314">
        <f>VLOOKUP($C65,BAU_Demands!$B$3:$BK$48,BAU_Demands!AL$1,0)</f>
        <v>0</v>
      </c>
      <c r="AO65" s="314">
        <f>VLOOKUP($C65,BAU_Demands!$B$3:$BK$48,BAU_Demands!AM$1,0)</f>
        <v>0</v>
      </c>
      <c r="AP65" s="314">
        <f>VLOOKUP($C65,BAU_Demands!$B$3:$BK$48,BAU_Demands!AN$1,0)</f>
        <v>0</v>
      </c>
      <c r="AQ65" s="314">
        <f>VLOOKUP($C65,BAU_Demands!$B$3:$BK$48,BAU_Demands!AO$1,0)</f>
        <v>0</v>
      </c>
      <c r="AR65" s="314">
        <f>VLOOKUP($C65,BAU_Demands!$B$3:$BK$48,BAU_Demands!AP$1,0)</f>
        <v>0</v>
      </c>
      <c r="AS65" s="314">
        <f>VLOOKUP($C65,BAU_Demands!$B$3:$BK$48,BAU_Demands!AQ$1,0)</f>
        <v>0</v>
      </c>
      <c r="AT65" s="314">
        <f>VLOOKUP($C65,BAU_Demands!$B$3:$BK$48,BAU_Demands!AR$1,0)</f>
        <v>0</v>
      </c>
      <c r="AU65" s="314">
        <f>VLOOKUP($C65,BAU_Demands!$B$3:$BK$48,BAU_Demands!AS$1,0)</f>
        <v>0</v>
      </c>
      <c r="AV65" s="314">
        <f>VLOOKUP($C65,BAU_Demands!$B$3:$BK$48,BAU_Demands!AT$1,0)</f>
        <v>0</v>
      </c>
      <c r="AW65" s="314">
        <f>VLOOKUP($C65,BAU_Demands!$B$3:$BK$48,BAU_Demands!AU$1,0)</f>
        <v>0</v>
      </c>
      <c r="AX65" s="314">
        <f>VLOOKUP($C65,BAU_Demands!$B$3:$BK$48,BAU_Demands!AV$1,0)</f>
        <v>0</v>
      </c>
      <c r="AY65" s="314">
        <f>VLOOKUP($C65,BAU_Demands!$B$3:$BK$48,BAU_Demands!AW$1,0)</f>
        <v>0</v>
      </c>
      <c r="AZ65" s="314">
        <f>VLOOKUP($C65,BAU_Demands!$B$3:$BK$48,BAU_Demands!AX$1,0)</f>
        <v>0</v>
      </c>
      <c r="BA65" s="314">
        <f>VLOOKUP($C65,BAU_Demands!$B$3:$BK$48,BAU_Demands!AY$1,0)</f>
        <v>0</v>
      </c>
      <c r="BB65" s="314">
        <f>VLOOKUP($C65,BAU_Demands!$B$3:$BK$48,BAU_Demands!AZ$1,0)</f>
        <v>0</v>
      </c>
      <c r="BC65" s="314">
        <f>VLOOKUP($C65,BAU_Demands!$B$3:$BK$48,BAU_Demands!BA$1,0)</f>
        <v>0</v>
      </c>
      <c r="BD65" s="314">
        <f>VLOOKUP($C65,BAU_Demands!$B$3:$BK$48,BAU_Demands!BB$1,0)</f>
        <v>0</v>
      </c>
      <c r="BE65" s="314">
        <f>VLOOKUP($C65,BAU_Demands!$B$3:$BK$48,BAU_Demands!BC$1,0)</f>
        <v>0</v>
      </c>
      <c r="BF65" s="314">
        <f>VLOOKUP($C65,BAU_Demands!$B$3:$BK$48,BAU_Demands!BD$1,0)</f>
        <v>0</v>
      </c>
      <c r="BG65" s="314">
        <f>VLOOKUP($C65,BAU_Demands!$B$3:$BK$48,BAU_Demands!BE$1,0)</f>
        <v>0</v>
      </c>
      <c r="BH65" s="314">
        <f>VLOOKUP($C65,BAU_Demands!$B$3:$BK$48,BAU_Demands!BF$1,0)</f>
        <v>0</v>
      </c>
      <c r="BI65" s="314">
        <f>VLOOKUP($C65,BAU_Demands!$B$3:$BK$48,BAU_Demands!BG$1,0)</f>
        <v>0</v>
      </c>
      <c r="BJ65" s="314">
        <f>VLOOKUP($C65,BAU_Demands!$B$3:$BK$48,BAU_Demands!BH$1,0)</f>
        <v>0</v>
      </c>
      <c r="BK65" s="314">
        <f>VLOOKUP($C65,BAU_Demands!$B$3:$BK$48,BAU_Demands!BI$1,0)</f>
        <v>0</v>
      </c>
      <c r="BL65" s="314">
        <f>VLOOKUP($C65,BAU_Demands!$B$3:$BK$48,BAU_Demands!BJ$1,0)</f>
        <v>0</v>
      </c>
      <c r="BM65" s="314">
        <f>VLOOKUP($C65,BAU_Demands!$B$3:$BK$48,BAU_Demands!BK$1,0)</f>
        <v>0</v>
      </c>
    </row>
    <row r="66" spans="1:65" ht="15.75" hidden="1" customHeight="1">
      <c r="A66" s="314" t="s">
        <v>551</v>
      </c>
      <c r="B66" s="314" t="s">
        <v>458</v>
      </c>
      <c r="C66" s="314" t="s">
        <v>505</v>
      </c>
      <c r="D66" s="314" t="s">
        <v>460</v>
      </c>
      <c r="E66" s="314" t="s">
        <v>506</v>
      </c>
      <c r="F66" s="314" t="s">
        <v>462</v>
      </c>
      <c r="G66" s="314" t="s">
        <v>463</v>
      </c>
      <c r="H66" s="314" t="s">
        <v>464</v>
      </c>
      <c r="I66" s="314"/>
      <c r="J66" s="314"/>
      <c r="K66" s="314"/>
      <c r="L66" s="314"/>
      <c r="M66" s="226">
        <f>VLOOKUP($C66,BAU_Demands!$B$3:$BK$48,BAU_Demands!K$1,0)</f>
        <v>753.92003050000005</v>
      </c>
      <c r="N66" s="226">
        <f>VLOOKUP($C66,BAU_Demands!$B$3:$BK$48,BAU_Demands!L$1,0)</f>
        <v>796.96985310000002</v>
      </c>
      <c r="O66" s="226">
        <f>VLOOKUP($C66,BAU_Demands!$B$3:$BK$48,BAU_Demands!M$1,0)</f>
        <v>735.29581029999997</v>
      </c>
      <c r="P66" s="226">
        <f>VLOOKUP($C66,BAU_Demands!$B$3:$BK$48,BAU_Demands!N$1,0)</f>
        <v>682.98298369999998</v>
      </c>
      <c r="Q66" s="314">
        <f>VLOOKUP($C66,BAU_Demands!$B$3:$BK$48,BAU_Demands!O$1,0)</f>
        <v>685.57</v>
      </c>
      <c r="R66" s="314">
        <f>VLOOKUP($C66,BAU_Demands!$B$3:$BK$48,BAU_Demands!P$1,0)</f>
        <v>638.6</v>
      </c>
      <c r="S66" s="314">
        <f>VLOOKUP($C66,BAU_Demands!$B$3:$BK$48,BAU_Demands!Q$1,0)</f>
        <v>586.91</v>
      </c>
      <c r="T66" s="314">
        <f>VLOOKUP($C66,BAU_Demands!$B$3:$BK$48,BAU_Demands!R$1,0)</f>
        <v>541.05999999999995</v>
      </c>
      <c r="U66" s="314">
        <f>VLOOKUP($C66,BAU_Demands!$B$3:$BK$48,BAU_Demands!S$1,0)</f>
        <v>317.37</v>
      </c>
      <c r="V66" s="314">
        <f>VLOOKUP($C66,BAU_Demands!$B$3:$BK$48,BAU_Demands!T$1,0)</f>
        <v>323.52</v>
      </c>
      <c r="W66" s="314">
        <f>VLOOKUP($C66,BAU_Demands!$B$3:$BK$48,BAU_Demands!U$1,0)</f>
        <v>341.26</v>
      </c>
      <c r="X66" s="314">
        <f>VLOOKUP($C66,BAU_Demands!$B$3:$BK$48,BAU_Demands!V$1,0)</f>
        <v>359.94</v>
      </c>
      <c r="Y66" s="314">
        <f>VLOOKUP($C66,BAU_Demands!$B$3:$BK$48,BAU_Demands!W$1,0)</f>
        <v>379.08</v>
      </c>
      <c r="Z66" s="314">
        <f>VLOOKUP($C66,BAU_Demands!$B$3:$BK$48,BAU_Demands!X$1,0)</f>
        <v>381.88</v>
      </c>
      <c r="AA66" s="314">
        <f>VLOOKUP($C66,BAU_Demands!$B$3:$BK$48,BAU_Demands!Y$1,0)</f>
        <v>357.9</v>
      </c>
      <c r="AB66" s="314">
        <f>VLOOKUP($C66,BAU_Demands!$B$3:$BK$48,BAU_Demands!Z$1,0)</f>
        <v>335</v>
      </c>
      <c r="AC66" s="314">
        <f>VLOOKUP($C66,BAU_Demands!$B$3:$BK$48,BAU_Demands!AA$1,0)</f>
        <v>311.81</v>
      </c>
      <c r="AD66" s="314">
        <f>VLOOKUP($C66,BAU_Demands!$B$3:$BK$48,BAU_Demands!AB$1,0)</f>
        <v>286.07</v>
      </c>
      <c r="AE66" s="314">
        <f>VLOOKUP($C66,BAU_Demands!$B$3:$BK$48,BAU_Demands!AC$1,0)</f>
        <v>259.54000000000002</v>
      </c>
      <c r="AF66" s="314">
        <f>VLOOKUP($C66,BAU_Demands!$B$3:$BK$48,BAU_Demands!AD$1,0)</f>
        <v>236.7</v>
      </c>
      <c r="AG66" s="314">
        <f>VLOOKUP($C66,BAU_Demands!$B$3:$BK$48,BAU_Demands!AE$1,0)</f>
        <v>0</v>
      </c>
      <c r="AH66" s="314">
        <f>VLOOKUP($C66,BAU_Demands!$B$3:$BK$48,BAU_Demands!AF$1,0)</f>
        <v>0</v>
      </c>
      <c r="AI66" s="314">
        <f>VLOOKUP($C66,BAU_Demands!$B$3:$BK$48,BAU_Demands!AG$1,0)</f>
        <v>0</v>
      </c>
      <c r="AJ66" s="314">
        <f>VLOOKUP($C66,BAU_Demands!$B$3:$BK$48,BAU_Demands!AH$1,0)</f>
        <v>0</v>
      </c>
      <c r="AK66" s="314">
        <f>VLOOKUP($C66,BAU_Demands!$B$3:$BK$48,BAU_Demands!AI$1,0)</f>
        <v>0</v>
      </c>
      <c r="AL66" s="314">
        <f>VLOOKUP($C66,BAU_Demands!$B$3:$BK$48,BAU_Demands!AJ$1,0)</f>
        <v>0</v>
      </c>
      <c r="AM66" s="314">
        <f>VLOOKUP($C66,BAU_Demands!$B$3:$BK$48,BAU_Demands!AK$1,0)</f>
        <v>0</v>
      </c>
      <c r="AN66" s="314">
        <f>VLOOKUP($C66,BAU_Demands!$B$3:$BK$48,BAU_Demands!AL$1,0)</f>
        <v>0</v>
      </c>
      <c r="AO66" s="314">
        <f>VLOOKUP($C66,BAU_Demands!$B$3:$BK$48,BAU_Demands!AM$1,0)</f>
        <v>0</v>
      </c>
      <c r="AP66" s="314">
        <f>VLOOKUP($C66,BAU_Demands!$B$3:$BK$48,BAU_Demands!AN$1,0)</f>
        <v>0</v>
      </c>
      <c r="AQ66" s="314">
        <f>VLOOKUP($C66,BAU_Demands!$B$3:$BK$48,BAU_Demands!AO$1,0)</f>
        <v>0</v>
      </c>
      <c r="AR66" s="314">
        <f>VLOOKUP($C66,BAU_Demands!$B$3:$BK$48,BAU_Demands!AP$1,0)</f>
        <v>0</v>
      </c>
      <c r="AS66" s="314">
        <f>VLOOKUP($C66,BAU_Demands!$B$3:$BK$48,BAU_Demands!AQ$1,0)</f>
        <v>0</v>
      </c>
      <c r="AT66" s="314">
        <f>VLOOKUP($C66,BAU_Demands!$B$3:$BK$48,BAU_Demands!AR$1,0)</f>
        <v>0</v>
      </c>
      <c r="AU66" s="314">
        <f>VLOOKUP($C66,BAU_Demands!$B$3:$BK$48,BAU_Demands!AS$1,0)</f>
        <v>0</v>
      </c>
      <c r="AV66" s="314">
        <f>VLOOKUP($C66,BAU_Demands!$B$3:$BK$48,BAU_Demands!AT$1,0)</f>
        <v>0</v>
      </c>
      <c r="AW66" s="314">
        <f>VLOOKUP($C66,BAU_Demands!$B$3:$BK$48,BAU_Demands!AU$1,0)</f>
        <v>0</v>
      </c>
      <c r="AX66" s="314">
        <f>VLOOKUP($C66,BAU_Demands!$B$3:$BK$48,BAU_Demands!AV$1,0)</f>
        <v>0</v>
      </c>
      <c r="AY66" s="314">
        <f>VLOOKUP($C66,BAU_Demands!$B$3:$BK$48,BAU_Demands!AW$1,0)</f>
        <v>0</v>
      </c>
      <c r="AZ66" s="314">
        <f>VLOOKUP($C66,BAU_Demands!$B$3:$BK$48,BAU_Demands!AX$1,0)</f>
        <v>0</v>
      </c>
      <c r="BA66" s="314">
        <f>VLOOKUP($C66,BAU_Demands!$B$3:$BK$48,BAU_Demands!AY$1,0)</f>
        <v>0</v>
      </c>
      <c r="BB66" s="314">
        <f>VLOOKUP($C66,BAU_Demands!$B$3:$BK$48,BAU_Demands!AZ$1,0)</f>
        <v>0</v>
      </c>
      <c r="BC66" s="314">
        <f>VLOOKUP($C66,BAU_Demands!$B$3:$BK$48,BAU_Demands!BA$1,0)</f>
        <v>0</v>
      </c>
      <c r="BD66" s="314">
        <f>VLOOKUP($C66,BAU_Demands!$B$3:$BK$48,BAU_Demands!BB$1,0)</f>
        <v>0</v>
      </c>
      <c r="BE66" s="314">
        <f>VLOOKUP($C66,BAU_Demands!$B$3:$BK$48,BAU_Demands!BC$1,0)</f>
        <v>0</v>
      </c>
      <c r="BF66" s="314">
        <f>VLOOKUP($C66,BAU_Demands!$B$3:$BK$48,BAU_Demands!BD$1,0)</f>
        <v>0</v>
      </c>
      <c r="BG66" s="314">
        <f>VLOOKUP($C66,BAU_Demands!$B$3:$BK$48,BAU_Demands!BE$1,0)</f>
        <v>0</v>
      </c>
      <c r="BH66" s="314">
        <f>VLOOKUP($C66,BAU_Demands!$B$3:$BK$48,BAU_Demands!BF$1,0)</f>
        <v>0</v>
      </c>
      <c r="BI66" s="314">
        <f>VLOOKUP($C66,BAU_Demands!$B$3:$BK$48,BAU_Demands!BG$1,0)</f>
        <v>0</v>
      </c>
      <c r="BJ66" s="314">
        <f>VLOOKUP($C66,BAU_Demands!$B$3:$BK$48,BAU_Demands!BH$1,0)</f>
        <v>0</v>
      </c>
      <c r="BK66" s="314">
        <f>VLOOKUP($C66,BAU_Demands!$B$3:$BK$48,BAU_Demands!BI$1,0)</f>
        <v>0</v>
      </c>
      <c r="BL66" s="314">
        <f>VLOOKUP($C66,BAU_Demands!$B$3:$BK$48,BAU_Demands!BJ$1,0)</f>
        <v>0</v>
      </c>
      <c r="BM66" s="314">
        <f>VLOOKUP($C66,BAU_Demands!$B$3:$BK$48,BAU_Demands!BK$1,0)</f>
        <v>0</v>
      </c>
    </row>
    <row r="67" spans="1:65" ht="15.75" hidden="1" customHeight="1">
      <c r="A67" s="30" t="s">
        <v>551</v>
      </c>
      <c r="B67" s="30" t="s">
        <v>458</v>
      </c>
      <c r="C67" s="30" t="s">
        <v>507</v>
      </c>
      <c r="D67" s="30" t="s">
        <v>460</v>
      </c>
      <c r="E67" s="30" t="s">
        <v>508</v>
      </c>
      <c r="F67" s="30" t="s">
        <v>462</v>
      </c>
      <c r="G67" s="30" t="s">
        <v>463</v>
      </c>
      <c r="H67" s="30" t="s">
        <v>464</v>
      </c>
      <c r="I67" s="30"/>
      <c r="J67" s="30"/>
      <c r="K67" s="30"/>
      <c r="L67" s="30"/>
      <c r="M67" s="226">
        <f>VLOOKUP($C67,BAU_Demands!$B$3:$BK$48,BAU_Demands!K$1,0)</f>
        <v>0.91979864700000002</v>
      </c>
      <c r="N67" s="226">
        <f>VLOOKUP($C67,BAU_Demands!$B$3:$BK$48,BAU_Demands!L$1,0)</f>
        <v>6.5717789289999997</v>
      </c>
      <c r="O67" s="226">
        <f>VLOOKUP($C67,BAU_Demands!$B$3:$BK$48,BAU_Demands!M$1,0)</f>
        <v>4.8232404769999997</v>
      </c>
      <c r="P67" s="226">
        <f>VLOOKUP($C67,BAU_Demands!$B$3:$BK$48,BAU_Demands!N$1,0)</f>
        <v>1.885684366</v>
      </c>
      <c r="Q67" s="30">
        <f>VLOOKUP($C67,BAU_Demands!$B$3:$BK$48,BAU_Demands!O$1,0)</f>
        <v>0.91979999999999995</v>
      </c>
      <c r="R67" s="30">
        <f>VLOOKUP($C67,BAU_Demands!$B$3:$BK$48,BAU_Demands!P$1,0)</f>
        <v>0.91979999999999995</v>
      </c>
      <c r="S67" s="30">
        <f>VLOOKUP($C67,BAU_Demands!$B$3:$BK$48,BAU_Demands!Q$1,0)</f>
        <v>0.91979999999999995</v>
      </c>
      <c r="T67" s="30">
        <f>VLOOKUP($C67,BAU_Demands!$B$3:$BK$48,BAU_Demands!R$1,0)</f>
        <v>0.91979999999999995</v>
      </c>
      <c r="U67" s="30">
        <f>VLOOKUP($C67,BAU_Demands!$B$3:$BK$48,BAU_Demands!S$1,0)</f>
        <v>0.91979999999999995</v>
      </c>
      <c r="V67" s="30">
        <f>VLOOKUP($C67,BAU_Demands!$B$3:$BK$48,BAU_Demands!T$1,0)</f>
        <v>0.91979999999999995</v>
      </c>
      <c r="W67" s="30">
        <f>VLOOKUP($C67,BAU_Demands!$B$3:$BK$48,BAU_Demands!U$1,0)</f>
        <v>0.91979999999999995</v>
      </c>
      <c r="X67" s="30">
        <f>VLOOKUP($C67,BAU_Demands!$B$3:$BK$48,BAU_Demands!V$1,0)</f>
        <v>0.91979999999999995</v>
      </c>
      <c r="Y67" s="30">
        <f>VLOOKUP($C67,BAU_Demands!$B$3:$BK$48,BAU_Demands!W$1,0)</f>
        <v>0.91979999999999995</v>
      </c>
      <c r="Z67" s="30">
        <f>VLOOKUP($C67,BAU_Demands!$B$3:$BK$48,BAU_Demands!X$1,0)</f>
        <v>0.91979999999999995</v>
      </c>
      <c r="AA67" s="30">
        <f>VLOOKUP($C67,BAU_Demands!$B$3:$BK$48,BAU_Demands!Y$1,0)</f>
        <v>0.91979999999999995</v>
      </c>
      <c r="AB67" s="30">
        <f>VLOOKUP($C67,BAU_Demands!$B$3:$BK$48,BAU_Demands!Z$1,0)</f>
        <v>0.91979999999999995</v>
      </c>
      <c r="AC67" s="30">
        <f>VLOOKUP($C67,BAU_Demands!$B$3:$BK$48,BAU_Demands!AA$1,0)</f>
        <v>0.91979999999999995</v>
      </c>
      <c r="AD67" s="30">
        <f>VLOOKUP($C67,BAU_Demands!$B$3:$BK$48,BAU_Demands!AB$1,0)</f>
        <v>0.91979999999999995</v>
      </c>
      <c r="AE67" s="30">
        <f>VLOOKUP($C67,BAU_Demands!$B$3:$BK$48,BAU_Demands!AC$1,0)</f>
        <v>0.91979999999999995</v>
      </c>
      <c r="AF67" s="30">
        <f>VLOOKUP($C67,BAU_Demands!$B$3:$BK$48,BAU_Demands!AD$1,0)</f>
        <v>0.91979999999999995</v>
      </c>
      <c r="AG67" s="30">
        <f>VLOOKUP($C67,BAU_Demands!$B$3:$BK$48,BAU_Demands!AE$1,0)</f>
        <v>0.91979999999999995</v>
      </c>
      <c r="AH67" s="30">
        <f>VLOOKUP($C67,BAU_Demands!$B$3:$BK$48,BAU_Demands!AF$1,0)</f>
        <v>0.91979999999999995</v>
      </c>
      <c r="AI67" s="30">
        <f>VLOOKUP($C67,BAU_Demands!$B$3:$BK$48,BAU_Demands!AG$1,0)</f>
        <v>0.91979999999999995</v>
      </c>
      <c r="AJ67" s="30">
        <f>VLOOKUP($C67,BAU_Demands!$B$3:$BK$48,BAU_Demands!AH$1,0)</f>
        <v>0.91979999999999995</v>
      </c>
      <c r="AK67" s="30">
        <f>VLOOKUP($C67,BAU_Demands!$B$3:$BK$48,BAU_Demands!AI$1,0)</f>
        <v>0.91979999999999995</v>
      </c>
      <c r="AL67" s="30">
        <f>VLOOKUP($C67,BAU_Demands!$B$3:$BK$48,BAU_Demands!AJ$1,0)</f>
        <v>0.91979999999999995</v>
      </c>
      <c r="AM67" s="30">
        <f>VLOOKUP($C67,BAU_Demands!$B$3:$BK$48,BAU_Demands!AK$1,0)</f>
        <v>0.91979999999999995</v>
      </c>
      <c r="AN67" s="30">
        <f>VLOOKUP($C67,BAU_Demands!$B$3:$BK$48,BAU_Demands!AL$1,0)</f>
        <v>0.91979999999999995</v>
      </c>
      <c r="AO67" s="30">
        <f>VLOOKUP($C67,BAU_Demands!$B$3:$BK$48,BAU_Demands!AM$1,0)</f>
        <v>0.91979999999999995</v>
      </c>
      <c r="AP67" s="30">
        <f>VLOOKUP($C67,BAU_Demands!$B$3:$BK$48,BAU_Demands!AN$1,0)</f>
        <v>0.91979999999999995</v>
      </c>
      <c r="AQ67" s="30">
        <f>VLOOKUP($C67,BAU_Demands!$B$3:$BK$48,BAU_Demands!AO$1,0)</f>
        <v>0.91979999999999995</v>
      </c>
      <c r="AR67" s="30">
        <f>VLOOKUP($C67,BAU_Demands!$B$3:$BK$48,BAU_Demands!AP$1,0)</f>
        <v>0.91979999999999995</v>
      </c>
      <c r="AS67" s="30">
        <f>VLOOKUP($C67,BAU_Demands!$B$3:$BK$48,BAU_Demands!AQ$1,0)</f>
        <v>0.91979999999999995</v>
      </c>
      <c r="AT67" s="30">
        <f>VLOOKUP($C67,BAU_Demands!$B$3:$BK$48,BAU_Demands!AR$1,0)</f>
        <v>0.91979999999999995</v>
      </c>
      <c r="AU67" s="30">
        <f>VLOOKUP($C67,BAU_Demands!$B$3:$BK$48,BAU_Demands!AS$1,0)</f>
        <v>0.91979999999999995</v>
      </c>
      <c r="AV67" s="30">
        <f>VLOOKUP($C67,BAU_Demands!$B$3:$BK$48,BAU_Demands!AT$1,0)</f>
        <v>0.91979999999999995</v>
      </c>
      <c r="AW67" s="30">
        <f>VLOOKUP($C67,BAU_Demands!$B$3:$BK$48,BAU_Demands!AU$1,0)</f>
        <v>0.91979999999999995</v>
      </c>
      <c r="AX67" s="30">
        <f>VLOOKUP($C67,BAU_Demands!$B$3:$BK$48,BAU_Demands!AV$1,0)</f>
        <v>0.91979999999999995</v>
      </c>
      <c r="AY67" s="30">
        <f>VLOOKUP($C67,BAU_Demands!$B$3:$BK$48,BAU_Demands!AW$1,0)</f>
        <v>0.91979999999999995</v>
      </c>
      <c r="AZ67" s="30">
        <f>VLOOKUP($C67,BAU_Demands!$B$3:$BK$48,BAU_Demands!AX$1,0)</f>
        <v>0.91979999999999995</v>
      </c>
      <c r="BA67" s="30">
        <f>VLOOKUP($C67,BAU_Demands!$B$3:$BK$48,BAU_Demands!AY$1,0)</f>
        <v>0.91979999999999995</v>
      </c>
      <c r="BB67" s="30">
        <f>VLOOKUP($C67,BAU_Demands!$B$3:$BK$48,BAU_Demands!AZ$1,0)</f>
        <v>0.91979999999999995</v>
      </c>
      <c r="BC67" s="30">
        <f>VLOOKUP($C67,BAU_Demands!$B$3:$BK$48,BAU_Demands!BA$1,0)</f>
        <v>0.91979999999999995</v>
      </c>
      <c r="BD67" s="30">
        <f>VLOOKUP($C67,BAU_Demands!$B$3:$BK$48,BAU_Demands!BB$1,0)</f>
        <v>0.91979999999999995</v>
      </c>
      <c r="BE67" s="30">
        <f>VLOOKUP($C67,BAU_Demands!$B$3:$BK$48,BAU_Demands!BC$1,0)</f>
        <v>0.91979999999999995</v>
      </c>
      <c r="BF67" s="30">
        <f>VLOOKUP($C67,BAU_Demands!$B$3:$BK$48,BAU_Demands!BD$1,0)</f>
        <v>0.91979999999999995</v>
      </c>
      <c r="BG67" s="30">
        <f>VLOOKUP($C67,BAU_Demands!$B$3:$BK$48,BAU_Demands!BE$1,0)</f>
        <v>0.91979999999999995</v>
      </c>
      <c r="BH67" s="30">
        <f>VLOOKUP($C67,BAU_Demands!$B$3:$BK$48,BAU_Demands!BF$1,0)</f>
        <v>0.91979999999999995</v>
      </c>
      <c r="BI67" s="30">
        <f>VLOOKUP($C67,BAU_Demands!$B$3:$BK$48,BAU_Demands!BG$1,0)</f>
        <v>0.91979999999999995</v>
      </c>
      <c r="BJ67" s="30">
        <f>VLOOKUP($C67,BAU_Demands!$B$3:$BK$48,BAU_Demands!BH$1,0)</f>
        <v>0.91979999999999995</v>
      </c>
      <c r="BK67" s="30">
        <f>VLOOKUP($C67,BAU_Demands!$B$3:$BK$48,BAU_Demands!BI$1,0)</f>
        <v>0.91979999999999995</v>
      </c>
      <c r="BL67" s="30">
        <f>VLOOKUP($C67,BAU_Demands!$B$3:$BK$48,BAU_Demands!BJ$1,0)</f>
        <v>0.91979999999999995</v>
      </c>
      <c r="BM67" s="30">
        <f>VLOOKUP($C67,BAU_Demands!$B$3:$BK$48,BAU_Demands!BK$1,0)</f>
        <v>0.91979999999999995</v>
      </c>
    </row>
    <row r="68" spans="1:65" ht="15.75" hidden="1" customHeight="1">
      <c r="A68" s="314" t="s">
        <v>551</v>
      </c>
      <c r="B68" s="314" t="s">
        <v>458</v>
      </c>
      <c r="C68" s="314" t="s">
        <v>509</v>
      </c>
      <c r="D68" s="314" t="s">
        <v>460</v>
      </c>
      <c r="E68" s="314" t="s">
        <v>510</v>
      </c>
      <c r="F68" s="314" t="s">
        <v>462</v>
      </c>
      <c r="G68" s="314" t="s">
        <v>463</v>
      </c>
      <c r="H68" s="314" t="s">
        <v>464</v>
      </c>
      <c r="I68" s="314"/>
      <c r="J68" s="314"/>
      <c r="K68" s="314"/>
      <c r="L68" s="314"/>
      <c r="M68" s="226">
        <f>VLOOKUP($C68,BAU_Demands!$B$3:$BK$48,BAU_Demands!K$1,0)</f>
        <v>92.112073050000006</v>
      </c>
      <c r="N68" s="226">
        <f>VLOOKUP($C68,BAU_Demands!$B$3:$BK$48,BAU_Demands!L$1,0)</f>
        <v>85.703651559999997</v>
      </c>
      <c r="O68" s="226">
        <f>VLOOKUP($C68,BAU_Demands!$B$3:$BK$48,BAU_Demands!M$1,0)</f>
        <v>85.165860319999993</v>
      </c>
      <c r="P68" s="226">
        <f>VLOOKUP($C68,BAU_Demands!$B$3:$BK$48,BAU_Demands!N$1,0)</f>
        <v>88.949461310000004</v>
      </c>
      <c r="Q68" s="314">
        <f>VLOOKUP($C68,BAU_Demands!$B$3:$BK$48,BAU_Demands!O$1,0)</f>
        <v>91.65</v>
      </c>
      <c r="R68" s="314">
        <f>VLOOKUP($C68,BAU_Demands!$B$3:$BK$48,BAU_Demands!P$1,0)</f>
        <v>89.88</v>
      </c>
      <c r="S68" s="314">
        <f>VLOOKUP($C68,BAU_Demands!$B$3:$BK$48,BAU_Demands!Q$1,0)</f>
        <v>91.46</v>
      </c>
      <c r="T68" s="314">
        <f>VLOOKUP($C68,BAU_Demands!$B$3:$BK$48,BAU_Demands!R$1,0)</f>
        <v>90.16</v>
      </c>
      <c r="U68" s="314">
        <f>VLOOKUP($C68,BAU_Demands!$B$3:$BK$48,BAU_Demands!S$1,0)</f>
        <v>91.68</v>
      </c>
      <c r="V68" s="314">
        <f>VLOOKUP($C68,BAU_Demands!$B$3:$BK$48,BAU_Demands!T$1,0)</f>
        <v>90.04</v>
      </c>
      <c r="W68" s="314">
        <f>VLOOKUP($C68,BAU_Demands!$B$3:$BK$48,BAU_Demands!U$1,0)</f>
        <v>91.36</v>
      </c>
      <c r="X68" s="314">
        <f>VLOOKUP($C68,BAU_Demands!$B$3:$BK$48,BAU_Demands!V$1,0)</f>
        <v>90.61</v>
      </c>
      <c r="Y68" s="314">
        <f>VLOOKUP($C68,BAU_Demands!$B$3:$BK$48,BAU_Demands!W$1,0)</f>
        <v>91.51</v>
      </c>
      <c r="Z68" s="314">
        <f>VLOOKUP($C68,BAU_Demands!$B$3:$BK$48,BAU_Demands!X$1,0)</f>
        <v>90.24</v>
      </c>
      <c r="AA68" s="314">
        <f>VLOOKUP($C68,BAU_Demands!$B$3:$BK$48,BAU_Demands!Y$1,0)</f>
        <v>91.39</v>
      </c>
      <c r="AB68" s="314">
        <f>VLOOKUP($C68,BAU_Demands!$B$3:$BK$48,BAU_Demands!Z$1,0)</f>
        <v>90.45</v>
      </c>
      <c r="AC68" s="314">
        <f>VLOOKUP($C68,BAU_Demands!$B$3:$BK$48,BAU_Demands!AA$1,0)</f>
        <v>91.37</v>
      </c>
      <c r="AD68" s="314">
        <f>VLOOKUP($C68,BAU_Demands!$B$3:$BK$48,BAU_Demands!AB$1,0)</f>
        <v>90.76</v>
      </c>
      <c r="AE68" s="314">
        <f>VLOOKUP($C68,BAU_Demands!$B$3:$BK$48,BAU_Demands!AC$1,0)</f>
        <v>91.23</v>
      </c>
      <c r="AF68" s="314">
        <f>VLOOKUP($C68,BAU_Demands!$B$3:$BK$48,BAU_Demands!AD$1,0)</f>
        <v>90.86</v>
      </c>
      <c r="AG68" s="314">
        <f>VLOOKUP($C68,BAU_Demands!$B$3:$BK$48,BAU_Demands!AE$1,0)</f>
        <v>91.27</v>
      </c>
      <c r="AH68" s="314">
        <f>VLOOKUP($C68,BAU_Demands!$B$3:$BK$48,BAU_Demands!AF$1,0)</f>
        <v>90.79</v>
      </c>
      <c r="AI68" s="314">
        <f>VLOOKUP($C68,BAU_Demands!$B$3:$BK$48,BAU_Demands!AG$1,0)</f>
        <v>91.27</v>
      </c>
      <c r="AJ68" s="314">
        <f>VLOOKUP($C68,BAU_Demands!$B$3:$BK$48,BAU_Demands!AH$1,0)</f>
        <v>90.93</v>
      </c>
      <c r="AK68" s="314">
        <f>VLOOKUP($C68,BAU_Demands!$B$3:$BK$48,BAU_Demands!AI$1,0)</f>
        <v>91.26</v>
      </c>
      <c r="AL68" s="314">
        <f>VLOOKUP($C68,BAU_Demands!$B$3:$BK$48,BAU_Demands!AJ$1,0)</f>
        <v>91.21</v>
      </c>
      <c r="AM68" s="314">
        <f>VLOOKUP($C68,BAU_Demands!$B$3:$BK$48,BAU_Demands!AK$1,0)</f>
        <v>91.25</v>
      </c>
      <c r="AN68" s="314">
        <f>VLOOKUP($C68,BAU_Demands!$B$3:$BK$48,BAU_Demands!AL$1,0)</f>
        <v>91.18</v>
      </c>
      <c r="AO68" s="314">
        <f>VLOOKUP($C68,BAU_Demands!$B$3:$BK$48,BAU_Demands!AM$1,0)</f>
        <v>91.18</v>
      </c>
      <c r="AP68" s="314">
        <f>VLOOKUP($C68,BAU_Demands!$B$3:$BK$48,BAU_Demands!AN$1,0)</f>
        <v>91.21</v>
      </c>
      <c r="AQ68" s="314">
        <f>VLOOKUP($C68,BAU_Demands!$B$3:$BK$48,BAU_Demands!AO$1,0)</f>
        <v>91.39</v>
      </c>
      <c r="AR68" s="314">
        <f>VLOOKUP($C68,BAU_Demands!$B$3:$BK$48,BAU_Demands!AP$1,0)</f>
        <v>91.23</v>
      </c>
      <c r="AS68" s="314">
        <f>VLOOKUP($C68,BAU_Demands!$B$3:$BK$48,BAU_Demands!AQ$1,0)</f>
        <v>91.37</v>
      </c>
      <c r="AT68" s="314">
        <f>VLOOKUP($C68,BAU_Demands!$B$3:$BK$48,BAU_Demands!AR$1,0)</f>
        <v>91.22</v>
      </c>
      <c r="AU68" s="314">
        <f>VLOOKUP($C68,BAU_Demands!$B$3:$BK$48,BAU_Demands!AS$1,0)</f>
        <v>91.22</v>
      </c>
      <c r="AV68" s="314">
        <f>VLOOKUP($C68,BAU_Demands!$B$3:$BK$48,BAU_Demands!AT$1,0)</f>
        <v>91.25</v>
      </c>
      <c r="AW68" s="314">
        <f>VLOOKUP($C68,BAU_Demands!$B$3:$BK$48,BAU_Demands!AU$1,0)</f>
        <v>91.25</v>
      </c>
      <c r="AX68" s="314">
        <f>VLOOKUP($C68,BAU_Demands!$B$3:$BK$48,BAU_Demands!AV$1,0)</f>
        <v>91.25</v>
      </c>
      <c r="AY68" s="314">
        <f>VLOOKUP($C68,BAU_Demands!$B$3:$BK$48,BAU_Demands!AW$1,0)</f>
        <v>91.25</v>
      </c>
      <c r="AZ68" s="314">
        <f>VLOOKUP($C68,BAU_Demands!$B$3:$BK$48,BAU_Demands!AX$1,0)</f>
        <v>91.26</v>
      </c>
      <c r="BA68" s="314">
        <f>VLOOKUP($C68,BAU_Demands!$B$3:$BK$48,BAU_Demands!AY$1,0)</f>
        <v>91.27</v>
      </c>
      <c r="BB68" s="314">
        <f>VLOOKUP($C68,BAU_Demands!$B$3:$BK$48,BAU_Demands!AZ$1,0)</f>
        <v>91.27</v>
      </c>
      <c r="BC68" s="314">
        <f>VLOOKUP($C68,BAU_Demands!$B$3:$BK$48,BAU_Demands!BA$1,0)</f>
        <v>91.26</v>
      </c>
      <c r="BD68" s="314">
        <f>VLOOKUP($C68,BAU_Demands!$B$3:$BK$48,BAU_Demands!BB$1,0)</f>
        <v>91.26</v>
      </c>
      <c r="BE68" s="314">
        <f>VLOOKUP($C68,BAU_Demands!$B$3:$BK$48,BAU_Demands!BC$1,0)</f>
        <v>91.25</v>
      </c>
      <c r="BF68" s="314">
        <f>VLOOKUP($C68,BAU_Demands!$B$3:$BK$48,BAU_Demands!BD$1,0)</f>
        <v>91.25</v>
      </c>
      <c r="BG68" s="314">
        <f>VLOOKUP($C68,BAU_Demands!$B$3:$BK$48,BAU_Demands!BE$1,0)</f>
        <v>91.25</v>
      </c>
      <c r="BH68" s="314">
        <f>VLOOKUP($C68,BAU_Demands!$B$3:$BK$48,BAU_Demands!BF$1,0)</f>
        <v>91.25</v>
      </c>
      <c r="BI68" s="314">
        <f>VLOOKUP($C68,BAU_Demands!$B$3:$BK$48,BAU_Demands!BG$1,0)</f>
        <v>91.26</v>
      </c>
      <c r="BJ68" s="314">
        <f>VLOOKUP($C68,BAU_Demands!$B$3:$BK$48,BAU_Demands!BH$1,0)</f>
        <v>91.26</v>
      </c>
      <c r="BK68" s="314">
        <f>VLOOKUP($C68,BAU_Demands!$B$3:$BK$48,BAU_Demands!BI$1,0)</f>
        <v>91.26</v>
      </c>
      <c r="BL68" s="314">
        <f>VLOOKUP($C68,BAU_Demands!$B$3:$BK$48,BAU_Demands!BJ$1,0)</f>
        <v>91.26</v>
      </c>
      <c r="BM68" s="314">
        <f>VLOOKUP($C68,BAU_Demands!$B$3:$BK$48,BAU_Demands!BK$1,0)</f>
        <v>91.26</v>
      </c>
    </row>
    <row r="69" spans="1:65" ht="15.75" hidden="1" customHeight="1">
      <c r="A69" s="314" t="s">
        <v>551</v>
      </c>
      <c r="B69" s="314" t="s">
        <v>458</v>
      </c>
      <c r="C69" s="314" t="s">
        <v>511</v>
      </c>
      <c r="D69" s="314" t="s">
        <v>460</v>
      </c>
      <c r="E69" s="314" t="s">
        <v>512</v>
      </c>
      <c r="F69" s="314" t="s">
        <v>462</v>
      </c>
      <c r="G69" s="314" t="s">
        <v>463</v>
      </c>
      <c r="H69" s="314" t="s">
        <v>464</v>
      </c>
      <c r="I69" s="314"/>
      <c r="J69" s="314"/>
      <c r="K69" s="314"/>
      <c r="L69" s="314"/>
      <c r="M69" s="226">
        <f>VLOOKUP($C69,BAU_Demands!$B$3:$BK$48,BAU_Demands!K$1,0)</f>
        <v>0</v>
      </c>
      <c r="N69" s="226">
        <f>VLOOKUP($C69,BAU_Demands!$B$3:$BK$48,BAU_Demands!L$1,0)</f>
        <v>0</v>
      </c>
      <c r="O69" s="226">
        <f>VLOOKUP($C69,BAU_Demands!$B$3:$BK$48,BAU_Demands!M$1,0)</f>
        <v>0</v>
      </c>
      <c r="P69" s="226">
        <f>VLOOKUP($C69,BAU_Demands!$B$3:$BK$48,BAU_Demands!N$1,0)</f>
        <v>0</v>
      </c>
      <c r="Q69" s="314">
        <f>VLOOKUP($C69,BAU_Demands!$B$3:$BK$48,BAU_Demands!O$1,0)</f>
        <v>0</v>
      </c>
      <c r="R69" s="314">
        <f>VLOOKUP($C69,BAU_Demands!$B$3:$BK$48,BAU_Demands!P$1,0)</f>
        <v>0</v>
      </c>
      <c r="S69" s="314">
        <f>VLOOKUP($C69,BAU_Demands!$B$3:$BK$48,BAU_Demands!Q$1,0)</f>
        <v>0</v>
      </c>
      <c r="T69" s="314">
        <f>VLOOKUP($C69,BAU_Demands!$B$3:$BK$48,BAU_Demands!R$1,0)</f>
        <v>0</v>
      </c>
      <c r="U69" s="314">
        <f>VLOOKUP($C69,BAU_Demands!$B$3:$BK$48,BAU_Demands!S$1,0)</f>
        <v>0</v>
      </c>
      <c r="V69" s="314">
        <f>VLOOKUP($C69,BAU_Demands!$B$3:$BK$48,BAU_Demands!T$1,0)</f>
        <v>0</v>
      </c>
      <c r="W69" s="314">
        <f>VLOOKUP($C69,BAU_Demands!$B$3:$BK$48,BAU_Demands!U$1,0)</f>
        <v>0</v>
      </c>
      <c r="X69" s="314">
        <f>VLOOKUP($C69,BAU_Demands!$B$3:$BK$48,BAU_Demands!V$1,0)</f>
        <v>0</v>
      </c>
      <c r="Y69" s="314">
        <f>VLOOKUP($C69,BAU_Demands!$B$3:$BK$48,BAU_Demands!W$1,0)</f>
        <v>0</v>
      </c>
      <c r="Z69" s="314">
        <f>VLOOKUP($C69,BAU_Demands!$B$3:$BK$48,BAU_Demands!X$1,0)</f>
        <v>0</v>
      </c>
      <c r="AA69" s="314">
        <f>VLOOKUP($C69,BAU_Demands!$B$3:$BK$48,BAU_Demands!Y$1,0)</f>
        <v>0</v>
      </c>
      <c r="AB69" s="314">
        <f>VLOOKUP($C69,BAU_Demands!$B$3:$BK$48,BAU_Demands!Z$1,0)</f>
        <v>0</v>
      </c>
      <c r="AC69" s="314">
        <f>VLOOKUP($C69,BAU_Demands!$B$3:$BK$48,BAU_Demands!AA$1,0)</f>
        <v>0</v>
      </c>
      <c r="AD69" s="314">
        <f>VLOOKUP($C69,BAU_Demands!$B$3:$BK$48,BAU_Demands!AB$1,0)</f>
        <v>0</v>
      </c>
      <c r="AE69" s="314">
        <f>VLOOKUP($C69,BAU_Demands!$B$3:$BK$48,BAU_Demands!AC$1,0)</f>
        <v>0</v>
      </c>
      <c r="AF69" s="314">
        <f>VLOOKUP($C69,BAU_Demands!$B$3:$BK$48,BAU_Demands!AD$1,0)</f>
        <v>0</v>
      </c>
      <c r="AG69" s="314">
        <f>VLOOKUP($C69,BAU_Demands!$B$3:$BK$48,BAU_Demands!AE$1,0)</f>
        <v>0</v>
      </c>
      <c r="AH69" s="314">
        <f>VLOOKUP($C69,BAU_Demands!$B$3:$BK$48,BAU_Demands!AF$1,0)</f>
        <v>0</v>
      </c>
      <c r="AI69" s="314">
        <f>VLOOKUP($C69,BAU_Demands!$B$3:$BK$48,BAU_Demands!AG$1,0)</f>
        <v>0</v>
      </c>
      <c r="AJ69" s="314">
        <f>VLOOKUP($C69,BAU_Demands!$B$3:$BK$48,BAU_Demands!AH$1,0)</f>
        <v>0</v>
      </c>
      <c r="AK69" s="314">
        <f>VLOOKUP($C69,BAU_Demands!$B$3:$BK$48,BAU_Demands!AI$1,0)</f>
        <v>0</v>
      </c>
      <c r="AL69" s="314">
        <f>VLOOKUP($C69,BAU_Demands!$B$3:$BK$48,BAU_Demands!AJ$1,0)</f>
        <v>0</v>
      </c>
      <c r="AM69" s="314">
        <f>VLOOKUP($C69,BAU_Demands!$B$3:$BK$48,BAU_Demands!AK$1,0)</f>
        <v>0</v>
      </c>
      <c r="AN69" s="314">
        <f>VLOOKUP($C69,BAU_Demands!$B$3:$BK$48,BAU_Demands!AL$1,0)</f>
        <v>0</v>
      </c>
      <c r="AO69" s="314">
        <f>VLOOKUP($C69,BAU_Demands!$B$3:$BK$48,BAU_Demands!AM$1,0)</f>
        <v>0</v>
      </c>
      <c r="AP69" s="314">
        <f>VLOOKUP($C69,BAU_Demands!$B$3:$BK$48,BAU_Demands!AN$1,0)</f>
        <v>0</v>
      </c>
      <c r="AQ69" s="314">
        <f>VLOOKUP($C69,BAU_Demands!$B$3:$BK$48,BAU_Demands!AO$1,0)</f>
        <v>0</v>
      </c>
      <c r="AR69" s="314">
        <f>VLOOKUP($C69,BAU_Demands!$B$3:$BK$48,BAU_Demands!AP$1,0)</f>
        <v>0</v>
      </c>
      <c r="AS69" s="314">
        <f>VLOOKUP($C69,BAU_Demands!$B$3:$BK$48,BAU_Demands!AQ$1,0)</f>
        <v>0</v>
      </c>
      <c r="AT69" s="314">
        <f>VLOOKUP($C69,BAU_Demands!$B$3:$BK$48,BAU_Demands!AR$1,0)</f>
        <v>0</v>
      </c>
      <c r="AU69" s="314">
        <f>VLOOKUP($C69,BAU_Demands!$B$3:$BK$48,BAU_Demands!AS$1,0)</f>
        <v>0</v>
      </c>
      <c r="AV69" s="314">
        <f>VLOOKUP($C69,BAU_Demands!$B$3:$BK$48,BAU_Demands!AT$1,0)</f>
        <v>0</v>
      </c>
      <c r="AW69" s="314">
        <f>VLOOKUP($C69,BAU_Demands!$B$3:$BK$48,BAU_Demands!AU$1,0)</f>
        <v>0</v>
      </c>
      <c r="AX69" s="314">
        <f>VLOOKUP($C69,BAU_Demands!$B$3:$BK$48,BAU_Demands!AV$1,0)</f>
        <v>0</v>
      </c>
      <c r="AY69" s="314">
        <f>VLOOKUP($C69,BAU_Demands!$B$3:$BK$48,BAU_Demands!AW$1,0)</f>
        <v>0</v>
      </c>
      <c r="AZ69" s="314">
        <f>VLOOKUP($C69,BAU_Demands!$B$3:$BK$48,BAU_Demands!AX$1,0)</f>
        <v>0</v>
      </c>
      <c r="BA69" s="314">
        <f>VLOOKUP($C69,BAU_Demands!$B$3:$BK$48,BAU_Demands!AY$1,0)</f>
        <v>0</v>
      </c>
      <c r="BB69" s="314">
        <f>VLOOKUP($C69,BAU_Demands!$B$3:$BK$48,BAU_Demands!AZ$1,0)</f>
        <v>0</v>
      </c>
      <c r="BC69" s="314">
        <f>VLOOKUP($C69,BAU_Demands!$B$3:$BK$48,BAU_Demands!BA$1,0)</f>
        <v>0</v>
      </c>
      <c r="BD69" s="314">
        <f>VLOOKUP($C69,BAU_Demands!$B$3:$BK$48,BAU_Demands!BB$1,0)</f>
        <v>0</v>
      </c>
      <c r="BE69" s="314">
        <f>VLOOKUP($C69,BAU_Demands!$B$3:$BK$48,BAU_Demands!BC$1,0)</f>
        <v>0</v>
      </c>
      <c r="BF69" s="314">
        <f>VLOOKUP($C69,BAU_Demands!$B$3:$BK$48,BAU_Demands!BD$1,0)</f>
        <v>0</v>
      </c>
      <c r="BG69" s="314">
        <f>VLOOKUP($C69,BAU_Demands!$B$3:$BK$48,BAU_Demands!BE$1,0)</f>
        <v>0</v>
      </c>
      <c r="BH69" s="314">
        <f>VLOOKUP($C69,BAU_Demands!$B$3:$BK$48,BAU_Demands!BF$1,0)</f>
        <v>0</v>
      </c>
      <c r="BI69" s="314">
        <f>VLOOKUP($C69,BAU_Demands!$B$3:$BK$48,BAU_Demands!BG$1,0)</f>
        <v>0</v>
      </c>
      <c r="BJ69" s="314">
        <f>VLOOKUP($C69,BAU_Demands!$B$3:$BK$48,BAU_Demands!BH$1,0)</f>
        <v>0</v>
      </c>
      <c r="BK69" s="314">
        <f>VLOOKUP($C69,BAU_Demands!$B$3:$BK$48,BAU_Demands!BI$1,0)</f>
        <v>0</v>
      </c>
      <c r="BL69" s="314">
        <f>VLOOKUP($C69,BAU_Demands!$B$3:$BK$48,BAU_Demands!BJ$1,0)</f>
        <v>0</v>
      </c>
      <c r="BM69" s="314">
        <f>VLOOKUP($C69,BAU_Demands!$B$3:$BK$48,BAU_Demands!BK$1,0)</f>
        <v>0</v>
      </c>
    </row>
    <row r="70" spans="1:65" ht="15.75" hidden="1" customHeight="1">
      <c r="A70" s="314" t="s">
        <v>551</v>
      </c>
      <c r="B70" s="314" t="s">
        <v>458</v>
      </c>
      <c r="C70" s="314" t="s">
        <v>513</v>
      </c>
      <c r="D70" s="314" t="s">
        <v>460</v>
      </c>
      <c r="E70" s="314" t="s">
        <v>514</v>
      </c>
      <c r="F70" s="314" t="s">
        <v>462</v>
      </c>
      <c r="G70" s="314" t="s">
        <v>463</v>
      </c>
      <c r="H70" s="314" t="s">
        <v>464</v>
      </c>
      <c r="I70" s="314"/>
      <c r="J70" s="314"/>
      <c r="K70" s="314"/>
      <c r="L70" s="314"/>
      <c r="M70" s="226">
        <f>VLOOKUP($C70,BAU_Demands!$B$3:$BK$48,BAU_Demands!K$1,0)</f>
        <v>0</v>
      </c>
      <c r="N70" s="226">
        <f>VLOOKUP($C70,BAU_Demands!$B$3:$BK$48,BAU_Demands!L$1,0)</f>
        <v>0.12451092</v>
      </c>
      <c r="O70" s="226">
        <f>VLOOKUP($C70,BAU_Demands!$B$3:$BK$48,BAU_Demands!M$1,0)</f>
        <v>0</v>
      </c>
      <c r="P70" s="226">
        <f>VLOOKUP($C70,BAU_Demands!$B$3:$BK$48,BAU_Demands!N$1,0)</f>
        <v>3.9361462349999998</v>
      </c>
      <c r="Q70" s="314">
        <f>VLOOKUP($C70,BAU_Demands!$B$3:$BK$48,BAU_Demands!O$1,0)</f>
        <v>0</v>
      </c>
      <c r="R70" s="314">
        <f>VLOOKUP($C70,BAU_Demands!$B$3:$BK$48,BAU_Demands!P$1,0)</f>
        <v>0</v>
      </c>
      <c r="S70" s="314">
        <f>VLOOKUP($C70,BAU_Demands!$B$3:$BK$48,BAU_Demands!Q$1,0)</f>
        <v>0</v>
      </c>
      <c r="T70" s="314">
        <f>VLOOKUP($C70,BAU_Demands!$B$3:$BK$48,BAU_Demands!R$1,0)</f>
        <v>0</v>
      </c>
      <c r="U70" s="314">
        <f>VLOOKUP($C70,BAU_Demands!$B$3:$BK$48,BAU_Demands!S$1,0)</f>
        <v>0</v>
      </c>
      <c r="V70" s="314">
        <f>VLOOKUP($C70,BAU_Demands!$B$3:$BK$48,BAU_Demands!T$1,0)</f>
        <v>0</v>
      </c>
      <c r="W70" s="314">
        <f>VLOOKUP($C70,BAU_Demands!$B$3:$BK$48,BAU_Demands!U$1,0)</f>
        <v>0</v>
      </c>
      <c r="X70" s="314">
        <f>VLOOKUP($C70,BAU_Demands!$B$3:$BK$48,BAU_Demands!V$1,0)</f>
        <v>0</v>
      </c>
      <c r="Y70" s="314">
        <f>VLOOKUP($C70,BAU_Demands!$B$3:$BK$48,BAU_Demands!W$1,0)</f>
        <v>0</v>
      </c>
      <c r="Z70" s="314">
        <f>VLOOKUP($C70,BAU_Demands!$B$3:$BK$48,BAU_Demands!X$1,0)</f>
        <v>0</v>
      </c>
      <c r="AA70" s="314">
        <f>VLOOKUP($C70,BAU_Demands!$B$3:$BK$48,BAU_Demands!Y$1,0)</f>
        <v>0</v>
      </c>
      <c r="AB70" s="314">
        <f>VLOOKUP($C70,BAU_Demands!$B$3:$BK$48,BAU_Demands!Z$1,0)</f>
        <v>0</v>
      </c>
      <c r="AC70" s="314">
        <f>VLOOKUP($C70,BAU_Demands!$B$3:$BK$48,BAU_Demands!AA$1,0)</f>
        <v>0</v>
      </c>
      <c r="AD70" s="314">
        <f>VLOOKUP($C70,BAU_Demands!$B$3:$BK$48,BAU_Demands!AB$1,0)</f>
        <v>0</v>
      </c>
      <c r="AE70" s="314">
        <f>VLOOKUP($C70,BAU_Demands!$B$3:$BK$48,BAU_Demands!AC$1,0)</f>
        <v>0</v>
      </c>
      <c r="AF70" s="314">
        <f>VLOOKUP($C70,BAU_Demands!$B$3:$BK$48,BAU_Demands!AD$1,0)</f>
        <v>0</v>
      </c>
      <c r="AG70" s="314">
        <f>VLOOKUP($C70,BAU_Demands!$B$3:$BK$48,BAU_Demands!AE$1,0)</f>
        <v>0</v>
      </c>
      <c r="AH70" s="314">
        <f>VLOOKUP($C70,BAU_Demands!$B$3:$BK$48,BAU_Demands!AF$1,0)</f>
        <v>0</v>
      </c>
      <c r="AI70" s="314">
        <f>VLOOKUP($C70,BAU_Demands!$B$3:$BK$48,BAU_Demands!AG$1,0)</f>
        <v>0</v>
      </c>
      <c r="AJ70" s="314">
        <f>VLOOKUP($C70,BAU_Demands!$B$3:$BK$48,BAU_Demands!AH$1,0)</f>
        <v>0</v>
      </c>
      <c r="AK70" s="314">
        <f>VLOOKUP($C70,BAU_Demands!$B$3:$BK$48,BAU_Demands!AI$1,0)</f>
        <v>0</v>
      </c>
      <c r="AL70" s="314">
        <f>VLOOKUP($C70,BAU_Demands!$B$3:$BK$48,BAU_Demands!AJ$1,0)</f>
        <v>0</v>
      </c>
      <c r="AM70" s="314">
        <f>VLOOKUP($C70,BAU_Demands!$B$3:$BK$48,BAU_Demands!AK$1,0)</f>
        <v>0</v>
      </c>
      <c r="AN70" s="314">
        <f>VLOOKUP($C70,BAU_Demands!$B$3:$BK$48,BAU_Demands!AL$1,0)</f>
        <v>0</v>
      </c>
      <c r="AO70" s="314">
        <f>VLOOKUP($C70,BAU_Demands!$B$3:$BK$48,BAU_Demands!AM$1,0)</f>
        <v>0</v>
      </c>
      <c r="AP70" s="314">
        <f>VLOOKUP($C70,BAU_Demands!$B$3:$BK$48,BAU_Demands!AN$1,0)</f>
        <v>0</v>
      </c>
      <c r="AQ70" s="314">
        <f>VLOOKUP($C70,BAU_Demands!$B$3:$BK$48,BAU_Demands!AO$1,0)</f>
        <v>0</v>
      </c>
      <c r="AR70" s="314">
        <f>VLOOKUP($C70,BAU_Demands!$B$3:$BK$48,BAU_Demands!AP$1,0)</f>
        <v>0</v>
      </c>
      <c r="AS70" s="314">
        <f>VLOOKUP($C70,BAU_Demands!$B$3:$BK$48,BAU_Demands!AQ$1,0)</f>
        <v>0</v>
      </c>
      <c r="AT70" s="314">
        <f>VLOOKUP($C70,BAU_Demands!$B$3:$BK$48,BAU_Demands!AR$1,0)</f>
        <v>0</v>
      </c>
      <c r="AU70" s="314">
        <f>VLOOKUP($C70,BAU_Demands!$B$3:$BK$48,BAU_Demands!AS$1,0)</f>
        <v>0</v>
      </c>
      <c r="AV70" s="314">
        <f>VLOOKUP($C70,BAU_Demands!$B$3:$BK$48,BAU_Demands!AT$1,0)</f>
        <v>0</v>
      </c>
      <c r="AW70" s="314">
        <f>VLOOKUP($C70,BAU_Demands!$B$3:$BK$48,BAU_Demands!AU$1,0)</f>
        <v>0</v>
      </c>
      <c r="AX70" s="314">
        <f>VLOOKUP($C70,BAU_Demands!$B$3:$BK$48,BAU_Demands!AV$1,0)</f>
        <v>0</v>
      </c>
      <c r="AY70" s="314">
        <f>VLOOKUP($C70,BAU_Demands!$B$3:$BK$48,BAU_Demands!AW$1,0)</f>
        <v>0</v>
      </c>
      <c r="AZ70" s="314">
        <f>VLOOKUP($C70,BAU_Demands!$B$3:$BK$48,BAU_Demands!AX$1,0)</f>
        <v>0</v>
      </c>
      <c r="BA70" s="314">
        <f>VLOOKUP($C70,BAU_Demands!$B$3:$BK$48,BAU_Demands!AY$1,0)</f>
        <v>0</v>
      </c>
      <c r="BB70" s="314">
        <f>VLOOKUP($C70,BAU_Demands!$B$3:$BK$48,BAU_Demands!AZ$1,0)</f>
        <v>0</v>
      </c>
      <c r="BC70" s="314">
        <f>VLOOKUP($C70,BAU_Demands!$B$3:$BK$48,BAU_Demands!BA$1,0)</f>
        <v>0</v>
      </c>
      <c r="BD70" s="314">
        <f>VLOOKUP($C70,BAU_Demands!$B$3:$BK$48,BAU_Demands!BB$1,0)</f>
        <v>0</v>
      </c>
      <c r="BE70" s="314">
        <f>VLOOKUP($C70,BAU_Demands!$B$3:$BK$48,BAU_Demands!BC$1,0)</f>
        <v>0</v>
      </c>
      <c r="BF70" s="314">
        <f>VLOOKUP($C70,BAU_Demands!$B$3:$BK$48,BAU_Demands!BD$1,0)</f>
        <v>0</v>
      </c>
      <c r="BG70" s="314">
        <f>VLOOKUP($C70,BAU_Demands!$B$3:$BK$48,BAU_Demands!BE$1,0)</f>
        <v>0</v>
      </c>
      <c r="BH70" s="314">
        <f>VLOOKUP($C70,BAU_Demands!$B$3:$BK$48,BAU_Demands!BF$1,0)</f>
        <v>0</v>
      </c>
      <c r="BI70" s="314">
        <f>VLOOKUP($C70,BAU_Demands!$B$3:$BK$48,BAU_Demands!BG$1,0)</f>
        <v>0</v>
      </c>
      <c r="BJ70" s="314">
        <f>VLOOKUP($C70,BAU_Demands!$B$3:$BK$48,BAU_Demands!BH$1,0)</f>
        <v>0</v>
      </c>
      <c r="BK70" s="314">
        <f>VLOOKUP($C70,BAU_Demands!$B$3:$BK$48,BAU_Demands!BI$1,0)</f>
        <v>0</v>
      </c>
      <c r="BL70" s="314">
        <f>VLOOKUP($C70,BAU_Demands!$B$3:$BK$48,BAU_Demands!BJ$1,0)</f>
        <v>0</v>
      </c>
      <c r="BM70" s="314">
        <f>VLOOKUP($C70,BAU_Demands!$B$3:$BK$48,BAU_Demands!BK$1,0)</f>
        <v>0</v>
      </c>
    </row>
    <row r="71" spans="1:65" ht="15.75" hidden="1" customHeight="1">
      <c r="A71" s="30" t="s">
        <v>551</v>
      </c>
      <c r="B71" s="30" t="s">
        <v>458</v>
      </c>
      <c r="C71" s="30" t="s">
        <v>515</v>
      </c>
      <c r="D71" s="30" t="s">
        <v>460</v>
      </c>
      <c r="E71" s="30" t="s">
        <v>516</v>
      </c>
      <c r="F71" s="30" t="s">
        <v>462</v>
      </c>
      <c r="G71" s="30" t="s">
        <v>463</v>
      </c>
      <c r="H71" s="30" t="s">
        <v>464</v>
      </c>
      <c r="I71" s="30"/>
      <c r="J71" s="30"/>
      <c r="K71" s="30"/>
      <c r="L71" s="30"/>
      <c r="M71" s="226">
        <f>VLOOKUP($C71,BAU_Demands!$B$3:$BK$48,BAU_Demands!K$1,0)</f>
        <v>0</v>
      </c>
      <c r="N71" s="226">
        <f>VLOOKUP($C71,BAU_Demands!$B$3:$BK$48,BAU_Demands!L$1,0)</f>
        <v>0.173318416</v>
      </c>
      <c r="O71" s="226">
        <f>VLOOKUP($C71,BAU_Demands!$B$3:$BK$48,BAU_Demands!M$1,0)</f>
        <v>0</v>
      </c>
      <c r="P71" s="226">
        <f>VLOOKUP($C71,BAU_Demands!$B$3:$BK$48,BAU_Demands!N$1,0)</f>
        <v>0</v>
      </c>
      <c r="Q71" s="30">
        <f>VLOOKUP($C71,BAU_Demands!$B$3:$BK$48,BAU_Demands!O$1,0)</f>
        <v>0</v>
      </c>
      <c r="R71" s="30">
        <f>VLOOKUP($C71,BAU_Demands!$B$3:$BK$48,BAU_Demands!P$1,0)</f>
        <v>0</v>
      </c>
      <c r="S71" s="30">
        <f>VLOOKUP($C71,BAU_Demands!$B$3:$BK$48,BAU_Demands!Q$1,0)</f>
        <v>0</v>
      </c>
      <c r="T71" s="30">
        <f>VLOOKUP($C71,BAU_Demands!$B$3:$BK$48,BAU_Demands!R$1,0)</f>
        <v>0</v>
      </c>
      <c r="U71" s="30">
        <f>VLOOKUP($C71,BAU_Demands!$B$3:$BK$48,BAU_Demands!S$1,0)</f>
        <v>0</v>
      </c>
      <c r="V71" s="30">
        <f>VLOOKUP($C71,BAU_Demands!$B$3:$BK$48,BAU_Demands!T$1,0)</f>
        <v>0</v>
      </c>
      <c r="W71" s="30">
        <f>VLOOKUP($C71,BAU_Demands!$B$3:$BK$48,BAU_Demands!U$1,0)</f>
        <v>0</v>
      </c>
      <c r="X71" s="30">
        <f>VLOOKUP($C71,BAU_Demands!$B$3:$BK$48,BAU_Demands!V$1,0)</f>
        <v>0</v>
      </c>
      <c r="Y71" s="30">
        <f>VLOOKUP($C71,BAU_Demands!$B$3:$BK$48,BAU_Demands!W$1,0)</f>
        <v>0</v>
      </c>
      <c r="Z71" s="30">
        <f>VLOOKUP($C71,BAU_Demands!$B$3:$BK$48,BAU_Demands!X$1,0)</f>
        <v>0</v>
      </c>
      <c r="AA71" s="30">
        <f>VLOOKUP($C71,BAU_Demands!$B$3:$BK$48,BAU_Demands!Y$1,0)</f>
        <v>0</v>
      </c>
      <c r="AB71" s="30">
        <f>VLOOKUP($C71,BAU_Demands!$B$3:$BK$48,BAU_Demands!Z$1,0)</f>
        <v>0</v>
      </c>
      <c r="AC71" s="30">
        <f>VLOOKUP($C71,BAU_Demands!$B$3:$BK$48,BAU_Demands!AA$1,0)</f>
        <v>0</v>
      </c>
      <c r="AD71" s="30">
        <f>VLOOKUP($C71,BAU_Demands!$B$3:$BK$48,BAU_Demands!AB$1,0)</f>
        <v>0</v>
      </c>
      <c r="AE71" s="30">
        <f>VLOOKUP($C71,BAU_Demands!$B$3:$BK$48,BAU_Demands!AC$1,0)</f>
        <v>0</v>
      </c>
      <c r="AF71" s="30">
        <f>VLOOKUP($C71,BAU_Demands!$B$3:$BK$48,BAU_Demands!AD$1,0)</f>
        <v>0</v>
      </c>
      <c r="AG71" s="30">
        <f>VLOOKUP($C71,BAU_Demands!$B$3:$BK$48,BAU_Demands!AE$1,0)</f>
        <v>0</v>
      </c>
      <c r="AH71" s="30">
        <f>VLOOKUP($C71,BAU_Demands!$B$3:$BK$48,BAU_Demands!AF$1,0)</f>
        <v>0</v>
      </c>
      <c r="AI71" s="30">
        <f>VLOOKUP($C71,BAU_Demands!$B$3:$BK$48,BAU_Demands!AG$1,0)</f>
        <v>0</v>
      </c>
      <c r="AJ71" s="30">
        <f>VLOOKUP($C71,BAU_Demands!$B$3:$BK$48,BAU_Demands!AH$1,0)</f>
        <v>0</v>
      </c>
      <c r="AK71" s="30">
        <f>VLOOKUP($C71,BAU_Demands!$B$3:$BK$48,BAU_Demands!AI$1,0)</f>
        <v>0</v>
      </c>
      <c r="AL71" s="30">
        <f>VLOOKUP($C71,BAU_Demands!$B$3:$BK$48,BAU_Demands!AJ$1,0)</f>
        <v>0</v>
      </c>
      <c r="AM71" s="30">
        <f>VLOOKUP($C71,BAU_Demands!$B$3:$BK$48,BAU_Demands!AK$1,0)</f>
        <v>0</v>
      </c>
      <c r="AN71" s="30">
        <f>VLOOKUP($C71,BAU_Demands!$B$3:$BK$48,BAU_Demands!AL$1,0)</f>
        <v>0</v>
      </c>
      <c r="AO71" s="30">
        <f>VLOOKUP($C71,BAU_Demands!$B$3:$BK$48,BAU_Demands!AM$1,0)</f>
        <v>0</v>
      </c>
      <c r="AP71" s="30">
        <f>VLOOKUP($C71,BAU_Demands!$B$3:$BK$48,BAU_Demands!AN$1,0)</f>
        <v>0</v>
      </c>
      <c r="AQ71" s="30">
        <f>VLOOKUP($C71,BAU_Demands!$B$3:$BK$48,BAU_Demands!AO$1,0)</f>
        <v>0</v>
      </c>
      <c r="AR71" s="30">
        <f>VLOOKUP($C71,BAU_Demands!$B$3:$BK$48,BAU_Demands!AP$1,0)</f>
        <v>0</v>
      </c>
      <c r="AS71" s="30">
        <f>VLOOKUP($C71,BAU_Demands!$B$3:$BK$48,BAU_Demands!AQ$1,0)</f>
        <v>0</v>
      </c>
      <c r="AT71" s="30">
        <f>VLOOKUP($C71,BAU_Demands!$B$3:$BK$48,BAU_Demands!AR$1,0)</f>
        <v>0</v>
      </c>
      <c r="AU71" s="30">
        <f>VLOOKUP($C71,BAU_Demands!$B$3:$BK$48,BAU_Demands!AS$1,0)</f>
        <v>0</v>
      </c>
      <c r="AV71" s="30">
        <f>VLOOKUP($C71,BAU_Demands!$B$3:$BK$48,BAU_Demands!AT$1,0)</f>
        <v>0</v>
      </c>
      <c r="AW71" s="30">
        <f>VLOOKUP($C71,BAU_Demands!$B$3:$BK$48,BAU_Demands!AU$1,0)</f>
        <v>0</v>
      </c>
      <c r="AX71" s="30">
        <f>VLOOKUP($C71,BAU_Demands!$B$3:$BK$48,BAU_Demands!AV$1,0)</f>
        <v>0</v>
      </c>
      <c r="AY71" s="30">
        <f>VLOOKUP($C71,BAU_Demands!$B$3:$BK$48,BAU_Demands!AW$1,0)</f>
        <v>0</v>
      </c>
      <c r="AZ71" s="30">
        <f>VLOOKUP($C71,BAU_Demands!$B$3:$BK$48,BAU_Demands!AX$1,0)</f>
        <v>0</v>
      </c>
      <c r="BA71" s="30">
        <f>VLOOKUP($C71,BAU_Demands!$B$3:$BK$48,BAU_Demands!AY$1,0)</f>
        <v>0</v>
      </c>
      <c r="BB71" s="30">
        <f>VLOOKUP($C71,BAU_Demands!$B$3:$BK$48,BAU_Demands!AZ$1,0)</f>
        <v>0</v>
      </c>
      <c r="BC71" s="30">
        <f>VLOOKUP($C71,BAU_Demands!$B$3:$BK$48,BAU_Demands!BA$1,0)</f>
        <v>0</v>
      </c>
      <c r="BD71" s="30">
        <f>VLOOKUP($C71,BAU_Demands!$B$3:$BK$48,BAU_Demands!BB$1,0)</f>
        <v>0</v>
      </c>
      <c r="BE71" s="30">
        <f>VLOOKUP($C71,BAU_Demands!$B$3:$BK$48,BAU_Demands!BC$1,0)</f>
        <v>0</v>
      </c>
      <c r="BF71" s="30">
        <f>VLOOKUP($C71,BAU_Demands!$B$3:$BK$48,BAU_Demands!BD$1,0)</f>
        <v>0</v>
      </c>
      <c r="BG71" s="30">
        <f>VLOOKUP($C71,BAU_Demands!$B$3:$BK$48,BAU_Demands!BE$1,0)</f>
        <v>0</v>
      </c>
      <c r="BH71" s="30">
        <f>VLOOKUP($C71,BAU_Demands!$B$3:$BK$48,BAU_Demands!BF$1,0)</f>
        <v>0</v>
      </c>
      <c r="BI71" s="30">
        <f>VLOOKUP($C71,BAU_Demands!$B$3:$BK$48,BAU_Demands!BG$1,0)</f>
        <v>0</v>
      </c>
      <c r="BJ71" s="30">
        <f>VLOOKUP($C71,BAU_Demands!$B$3:$BK$48,BAU_Demands!BH$1,0)</f>
        <v>0</v>
      </c>
      <c r="BK71" s="30">
        <f>VLOOKUP($C71,BAU_Demands!$B$3:$BK$48,BAU_Demands!BI$1,0)</f>
        <v>0</v>
      </c>
      <c r="BL71" s="30">
        <f>VLOOKUP($C71,BAU_Demands!$B$3:$BK$48,BAU_Demands!BJ$1,0)</f>
        <v>0</v>
      </c>
      <c r="BM71" s="30">
        <f>VLOOKUP($C71,BAU_Demands!$B$3:$BK$48,BAU_Demands!BK$1,0)</f>
        <v>0</v>
      </c>
    </row>
    <row r="72" spans="1:65" ht="15.75" hidden="1" customHeight="1">
      <c r="A72" s="314" t="s">
        <v>551</v>
      </c>
      <c r="B72" s="314" t="s">
        <v>458</v>
      </c>
      <c r="C72" s="314" t="s">
        <v>517</v>
      </c>
      <c r="D72" s="314" t="s">
        <v>460</v>
      </c>
      <c r="E72" s="314" t="s">
        <v>518</v>
      </c>
      <c r="F72" s="314" t="s">
        <v>462</v>
      </c>
      <c r="G72" s="314" t="s">
        <v>463</v>
      </c>
      <c r="H72" s="314" t="s">
        <v>464</v>
      </c>
      <c r="I72" s="314"/>
      <c r="J72" s="314"/>
      <c r="K72" s="314"/>
      <c r="L72" s="314"/>
      <c r="M72" s="226">
        <f>VLOOKUP($C72,BAU_Demands!$B$3:$BK$48,BAU_Demands!K$1,0)</f>
        <v>30.911147620000001</v>
      </c>
      <c r="N72" s="226">
        <f>VLOOKUP($C72,BAU_Demands!$B$3:$BK$48,BAU_Demands!L$1,0)</f>
        <v>31.780154280000001</v>
      </c>
      <c r="O72" s="226">
        <f>VLOOKUP($C72,BAU_Demands!$B$3:$BK$48,BAU_Demands!M$1,0)</f>
        <v>29.868855669999999</v>
      </c>
      <c r="P72" s="226">
        <f>VLOOKUP($C72,BAU_Demands!$B$3:$BK$48,BAU_Demands!N$1,0)</f>
        <v>32.506624250000002</v>
      </c>
      <c r="Q72" s="314">
        <f>VLOOKUP($C72,BAU_Demands!$B$3:$BK$48,BAU_Demands!O$1,0)</f>
        <v>28.78</v>
      </c>
      <c r="R72" s="314">
        <f>VLOOKUP($C72,BAU_Demands!$B$3:$BK$48,BAU_Demands!P$1,0)</f>
        <v>24.34</v>
      </c>
      <c r="S72" s="314">
        <f>VLOOKUP($C72,BAU_Demands!$B$3:$BK$48,BAU_Demands!Q$1,0)</f>
        <v>19.48</v>
      </c>
      <c r="T72" s="314">
        <f>VLOOKUP($C72,BAU_Demands!$B$3:$BK$48,BAU_Demands!R$1,0)</f>
        <v>14.67</v>
      </c>
      <c r="U72" s="314">
        <f>VLOOKUP($C72,BAU_Demands!$B$3:$BK$48,BAU_Demands!S$1,0)</f>
        <v>10.49</v>
      </c>
      <c r="V72" s="314">
        <f>VLOOKUP($C72,BAU_Demands!$B$3:$BK$48,BAU_Demands!T$1,0)</f>
        <v>7.15</v>
      </c>
      <c r="W72" s="314">
        <f>VLOOKUP($C72,BAU_Demands!$B$3:$BK$48,BAU_Demands!U$1,0)</f>
        <v>3.83</v>
      </c>
      <c r="X72" s="314">
        <f>VLOOKUP($C72,BAU_Demands!$B$3:$BK$48,BAU_Demands!V$1,0)</f>
        <v>0.16</v>
      </c>
      <c r="Y72" s="314">
        <f>VLOOKUP($C72,BAU_Demands!$B$3:$BK$48,BAU_Demands!W$1,0)</f>
        <v>0</v>
      </c>
      <c r="Z72" s="314">
        <f>VLOOKUP($C72,BAU_Demands!$B$3:$BK$48,BAU_Demands!X$1,0)</f>
        <v>0</v>
      </c>
      <c r="AA72" s="314">
        <f>VLOOKUP($C72,BAU_Demands!$B$3:$BK$48,BAU_Demands!Y$1,0)</f>
        <v>0</v>
      </c>
      <c r="AB72" s="314">
        <f>VLOOKUP($C72,BAU_Demands!$B$3:$BK$48,BAU_Demands!Z$1,0)</f>
        <v>0</v>
      </c>
      <c r="AC72" s="314">
        <f>VLOOKUP($C72,BAU_Demands!$B$3:$BK$48,BAU_Demands!AA$1,0)</f>
        <v>0</v>
      </c>
      <c r="AD72" s="314">
        <f>VLOOKUP($C72,BAU_Demands!$B$3:$BK$48,BAU_Demands!AB$1,0)</f>
        <v>0</v>
      </c>
      <c r="AE72" s="314">
        <f>VLOOKUP($C72,BAU_Demands!$B$3:$BK$48,BAU_Demands!AC$1,0)</f>
        <v>0</v>
      </c>
      <c r="AF72" s="314">
        <f>VLOOKUP($C72,BAU_Demands!$B$3:$BK$48,BAU_Demands!AD$1,0)</f>
        <v>0</v>
      </c>
      <c r="AG72" s="314">
        <f>VLOOKUP($C72,BAU_Demands!$B$3:$BK$48,BAU_Demands!AE$1,0)</f>
        <v>0</v>
      </c>
      <c r="AH72" s="314">
        <f>VLOOKUP($C72,BAU_Demands!$B$3:$BK$48,BAU_Demands!AF$1,0)</f>
        <v>0</v>
      </c>
      <c r="AI72" s="314">
        <f>VLOOKUP($C72,BAU_Demands!$B$3:$BK$48,BAU_Demands!AG$1,0)</f>
        <v>0</v>
      </c>
      <c r="AJ72" s="314">
        <f>VLOOKUP($C72,BAU_Demands!$B$3:$BK$48,BAU_Demands!AH$1,0)</f>
        <v>0</v>
      </c>
      <c r="AK72" s="314">
        <f>VLOOKUP($C72,BAU_Demands!$B$3:$BK$48,BAU_Demands!AI$1,0)</f>
        <v>0</v>
      </c>
      <c r="AL72" s="314">
        <f>VLOOKUP($C72,BAU_Demands!$B$3:$BK$48,BAU_Demands!AJ$1,0)</f>
        <v>0</v>
      </c>
      <c r="AM72" s="314">
        <f>VLOOKUP($C72,BAU_Demands!$B$3:$BK$48,BAU_Demands!AK$1,0)</f>
        <v>0</v>
      </c>
      <c r="AN72" s="314">
        <f>VLOOKUP($C72,BAU_Demands!$B$3:$BK$48,BAU_Demands!AL$1,0)</f>
        <v>0</v>
      </c>
      <c r="AO72" s="314">
        <f>VLOOKUP($C72,BAU_Demands!$B$3:$BK$48,BAU_Demands!AM$1,0)</f>
        <v>0</v>
      </c>
      <c r="AP72" s="314">
        <f>VLOOKUP($C72,BAU_Demands!$B$3:$BK$48,BAU_Demands!AN$1,0)</f>
        <v>0</v>
      </c>
      <c r="AQ72" s="314">
        <f>VLOOKUP($C72,BAU_Demands!$B$3:$BK$48,BAU_Demands!AO$1,0)</f>
        <v>0</v>
      </c>
      <c r="AR72" s="314">
        <f>VLOOKUP($C72,BAU_Demands!$B$3:$BK$48,BAU_Demands!AP$1,0)</f>
        <v>0</v>
      </c>
      <c r="AS72" s="314">
        <f>VLOOKUP($C72,BAU_Demands!$B$3:$BK$48,BAU_Demands!AQ$1,0)</f>
        <v>0</v>
      </c>
      <c r="AT72" s="314">
        <f>VLOOKUP($C72,BAU_Demands!$B$3:$BK$48,BAU_Demands!AR$1,0)</f>
        <v>0</v>
      </c>
      <c r="AU72" s="314">
        <f>VLOOKUP($C72,BAU_Demands!$B$3:$BK$48,BAU_Demands!AS$1,0)</f>
        <v>0</v>
      </c>
      <c r="AV72" s="314">
        <f>VLOOKUP($C72,BAU_Demands!$B$3:$BK$48,BAU_Demands!AT$1,0)</f>
        <v>0</v>
      </c>
      <c r="AW72" s="314">
        <f>VLOOKUP($C72,BAU_Demands!$B$3:$BK$48,BAU_Demands!AU$1,0)</f>
        <v>0</v>
      </c>
      <c r="AX72" s="314">
        <f>VLOOKUP($C72,BAU_Demands!$B$3:$BK$48,BAU_Demands!AV$1,0)</f>
        <v>0</v>
      </c>
      <c r="AY72" s="314">
        <f>VLOOKUP($C72,BAU_Demands!$B$3:$BK$48,BAU_Demands!AW$1,0)</f>
        <v>0</v>
      </c>
      <c r="AZ72" s="314">
        <f>VLOOKUP($C72,BAU_Demands!$B$3:$BK$48,BAU_Demands!AX$1,0)</f>
        <v>0</v>
      </c>
      <c r="BA72" s="314">
        <f>VLOOKUP($C72,BAU_Demands!$B$3:$BK$48,BAU_Demands!AY$1,0)</f>
        <v>0</v>
      </c>
      <c r="BB72" s="314">
        <f>VLOOKUP($C72,BAU_Demands!$B$3:$BK$48,BAU_Demands!AZ$1,0)</f>
        <v>0</v>
      </c>
      <c r="BC72" s="314">
        <f>VLOOKUP($C72,BAU_Demands!$B$3:$BK$48,BAU_Demands!BA$1,0)</f>
        <v>0</v>
      </c>
      <c r="BD72" s="314">
        <f>VLOOKUP($C72,BAU_Demands!$B$3:$BK$48,BAU_Demands!BB$1,0)</f>
        <v>0</v>
      </c>
      <c r="BE72" s="314">
        <f>VLOOKUP($C72,BAU_Demands!$B$3:$BK$48,BAU_Demands!BC$1,0)</f>
        <v>0</v>
      </c>
      <c r="BF72" s="314">
        <f>VLOOKUP($C72,BAU_Demands!$B$3:$BK$48,BAU_Demands!BD$1,0)</f>
        <v>0</v>
      </c>
      <c r="BG72" s="314">
        <f>VLOOKUP($C72,BAU_Demands!$B$3:$BK$48,BAU_Demands!BE$1,0)</f>
        <v>0</v>
      </c>
      <c r="BH72" s="314">
        <f>VLOOKUP($C72,BAU_Demands!$B$3:$BK$48,BAU_Demands!BF$1,0)</f>
        <v>0</v>
      </c>
      <c r="BI72" s="314">
        <f>VLOOKUP($C72,BAU_Demands!$B$3:$BK$48,BAU_Demands!BG$1,0)</f>
        <v>0</v>
      </c>
      <c r="BJ72" s="314">
        <f>VLOOKUP($C72,BAU_Demands!$B$3:$BK$48,BAU_Demands!BH$1,0)</f>
        <v>0</v>
      </c>
      <c r="BK72" s="314">
        <f>VLOOKUP($C72,BAU_Demands!$B$3:$BK$48,BAU_Demands!BI$1,0)</f>
        <v>0</v>
      </c>
      <c r="BL72" s="314">
        <f>VLOOKUP($C72,BAU_Demands!$B$3:$BK$48,BAU_Demands!BJ$1,0)</f>
        <v>0</v>
      </c>
      <c r="BM72" s="314">
        <f>VLOOKUP($C72,BAU_Demands!$B$3:$BK$48,BAU_Demands!BK$1,0)</f>
        <v>0</v>
      </c>
    </row>
    <row r="73" spans="1:65" ht="15.75" customHeight="1">
      <c r="A73" s="314" t="s">
        <v>551</v>
      </c>
      <c r="B73" s="314" t="s">
        <v>458</v>
      </c>
      <c r="C73" s="314" t="s">
        <v>519</v>
      </c>
      <c r="D73" s="314" t="s">
        <v>460</v>
      </c>
      <c r="E73" s="314" t="s">
        <v>520</v>
      </c>
      <c r="F73" s="314" t="s">
        <v>462</v>
      </c>
      <c r="G73" s="314" t="s">
        <v>463</v>
      </c>
      <c r="H73" s="314" t="s">
        <v>464</v>
      </c>
      <c r="I73" s="314"/>
      <c r="J73" s="314"/>
      <c r="K73" s="314"/>
      <c r="L73" s="314"/>
      <c r="M73" s="226">
        <f>VLOOKUP($C73,BAU_Demands!$B$3:$BK$48,BAU_Demands!K$1,0)</f>
        <v>0</v>
      </c>
      <c r="N73" s="226">
        <f>VLOOKUP($C73,BAU_Demands!$B$3:$BK$48,BAU_Demands!L$1,0)</f>
        <v>0</v>
      </c>
      <c r="O73" s="226">
        <f>VLOOKUP($C73,BAU_Demands!$B$3:$BK$48,BAU_Demands!M$1,0)</f>
        <v>0</v>
      </c>
      <c r="P73" s="226">
        <f>VLOOKUP($C73,BAU_Demands!$B$3:$BK$48,BAU_Demands!N$1,0)</f>
        <v>0</v>
      </c>
      <c r="Q73" s="314">
        <f>VLOOKUP($C73,BAU_Demands!$B$3:$BK$48,BAU_Demands!O$1,0)</f>
        <v>0</v>
      </c>
      <c r="R73" s="314">
        <f>VLOOKUP($C73,BAU_Demands!$B$3:$BK$48,BAU_Demands!P$1,0)</f>
        <v>0</v>
      </c>
      <c r="S73" s="314">
        <f>VLOOKUP($C73,BAU_Demands!$B$3:$BK$48,BAU_Demands!Q$1,0)</f>
        <v>0</v>
      </c>
      <c r="T73" s="314">
        <f>VLOOKUP($C73,BAU_Demands!$B$3:$BK$48,BAU_Demands!R$1,0)</f>
        <v>0</v>
      </c>
      <c r="U73" s="314">
        <f>VLOOKUP($C73,BAU_Demands!$B$3:$BK$48,BAU_Demands!S$1,0)</f>
        <v>0</v>
      </c>
      <c r="V73" s="314">
        <f>VLOOKUP($C73,BAU_Demands!$B$3:$BK$48,BAU_Demands!T$1,0)</f>
        <v>0</v>
      </c>
      <c r="W73" s="314">
        <f>VLOOKUP($C73,BAU_Demands!$B$3:$BK$48,BAU_Demands!U$1,0)</f>
        <v>0</v>
      </c>
      <c r="X73" s="314">
        <f>VLOOKUP($C73,BAU_Demands!$B$3:$BK$48,BAU_Demands!V$1,0)</f>
        <v>0</v>
      </c>
      <c r="Y73" s="314">
        <f>VLOOKUP($C73,BAU_Demands!$B$3:$BK$48,BAU_Demands!W$1,0)</f>
        <v>0</v>
      </c>
      <c r="Z73" s="314">
        <f>VLOOKUP($C73,BAU_Demands!$B$3:$BK$48,BAU_Demands!X$1,0)</f>
        <v>0</v>
      </c>
      <c r="AA73" s="314">
        <f>VLOOKUP($C73,BAU_Demands!$B$3:$BK$48,BAU_Demands!Y$1,0)</f>
        <v>0</v>
      </c>
      <c r="AB73" s="314">
        <f>VLOOKUP($C73,BAU_Demands!$B$3:$BK$48,BAU_Demands!Z$1,0)</f>
        <v>0</v>
      </c>
      <c r="AC73" s="314">
        <f>VLOOKUP($C73,BAU_Demands!$B$3:$BK$48,BAU_Demands!AA$1,0)</f>
        <v>0</v>
      </c>
      <c r="AD73" s="314">
        <f>VLOOKUP($C73,BAU_Demands!$B$3:$BK$48,BAU_Demands!AB$1,0)</f>
        <v>0</v>
      </c>
      <c r="AE73" s="314">
        <f>VLOOKUP($C73,BAU_Demands!$B$3:$BK$48,BAU_Demands!AC$1,0)</f>
        <v>0</v>
      </c>
      <c r="AF73" s="314">
        <f>VLOOKUP($C73,BAU_Demands!$B$3:$BK$48,BAU_Demands!AD$1,0)</f>
        <v>0</v>
      </c>
      <c r="AG73" s="314">
        <f>VLOOKUP($C73,BAU_Demands!$B$3:$BK$48,BAU_Demands!AE$1,0)</f>
        <v>0</v>
      </c>
      <c r="AH73" s="314">
        <f>VLOOKUP($C73,BAU_Demands!$B$3:$BK$48,BAU_Demands!AF$1,0)</f>
        <v>0</v>
      </c>
      <c r="AI73" s="314">
        <f>VLOOKUP($C73,BAU_Demands!$B$3:$BK$48,BAU_Demands!AG$1,0)</f>
        <v>0</v>
      </c>
      <c r="AJ73" s="314">
        <f>VLOOKUP($C73,BAU_Demands!$B$3:$BK$48,BAU_Demands!AH$1,0)</f>
        <v>0</v>
      </c>
      <c r="AK73" s="314">
        <f>VLOOKUP($C73,BAU_Demands!$B$3:$BK$48,BAU_Demands!AI$1,0)</f>
        <v>0</v>
      </c>
      <c r="AL73" s="314">
        <f>VLOOKUP($C73,BAU_Demands!$B$3:$BK$48,BAU_Demands!AJ$1,0)</f>
        <v>0</v>
      </c>
      <c r="AM73" s="314">
        <f>VLOOKUP($C73,BAU_Demands!$B$3:$BK$48,BAU_Demands!AK$1,0)</f>
        <v>0</v>
      </c>
      <c r="AN73" s="314">
        <f>VLOOKUP($C73,BAU_Demands!$B$3:$BK$48,BAU_Demands!AL$1,0)</f>
        <v>0</v>
      </c>
      <c r="AO73" s="314">
        <f>VLOOKUP($C73,BAU_Demands!$B$3:$BK$48,BAU_Demands!AM$1,0)</f>
        <v>0</v>
      </c>
      <c r="AP73" s="314">
        <f>VLOOKUP($C73,BAU_Demands!$B$3:$BK$48,BAU_Demands!AN$1,0)</f>
        <v>0</v>
      </c>
      <c r="AQ73" s="314">
        <f>VLOOKUP($C73,BAU_Demands!$B$3:$BK$48,BAU_Demands!AO$1,0)</f>
        <v>0</v>
      </c>
      <c r="AR73" s="314">
        <f>VLOOKUP($C73,BAU_Demands!$B$3:$BK$48,BAU_Demands!AP$1,0)</f>
        <v>0</v>
      </c>
      <c r="AS73" s="314">
        <f>VLOOKUP($C73,BAU_Demands!$B$3:$BK$48,BAU_Demands!AQ$1,0)</f>
        <v>0</v>
      </c>
      <c r="AT73" s="314">
        <f>VLOOKUP($C73,BAU_Demands!$B$3:$BK$48,BAU_Demands!AR$1,0)</f>
        <v>0</v>
      </c>
      <c r="AU73" s="314">
        <f>VLOOKUP($C73,BAU_Demands!$B$3:$BK$48,BAU_Demands!AS$1,0)</f>
        <v>0</v>
      </c>
      <c r="AV73" s="314">
        <f>VLOOKUP($C73,BAU_Demands!$B$3:$BK$48,BAU_Demands!AT$1,0)</f>
        <v>0</v>
      </c>
      <c r="AW73" s="314">
        <f>VLOOKUP($C73,BAU_Demands!$B$3:$BK$48,BAU_Demands!AU$1,0)</f>
        <v>0</v>
      </c>
      <c r="AX73" s="314">
        <f>VLOOKUP($C73,BAU_Demands!$B$3:$BK$48,BAU_Demands!AV$1,0)</f>
        <v>0</v>
      </c>
      <c r="AY73" s="314">
        <f>VLOOKUP($C73,BAU_Demands!$B$3:$BK$48,BAU_Demands!AW$1,0)</f>
        <v>0</v>
      </c>
      <c r="AZ73" s="314">
        <f>VLOOKUP($C73,BAU_Demands!$B$3:$BK$48,BAU_Demands!AX$1,0)</f>
        <v>0</v>
      </c>
      <c r="BA73" s="314">
        <f>VLOOKUP($C73,BAU_Demands!$B$3:$BK$48,BAU_Demands!AY$1,0)</f>
        <v>0</v>
      </c>
      <c r="BB73" s="314">
        <f>VLOOKUP($C73,BAU_Demands!$B$3:$BK$48,BAU_Demands!AZ$1,0)</f>
        <v>0</v>
      </c>
      <c r="BC73" s="314">
        <f>VLOOKUP($C73,BAU_Demands!$B$3:$BK$48,BAU_Demands!BA$1,0)</f>
        <v>0</v>
      </c>
      <c r="BD73" s="314">
        <f>VLOOKUP($C73,BAU_Demands!$B$3:$BK$48,BAU_Demands!BB$1,0)</f>
        <v>0</v>
      </c>
      <c r="BE73" s="314">
        <f>VLOOKUP($C73,BAU_Demands!$B$3:$BK$48,BAU_Demands!BC$1,0)</f>
        <v>0</v>
      </c>
      <c r="BF73" s="314">
        <f>VLOOKUP($C73,BAU_Demands!$B$3:$BK$48,BAU_Demands!BD$1,0)</f>
        <v>0</v>
      </c>
      <c r="BG73" s="314">
        <f>VLOOKUP($C73,BAU_Demands!$B$3:$BK$48,BAU_Demands!BE$1,0)</f>
        <v>0</v>
      </c>
      <c r="BH73" s="314">
        <f>VLOOKUP($C73,BAU_Demands!$B$3:$BK$48,BAU_Demands!BF$1,0)</f>
        <v>0</v>
      </c>
      <c r="BI73" s="314">
        <f>VLOOKUP($C73,BAU_Demands!$B$3:$BK$48,BAU_Demands!BG$1,0)</f>
        <v>0</v>
      </c>
      <c r="BJ73" s="314">
        <f>VLOOKUP($C73,BAU_Demands!$B$3:$BK$48,BAU_Demands!BH$1,0)</f>
        <v>0</v>
      </c>
      <c r="BK73" s="314">
        <f>VLOOKUP($C73,BAU_Demands!$B$3:$BK$48,BAU_Demands!BI$1,0)</f>
        <v>0</v>
      </c>
      <c r="BL73" s="314">
        <f>VLOOKUP($C73,BAU_Demands!$B$3:$BK$48,BAU_Demands!BJ$1,0)</f>
        <v>0</v>
      </c>
      <c r="BM73" s="314">
        <f>VLOOKUP($C73,BAU_Demands!$B$3:$BK$48,BAU_Demands!BK$1,0)</f>
        <v>0</v>
      </c>
    </row>
    <row r="74" spans="1:65" ht="14.4">
      <c r="A74" s="29" t="s">
        <v>551</v>
      </c>
      <c r="B74" s="29" t="s">
        <v>458</v>
      </c>
      <c r="C74" s="29" t="s">
        <v>521</v>
      </c>
      <c r="D74" s="29" t="s">
        <v>460</v>
      </c>
      <c r="E74" s="29" t="s">
        <v>522</v>
      </c>
      <c r="F74" s="29" t="s">
        <v>462</v>
      </c>
      <c r="G74" s="29" t="s">
        <v>463</v>
      </c>
      <c r="H74" s="29" t="s">
        <v>464</v>
      </c>
      <c r="I74" s="29" t="s">
        <v>44</v>
      </c>
      <c r="J74" s="29" t="s">
        <v>44</v>
      </c>
      <c r="K74" s="29" t="s">
        <v>44</v>
      </c>
      <c r="L74" s="29" t="s">
        <v>44</v>
      </c>
      <c r="M74" s="327">
        <f>VLOOKUP($C74,BAU_Demands!$B$3:$BK$48,BAU_Demands!K$1,0)</f>
        <v>35.971610609999999</v>
      </c>
      <c r="N74" s="327">
        <f>VLOOKUP($C74,BAU_Demands!$B$3:$BK$48,BAU_Demands!L$1,0)</f>
        <v>37.380280939999999</v>
      </c>
      <c r="O74" s="327">
        <f>VLOOKUP($C74,BAU_Demands!$B$3:$BK$48,BAU_Demands!M$1,0)</f>
        <v>36.49129731</v>
      </c>
      <c r="P74" s="327">
        <f>VLOOKUP($C74,BAU_Demands!$B$3:$BK$48,BAU_Demands!N$1,0)</f>
        <v>40.945505949999998</v>
      </c>
      <c r="Q74" s="324">
        <f>(SUM(BAU_Demands!O30:O40)-BAU_Demands!O30-BAU_Demands!O34-Q75-Q78-Q79-Q80-Q81-Q82-Q85-Q86-Q77)*(1-'Net Zero 2070'!G67)*(1-'Net Zero 2070'!G68)</f>
        <v>40.793222399999991</v>
      </c>
      <c r="R74" s="324">
        <f>(SUM(BAU_Demands!P30:P40)-BAU_Demands!P30-BAU_Demands!P34-R75-R78-R79-R80-R81-R82-R85-R86-R77)*(1-'Net Zero 2070'!H67)*(1-'Net Zero 2070'!H68)</f>
        <v>41.627413385226674</v>
      </c>
      <c r="S74" s="324">
        <f>(SUM(BAU_Demands!Q30:Q40)-BAU_Demands!Q30-BAU_Demands!Q34-S75-S78-S79-S80-S81-S82-S85-S86-S77)*(1-'Net Zero 2070'!I67)*(1-'Net Zero 2070'!I68)</f>
        <v>43.22545197370399</v>
      </c>
      <c r="T74" s="324">
        <f>(SUM(BAU_Demands!R30:R40)-BAU_Demands!R30-BAU_Demands!R34-T75-T78-T79-T80-T81-T82-T85-T86-T77)*(1-'Net Zero 2070'!J67)*(1-'Net Zero 2070'!J68)</f>
        <v>43.902127409299986</v>
      </c>
      <c r="U74" s="324">
        <f>(SUM(BAU_Demands!S30:S40)-BAU_Demands!S30-BAU_Demands!S34-U75-U78-U79-U80-U81-U82-U85-U86-U77)*(1-'Net Zero 2070'!K67)*(1-'Net Zero 2070'!K68)</f>
        <v>45.385717236095985</v>
      </c>
      <c r="V74" s="324">
        <f>(SUM(BAU_Demands!T30:T40)-BAU_Demands!T30-BAU_Demands!T34-V75-V78-V79-V80-V81-V82-V85-V86-V77)*(1-'Net Zero 2070'!L67)*(1-'Net Zero 2070'!L68)</f>
        <v>46.469077764956012</v>
      </c>
      <c r="W74" s="324">
        <f>(SUM(BAU_Demands!U30:U40)-BAU_Demands!U30-BAU_Demands!U34-W75-W78-W79-W80-W81-W82-W85-W86-W77)*(1-'Net Zero 2070'!M67)*(1-'Net Zero 2070'!M68)</f>
        <v>48.238201758112005</v>
      </c>
      <c r="X74" s="324">
        <f>(SUM(BAU_Demands!V30:V40)-BAU_Demands!V30-BAU_Demands!V34-X75-X78-X79-X80-X81-X82-X85-X86-X77)*(1-'Net Zero 2070'!N67)*(1-'Net Zero 2070'!N68)</f>
        <v>48.892583348123999</v>
      </c>
      <c r="Y74" s="324">
        <f>(SUM(BAU_Demands!W30:W40)-BAU_Demands!W30-BAU_Demands!W34-Y75-Y78-Y79-Y80-Y81-Y82-Y85-Y86-Y77)*(1-'Net Zero 2070'!O67)*(1-'Net Zero 2070'!O68)</f>
        <v>50.487010426399991</v>
      </c>
      <c r="Z74" s="324">
        <f>(SUM(BAU_Demands!X30:X40)-BAU_Demands!X30-BAU_Demands!X34-Z75-Z78-Z79-Z80-Z81-Z82-Z85-Z86-Z77)*(1-'Net Zero 2070'!P67)*(1-'Net Zero 2070'!P68)</f>
        <v>51.780362877797408</v>
      </c>
      <c r="AA74" s="324">
        <f>(SUM(BAU_Demands!Y30:Y40)-BAU_Demands!Y30-BAU_Demands!Y34-AA75-AA78-AA79-AA80-AA81-AA82-AA85-AA86-AA77)*(1-'Net Zero 2070'!Q67)*(1-'Net Zero 2070'!Q68)</f>
        <v>53.531142588475632</v>
      </c>
      <c r="AB74" s="324">
        <f>(SUM(BAU_Demands!Z30:Z40)-BAU_Demands!Z30-BAU_Demands!Z34-AB75-AB78-AB79-AB80-AB81-AB82-AB85-AB86-AB77)*(1-'Net Zero 2070'!R67)*(1-'Net Zero 2070'!R68)</f>
        <v>54.803221018169999</v>
      </c>
      <c r="AC74" s="324">
        <f>(SUM(BAU_Demands!AA30:AA40)-BAU_Demands!AA30-BAU_Demands!AA34-AC75-AC78-AC79-AC80-AC81-AC82-AC85-AC86-AC77)*(1-'Net Zero 2070'!S67)*(1-'Net Zero 2070'!S68)</f>
        <v>56.54132422604161</v>
      </c>
      <c r="AD74" s="324">
        <f>(SUM(BAU_Demands!AB30:AB40)-BAU_Demands!AB30-BAU_Demands!AB34-AD75-AD78-AD79-AD80-AD81-AD82-AD85-AD86-AD77)*(1-'Net Zero 2070'!T67)*(1-'Net Zero 2070'!T68)</f>
        <v>57.639011892643985</v>
      </c>
      <c r="AE74" s="324">
        <f>(SUM(BAU_Demands!AC30:AC40)-BAU_Demands!AC30-BAU_Demands!AC34-AE75-AE78-AE79-AE80-AE81-AE82-AE85-AE86-AE77)*(1-'Net Zero 2070'!U67)*(1-'Net Zero 2070'!U68)</f>
        <v>59.645787084884049</v>
      </c>
      <c r="AF74" s="324">
        <f>(SUM(BAU_Demands!AD30:AD40)-BAU_Demands!AD30-BAU_Demands!AD34-AF75-AF78-AF79-AF80-AF81-AF82-AF85-AF86-AF77)*(1-'Net Zero 2070'!V67)*(1-'Net Zero 2070'!V68)</f>
        <v>60.933601191539985</v>
      </c>
      <c r="AG74" s="324">
        <f>(SUM(BAU_Demands!AE30:AE40)-BAU_Demands!AE30-BAU_Demands!AE34-AG75-AG78-AG79-AG80-AG81-AG82-AG85-AG86-AG77)*(1-'Net Zero 2070'!W67)*(1-'Net Zero 2070'!W68)</f>
        <v>62.858130256425007</v>
      </c>
      <c r="AH74" s="324">
        <f>(SUM(BAU_Demands!AF30:AF40)-BAU_Demands!AF30-BAU_Demands!AF34-AH75-AH78-AH79-AH80-AH81-AH82-AH85-AH86-AH77)*(1-'Net Zero 2070'!X67)*(1-'Net Zero 2070'!X68)</f>
        <v>64.404655987020973</v>
      </c>
      <c r="AI74" s="324">
        <f>(SUM(BAU_Demands!AG30:AG40)-BAU_Demands!AG30-BAU_Demands!AG34-AI75-AI78-AI79-AI80-AI81-AI82-AI85-AI86-AI77)*(1-'Net Zero 2070'!Y67)*(1-'Net Zero 2070'!Y68)</f>
        <v>66.343105812647991</v>
      </c>
      <c r="AJ74" s="324">
        <f>(SUM(BAU_Demands!AH30:AH40)-BAU_Demands!AH30-BAU_Demands!AH34-AJ75-AJ78-AJ79-AJ80-AJ81-AJ82-AJ85-AJ86-AJ77)*(1-'Net Zero 2070'!Z67)*(1-'Net Zero 2070'!Z68)</f>
        <v>67.89549202438802</v>
      </c>
      <c r="AK74" s="324">
        <f>(SUM(BAU_Demands!AI30:AI40)-BAU_Demands!AI30-BAU_Demands!AI34-AK75-AK78-AK79-AK80-AK81-AK82-AK85-AK86-AK77)*(1-'Net Zero 2070'!AA67)*(1-'Net Zero 2070'!AA68)</f>
        <v>69.882317267300976</v>
      </c>
      <c r="AL74" s="324">
        <f>(SUM(BAU_Demands!AJ30:AJ40)-BAU_Demands!AJ30-BAU_Demands!AJ34-AL75-AL78-AL79-AL80-AL81-AL82-AL85-AL86-AL77)*(1-'Net Zero 2070'!AB67)*(1-'Net Zero 2070'!AB68)</f>
        <v>71.181214967127971</v>
      </c>
      <c r="AM74" s="324">
        <f>(SUM(BAU_Demands!AK30:AK40)-BAU_Demands!AK30-BAU_Demands!AK34-AM75-AM78-AM79-AM80-AM81-AM82-AM85-AM86-AM77)*(1-'Net Zero 2070'!AC67)*(1-'Net Zero 2070'!AC68)</f>
        <v>73.213792850436008</v>
      </c>
      <c r="AN74" s="324">
        <f>(SUM(BAU_Demands!AL30:AL40)-BAU_Demands!AL30-BAU_Demands!AL34-AN75-AN78-AN79-AN80-AN81-AN82-AN85-AN86-AN77)*(1-'Net Zero 2070'!AD67)*(1-'Net Zero 2070'!AD68)</f>
        <v>74.684553845719975</v>
      </c>
      <c r="AO74" s="324">
        <f>(SUM(BAU_Demands!AM30:AM40)-BAU_Demands!AM30-BAU_Demands!AM34-AO75-AO78-AO79-AO80-AO81-AO82-AO85-AO86-AO77)*(1-'Net Zero 2070'!AE67)*(1-'Net Zero 2070'!AE68)</f>
        <v>76.774950018633973</v>
      </c>
      <c r="AP74" s="324">
        <f>(SUM(BAU_Demands!AN30:AN40)-BAU_Demands!AN30-BAU_Demands!AN34-AP75-AP78-AP79-AP80-AP81-AP82-AP85-AP86-AP77)*(1-'Net Zero 2070'!AF67)*(1-'Net Zero 2070'!AF68)</f>
        <v>78.299125371879995</v>
      </c>
      <c r="AQ74" s="324">
        <f>(SUM(BAU_Demands!AO30:AO40)-BAU_Demands!AO30-BAU_Demands!AO34-AQ75-AQ78-AQ79-AQ80-AQ81-AQ82-AQ85-AQ86-AQ77)*(1-'Net Zero 2070'!AG67)*(1-'Net Zero 2070'!AG68)</f>
        <v>80.101942861905982</v>
      </c>
      <c r="AR74" s="324">
        <f>(SUM(BAU_Demands!AP30:AP40)-BAU_Demands!AP30-BAU_Demands!AP34-AR75-AR78-AR79-AR80-AR81-AR82-AR85-AR86-AR77)*(1-'Net Zero 2070'!AH67)*(1-'Net Zero 2070'!AH68)</f>
        <v>81.690992790232016</v>
      </c>
      <c r="AS74" s="324">
        <f>(SUM(BAU_Demands!AQ30:AQ40)-BAU_Demands!AQ30-BAU_Demands!AQ34-AS75-AS78-AS79-AS80-AS81-AS82-AS85-AS86-AS77)*(1-'Net Zero 2070'!AI67)*(1-'Net Zero 2070'!AI68)</f>
        <v>83.500382127330028</v>
      </c>
      <c r="AT74" s="324">
        <f>(SUM(BAU_Demands!AR30:AR40)-BAU_Demands!AR30-BAU_Demands!AR34-AT75-AT78-AT79-AT80-AT81-AT82-AT85-AT86-AT77)*(1-'Net Zero 2070'!AJ67)*(1-'Net Zero 2070'!AJ68)</f>
        <v>85.500962547979967</v>
      </c>
      <c r="AU74" s="324">
        <f>(SUM(BAU_Demands!AS30:AS40)-BAU_Demands!AS30-BAU_Demands!AS34-AU75-AU78-AU79-AU80-AU81-AU82-AU85-AU86-AU77)*(1-'Net Zero 2070'!AK67)*(1-'Net Zero 2070'!AK68)</f>
        <v>87.413278461599973</v>
      </c>
      <c r="AV74" s="324">
        <f>(SUM(BAU_Demands!AT30:AT40)-BAU_Demands!AT30-BAU_Demands!AT34-AV75-AV78-AV79-AV80-AV81-AV82-AV85-AV86-AV77)*(1-'Net Zero 2070'!AL67)*(1-'Net Zero 2070'!AL68)</f>
        <v>89.383978148639969</v>
      </c>
      <c r="AW74" s="324">
        <f>(SUM(BAU_Demands!AU30:AU40)-BAU_Demands!AU30-BAU_Demands!AU34-AW75-AW78-AW79-AW80-AW81-AW82-AW85-AW86-AW77)*(1-'Net Zero 2070'!AM67)*(1-'Net Zero 2070'!AM68)</f>
        <v>91.43060068086001</v>
      </c>
      <c r="AX74" s="324">
        <f>(SUM(BAU_Demands!AV30:AV40)-BAU_Demands!AV30-BAU_Demands!AV34-AX75-AX78-AX79-AX80-AX81-AX82-AX85-AX86-AX77)*(1-'Net Zero 2070'!AN67)*(1-'Net Zero 2070'!AN68)</f>
        <v>93.489654167140003</v>
      </c>
      <c r="AY74" s="324">
        <f>(SUM(BAU_Demands!AW30:AW40)-BAU_Demands!AW30-BAU_Demands!AW34-AY75-AY78-AY79-AY80-AY81-AY82-AY85-AY86-AY77)*(1-'Net Zero 2070'!AO67)*(1-'Net Zero 2070'!AO68)</f>
        <v>95.428073495999996</v>
      </c>
      <c r="AZ74" s="324">
        <f>(SUM(BAU_Demands!AX30:AX40)-BAU_Demands!AX30-BAU_Demands!AX34-AZ75-AZ78-AZ79-AZ80-AZ81-AZ82-AZ85-AZ86-AZ77)*(1-'Net Zero 2070'!AP67)*(1-'Net Zero 2070'!AP68)</f>
        <v>97.355095001500004</v>
      </c>
      <c r="BA74" s="324">
        <f>(SUM(BAU_Demands!AY30:AY40)-BAU_Demands!AY30-BAU_Demands!AY34-BA75-BA78-BA79-BA80-BA81-BA82-BA85-BA86-BA77)*(1-'Net Zero 2070'!AQ67)*(1-'Net Zero 2070'!AQ68)</f>
        <v>99.274553547120007</v>
      </c>
      <c r="BB74" s="324">
        <f>(SUM(BAU_Demands!AZ30:AZ40)-BAU_Demands!AZ30-BAU_Demands!AZ34-BB75-BB78-BB79-BB80-BB81-BB82-BB85-BB86-BB77)*(1-'Net Zero 2070'!AR67)*(1-'Net Zero 2070'!AR68)</f>
        <v>101.35398137256</v>
      </c>
      <c r="BC74" s="324">
        <f>(SUM(BAU_Demands!BA30:BA40)-BAU_Demands!BA30-BAU_Demands!BA34-BC75-BC78-BC79-BC80-BC81-BC82-BC85-BC86-BC77)*(1-'Net Zero 2070'!AS67)*(1-'Net Zero 2070'!AS68)</f>
        <v>103.35990402016999</v>
      </c>
      <c r="BD74" s="324">
        <f>(SUM(BAU_Demands!BB30:BB40)-BAU_Demands!BB30-BAU_Demands!BB34-BD75-BD78-BD79-BD80-BD81-BD82-BD85-BD86-BD77)*(1-'Net Zero 2070'!AT67)*(1-'Net Zero 2070'!AT68)</f>
        <v>105.46407893349995</v>
      </c>
      <c r="BE74" s="324">
        <f>(SUM(BAU_Demands!BC30:BC40)-BAU_Demands!BC30-BAU_Demands!BC34-BE75-BE78-BE79-BE80-BE81-BE82-BE85-BE86-BE77)*(1-'Net Zero 2070'!AU67)*(1-'Net Zero 2070'!AU68)</f>
        <v>107.52414250823001</v>
      </c>
      <c r="BF74" s="324">
        <f>(SUM(BAU_Demands!BD30:BD40)-BAU_Demands!BD30-BAU_Demands!BD34-BF75-BF78-BF79-BF80-BF81-BF82-BF85-BF86-BF77)*(1-'Net Zero 2070'!AV67)*(1-'Net Zero 2070'!AV68)</f>
        <v>109.58134781985997</v>
      </c>
      <c r="BG74" s="324">
        <f>(SUM(BAU_Demands!BE30:BE40)-BAU_Demands!BE30-BAU_Demands!BE34-BG75-BG78-BG79-BG80-BG81-BG82-BG85-BG86-BG77)*(1-'Net Zero 2070'!AW67)*(1-'Net Zero 2070'!AW68)</f>
        <v>111.71181509488001</v>
      </c>
      <c r="BH74" s="324">
        <f>(SUM(BAU_Demands!BF30:BF40)-BAU_Demands!BF30-BAU_Demands!BF34-BH75-BH78-BH79-BH80-BH81-BH82-BH85-BH86-BH77)*(1-'Net Zero 2070'!AX67)*(1-'Net Zero 2070'!AX68)</f>
        <v>113.92113831940794</v>
      </c>
      <c r="BI74" s="324">
        <f>(SUM(BAU_Demands!BG30:BG40)-BAU_Demands!BG30-BAU_Demands!BG34-BI75-BI78-BI79-BI80-BI81-BI82-BI85-BI86-BI77)*(1-'Net Zero 2070'!AY67)*(1-'Net Zero 2070'!AY68)</f>
        <v>116.07171634141999</v>
      </c>
      <c r="BJ74" s="324">
        <f>(SUM(BAU_Demands!BH30:BH40)-BAU_Demands!BH30-BAU_Demands!BH34-BJ75-BJ78-BJ79-BJ80-BJ81-BJ82-BJ85-BJ86-BJ77)*(1-'Net Zero 2070'!AZ67)*(1-'Net Zero 2070'!AZ68)</f>
        <v>118.18142962479</v>
      </c>
      <c r="BK74" s="324">
        <f>(SUM(BAU_Demands!BI30:BI40)-BAU_Demands!BI30-BAU_Demands!BI34-BK75-BK78-BK79-BK80-BK81-BK82-BK85-BK86-BK77)*(1-'Net Zero 2070'!BA67)*(1-'Net Zero 2070'!BA68)</f>
        <v>120.36082713165003</v>
      </c>
      <c r="BL74" s="324">
        <f>(SUM(BAU_Demands!BJ30:BJ40)-BAU_Demands!BJ30-BAU_Demands!BJ34-BL75-BL78-BL79-BL80-BL81-BL82-BL85-BL86-BL77)*(1-'Net Zero 2070'!BB67)*(1-'Net Zero 2070'!BB68)</f>
        <v>122.6764815066</v>
      </c>
      <c r="BM74" s="324">
        <f>(SUM(BAU_Demands!BK30:BK40)-BAU_Demands!BK30-BAU_Demands!BK34-BM75-BM78-BM79-BM80-BM81-BM82-BM85-BM86-BM77)*(1-'Net Zero 2070'!BC67)*(1-'Net Zero 2070'!BC68)</f>
        <v>124.97134984488001</v>
      </c>
    </row>
    <row r="75" spans="1:65" ht="15.75" customHeight="1">
      <c r="A75" s="314" t="s">
        <v>551</v>
      </c>
      <c r="B75" s="314" t="s">
        <v>458</v>
      </c>
      <c r="C75" s="314" t="s">
        <v>525</v>
      </c>
      <c r="D75" s="314" t="s">
        <v>460</v>
      </c>
      <c r="E75" s="314" t="s">
        <v>526</v>
      </c>
      <c r="F75" s="314" t="s">
        <v>462</v>
      </c>
      <c r="G75" s="314" t="s">
        <v>463</v>
      </c>
      <c r="H75" s="314" t="s">
        <v>464</v>
      </c>
      <c r="I75" s="314"/>
      <c r="J75" s="314"/>
      <c r="K75" s="314"/>
      <c r="L75" s="314"/>
      <c r="M75" s="226">
        <f>VLOOKUP($C75,BAU_Demands!$B$3:$BK$48,BAU_Demands!K$1,0)</f>
        <v>9.4607379219999999</v>
      </c>
      <c r="N75" s="226">
        <f>VLOOKUP($C75,BAU_Demands!$B$3:$BK$48,BAU_Demands!L$1,0)</f>
        <v>9.7371299590000007</v>
      </c>
      <c r="O75" s="226">
        <f>VLOOKUP($C75,BAU_Demands!$B$3:$BK$48,BAU_Demands!M$1,0)</f>
        <v>9.2977422799999996</v>
      </c>
      <c r="P75" s="226">
        <f>VLOOKUP($C75,BAU_Demands!$B$3:$BK$48,BAU_Demands!N$1,0)</f>
        <v>10.85219682</v>
      </c>
      <c r="Q75" s="314">
        <f>VLOOKUP($C33,BAU_Demands!$B$3:$BK$48,BAU_Demands!O$1,0)*(1-'Net Zero 2070'!G76)</f>
        <v>11.26</v>
      </c>
      <c r="R75" s="314">
        <f>VLOOKUP($C33,BAU_Demands!$B$3:$BK$48,BAU_Demands!P$1,0)*(1-'Net Zero 2070'!H76)</f>
        <v>11.490432999999999</v>
      </c>
      <c r="S75" s="314">
        <f>VLOOKUP($C33,BAU_Demands!$B$3:$BK$48,BAU_Demands!Q$1,0)*(1-'Net Zero 2070'!I76)</f>
        <v>11.920532000000001</v>
      </c>
      <c r="T75" s="314">
        <f>VLOOKUP($C33,BAU_Demands!$B$3:$BK$48,BAU_Demands!R$1,0)*(1-'Net Zero 2070'!J76)</f>
        <v>12.10915</v>
      </c>
      <c r="U75" s="314">
        <f>VLOOKUP($C33,BAU_Demands!$B$3:$BK$48,BAU_Demands!S$1,0)*(1-'Net Zero 2070'!K76)</f>
        <v>12.4496</v>
      </c>
      <c r="V75" s="314">
        <f>VLOOKUP($C33,BAU_Demands!$B$3:$BK$48,BAU_Demands!T$1,0)*(1-'Net Zero 2070'!L76)</f>
        <v>12.68887</v>
      </c>
      <c r="W75" s="314">
        <f>VLOOKUP($C33,BAU_Demands!$B$3:$BK$48,BAU_Demands!U$1,0)*(1-'Net Zero 2070'!M76)</f>
        <v>13.10394</v>
      </c>
      <c r="X75" s="314">
        <f>VLOOKUP($C33,BAU_Demands!$B$3:$BK$48,BAU_Demands!V$1,0)*(1-'Net Zero 2070'!N76)</f>
        <v>13.221349999999999</v>
      </c>
      <c r="Y75" s="314">
        <f>VLOOKUP($C33,BAU_Demands!$B$3:$BK$48,BAU_Demands!W$1,0)*(1-'Net Zero 2070'!O76)</f>
        <v>13.592599999999999</v>
      </c>
      <c r="Z75" s="314">
        <f>VLOOKUP($C33,BAU_Demands!$B$3:$BK$48,BAU_Demands!X$1,0)*(1-'Net Zero 2070'!P76)</f>
        <v>13.83968</v>
      </c>
      <c r="AA75" s="314">
        <f>VLOOKUP($C33,BAU_Demands!$B$3:$BK$48,BAU_Demands!Y$1,0)*(1-'Net Zero 2070'!Q76)</f>
        <v>14.21064</v>
      </c>
      <c r="AB75" s="314">
        <f>VLOOKUP($C33,BAU_Demands!$B$3:$BK$48,BAU_Demands!Z$1,0)*(1-'Net Zero 2070'!R76)</f>
        <v>14.45224</v>
      </c>
      <c r="AC75" s="314">
        <f>VLOOKUP($C33,BAU_Demands!$B$3:$BK$48,BAU_Demands!AA$1,0)*(1-'Net Zero 2070'!S76)</f>
        <v>14.816679999999998</v>
      </c>
      <c r="AD75" s="314">
        <f>VLOOKUP($C33,BAU_Demands!$B$3:$BK$48,BAU_Demands!AB$1,0)*(1-'Net Zero 2070'!T76)</f>
        <v>15.004799999999999</v>
      </c>
      <c r="AE75" s="314">
        <f>VLOOKUP($C33,BAU_Demands!$B$3:$BK$48,BAU_Demands!AC$1,0)*(1-'Net Zero 2070'!U76)</f>
        <v>15.3916</v>
      </c>
      <c r="AF75" s="314">
        <f>VLOOKUP($C33,BAU_Demands!$B$3:$BK$48,BAU_Demands!AD$1,0)*(1-'Net Zero 2070'!V76)</f>
        <v>15.584239999999999</v>
      </c>
      <c r="AG75" s="314">
        <f>VLOOKUP($C33,BAU_Demands!$B$3:$BK$48,BAU_Demands!AE$1,0)*(1-'Net Zero 2070'!W76)</f>
        <v>15.935879999999997</v>
      </c>
      <c r="AH75" s="314">
        <f>VLOOKUP($C33,BAU_Demands!$B$3:$BK$48,BAU_Demands!AF$1,0)*(1-'Net Zero 2070'!X76)</f>
        <v>16.189599999999999</v>
      </c>
      <c r="AI75" s="314">
        <f>VLOOKUP($C33,BAU_Demands!$B$3:$BK$48,BAU_Demands!AG$1,0)*(1-'Net Zero 2070'!Y76)</f>
        <v>16.525199999999998</v>
      </c>
      <c r="AJ75" s="314">
        <f>VLOOKUP($C33,BAU_Demands!$B$3:$BK$48,BAU_Demands!AH$1,0)*(1-'Net Zero 2070'!Z76)</f>
        <v>16.745850000000001</v>
      </c>
      <c r="AK75" s="314">
        <f>VLOOKUP($C33,BAU_Demands!$B$3:$BK$48,BAU_Demands!AI$1,0)*(1-'Net Zero 2070'!AA76)</f>
        <v>17.0655</v>
      </c>
      <c r="AL75" s="314">
        <f>VLOOKUP($C33,BAU_Demands!$B$3:$BK$48,BAU_Demands!AJ$1,0)*(1-'Net Zero 2070'!AB76)</f>
        <v>17.19575</v>
      </c>
      <c r="AM75" s="314">
        <f>VLOOKUP($C33,BAU_Demands!$B$3:$BK$48,BAU_Demands!AK$1,0)*(1-'Net Zero 2070'!AC76)</f>
        <v>17.5076</v>
      </c>
      <c r="AN75" s="314">
        <f>VLOOKUP($C33,BAU_Demands!$B$3:$BK$48,BAU_Demands!AL$1,0)*(1-'Net Zero 2070'!AD76)</f>
        <v>17.677800000000001</v>
      </c>
      <c r="AO75" s="314">
        <f>VLOOKUP($C33,BAU_Demands!$B$3:$BK$48,BAU_Demands!AM$1,0)*(1-'Net Zero 2070'!AE76)</f>
        <v>18.008900000000001</v>
      </c>
      <c r="AP75" s="314">
        <f>VLOOKUP($C33,BAU_Demands!$B$3:$BK$48,BAU_Demands!AN$1,0)*(1-'Net Zero 2070'!AF76)</f>
        <v>18.181450000000002</v>
      </c>
      <c r="AQ75" s="314">
        <f>VLOOKUP($C33,BAU_Demands!$B$3:$BK$48,BAU_Demands!AO$1,0)*(1-'Net Zero 2070'!AG76)</f>
        <v>18.422999999999998</v>
      </c>
      <c r="AR75" s="314">
        <f>VLOOKUP($C33,BAU_Demands!$B$3:$BK$48,BAU_Demands!AP$1,0)*(1-'Net Zero 2070'!AH76)</f>
        <v>18.607050000000001</v>
      </c>
      <c r="AS75" s="314">
        <f>VLOOKUP($C33,BAU_Demands!$B$3:$BK$48,BAU_Demands!AQ$1,0)*(1-'Net Zero 2070'!AI76)</f>
        <v>18.8413</v>
      </c>
      <c r="AT75" s="314">
        <f>VLOOKUP($C33,BAU_Demands!$B$3:$BK$48,BAU_Demands!AR$1,0)*(1-'Net Zero 2070'!AJ76)</f>
        <v>19.107150000000001</v>
      </c>
      <c r="AU75" s="314">
        <f>VLOOKUP($C33,BAU_Demands!$B$3:$BK$48,BAU_Demands!AS$1,0)*(1-'Net Zero 2070'!AK76)</f>
        <v>19.351199999999999</v>
      </c>
      <c r="AV75" s="314">
        <f>VLOOKUP($C33,BAU_Demands!$B$3:$BK$48,BAU_Demands!AT$1,0)*(1-'Net Zero 2070'!AL76)</f>
        <v>19.608750000000001</v>
      </c>
      <c r="AW75" s="314">
        <f>VLOOKUP($C33,BAU_Demands!$B$3:$BK$48,BAU_Demands!AU$1,0)*(1-'Net Zero 2070'!AM76)</f>
        <v>19.853400000000001</v>
      </c>
      <c r="AX75" s="314">
        <f>VLOOKUP($C33,BAU_Demands!$B$3:$BK$48,BAU_Demands!AV$1,0)*(1-'Net Zero 2070'!AN76)</f>
        <v>20.111249999999998</v>
      </c>
      <c r="AY75" s="314">
        <f>VLOOKUP($C33,BAU_Demands!$B$3:$BK$48,BAU_Demands!AW$1,0)*(1-'Net Zero 2070'!AO76)</f>
        <v>20.40354</v>
      </c>
      <c r="AZ75" s="314">
        <f>VLOOKUP($C33,BAU_Demands!$B$3:$BK$48,BAU_Demands!AX$1,0)*(1-'Net Zero 2070'!AP76)</f>
        <v>20.71049</v>
      </c>
      <c r="BA75" s="314">
        <f>VLOOKUP($C33,BAU_Demands!$B$3:$BK$48,BAU_Demands!AY$1,0)*(1-'Net Zero 2070'!AQ76)</f>
        <v>21.014800000000001</v>
      </c>
      <c r="BB75" s="314">
        <f>VLOOKUP($C33,BAU_Demands!$B$3:$BK$48,BAU_Demands!AZ$1,0)*(1-'Net Zero 2070'!AR76)</f>
        <v>21.324999999999999</v>
      </c>
      <c r="BC75" s="314">
        <f>VLOOKUP($C33,BAU_Demands!$B$3:$BK$48,BAU_Demands!BA$1,0)*(1-'Net Zero 2070'!AS76)</f>
        <v>21.641000000000002</v>
      </c>
      <c r="BD75" s="314">
        <f>VLOOKUP($C33,BAU_Demands!$B$3:$BK$48,BAU_Demands!BB$1,0)*(1-'Net Zero 2070'!AT76)</f>
        <v>21.98864</v>
      </c>
      <c r="BE75" s="314">
        <f>VLOOKUP($C33,BAU_Demands!$B$3:$BK$48,BAU_Demands!BC$1,0)*(1-'Net Zero 2070'!AU76)</f>
        <v>22.377739999999999</v>
      </c>
      <c r="BF75" s="314">
        <f>VLOOKUP($C33,BAU_Demands!$B$3:$BK$48,BAU_Demands!BD$1,0)*(1-'Net Zero 2070'!AV76)</f>
        <v>22.730499999999999</v>
      </c>
      <c r="BG75" s="314">
        <f>VLOOKUP($C33,BAU_Demands!$B$3:$BK$48,BAU_Demands!BE$1,0)*(1-'Net Zero 2070'!AW76)</f>
        <v>23.125599999999999</v>
      </c>
      <c r="BH75" s="314">
        <f>VLOOKUP($C33,BAU_Demands!$B$3:$BK$48,BAU_Demands!BF$1,0)*(1-'Net Zero 2070'!AX76)</f>
        <v>23.500219999999999</v>
      </c>
      <c r="BI75" s="314">
        <f>VLOOKUP($C33,BAU_Demands!$B$3:$BK$48,BAU_Demands!BG$1,0)*(1-'Net Zero 2070'!AY76)</f>
        <v>23.93806</v>
      </c>
      <c r="BJ75" s="314">
        <f>VLOOKUP($C33,BAU_Demands!$B$3:$BK$48,BAU_Demands!BH$1,0)*(1-'Net Zero 2070'!AZ76)</f>
        <v>24.34695</v>
      </c>
      <c r="BK75" s="314">
        <f>VLOOKUP($C33,BAU_Demands!$B$3:$BK$48,BAU_Demands!BI$1,0)*(1-'Net Zero 2070'!BA76)</f>
        <v>24.801089999999999</v>
      </c>
      <c r="BL75" s="314">
        <f>VLOOKUP($C33,BAU_Demands!$B$3:$BK$48,BAU_Demands!BJ$1,0)*(1-'Net Zero 2070'!BB76)</f>
        <v>25.225200000000001</v>
      </c>
      <c r="BM75" s="314">
        <f>VLOOKUP($C33,BAU_Demands!$B$3:$BK$48,BAU_Demands!BK$1,0)*(1-'Net Zero 2070'!BC76)</f>
        <v>25.695599999999999</v>
      </c>
    </row>
    <row r="76" spans="1:65" ht="15.75" customHeight="1">
      <c r="A76" s="30" t="s">
        <v>551</v>
      </c>
      <c r="B76" s="30" t="s">
        <v>458</v>
      </c>
      <c r="C76" s="30" t="s">
        <v>527</v>
      </c>
      <c r="D76" s="30" t="s">
        <v>460</v>
      </c>
      <c r="E76" s="30" t="s">
        <v>528</v>
      </c>
      <c r="F76" s="30" t="s">
        <v>462</v>
      </c>
      <c r="G76" s="30" t="s">
        <v>463</v>
      </c>
      <c r="H76" s="30" t="s">
        <v>464</v>
      </c>
      <c r="I76" s="30"/>
      <c r="J76" s="30"/>
      <c r="K76" s="30"/>
      <c r="L76" s="30"/>
      <c r="M76" s="226">
        <f>VLOOKUP($C76,BAU_Demands!$B$3:$BK$48,BAU_Demands!K$1,0)</f>
        <v>0</v>
      </c>
      <c r="N76" s="226">
        <f>VLOOKUP($C76,BAU_Demands!$B$3:$BK$48,BAU_Demands!L$1,0)</f>
        <v>0</v>
      </c>
      <c r="O76" s="226">
        <f>VLOOKUP($C76,BAU_Demands!$B$3:$BK$48,BAU_Demands!M$1,0)</f>
        <v>0</v>
      </c>
      <c r="P76" s="226">
        <f>VLOOKUP($C76,BAU_Demands!$B$3:$BK$48,BAU_Demands!N$1,0)</f>
        <v>0</v>
      </c>
      <c r="Q76" s="30">
        <f>VLOOKUP($C76,BAU_Demands!$B$3:$BK$48,BAU_Demands!O$1,0)</f>
        <v>0</v>
      </c>
      <c r="R76" s="30">
        <f>VLOOKUP($C76,BAU_Demands!$B$3:$BK$48,BAU_Demands!P$1,0)</f>
        <v>0</v>
      </c>
      <c r="S76" s="30">
        <f>VLOOKUP($C76,BAU_Demands!$B$3:$BK$48,BAU_Demands!Q$1,0)</f>
        <v>0</v>
      </c>
      <c r="T76" s="30">
        <f>VLOOKUP($C76,BAU_Demands!$B$3:$BK$48,BAU_Demands!R$1,0)</f>
        <v>0</v>
      </c>
      <c r="U76" s="30">
        <f>VLOOKUP($C76,BAU_Demands!$B$3:$BK$48,BAU_Demands!S$1,0)</f>
        <v>0</v>
      </c>
      <c r="V76" s="30">
        <f>VLOOKUP($C76,BAU_Demands!$B$3:$BK$48,BAU_Demands!T$1,0)</f>
        <v>0</v>
      </c>
      <c r="W76" s="30">
        <f>VLOOKUP($C76,BAU_Demands!$B$3:$BK$48,BAU_Demands!U$1,0)</f>
        <v>0</v>
      </c>
      <c r="X76" s="30">
        <f>VLOOKUP($C76,BAU_Demands!$B$3:$BK$48,BAU_Demands!V$1,0)</f>
        <v>0</v>
      </c>
      <c r="Y76" s="30">
        <f>VLOOKUP($C76,BAU_Demands!$B$3:$BK$48,BAU_Demands!W$1,0)</f>
        <v>0</v>
      </c>
      <c r="Z76" s="30">
        <f>VLOOKUP($C76,BAU_Demands!$B$3:$BK$48,BAU_Demands!X$1,0)</f>
        <v>0</v>
      </c>
      <c r="AA76" s="30">
        <f>VLOOKUP($C76,BAU_Demands!$B$3:$BK$48,BAU_Demands!Y$1,0)</f>
        <v>0</v>
      </c>
      <c r="AB76" s="30">
        <f>VLOOKUP($C76,BAU_Demands!$B$3:$BK$48,BAU_Demands!Z$1,0)</f>
        <v>0</v>
      </c>
      <c r="AC76" s="30">
        <f>VLOOKUP($C76,BAU_Demands!$B$3:$BK$48,BAU_Demands!AA$1,0)</f>
        <v>0</v>
      </c>
      <c r="AD76" s="30">
        <f>VLOOKUP($C76,BAU_Demands!$B$3:$BK$48,BAU_Demands!AB$1,0)</f>
        <v>0</v>
      </c>
      <c r="AE76" s="30">
        <f>VLOOKUP($C76,BAU_Demands!$B$3:$BK$48,BAU_Demands!AC$1,0)</f>
        <v>0</v>
      </c>
      <c r="AF76" s="30">
        <f>VLOOKUP($C76,BAU_Demands!$B$3:$BK$48,BAU_Demands!AD$1,0)</f>
        <v>0</v>
      </c>
      <c r="AG76" s="30">
        <f>VLOOKUP($C76,BAU_Demands!$B$3:$BK$48,BAU_Demands!AE$1,0)</f>
        <v>0</v>
      </c>
      <c r="AH76" s="30">
        <f>VLOOKUP($C76,BAU_Demands!$B$3:$BK$48,BAU_Demands!AF$1,0)</f>
        <v>0</v>
      </c>
      <c r="AI76" s="30">
        <f>VLOOKUP($C76,BAU_Demands!$B$3:$BK$48,BAU_Demands!AG$1,0)</f>
        <v>0</v>
      </c>
      <c r="AJ76" s="30">
        <f>VLOOKUP($C76,BAU_Demands!$B$3:$BK$48,BAU_Demands!AH$1,0)</f>
        <v>0</v>
      </c>
      <c r="AK76" s="30">
        <f>VLOOKUP($C76,BAU_Demands!$B$3:$BK$48,BAU_Demands!AI$1,0)</f>
        <v>0</v>
      </c>
      <c r="AL76" s="30">
        <f>VLOOKUP($C76,BAU_Demands!$B$3:$BK$48,BAU_Demands!AJ$1,0)</f>
        <v>0</v>
      </c>
      <c r="AM76" s="30">
        <f>VLOOKUP($C76,BAU_Demands!$B$3:$BK$48,BAU_Demands!AK$1,0)</f>
        <v>0</v>
      </c>
      <c r="AN76" s="30">
        <f>VLOOKUP($C76,BAU_Demands!$B$3:$BK$48,BAU_Demands!AL$1,0)</f>
        <v>0</v>
      </c>
      <c r="AO76" s="30">
        <f>VLOOKUP($C76,BAU_Demands!$B$3:$BK$48,BAU_Demands!AM$1,0)</f>
        <v>0</v>
      </c>
      <c r="AP76" s="30">
        <f>VLOOKUP($C76,BAU_Demands!$B$3:$BK$48,BAU_Demands!AN$1,0)</f>
        <v>0</v>
      </c>
      <c r="AQ76" s="30">
        <f>VLOOKUP($C76,BAU_Demands!$B$3:$BK$48,BAU_Demands!AO$1,0)</f>
        <v>0</v>
      </c>
      <c r="AR76" s="30">
        <f>VLOOKUP($C76,BAU_Demands!$B$3:$BK$48,BAU_Demands!AP$1,0)</f>
        <v>0</v>
      </c>
      <c r="AS76" s="30">
        <f>VLOOKUP($C76,BAU_Demands!$B$3:$BK$48,BAU_Demands!AQ$1,0)</f>
        <v>0</v>
      </c>
      <c r="AT76" s="30">
        <f>VLOOKUP($C76,BAU_Demands!$B$3:$BK$48,BAU_Demands!AR$1,0)</f>
        <v>0</v>
      </c>
      <c r="AU76" s="30">
        <f>VLOOKUP($C76,BAU_Demands!$B$3:$BK$48,BAU_Demands!AS$1,0)</f>
        <v>0</v>
      </c>
      <c r="AV76" s="30">
        <f>VLOOKUP($C76,BAU_Demands!$B$3:$BK$48,BAU_Demands!AT$1,0)</f>
        <v>0</v>
      </c>
      <c r="AW76" s="30">
        <f>VLOOKUP($C76,BAU_Demands!$B$3:$BK$48,BAU_Demands!AU$1,0)</f>
        <v>0</v>
      </c>
      <c r="AX76" s="30">
        <f>VLOOKUP($C76,BAU_Demands!$B$3:$BK$48,BAU_Demands!AV$1,0)</f>
        <v>0</v>
      </c>
      <c r="AY76" s="30">
        <f>VLOOKUP($C76,BAU_Demands!$B$3:$BK$48,BAU_Demands!AW$1,0)</f>
        <v>0</v>
      </c>
      <c r="AZ76" s="30">
        <f>VLOOKUP($C76,BAU_Demands!$B$3:$BK$48,BAU_Demands!AX$1,0)</f>
        <v>0</v>
      </c>
      <c r="BA76" s="30">
        <f>VLOOKUP($C76,BAU_Demands!$B$3:$BK$48,BAU_Demands!AY$1,0)</f>
        <v>0</v>
      </c>
      <c r="BB76" s="30">
        <f>VLOOKUP($C76,BAU_Demands!$B$3:$BK$48,BAU_Demands!AZ$1,0)</f>
        <v>0</v>
      </c>
      <c r="BC76" s="30">
        <f>VLOOKUP($C76,BAU_Demands!$B$3:$BK$48,BAU_Demands!BA$1,0)</f>
        <v>0</v>
      </c>
      <c r="BD76" s="30">
        <f>VLOOKUP($C76,BAU_Demands!$B$3:$BK$48,BAU_Demands!BB$1,0)</f>
        <v>0</v>
      </c>
      <c r="BE76" s="30">
        <f>VLOOKUP($C76,BAU_Demands!$B$3:$BK$48,BAU_Demands!BC$1,0)</f>
        <v>0</v>
      </c>
      <c r="BF76" s="30">
        <f>VLOOKUP($C76,BAU_Demands!$B$3:$BK$48,BAU_Demands!BD$1,0)</f>
        <v>0</v>
      </c>
      <c r="BG76" s="30">
        <f>VLOOKUP($C76,BAU_Demands!$B$3:$BK$48,BAU_Demands!BE$1,0)</f>
        <v>0</v>
      </c>
      <c r="BH76" s="30">
        <f>VLOOKUP($C76,BAU_Demands!$B$3:$BK$48,BAU_Demands!BF$1,0)</f>
        <v>0</v>
      </c>
      <c r="BI76" s="30">
        <f>VLOOKUP($C76,BAU_Demands!$B$3:$BK$48,BAU_Demands!BG$1,0)</f>
        <v>0</v>
      </c>
      <c r="BJ76" s="30">
        <f>VLOOKUP($C76,BAU_Demands!$B$3:$BK$48,BAU_Demands!BH$1,0)</f>
        <v>0</v>
      </c>
      <c r="BK76" s="30">
        <f>VLOOKUP($C76,BAU_Demands!$B$3:$BK$48,BAU_Demands!BI$1,0)</f>
        <v>0</v>
      </c>
      <c r="BL76" s="30">
        <f>VLOOKUP($C76,BAU_Demands!$B$3:$BK$48,BAU_Demands!BJ$1,0)</f>
        <v>0</v>
      </c>
      <c r="BM76" s="30">
        <f>VLOOKUP($C76,BAU_Demands!$B$3:$BK$48,BAU_Demands!BK$1,0)</f>
        <v>0</v>
      </c>
    </row>
    <row r="77" spans="1:65" ht="15.75" customHeight="1">
      <c r="A77" s="314" t="s">
        <v>551</v>
      </c>
      <c r="B77" s="314" t="s">
        <v>458</v>
      </c>
      <c r="C77" s="314" t="s">
        <v>529</v>
      </c>
      <c r="D77" s="314" t="s">
        <v>460</v>
      </c>
      <c r="E77" s="314" t="s">
        <v>530</v>
      </c>
      <c r="F77" s="314" t="s">
        <v>462</v>
      </c>
      <c r="G77" s="314" t="s">
        <v>463</v>
      </c>
      <c r="H77" s="314" t="s">
        <v>464</v>
      </c>
      <c r="I77" s="314"/>
      <c r="J77" s="314"/>
      <c r="K77" s="314"/>
      <c r="L77" s="314"/>
      <c r="M77" s="226">
        <v>0</v>
      </c>
      <c r="N77" s="226">
        <v>0</v>
      </c>
      <c r="O77" s="226">
        <v>0</v>
      </c>
      <c r="P77" s="226">
        <v>0</v>
      </c>
      <c r="Q77" s="314">
        <v>0</v>
      </c>
      <c r="R77" s="314">
        <v>0</v>
      </c>
      <c r="S77" s="314">
        <v>0</v>
      </c>
      <c r="T77" s="314">
        <v>0</v>
      </c>
      <c r="U77" s="314">
        <v>0</v>
      </c>
      <c r="V77" s="314">
        <v>0</v>
      </c>
      <c r="W77" s="314">
        <v>0</v>
      </c>
      <c r="X77" s="314">
        <v>0</v>
      </c>
      <c r="Y77" s="314">
        <v>4.1999999999999997E-3</v>
      </c>
      <c r="Z77" s="314">
        <v>4.1999999999999997E-3</v>
      </c>
      <c r="AA77" s="314">
        <v>4.1999999999999997E-3</v>
      </c>
      <c r="AB77" s="314">
        <v>4.1999999999999997E-3</v>
      </c>
      <c r="AC77" s="314">
        <v>8.3999999999999995E-3</v>
      </c>
      <c r="AD77" s="314">
        <v>8.3999999999999995E-3</v>
      </c>
      <c r="AE77" s="314">
        <v>8.3999999999999995E-3</v>
      </c>
      <c r="AF77" s="314">
        <v>8.3999999999999995E-3</v>
      </c>
      <c r="AG77" s="314">
        <v>1.6799999999999999E-2</v>
      </c>
      <c r="AH77" s="314">
        <v>1.6799999999999999E-2</v>
      </c>
      <c r="AI77" s="314">
        <v>1.6799999999999999E-2</v>
      </c>
      <c r="AJ77" s="314">
        <v>1.6799999999999999E-2</v>
      </c>
      <c r="AK77" s="314">
        <v>3.5000000000000003E-2</v>
      </c>
      <c r="AL77" s="314">
        <v>3.5000000000000003E-2</v>
      </c>
      <c r="AM77" s="314">
        <v>3.5000000000000003E-2</v>
      </c>
      <c r="AN77" s="314">
        <v>3.5000000000000003E-2</v>
      </c>
      <c r="AO77" s="314">
        <v>6.3E-2</v>
      </c>
      <c r="AP77" s="314">
        <v>6.3E-2</v>
      </c>
      <c r="AQ77" s="314">
        <v>6.3E-2</v>
      </c>
      <c r="AR77" s="314">
        <v>6.3E-2</v>
      </c>
      <c r="AS77" s="314">
        <v>0.126</v>
      </c>
      <c r="AT77" s="314">
        <v>0.126</v>
      </c>
      <c r="AU77" s="314">
        <v>0.126</v>
      </c>
      <c r="AV77" s="314">
        <v>0.126</v>
      </c>
      <c r="AW77" s="314">
        <v>0.126</v>
      </c>
      <c r="AX77" s="314">
        <v>0.126</v>
      </c>
      <c r="AY77" s="314">
        <v>0.126</v>
      </c>
      <c r="AZ77" s="314">
        <v>0.126</v>
      </c>
      <c r="BA77" s="314">
        <v>0.126</v>
      </c>
      <c r="BB77" s="314">
        <v>0.126</v>
      </c>
      <c r="BC77" s="314">
        <v>0.153</v>
      </c>
      <c r="BD77" s="314">
        <v>0.153</v>
      </c>
      <c r="BE77" s="314">
        <v>0.153</v>
      </c>
      <c r="BF77" s="314">
        <v>0.153</v>
      </c>
      <c r="BG77" s="314">
        <v>0.153</v>
      </c>
      <c r="BH77" s="314">
        <v>0.153</v>
      </c>
      <c r="BI77" s="314">
        <v>0.153</v>
      </c>
      <c r="BJ77" s="314">
        <v>0.153</v>
      </c>
      <c r="BK77" s="314">
        <v>0.153</v>
      </c>
      <c r="BL77" s="314">
        <v>0.153</v>
      </c>
      <c r="BM77" s="314">
        <v>0.153</v>
      </c>
    </row>
    <row r="78" spans="1:65" ht="15.75" customHeight="1">
      <c r="A78" s="314" t="s">
        <v>551</v>
      </c>
      <c r="B78" s="314" t="s">
        <v>458</v>
      </c>
      <c r="C78" s="314" t="s">
        <v>531</v>
      </c>
      <c r="D78" s="314" t="s">
        <v>460</v>
      </c>
      <c r="E78" s="314" t="s">
        <v>532</v>
      </c>
      <c r="F78" s="314" t="s">
        <v>462</v>
      </c>
      <c r="G78" s="314" t="s">
        <v>463</v>
      </c>
      <c r="H78" s="314" t="s">
        <v>464</v>
      </c>
      <c r="I78" s="314" t="s">
        <v>44</v>
      </c>
      <c r="J78" s="314" t="s">
        <v>44</v>
      </c>
      <c r="K78" s="314" t="s">
        <v>44</v>
      </c>
      <c r="L78" s="314" t="s">
        <v>44</v>
      </c>
      <c r="M78" s="226">
        <f>VLOOKUP($C78,BAU_Demands!$B$3:$BK$48,BAU_Demands!K$1,0)</f>
        <v>3.9680445139999998</v>
      </c>
      <c r="N78" s="226">
        <f>VLOOKUP($C78,BAU_Demands!$B$3:$BK$48,BAU_Demands!L$1,0)</f>
        <v>4.1453383629999996</v>
      </c>
      <c r="O78" s="226">
        <f>VLOOKUP($C78,BAU_Demands!$B$3:$BK$48,BAU_Demands!M$1,0)</f>
        <v>3.690260635</v>
      </c>
      <c r="P78" s="226">
        <f>VLOOKUP($C78,BAU_Demands!$B$3:$BK$48,BAU_Demands!N$1,0)</f>
        <v>4.125979772</v>
      </c>
      <c r="Q78" s="314">
        <f>VLOOKUP($C36,BAU_Demands!$B$3:$BK$48,BAU_Demands!O$1,0)*(1-'Net Zero 2070'!G75)</f>
        <v>4.28</v>
      </c>
      <c r="R78" s="314">
        <f>VLOOKUP($C36,BAU_Demands!$B$3:$BK$48,BAU_Demands!P$1,0)*(1-'Net Zero 2070'!H75)</f>
        <v>4.362571</v>
      </c>
      <c r="S78" s="314">
        <f>VLOOKUP($C36,BAU_Demands!$B$3:$BK$48,BAU_Demands!Q$1,0)*(1-'Net Zero 2070'!I75)</f>
        <v>4.5349849999999998</v>
      </c>
      <c r="T78" s="314">
        <f>VLOOKUP($C36,BAU_Demands!$B$3:$BK$48,BAU_Demands!R$1,0)*(1-'Net Zero 2070'!J75)</f>
        <v>4.6068499999999997</v>
      </c>
      <c r="U78" s="314">
        <f>VLOOKUP($C36,BAU_Demands!$B$3:$BK$48,BAU_Demands!S$1,0)*(1-'Net Zero 2070'!K75)</f>
        <v>4.7318399999999992</v>
      </c>
      <c r="V78" s="314">
        <f>VLOOKUP($C36,BAU_Demands!$B$3:$BK$48,BAU_Demands!T$1,0)*(1-'Net Zero 2070'!L75)</f>
        <v>4.8263199999999999</v>
      </c>
      <c r="W78" s="314">
        <f>VLOOKUP($C36,BAU_Demands!$B$3:$BK$48,BAU_Demands!U$1,0)*(1-'Net Zero 2070'!M75)</f>
        <v>4.9792999999999994</v>
      </c>
      <c r="X78" s="314">
        <f>VLOOKUP($C36,BAU_Demands!$B$3:$BK$48,BAU_Demands!V$1,0)*(1-'Net Zero 2070'!N75)</f>
        <v>5.0231300000000001</v>
      </c>
      <c r="Y78" s="314">
        <f>VLOOKUP($C36,BAU_Demands!$B$3:$BK$48,BAU_Demands!W$1,0)*(1-'Net Zero 2070'!O75)</f>
        <v>5.1645999999999992</v>
      </c>
      <c r="Z78" s="314">
        <f>VLOOKUP($C36,BAU_Demands!$B$3:$BK$48,BAU_Demands!X$1,0)*(1-'Net Zero 2070'!P75)</f>
        <v>5.2606399999999995</v>
      </c>
      <c r="AA78" s="314">
        <f>VLOOKUP($C36,BAU_Demands!$B$3:$BK$48,BAU_Demands!Y$1,0)*(1-'Net Zero 2070'!Q75)</f>
        <v>5.4043199999999993</v>
      </c>
      <c r="AB78" s="314">
        <f>VLOOKUP($C36,BAU_Demands!$B$3:$BK$48,BAU_Demands!Z$1,0)*(1-'Net Zero 2070'!R75)</f>
        <v>5.4982399999999991</v>
      </c>
      <c r="AC78" s="314">
        <f>VLOOKUP($C36,BAU_Demands!$B$3:$BK$48,BAU_Demands!AA$1,0)*(1-'Net Zero 2070'!S75)</f>
        <v>5.6297600000000001</v>
      </c>
      <c r="AD78" s="314">
        <f>VLOOKUP($C36,BAU_Demands!$B$3:$BK$48,BAU_Demands!AB$1,0)*(1-'Net Zero 2070'!T75)</f>
        <v>5.7023999999999999</v>
      </c>
      <c r="AE78" s="314">
        <f>VLOOKUP($C36,BAU_Demands!$B$3:$BK$48,BAU_Demands!AC$1,0)*(1-'Net Zero 2070'!U75)</f>
        <v>5.8507199999999999</v>
      </c>
      <c r="AF78" s="314">
        <f>VLOOKUP($C36,BAU_Demands!$B$3:$BK$48,BAU_Demands!AD$1,0)*(1-'Net Zero 2070'!V75)</f>
        <v>5.9214399999999996</v>
      </c>
      <c r="AG78" s="314">
        <f>VLOOKUP($C36,BAU_Demands!$B$3:$BK$48,BAU_Demands!AE$1,0)*(1-'Net Zero 2070'!W75)</f>
        <v>6.0577199999999998</v>
      </c>
      <c r="AH78" s="314">
        <f>VLOOKUP($C36,BAU_Demands!$B$3:$BK$48,BAU_Demands!AF$1,0)*(1-'Net Zero 2070'!X75)</f>
        <v>6.1548799999999995</v>
      </c>
      <c r="AI78" s="314">
        <f>VLOOKUP($C36,BAU_Demands!$B$3:$BK$48,BAU_Demands!AG$1,0)*(1-'Net Zero 2070'!Y75)</f>
        <v>6.2885999999999997</v>
      </c>
      <c r="AJ78" s="314">
        <f>VLOOKUP($C36,BAU_Demands!$B$3:$BK$48,BAU_Demands!AH$1,0)*(1-'Net Zero 2070'!Z75)</f>
        <v>6.3673500000000001</v>
      </c>
      <c r="AK78" s="314">
        <f>VLOOKUP($C36,BAU_Demands!$B$3:$BK$48,BAU_Demands!AI$1,0)*(1-'Net Zero 2070'!AA75)</f>
        <v>6.4820999999999991</v>
      </c>
      <c r="AL78" s="314">
        <f>VLOOKUP($C36,BAU_Demands!$B$3:$BK$48,BAU_Demands!AJ$1,0)*(1-'Net Zero 2070'!AB75)</f>
        <v>6.5397500000000006</v>
      </c>
      <c r="AM78" s="314">
        <f>VLOOKUP($C36,BAU_Demands!$B$3:$BK$48,BAU_Demands!AK$1,0)*(1-'Net Zero 2070'!AC75)</f>
        <v>6.6608000000000001</v>
      </c>
      <c r="AN78" s="314">
        <f>VLOOKUP($C36,BAU_Demands!$B$3:$BK$48,BAU_Demands!AL$1,0)*(1-'Net Zero 2070'!AD75)</f>
        <v>6.72525</v>
      </c>
      <c r="AO78" s="314">
        <f>VLOOKUP($C36,BAU_Demands!$B$3:$BK$48,BAU_Demands!AM$1,0)*(1-'Net Zero 2070'!AE75)</f>
        <v>6.8431999999999995</v>
      </c>
      <c r="AP78" s="314">
        <f>VLOOKUP($C36,BAU_Demands!$B$3:$BK$48,BAU_Demands!AN$1,0)*(1-'Net Zero 2070'!AF75)</f>
        <v>6.9142000000000001</v>
      </c>
      <c r="AQ78" s="314">
        <f>VLOOKUP($C36,BAU_Demands!$B$3:$BK$48,BAU_Demands!AO$1,0)*(1-'Net Zero 2070'!AG75)</f>
        <v>7.0020000000000007</v>
      </c>
      <c r="AR78" s="314">
        <f>VLOOKUP($C36,BAU_Demands!$B$3:$BK$48,BAU_Demands!AP$1,0)*(1-'Net Zero 2070'!AH75)</f>
        <v>7.0705000000000009</v>
      </c>
      <c r="AS78" s="314">
        <f>VLOOKUP($C36,BAU_Demands!$B$3:$BK$48,BAU_Demands!AQ$1,0)*(1-'Net Zero 2070'!AI75)</f>
        <v>7.1645000000000003</v>
      </c>
      <c r="AT78" s="314">
        <f>VLOOKUP($C36,BAU_Demands!$B$3:$BK$48,BAU_Demands!AR$1,0)*(1-'Net Zero 2070'!AJ75)</f>
        <v>7.2658500000000013</v>
      </c>
      <c r="AU78" s="314">
        <f>VLOOKUP($C36,BAU_Demands!$B$3:$BK$48,BAU_Demands!AS$1,0)*(1-'Net Zero 2070'!AK75)</f>
        <v>7.3567999999999998</v>
      </c>
      <c r="AV78" s="314">
        <f>VLOOKUP($C36,BAU_Demands!$B$3:$BK$48,BAU_Demands!AT$1,0)*(1-'Net Zero 2070'!AL75)</f>
        <v>7.4550000000000001</v>
      </c>
      <c r="AW78" s="314">
        <f>VLOOKUP($C36,BAU_Demands!$B$3:$BK$48,BAU_Demands!AU$1,0)*(1-'Net Zero 2070'!AM75)</f>
        <v>7.5428999999999995</v>
      </c>
      <c r="AX78" s="314">
        <f>VLOOKUP($C36,BAU_Demands!$B$3:$BK$48,BAU_Demands!AV$1,0)*(1-'Net Zero 2070'!AN75)</f>
        <v>7.6465999999999994</v>
      </c>
      <c r="AY78" s="314">
        <f>VLOOKUP($C36,BAU_Demands!$B$3:$BK$48,BAU_Demands!AW$1,0)*(1-'Net Zero 2070'!AO75)</f>
        <v>7.758</v>
      </c>
      <c r="AZ78" s="314">
        <f>VLOOKUP($C36,BAU_Demands!$B$3:$BK$48,BAU_Demands!AX$1,0)*(1-'Net Zero 2070'!AP75)</f>
        <v>7.8770299999999995</v>
      </c>
      <c r="BA78" s="314">
        <f>VLOOKUP($C36,BAU_Demands!$B$3:$BK$48,BAU_Demands!AY$1,0)*(1-'Net Zero 2070'!AQ75)</f>
        <v>7.9864800000000002</v>
      </c>
      <c r="BB78" s="314">
        <f>VLOOKUP($C36,BAU_Demands!$B$3:$BK$48,BAU_Demands!AZ$1,0)*(1-'Net Zero 2070'!AR75)</f>
        <v>8.1035000000000004</v>
      </c>
      <c r="BC78" s="314">
        <f>VLOOKUP($C36,BAU_Demands!$B$3:$BK$48,BAU_Demands!BA$1,0)*(1-'Net Zero 2070'!AS75)</f>
        <v>8.2279999999999998</v>
      </c>
      <c r="BD78" s="314">
        <f>VLOOKUP($C36,BAU_Demands!$B$3:$BK$48,BAU_Demands!BB$1,0)*(1-'Net Zero 2070'!AT75)</f>
        <v>8.3612799999999989</v>
      </c>
      <c r="BE78" s="314">
        <f>VLOOKUP($C36,BAU_Demands!$B$3:$BK$48,BAU_Demands!BC$1,0)*(1-'Net Zero 2070'!AU75)</f>
        <v>8.5038799999999988</v>
      </c>
      <c r="BF78" s="314">
        <f>VLOOKUP($C36,BAU_Demands!$B$3:$BK$48,BAU_Demands!BD$1,0)*(1-'Net Zero 2070'!AV75)</f>
        <v>8.6443499999999993</v>
      </c>
      <c r="BG78" s="314">
        <f>VLOOKUP($C36,BAU_Demands!$B$3:$BK$48,BAU_Demands!BE$1,0)*(1-'Net Zero 2070'!AW75)</f>
        <v>8.7944800000000001</v>
      </c>
      <c r="BH78" s="314">
        <f>VLOOKUP($C36,BAU_Demands!$B$3:$BK$48,BAU_Demands!BF$1,0)*(1-'Net Zero 2070'!AX75)</f>
        <v>8.9336199999999995</v>
      </c>
      <c r="BI78" s="314">
        <f>VLOOKUP($C36,BAU_Demands!$B$3:$BK$48,BAU_Demands!BG$1,0)*(1-'Net Zero 2070'!AY75)</f>
        <v>9.1020199999999996</v>
      </c>
      <c r="BJ78" s="314">
        <f>VLOOKUP($C36,BAU_Demands!$B$3:$BK$48,BAU_Demands!BH$1,0)*(1-'Net Zero 2070'!AZ75)</f>
        <v>9.259409999999999</v>
      </c>
      <c r="BK78" s="314">
        <f>VLOOKUP($C36,BAU_Demands!$B$3:$BK$48,BAU_Demands!BI$1,0)*(1-'Net Zero 2070'!BA75)</f>
        <v>9.4276099999999996</v>
      </c>
      <c r="BL78" s="314">
        <f>VLOOKUP($C36,BAU_Demands!$B$3:$BK$48,BAU_Demands!BJ$1,0)*(1-'Net Zero 2070'!BB75)</f>
        <v>9.5928000000000004</v>
      </c>
      <c r="BM78" s="314">
        <f>VLOOKUP($C36,BAU_Demands!$B$3:$BK$48,BAU_Demands!BK$1,0)*(1-'Net Zero 2070'!BC75)</f>
        <v>9.7691999999999997</v>
      </c>
    </row>
    <row r="79" spans="1:65" ht="15.75" customHeight="1">
      <c r="A79" s="314" t="s">
        <v>551</v>
      </c>
      <c r="B79" s="314" t="s">
        <v>458</v>
      </c>
      <c r="C79" s="314" t="s">
        <v>533</v>
      </c>
      <c r="D79" s="314" t="s">
        <v>460</v>
      </c>
      <c r="E79" s="314" t="s">
        <v>534</v>
      </c>
      <c r="F79" s="314" t="s">
        <v>462</v>
      </c>
      <c r="G79" s="314" t="s">
        <v>463</v>
      </c>
      <c r="H79" s="314" t="s">
        <v>464</v>
      </c>
      <c r="I79" s="314" t="s">
        <v>44</v>
      </c>
      <c r="J79" s="314" t="s">
        <v>44</v>
      </c>
      <c r="K79" s="314" t="s">
        <v>44</v>
      </c>
      <c r="L79" s="314" t="s">
        <v>44</v>
      </c>
      <c r="M79" s="226">
        <f>VLOOKUP($C79,BAU_Demands!$B$3:$BK$48,BAU_Demands!K$1,0)</f>
        <v>1.9633782829999999</v>
      </c>
      <c r="N79" s="226">
        <f>VLOOKUP($C79,BAU_Demands!$B$3:$BK$48,BAU_Demands!L$1,0)</f>
        <v>1.5793630780000001</v>
      </c>
      <c r="O79" s="226">
        <f>VLOOKUP($C79,BAU_Demands!$B$3:$BK$48,BAU_Demands!M$1,0)</f>
        <v>0.94433599499999998</v>
      </c>
      <c r="P79" s="226">
        <f>VLOOKUP($C79,BAU_Demands!$B$3:$BK$48,BAU_Demands!N$1,0)</f>
        <v>1.6548595399999999</v>
      </c>
      <c r="Q79" s="314">
        <f>VLOOKUP($C37,BAU_Demands!$B$3:$BK$48,BAU_Demands!O$1,0)*(1-'Net Zero 2070'!G77)</f>
        <v>1.72</v>
      </c>
      <c r="R79" s="314">
        <f>VLOOKUP($C37,BAU_Demands!$B$3:$BK$48,BAU_Demands!P$1,0)*(1-'Net Zero 2070'!H77)</f>
        <v>1.7470249999999998</v>
      </c>
      <c r="S79" s="314">
        <f>VLOOKUP($C37,BAU_Demands!$B$3:$BK$48,BAU_Demands!Q$1,0)*(1-'Net Zero 2070'!I77)</f>
        <v>1.8139940000000001</v>
      </c>
      <c r="T79" s="314">
        <f>VLOOKUP($C37,BAU_Demands!$B$3:$BK$48,BAU_Demands!R$1,0)*(1-'Net Zero 2070'!J77)</f>
        <v>1.8507</v>
      </c>
      <c r="U79" s="314">
        <f>VLOOKUP($C37,BAU_Demands!$B$3:$BK$48,BAU_Demands!S$1,0)*(1-'Net Zero 2070'!K77)</f>
        <v>1.89472</v>
      </c>
      <c r="V79" s="314">
        <f>VLOOKUP($C37,BAU_Demands!$B$3:$BK$48,BAU_Demands!T$1,0)*(1-'Net Zero 2070'!L77)</f>
        <v>1.9384399999999999</v>
      </c>
      <c r="W79" s="314">
        <f>VLOOKUP($C37,BAU_Demands!$B$3:$BK$48,BAU_Demands!U$1,0)*(1-'Net Zero 2070'!M77)</f>
        <v>2.0015799999999997</v>
      </c>
      <c r="X79" s="314">
        <f>VLOOKUP($C37,BAU_Demands!$B$3:$BK$48,BAU_Demands!V$1,0)*(1-'Net Zero 2070'!N77)</f>
        <v>2.0151499999999998</v>
      </c>
      <c r="Y79" s="314">
        <f>VLOOKUP($C37,BAU_Demands!$B$3:$BK$48,BAU_Demands!W$1,0)*(1-'Net Zero 2070'!O77)</f>
        <v>2.0677999999999996</v>
      </c>
      <c r="Z79" s="314">
        <f>VLOOKUP($C37,BAU_Demands!$B$3:$BK$48,BAU_Demands!X$1,0)*(1-'Net Zero 2070'!P77)</f>
        <v>2.1081600000000003</v>
      </c>
      <c r="AA79" s="314">
        <f>VLOOKUP($C37,BAU_Demands!$B$3:$BK$48,BAU_Demands!Y$1,0)*(1-'Net Zero 2070'!Q77)</f>
        <v>2.1675599999999999</v>
      </c>
      <c r="AB79" s="314">
        <f>VLOOKUP($C37,BAU_Demands!$B$3:$BK$48,BAU_Demands!Z$1,0)*(1-'Net Zero 2070'!R77)</f>
        <v>2.2070399999999997</v>
      </c>
      <c r="AC79" s="314">
        <f>VLOOKUP($C37,BAU_Demands!$B$3:$BK$48,BAU_Demands!AA$1,0)*(1-'Net Zero 2070'!S77)</f>
        <v>2.25576</v>
      </c>
      <c r="AD79" s="314">
        <f>VLOOKUP($C37,BAU_Demands!$B$3:$BK$48,BAU_Demands!AB$1,0)*(1-'Net Zero 2070'!T77)</f>
        <v>2.2847999999999997</v>
      </c>
      <c r="AE79" s="314">
        <f>VLOOKUP($C37,BAU_Demands!$B$3:$BK$48,BAU_Demands!AC$1,0)*(1-'Net Zero 2070'!U77)</f>
        <v>2.3422000000000001</v>
      </c>
      <c r="AF79" s="314">
        <f>VLOOKUP($C37,BAU_Demands!$B$3:$BK$48,BAU_Demands!AD$1,0)*(1-'Net Zero 2070'!V77)</f>
        <v>2.38</v>
      </c>
      <c r="AG79" s="314">
        <f>VLOOKUP($C37,BAU_Demands!$B$3:$BK$48,BAU_Demands!AE$1,0)*(1-'Net Zero 2070'!W77)</f>
        <v>2.4268800000000001</v>
      </c>
      <c r="AH79" s="314">
        <f>VLOOKUP($C37,BAU_Demands!$B$3:$BK$48,BAU_Demands!AF$1,0)*(1-'Net Zero 2070'!X77)</f>
        <v>2.4638399999999998</v>
      </c>
      <c r="AI79" s="314">
        <f>VLOOKUP($C37,BAU_Demands!$B$3:$BK$48,BAU_Demands!AG$1,0)*(1-'Net Zero 2070'!Y77)</f>
        <v>2.5192000000000001</v>
      </c>
      <c r="AJ79" s="314">
        <f>VLOOKUP($C37,BAU_Demands!$B$3:$BK$48,BAU_Demands!AH$1,0)*(1-'Net Zero 2070'!Z77)</f>
        <v>2.5525500000000001</v>
      </c>
      <c r="AK79" s="314">
        <f>VLOOKUP($C37,BAU_Demands!$B$3:$BK$48,BAU_Demands!AI$1,0)*(1-'Net Zero 2070'!AA77)</f>
        <v>2.6039999999999996</v>
      </c>
      <c r="AL79" s="314">
        <f>VLOOKUP($C37,BAU_Demands!$B$3:$BK$48,BAU_Demands!AJ$1,0)*(1-'Net Zero 2070'!AB77)</f>
        <v>2.6269999999999998</v>
      </c>
      <c r="AM79" s="314">
        <f>VLOOKUP($C37,BAU_Demands!$B$3:$BK$48,BAU_Demands!AK$1,0)*(1-'Net Zero 2070'!AC77)</f>
        <v>2.6680000000000001</v>
      </c>
      <c r="AN79" s="314">
        <f>VLOOKUP($C37,BAU_Demands!$B$3:$BK$48,BAU_Demands!AL$1,0)*(1-'Net Zero 2070'!AD77)</f>
        <v>2.6992500000000001</v>
      </c>
      <c r="AO79" s="314">
        <f>VLOOKUP($C37,BAU_Demands!$B$3:$BK$48,BAU_Demands!AM$1,0)*(1-'Net Zero 2070'!AE77)</f>
        <v>2.7482000000000002</v>
      </c>
      <c r="AP79" s="314">
        <f>VLOOKUP($C37,BAU_Demands!$B$3:$BK$48,BAU_Demands!AN$1,0)*(1-'Net Zero 2070'!AF77)</f>
        <v>2.7693000000000003</v>
      </c>
      <c r="AQ79" s="314">
        <f>VLOOKUP($C37,BAU_Demands!$B$3:$BK$48,BAU_Demands!AO$1,0)*(1-'Net Zero 2070'!AG77)</f>
        <v>2.8080000000000003</v>
      </c>
      <c r="AR79" s="314">
        <f>VLOOKUP($C37,BAU_Demands!$B$3:$BK$48,BAU_Demands!AP$1,0)*(1-'Net Zero 2070'!AH77)</f>
        <v>2.8371499999999998</v>
      </c>
      <c r="AS79" s="314">
        <f>VLOOKUP($C37,BAU_Demands!$B$3:$BK$48,BAU_Demands!AQ$1,0)*(1-'Net Zero 2070'!AI77)</f>
        <v>2.8746999999999998</v>
      </c>
      <c r="AT79" s="314">
        <f>VLOOKUP($C37,BAU_Demands!$B$3:$BK$48,BAU_Demands!AR$1,0)*(1-'Net Zero 2070'!AJ77)</f>
        <v>2.9116499999999998</v>
      </c>
      <c r="AU79" s="314">
        <f>VLOOKUP($C37,BAU_Demands!$B$3:$BK$48,BAU_Demands!AS$1,0)*(1-'Net Zero 2070'!AK77)</f>
        <v>2.948</v>
      </c>
      <c r="AV79" s="314">
        <f>VLOOKUP($C37,BAU_Demands!$B$3:$BK$48,BAU_Demands!AT$1,0)*(1-'Net Zero 2070'!AL77)</f>
        <v>2.9924999999999997</v>
      </c>
      <c r="AW79" s="314">
        <f>VLOOKUP($C37,BAU_Demands!$B$3:$BK$48,BAU_Demands!AU$1,0)*(1-'Net Zero 2070'!AM77)</f>
        <v>3.0276000000000001</v>
      </c>
      <c r="AX79" s="314">
        <f>VLOOKUP($C37,BAU_Demands!$B$3:$BK$48,BAU_Demands!AV$1,0)*(1-'Net Zero 2070'!AN77)</f>
        <v>3.0621</v>
      </c>
      <c r="AY79" s="314">
        <f>VLOOKUP($C37,BAU_Demands!$B$3:$BK$48,BAU_Demands!AW$1,0)*(1-'Net Zero 2070'!AO77)</f>
        <v>3.1046</v>
      </c>
      <c r="AZ79" s="314">
        <f>VLOOKUP($C37,BAU_Demands!$B$3:$BK$48,BAU_Demands!AX$1,0)*(1-'Net Zero 2070'!AP77)</f>
        <v>3.15008</v>
      </c>
      <c r="BA79" s="314">
        <f>VLOOKUP($C37,BAU_Demands!$B$3:$BK$48,BAU_Demands!AY$1,0)*(1-'Net Zero 2070'!AQ77)</f>
        <v>3.1827399999999999</v>
      </c>
      <c r="BB79" s="314">
        <f>VLOOKUP($C37,BAU_Demands!$B$3:$BK$48,BAU_Demands!AZ$1,0)*(1-'Net Zero 2070'!AR77)</f>
        <v>3.2270699999999999</v>
      </c>
      <c r="BC79" s="314">
        <f>VLOOKUP($C37,BAU_Demands!$B$3:$BK$48,BAU_Demands!BA$1,0)*(1-'Net Zero 2070'!AS77)</f>
        <v>3.2669599999999996</v>
      </c>
      <c r="BD79" s="314">
        <f>VLOOKUP($C37,BAU_Demands!$B$3:$BK$48,BAU_Demands!BB$1,0)*(1-'Net Zero 2070'!AT77)</f>
        <v>3.3180000000000001</v>
      </c>
      <c r="BE79" s="314">
        <f>VLOOKUP($C37,BAU_Demands!$B$3:$BK$48,BAU_Demands!BC$1,0)*(1-'Net Zero 2070'!AU77)</f>
        <v>3.38117</v>
      </c>
      <c r="BF79" s="314">
        <f>VLOOKUP($C37,BAU_Demands!$B$3:$BK$48,BAU_Demands!BD$1,0)*(1-'Net Zero 2070'!AV77)</f>
        <v>3.4316999999999998</v>
      </c>
      <c r="BG79" s="314">
        <f>VLOOKUP($C37,BAU_Demands!$B$3:$BK$48,BAU_Demands!BE$1,0)*(1-'Net Zero 2070'!AW77)</f>
        <v>3.4944799999999998</v>
      </c>
      <c r="BH79" s="314">
        <f>VLOOKUP($C37,BAU_Demands!$B$3:$BK$48,BAU_Demands!BF$1,0)*(1-'Net Zero 2070'!AX77)</f>
        <v>3.5528399999999998</v>
      </c>
      <c r="BI79" s="314">
        <f>VLOOKUP($C37,BAU_Demands!$B$3:$BK$48,BAU_Demands!BG$1,0)*(1-'Net Zero 2070'!AY77)</f>
        <v>3.6068899999999999</v>
      </c>
      <c r="BJ79" s="314">
        <f>VLOOKUP($C37,BAU_Demands!$B$3:$BK$48,BAU_Demands!BH$1,0)*(1-'Net Zero 2070'!AZ77)</f>
        <v>3.6691199999999999</v>
      </c>
      <c r="BK79" s="314">
        <f>VLOOKUP($C37,BAU_Demands!$B$3:$BK$48,BAU_Demands!BI$1,0)*(1-'Net Zero 2070'!BA77)</f>
        <v>3.7439999999999998</v>
      </c>
      <c r="BL79" s="314">
        <f>VLOOKUP($C37,BAU_Demands!$B$3:$BK$48,BAU_Demands!BJ$1,0)*(1-'Net Zero 2070'!BB77)</f>
        <v>3.8059799999999999</v>
      </c>
      <c r="BM79" s="314">
        <f>VLOOKUP($C37,BAU_Demands!$B$3:$BK$48,BAU_Demands!BK$1,0)*(1-'Net Zero 2070'!BC77)</f>
        <v>3.8677999999999999</v>
      </c>
    </row>
    <row r="80" spans="1:65" ht="15.75" customHeight="1">
      <c r="A80" s="30" t="s">
        <v>551</v>
      </c>
      <c r="B80" s="30" t="s">
        <v>458</v>
      </c>
      <c r="C80" s="30" t="s">
        <v>535</v>
      </c>
      <c r="D80" s="30" t="s">
        <v>460</v>
      </c>
      <c r="E80" s="30" t="s">
        <v>536</v>
      </c>
      <c r="F80" s="30" t="s">
        <v>462</v>
      </c>
      <c r="G80" s="30" t="s">
        <v>463</v>
      </c>
      <c r="H80" s="30" t="s">
        <v>464</v>
      </c>
      <c r="I80" s="30" t="s">
        <v>44</v>
      </c>
      <c r="J80" s="30" t="s">
        <v>44</v>
      </c>
      <c r="K80" s="30" t="s">
        <v>44</v>
      </c>
      <c r="L80" s="30" t="s">
        <v>44</v>
      </c>
      <c r="M80" s="226">
        <f>VLOOKUP($C80,BAU_Demands!$B$3:$BK$48,BAU_Demands!K$1,0)</f>
        <v>25.58482343</v>
      </c>
      <c r="N80" s="226">
        <f>VLOOKUP($C80,BAU_Demands!$B$3:$BK$48,BAU_Demands!L$1,0)</f>
        <v>22.023940570000001</v>
      </c>
      <c r="O80" s="226">
        <f>VLOOKUP($C80,BAU_Demands!$B$3:$BK$48,BAU_Demands!M$1,0)</f>
        <v>21.49139379</v>
      </c>
      <c r="P80" s="226">
        <f>VLOOKUP($C80,BAU_Demands!$B$3:$BK$48,BAU_Demands!N$1,0)</f>
        <v>20.510462489999998</v>
      </c>
      <c r="Q80" s="30">
        <f>VLOOKUP($C38,BAU_Demands!$B$3:$BK$48,BAU_Demands!O$1,0)*(1-'Net Zero 2070'!G74)</f>
        <v>21.29</v>
      </c>
      <c r="R80" s="30">
        <f>VLOOKUP($C38,BAU_Demands!$B$3:$BK$48,BAU_Demands!P$1,0)*(1-'Net Zero 2070'!H74)</f>
        <v>21.713024999999998</v>
      </c>
      <c r="S80" s="30">
        <f>VLOOKUP($C38,BAU_Demands!$B$3:$BK$48,BAU_Demands!Q$1,0)*(1-'Net Zero 2070'!I74)</f>
        <v>22.535387</v>
      </c>
      <c r="T80" s="30">
        <f>VLOOKUP($C38,BAU_Demands!$B$3:$BK$48,BAU_Demands!R$1,0)*(1-'Net Zero 2070'!J74)</f>
        <v>22.875049999999998</v>
      </c>
      <c r="U80" s="30">
        <f>VLOOKUP($C38,BAU_Demands!$B$3:$BK$48,BAU_Demands!S$1,0)*(1-'Net Zero 2070'!K74)</f>
        <v>23.530239999999999</v>
      </c>
      <c r="V80" s="30">
        <f>VLOOKUP($C38,BAU_Demands!$B$3:$BK$48,BAU_Demands!T$1,0)*(1-'Net Zero 2070'!L74)</f>
        <v>23.97336</v>
      </c>
      <c r="W80" s="30">
        <f>VLOOKUP($C38,BAU_Demands!$B$3:$BK$48,BAU_Demands!U$1,0)*(1-'Net Zero 2070'!M74)</f>
        <v>24.768319999999999</v>
      </c>
      <c r="X80" s="30">
        <f>VLOOKUP($C38,BAU_Demands!$B$3:$BK$48,BAU_Demands!V$1,0)*(1-'Net Zero 2070'!N74)</f>
        <v>24.987860000000001</v>
      </c>
      <c r="Y80" s="30">
        <f>VLOOKUP($C38,BAU_Demands!$B$3:$BK$48,BAU_Demands!W$1,0)*(1-'Net Zero 2070'!O74)</f>
        <v>25.6858</v>
      </c>
      <c r="Z80" s="30">
        <f>VLOOKUP($C38,BAU_Demands!$B$3:$BK$48,BAU_Demands!X$1,0)*(1-'Net Zero 2070'!P74)</f>
        <v>26.1568</v>
      </c>
      <c r="AA80" s="30">
        <f>VLOOKUP($C38,BAU_Demands!$B$3:$BK$48,BAU_Demands!Y$1,0)*(1-'Net Zero 2070'!Q74)</f>
        <v>26.86608</v>
      </c>
      <c r="AB80" s="30">
        <f>VLOOKUP($C38,BAU_Demands!$B$3:$BK$48,BAU_Demands!Z$1,0)*(1-'Net Zero 2070'!R74)</f>
        <v>27.316959999999998</v>
      </c>
      <c r="AC80" s="30">
        <f>VLOOKUP($C38,BAU_Demands!$B$3:$BK$48,BAU_Demands!AA$1,0)*(1-'Net Zero 2070'!S74)</f>
        <v>27.99456</v>
      </c>
      <c r="AD80" s="30">
        <f>VLOOKUP($C38,BAU_Demands!$B$3:$BK$48,BAU_Demands!AB$1,0)*(1-'Net Zero 2070'!T74)</f>
        <v>28.348800000000001</v>
      </c>
      <c r="AE80" s="30">
        <f>VLOOKUP($C38,BAU_Demands!$B$3:$BK$48,BAU_Demands!AC$1,0)*(1-'Net Zero 2070'!U74)</f>
        <v>29.081520000000001</v>
      </c>
      <c r="AF80" s="30">
        <f>VLOOKUP($C38,BAU_Demands!$B$3:$BK$48,BAU_Demands!AD$1,0)*(1-'Net Zero 2070'!V74)</f>
        <v>29.445359999999997</v>
      </c>
      <c r="AG80" s="30">
        <f>VLOOKUP($C38,BAU_Demands!$B$3:$BK$48,BAU_Demands!AE$1,0)*(1-'Net Zero 2070'!W74)</f>
        <v>30.117959999999997</v>
      </c>
      <c r="AH80" s="30">
        <f>VLOOKUP($C38,BAU_Demands!$B$3:$BK$48,BAU_Demands!AF$1,0)*(1-'Net Zero 2070'!X74)</f>
        <v>30.585599999999996</v>
      </c>
      <c r="AI80" s="30">
        <f>VLOOKUP($C38,BAU_Demands!$B$3:$BK$48,BAU_Demands!AG$1,0)*(1-'Net Zero 2070'!Y74)</f>
        <v>31.236199999999997</v>
      </c>
      <c r="AJ80" s="30">
        <f>VLOOKUP($C38,BAU_Demands!$B$3:$BK$48,BAU_Demands!AH$1,0)*(1-'Net Zero 2070'!Z74)</f>
        <v>31.640400000000007</v>
      </c>
      <c r="AK80" s="30">
        <f>VLOOKUP($C38,BAU_Demands!$B$3:$BK$48,BAU_Demands!AI$1,0)*(1-'Net Zero 2070'!AA74)</f>
        <v>32.243099999999998</v>
      </c>
      <c r="AL80" s="30">
        <f>VLOOKUP($C38,BAU_Demands!$B$3:$BK$48,BAU_Demands!AJ$1,0)*(1-'Net Zero 2070'!AB74)</f>
        <v>32.5045</v>
      </c>
      <c r="AM80" s="30">
        <f>VLOOKUP($C38,BAU_Demands!$B$3:$BK$48,BAU_Demands!AK$1,0)*(1-'Net Zero 2070'!AC74)</f>
        <v>33.092399999999998</v>
      </c>
      <c r="AN80" s="30">
        <f>VLOOKUP($C38,BAU_Demands!$B$3:$BK$48,BAU_Demands!AL$1,0)*(1-'Net Zero 2070'!AD74)</f>
        <v>33.415800000000004</v>
      </c>
      <c r="AO80" s="30">
        <f>VLOOKUP($C38,BAU_Demands!$B$3:$BK$48,BAU_Demands!AM$1,0)*(1-'Net Zero 2070'!AE74)</f>
        <v>34.033999999999999</v>
      </c>
      <c r="AP80" s="30">
        <f>VLOOKUP($C38,BAU_Demands!$B$3:$BK$48,BAU_Demands!AN$1,0)*(1-'Net Zero 2070'!AF74)</f>
        <v>34.371899999999997</v>
      </c>
      <c r="AQ80" s="30">
        <f>VLOOKUP($C38,BAU_Demands!$B$3:$BK$48,BAU_Demands!AO$1,0)*(1-'Net Zero 2070'!AG74)</f>
        <v>34.820999999999998</v>
      </c>
      <c r="AR80" s="30">
        <f>VLOOKUP($C38,BAU_Demands!$B$3:$BK$48,BAU_Demands!AP$1,0)*(1-'Net Zero 2070'!AH74)</f>
        <v>35.164549999999998</v>
      </c>
      <c r="AS80" s="30">
        <f>VLOOKUP($C38,BAU_Demands!$B$3:$BK$48,BAU_Demands!AQ$1,0)*(1-'Net Zero 2070'!AI74)</f>
        <v>35.617800000000003</v>
      </c>
      <c r="AT80" s="30">
        <f>VLOOKUP($C38,BAU_Demands!$B$3:$BK$48,BAU_Demands!AR$1,0)*(1-'Net Zero 2070'!AJ74)</f>
        <v>36.107999999999997</v>
      </c>
      <c r="AU80" s="30">
        <f>VLOOKUP($C38,BAU_Demands!$B$3:$BK$48,BAU_Demands!AS$1,0)*(1-'Net Zero 2070'!AK74)</f>
        <v>36.572800000000001</v>
      </c>
      <c r="AV80" s="30">
        <f>VLOOKUP($C38,BAU_Demands!$B$3:$BK$48,BAU_Demands!AT$1,0)*(1-'Net Zero 2070'!AL74)</f>
        <v>37.056249999999999</v>
      </c>
      <c r="AW80" s="30">
        <f>VLOOKUP($C38,BAU_Demands!$B$3:$BK$48,BAU_Demands!AU$1,0)*(1-'Net Zero 2070'!AM74)</f>
        <v>37.514399999999995</v>
      </c>
      <c r="AX80" s="30">
        <f>VLOOKUP($C38,BAU_Demands!$B$3:$BK$48,BAU_Demands!AV$1,0)*(1-'Net Zero 2070'!AN74)</f>
        <v>37.999449999999996</v>
      </c>
      <c r="AY80" s="30">
        <f>VLOOKUP($C38,BAU_Demands!$B$3:$BK$48,BAU_Demands!AW$1,0)*(1-'Net Zero 2070'!AO74)</f>
        <v>38.56588</v>
      </c>
      <c r="AZ80" s="30">
        <f>VLOOKUP($C38,BAU_Demands!$B$3:$BK$48,BAU_Demands!AX$1,0)*(1-'Net Zero 2070'!AP74)</f>
        <v>39.144629999999999</v>
      </c>
      <c r="BA80" s="30">
        <f>VLOOKUP($C38,BAU_Demands!$B$3:$BK$48,BAU_Demands!AY$1,0)*(1-'Net Zero 2070'!AQ74)</f>
        <v>39.718399999999995</v>
      </c>
      <c r="BB80" s="30">
        <f>VLOOKUP($C38,BAU_Demands!$B$3:$BK$48,BAU_Demands!AZ$1,0)*(1-'Net Zero 2070'!AR74)</f>
        <v>40.304249999999996</v>
      </c>
      <c r="BC80" s="30">
        <f>VLOOKUP($C38,BAU_Demands!$B$3:$BK$48,BAU_Demands!BA$1,0)*(1-'Net Zero 2070'!AS74)</f>
        <v>40.901999999999994</v>
      </c>
      <c r="BD80" s="30">
        <f>VLOOKUP($C38,BAU_Demands!$B$3:$BK$48,BAU_Demands!BB$1,0)*(1-'Net Zero 2070'!AT74)</f>
        <v>41.560479999999998</v>
      </c>
      <c r="BE80" s="30">
        <f>VLOOKUP($C38,BAU_Demands!$B$3:$BK$48,BAU_Demands!BC$1,0)*(1-'Net Zero 2070'!AU74)</f>
        <v>42.290709999999997</v>
      </c>
      <c r="BF80" s="30">
        <f>VLOOKUP($C38,BAU_Demands!$B$3:$BK$48,BAU_Demands!BD$1,0)*(1-'Net Zero 2070'!AV74)</f>
        <v>42.968249999999998</v>
      </c>
      <c r="BG80" s="30">
        <f>VLOOKUP($C38,BAU_Demands!$B$3:$BK$48,BAU_Demands!BE$1,0)*(1-'Net Zero 2070'!AW74)</f>
        <v>43.710760000000001</v>
      </c>
      <c r="BH80" s="30">
        <f>VLOOKUP($C38,BAU_Demands!$B$3:$BK$48,BAU_Demands!BF$1,0)*(1-'Net Zero 2070'!AX74)</f>
        <v>44.415500000000002</v>
      </c>
      <c r="BI80" s="30">
        <f>VLOOKUP($C38,BAU_Demands!$B$3:$BK$48,BAU_Demands!BG$1,0)*(1-'Net Zero 2070'!AY74)</f>
        <v>45.232239999999997</v>
      </c>
      <c r="BJ80" s="30">
        <f>VLOOKUP($C38,BAU_Demands!$B$3:$BK$48,BAU_Demands!BH$1,0)*(1-'Net Zero 2070'!AZ74)</f>
        <v>46.01952</v>
      </c>
      <c r="BK80" s="30">
        <f>VLOOKUP($C38,BAU_Demands!$B$3:$BK$48,BAU_Demands!BI$1,0)*(1-'Net Zero 2070'!BA74)</f>
        <v>46.868929999999999</v>
      </c>
      <c r="BL80" s="30">
        <f>VLOOKUP($C38,BAU_Demands!$B$3:$BK$48,BAU_Demands!BJ$1,0)*(1-'Net Zero 2070'!BB74)</f>
        <v>47.678399999999996</v>
      </c>
      <c r="BM80" s="30">
        <f>VLOOKUP($C38,BAU_Demands!$B$3:$BK$48,BAU_Demands!BK$1,0)*(1-'Net Zero 2070'!BC74)</f>
        <v>48.560400000000001</v>
      </c>
    </row>
    <row r="81" spans="1:65" ht="15.75" customHeight="1">
      <c r="A81" s="314" t="s">
        <v>551</v>
      </c>
      <c r="B81" s="314" t="s">
        <v>458</v>
      </c>
      <c r="C81" s="314" t="s">
        <v>537</v>
      </c>
      <c r="D81" s="314" t="s">
        <v>460</v>
      </c>
      <c r="E81" s="314" t="s">
        <v>538</v>
      </c>
      <c r="F81" s="314" t="s">
        <v>462</v>
      </c>
      <c r="G81" s="314" t="s">
        <v>463</v>
      </c>
      <c r="H81" s="314" t="s">
        <v>464</v>
      </c>
      <c r="I81" s="314" t="s">
        <v>44</v>
      </c>
      <c r="J81" s="314" t="s">
        <v>44</v>
      </c>
      <c r="K81" s="314" t="s">
        <v>44</v>
      </c>
      <c r="L81" s="314" t="s">
        <v>44</v>
      </c>
      <c r="M81" s="226">
        <f>VLOOKUP($C81,BAU_Demands!$B$3:$BK$48,BAU_Demands!K$1,0)</f>
        <v>0.61379801499999997</v>
      </c>
      <c r="N81" s="226">
        <f>VLOOKUP($C81,BAU_Demands!$B$3:$BK$48,BAU_Demands!L$1,0)</f>
        <v>0.85415239099999996</v>
      </c>
      <c r="O81" s="226">
        <f>VLOOKUP($C81,BAU_Demands!$B$3:$BK$48,BAU_Demands!M$1,0)</f>
        <v>0.74826209600000004</v>
      </c>
      <c r="P81" s="226">
        <f>VLOOKUP($C81,BAU_Demands!$B$3:$BK$48,BAU_Demands!N$1,0)</f>
        <v>1.0382512100000001</v>
      </c>
      <c r="Q81" s="314">
        <f>VLOOKUP($C39,BAU_Demands!$B$3:$BK$48,BAU_Demands!O$1,0)*(1-'Net Zero 2070'!G73)</f>
        <v>1.08</v>
      </c>
      <c r="R81" s="314">
        <f>VLOOKUP($C39,BAU_Demands!$B$3:$BK$48,BAU_Demands!P$1,0)*(1-'Net Zero 2070'!H73)</f>
        <v>1.0981300000000001</v>
      </c>
      <c r="S81" s="314">
        <f>VLOOKUP($C39,BAU_Demands!$B$3:$BK$48,BAU_Demands!Q$1,0)*(1-'Net Zero 2070'!I73)</f>
        <v>1.1362379999999999</v>
      </c>
      <c r="T81" s="314">
        <f>VLOOKUP($C39,BAU_Demands!$B$3:$BK$48,BAU_Demands!R$1,0)*(1-'Net Zero 2070'!J73)</f>
        <v>1.1541999999999999</v>
      </c>
      <c r="U81" s="314">
        <f>VLOOKUP($C39,BAU_Demands!$B$3:$BK$48,BAU_Demands!S$1,0)*(1-'Net Zero 2070'!K73)</f>
        <v>1.1903999999999999</v>
      </c>
      <c r="V81" s="314">
        <f>VLOOKUP($C39,BAU_Demands!$B$3:$BK$48,BAU_Demands!T$1,0)*(1-'Net Zero 2070'!L73)</f>
        <v>1.2164699999999999</v>
      </c>
      <c r="W81" s="314">
        <f>VLOOKUP($C39,BAU_Demands!$B$3:$BK$48,BAU_Demands!U$1,0)*(1-'Net Zero 2070'!M73)</f>
        <v>1.2522200000000001</v>
      </c>
      <c r="X81" s="314">
        <f>VLOOKUP($C39,BAU_Demands!$B$3:$BK$48,BAU_Demands!V$1,0)*(1-'Net Zero 2070'!N73)</f>
        <v>1.26807</v>
      </c>
      <c r="Y81" s="314">
        <f>VLOOKUP($C39,BAU_Demands!$B$3:$BK$48,BAU_Demands!W$1,0)*(1-'Net Zero 2070'!O73)</f>
        <v>1.3034000000000001</v>
      </c>
      <c r="Z81" s="314">
        <f>VLOOKUP($C39,BAU_Demands!$B$3:$BK$48,BAU_Demands!X$1,0)*(1-'Net Zero 2070'!P73)</f>
        <v>1.3273600000000001</v>
      </c>
      <c r="AA81" s="314">
        <f>VLOOKUP($C39,BAU_Demands!$B$3:$BK$48,BAU_Demands!Y$1,0)*(1-'Net Zero 2070'!Q73)</f>
        <v>1.3607999999999998</v>
      </c>
      <c r="AB81" s="314">
        <f>VLOOKUP($C39,BAU_Demands!$B$3:$BK$48,BAU_Demands!Z$1,0)*(1-'Net Zero 2070'!R73)</f>
        <v>1.3842399999999999</v>
      </c>
      <c r="AC81" s="314">
        <f>VLOOKUP($C39,BAU_Demands!$B$3:$BK$48,BAU_Demands!AA$1,0)*(1-'Net Zero 2070'!S73)</f>
        <v>1.4170799999999999</v>
      </c>
      <c r="AD81" s="314">
        <f>VLOOKUP($C39,BAU_Demands!$B$3:$BK$48,BAU_Demands!AB$1,0)*(1-'Net Zero 2070'!T73)</f>
        <v>1.4303999999999999</v>
      </c>
      <c r="AE81" s="314">
        <f>VLOOKUP($C39,BAU_Demands!$B$3:$BK$48,BAU_Demands!AC$1,0)*(1-'Net Zero 2070'!U73)</f>
        <v>1.47224</v>
      </c>
      <c r="AF81" s="314">
        <f>VLOOKUP($C39,BAU_Demands!$B$3:$BK$48,BAU_Demands!AD$1,0)*(1-'Net Zero 2070'!V73)</f>
        <v>1.49464</v>
      </c>
      <c r="AG81" s="314">
        <f>VLOOKUP($C39,BAU_Demands!$B$3:$BK$48,BAU_Demands!AE$1,0)*(1-'Net Zero 2070'!W73)</f>
        <v>1.5262800000000001</v>
      </c>
      <c r="AH81" s="314">
        <f>VLOOKUP($C39,BAU_Demands!$B$3:$BK$48,BAU_Demands!AF$1,0)*(1-'Net Zero 2070'!X73)</f>
        <v>1.5481599999999998</v>
      </c>
      <c r="AI81" s="314">
        <f>VLOOKUP($C39,BAU_Demands!$B$3:$BK$48,BAU_Demands!AG$1,0)*(1-'Net Zero 2070'!Y73)</f>
        <v>1.5791999999999999</v>
      </c>
      <c r="AJ81" s="314">
        <f>VLOOKUP($C39,BAU_Demands!$B$3:$BK$48,BAU_Demands!AH$1,0)*(1-'Net Zero 2070'!Z73)</f>
        <v>1.5988500000000001</v>
      </c>
      <c r="AK81" s="314">
        <f>VLOOKUP($C39,BAU_Demands!$B$3:$BK$48,BAU_Demands!AI$1,0)*(1-'Net Zero 2070'!AA73)</f>
        <v>1.6367999999999998</v>
      </c>
      <c r="AL81" s="314">
        <f>VLOOKUP($C39,BAU_Demands!$B$3:$BK$48,BAU_Demands!AJ$1,0)*(1-'Net Zero 2070'!AB73)</f>
        <v>1.6465000000000001</v>
      </c>
      <c r="AM81" s="314">
        <f>VLOOKUP($C39,BAU_Demands!$B$3:$BK$48,BAU_Demands!AK$1,0)*(1-'Net Zero 2070'!AC73)</f>
        <v>1.6744000000000001</v>
      </c>
      <c r="AN81" s="314">
        <f>VLOOKUP($C39,BAU_Demands!$B$3:$BK$48,BAU_Demands!AL$1,0)*(1-'Net Zero 2070'!AD73)</f>
        <v>1.6927500000000002</v>
      </c>
      <c r="AO81" s="314">
        <f>VLOOKUP($C39,BAU_Demands!$B$3:$BK$48,BAU_Demands!AM$1,0)*(1-'Net Zero 2070'!AE73)</f>
        <v>1.7199</v>
      </c>
      <c r="AP81" s="314">
        <f>VLOOKUP($C39,BAU_Demands!$B$3:$BK$48,BAU_Demands!AN$1,0)*(1-'Net Zero 2070'!AF73)</f>
        <v>1.7376</v>
      </c>
      <c r="AQ81" s="314">
        <f>VLOOKUP($C39,BAU_Demands!$B$3:$BK$48,BAU_Demands!AO$1,0)*(1-'Net Zero 2070'!AG73)</f>
        <v>1.764</v>
      </c>
      <c r="AR81" s="314">
        <f>VLOOKUP($C39,BAU_Demands!$B$3:$BK$48,BAU_Demands!AP$1,0)*(1-'Net Zero 2070'!AH73)</f>
        <v>1.78105</v>
      </c>
      <c r="AS81" s="314">
        <f>VLOOKUP($C39,BAU_Demands!$B$3:$BK$48,BAU_Demands!AQ$1,0)*(1-'Net Zero 2070'!AI73)</f>
        <v>1.8066999999999998</v>
      </c>
      <c r="AT81" s="314">
        <f>VLOOKUP($C39,BAU_Demands!$B$3:$BK$48,BAU_Demands!AR$1,0)*(1-'Net Zero 2070'!AJ73)</f>
        <v>1.83195</v>
      </c>
      <c r="AU81" s="314">
        <f>VLOOKUP($C39,BAU_Demands!$B$3:$BK$48,BAU_Demands!AS$1,0)*(1-'Net Zero 2070'!AK73)</f>
        <v>1.8480000000000001</v>
      </c>
      <c r="AV81" s="314">
        <f>VLOOKUP($C39,BAU_Demands!$B$3:$BK$48,BAU_Demands!AT$1,0)*(1-'Net Zero 2070'!AL73)</f>
        <v>1.8725000000000001</v>
      </c>
      <c r="AW81" s="314">
        <f>VLOOKUP($C39,BAU_Demands!$B$3:$BK$48,BAU_Demands!AU$1,0)*(1-'Net Zero 2070'!AM73)</f>
        <v>1.8966000000000001</v>
      </c>
      <c r="AX81" s="314">
        <f>VLOOKUP($C39,BAU_Demands!$B$3:$BK$48,BAU_Demands!AV$1,0)*(1-'Net Zero 2070'!AN73)</f>
        <v>1.9203000000000001</v>
      </c>
      <c r="AY81" s="314">
        <f>VLOOKUP($C39,BAU_Demands!$B$3:$BK$48,BAU_Demands!AW$1,0)*(1-'Net Zero 2070'!AO73)</f>
        <v>1.9481199999999999</v>
      </c>
      <c r="AZ81" s="314">
        <f>VLOOKUP($C39,BAU_Demands!$B$3:$BK$48,BAU_Demands!AX$1,0)*(1-'Net Zero 2070'!AP73)</f>
        <v>1.9842900000000001</v>
      </c>
      <c r="BA81" s="314">
        <f>VLOOKUP($C39,BAU_Demands!$B$3:$BK$48,BAU_Demands!AY$1,0)*(1-'Net Zero 2070'!AQ73)</f>
        <v>2.0116000000000001</v>
      </c>
      <c r="BB81" s="314">
        <f>VLOOKUP($C39,BAU_Demands!$B$3:$BK$48,BAU_Demands!AZ$1,0)*(1-'Net Zero 2070'!AR73)</f>
        <v>2.0386700000000002</v>
      </c>
      <c r="BC81" s="314">
        <f>VLOOKUP($C39,BAU_Demands!$B$3:$BK$48,BAU_Demands!BA$1,0)*(1-'Net Zero 2070'!AS73)</f>
        <v>2.0739999999999998</v>
      </c>
      <c r="BD81" s="314">
        <f>VLOOKUP($C39,BAU_Demands!$B$3:$BK$48,BAU_Demands!BB$1,0)*(1-'Net Zero 2070'!AT73)</f>
        <v>2.10304</v>
      </c>
      <c r="BE81" s="314">
        <f>VLOOKUP($C39,BAU_Demands!$B$3:$BK$48,BAU_Demands!BC$1,0)*(1-'Net Zero 2070'!AU73)</f>
        <v>2.1429099999999996</v>
      </c>
      <c r="BF81" s="314">
        <f>VLOOKUP($C39,BAU_Demands!$B$3:$BK$48,BAU_Demands!BD$1,0)*(1-'Net Zero 2070'!AV73)</f>
        <v>2.1716499999999996</v>
      </c>
      <c r="BG81" s="314">
        <f>VLOOKUP($C39,BAU_Demands!$B$3:$BK$48,BAU_Demands!BE$1,0)*(1-'Net Zero 2070'!AW73)</f>
        <v>2.2112799999999999</v>
      </c>
      <c r="BH81" s="314">
        <f>VLOOKUP($C39,BAU_Demands!$B$3:$BK$48,BAU_Demands!BF$1,0)*(1-'Net Zero 2070'!AX73)</f>
        <v>2.2481399999999998</v>
      </c>
      <c r="BI81" s="314">
        <f>VLOOKUP($C39,BAU_Demands!$B$3:$BK$48,BAU_Demands!BG$1,0)*(1-'Net Zero 2070'!AY73)</f>
        <v>2.2902400000000003</v>
      </c>
      <c r="BJ81" s="314">
        <f>VLOOKUP($C39,BAU_Demands!$B$3:$BK$48,BAU_Demands!BH$1,0)*(1-'Net Zero 2070'!AZ73)</f>
        <v>2.3295699999999999</v>
      </c>
      <c r="BK81" s="314">
        <f>VLOOKUP($C39,BAU_Demands!$B$3:$BK$48,BAU_Demands!BI$1,0)*(1-'Net Zero 2070'!BA73)</f>
        <v>2.3716199999999996</v>
      </c>
      <c r="BL81" s="314">
        <f>VLOOKUP($C39,BAU_Demands!$B$3:$BK$48,BAU_Demands!BJ$1,0)*(1-'Net Zero 2070'!BB73)</f>
        <v>2.4108000000000001</v>
      </c>
      <c r="BM81" s="314">
        <f>VLOOKUP($C39,BAU_Demands!$B$3:$BK$48,BAU_Demands!BK$1,0)*(1-'Net Zero 2070'!BC73)</f>
        <v>2.4611999999999998</v>
      </c>
    </row>
    <row r="82" spans="1:65" ht="15.75" customHeight="1">
      <c r="A82" s="314" t="s">
        <v>551</v>
      </c>
      <c r="B82" s="314" t="s">
        <v>458</v>
      </c>
      <c r="C82" s="314" t="s">
        <v>539</v>
      </c>
      <c r="D82" s="314" t="s">
        <v>460</v>
      </c>
      <c r="E82" s="314" t="s">
        <v>540</v>
      </c>
      <c r="F82" s="314" t="s">
        <v>462</v>
      </c>
      <c r="G82" s="314" t="s">
        <v>463</v>
      </c>
      <c r="H82" s="314" t="s">
        <v>464</v>
      </c>
      <c r="I82" s="314" t="s">
        <v>44</v>
      </c>
      <c r="J82" s="314" t="s">
        <v>44</v>
      </c>
      <c r="K82" s="314" t="s">
        <v>44</v>
      </c>
      <c r="L82" s="314" t="s">
        <v>44</v>
      </c>
      <c r="M82" s="226">
        <f>VLOOKUP($C82,BAU_Demands!$B$3:$BK$48,BAU_Demands!K$1,0)</f>
        <v>8.2146779050000003</v>
      </c>
      <c r="N82" s="226">
        <f>VLOOKUP($C82,BAU_Demands!$B$3:$BK$48,BAU_Demands!L$1,0)</f>
        <v>8.9578359929999998</v>
      </c>
      <c r="O82" s="226">
        <f>VLOOKUP($C82,BAU_Demands!$B$3:$BK$48,BAU_Demands!M$1,0)</f>
        <v>9.0914695680000008</v>
      </c>
      <c r="P82" s="226">
        <f>VLOOKUP($C82,BAU_Demands!$B$3:$BK$48,BAU_Demands!N$1,0)</f>
        <v>7.6698878329999998</v>
      </c>
      <c r="Q82" s="314">
        <f>VLOOKUP($C40,BAU_Demands!$B$3:$BK$48,BAU_Demands!O$1,0)*(1-'Net Zero 2070'!G78)</f>
        <v>7.67</v>
      </c>
      <c r="R82" s="314">
        <f>VLOOKUP($C40,BAU_Demands!$B$3:$BK$48,BAU_Demands!P$1,0)*(1-'Net Zero 2070'!H78)</f>
        <v>7.6446890000000005</v>
      </c>
      <c r="S82" s="314">
        <f>VLOOKUP($C40,BAU_Demands!$B$3:$BK$48,BAU_Demands!Q$1,0)*(1-'Net Zero 2070'!I78)</f>
        <v>7.6186109999999996</v>
      </c>
      <c r="T82" s="314">
        <f>VLOOKUP($C40,BAU_Demands!$B$3:$BK$48,BAU_Demands!R$1,0)*(1-'Net Zero 2070'!J78)</f>
        <v>7.5933000000000002</v>
      </c>
      <c r="U82" s="314">
        <f>VLOOKUP($C40,BAU_Demands!$B$3:$BK$48,BAU_Demands!S$1,0)*(1-'Net Zero 2070'!K78)</f>
        <v>7.5319399999999996</v>
      </c>
      <c r="V82" s="314">
        <f>VLOOKUP($C40,BAU_Demands!$B$3:$BK$48,BAU_Demands!T$1,0)*(1-'Net Zero 2070'!L78)</f>
        <v>7.47058</v>
      </c>
      <c r="W82" s="314">
        <f>VLOOKUP($C40,BAU_Demands!$B$3:$BK$48,BAU_Demands!U$1,0)*(1-'Net Zero 2070'!M78)</f>
        <v>7.4092199999999995</v>
      </c>
      <c r="X82" s="314">
        <f>VLOOKUP($C40,BAU_Demands!$B$3:$BK$48,BAU_Demands!V$1,0)*(1-'Net Zero 2070'!N78)</f>
        <v>7.3478599999999998</v>
      </c>
      <c r="Y82" s="314">
        <f>VLOOKUP($C40,BAU_Demands!$B$3:$BK$48,BAU_Demands!W$1,0)*(1-'Net Zero 2070'!O78)</f>
        <v>7.2864999999999993</v>
      </c>
      <c r="Z82" s="314">
        <f>VLOOKUP($C40,BAU_Demands!$B$3:$BK$48,BAU_Demands!X$1,0)*(1-'Net Zero 2070'!P78)</f>
        <v>7.2251399999999997</v>
      </c>
      <c r="AA82" s="314">
        <f>VLOOKUP($C40,BAU_Demands!$B$3:$BK$48,BAU_Demands!Y$1,0)*(1-'Net Zero 2070'!Q78)</f>
        <v>7.1637799999999991</v>
      </c>
      <c r="AB82" s="314">
        <f>VLOOKUP($C40,BAU_Demands!$B$3:$BK$48,BAU_Demands!Z$1,0)*(1-'Net Zero 2070'!R78)</f>
        <v>7.1024200000000004</v>
      </c>
      <c r="AC82" s="314">
        <f>VLOOKUP($C40,BAU_Demands!$B$3:$BK$48,BAU_Demands!AA$1,0)*(1-'Net Zero 2070'!S78)</f>
        <v>7.0410599999999999</v>
      </c>
      <c r="AD82" s="314">
        <f>VLOOKUP($C40,BAU_Demands!$B$3:$BK$48,BAU_Demands!AB$1,0)*(1-'Net Zero 2070'!T78)</f>
        <v>6.9797000000000002</v>
      </c>
      <c r="AE82" s="314">
        <f>VLOOKUP($C40,BAU_Demands!$B$3:$BK$48,BAU_Demands!AC$1,0)*(1-'Net Zero 2070'!U78)</f>
        <v>6.9183399999999997</v>
      </c>
      <c r="AF82" s="314">
        <f>VLOOKUP($C40,BAU_Demands!$B$3:$BK$48,BAU_Demands!AD$1,0)*(1-'Net Zero 2070'!V78)</f>
        <v>6.8569800000000001</v>
      </c>
      <c r="AG82" s="314">
        <f>VLOOKUP($C40,BAU_Demands!$B$3:$BK$48,BAU_Demands!AE$1,0)*(1-'Net Zero 2070'!W78)</f>
        <v>6.7956200000000004</v>
      </c>
      <c r="AH82" s="314">
        <f>VLOOKUP($C40,BAU_Demands!$B$3:$BK$48,BAU_Demands!AF$1,0)*(1-'Net Zero 2070'!X78)</f>
        <v>6.7342599999999999</v>
      </c>
      <c r="AI82" s="314">
        <f>VLOOKUP($C40,BAU_Demands!$B$3:$BK$48,BAU_Demands!AG$1,0)*(1-'Net Zero 2070'!Y78)</f>
        <v>6.6729000000000003</v>
      </c>
      <c r="AJ82" s="314">
        <f>VLOOKUP($C40,BAU_Demands!$B$3:$BK$48,BAU_Demands!AH$1,0)*(1-'Net Zero 2070'!Z78)</f>
        <v>6.6115399999999998</v>
      </c>
      <c r="AK82" s="314">
        <f>VLOOKUP($C40,BAU_Demands!$B$3:$BK$48,BAU_Demands!AI$1,0)*(1-'Net Zero 2070'!AA78)</f>
        <v>6.5501800000000001</v>
      </c>
      <c r="AL82" s="314">
        <f>VLOOKUP($C40,BAU_Demands!$B$3:$BK$48,BAU_Demands!AJ$1,0)*(1-'Net Zero 2070'!AB78)</f>
        <v>6.4888199999999996</v>
      </c>
      <c r="AM82" s="314">
        <f>VLOOKUP($C40,BAU_Demands!$B$3:$BK$48,BAU_Demands!AK$1,0)*(1-'Net Zero 2070'!AC78)</f>
        <v>6.42746</v>
      </c>
      <c r="AN82" s="314">
        <f>VLOOKUP($C40,BAU_Demands!$B$3:$BK$48,BAU_Demands!AL$1,0)*(1-'Net Zero 2070'!AD78)</f>
        <v>6.3660999999999994</v>
      </c>
      <c r="AO82" s="314">
        <f>VLOOKUP($C40,BAU_Demands!$B$3:$BK$48,BAU_Demands!AM$1,0)*(1-'Net Zero 2070'!AE78)</f>
        <v>6.3200800000000008</v>
      </c>
      <c r="AP82" s="314">
        <f>VLOOKUP($C40,BAU_Demands!$B$3:$BK$48,BAU_Demands!AN$1,0)*(1-'Net Zero 2070'!AF78)</f>
        <v>6.2740600000000004</v>
      </c>
      <c r="AQ82" s="314">
        <f>VLOOKUP($C40,BAU_Demands!$B$3:$BK$48,BAU_Demands!AO$1,0)*(1-'Net Zero 2070'!AG78)</f>
        <v>6.22804</v>
      </c>
      <c r="AR82" s="314">
        <f>VLOOKUP($C40,BAU_Demands!$B$3:$BK$48,BAU_Demands!AP$1,0)*(1-'Net Zero 2070'!AH78)</f>
        <v>6.1820200000000005</v>
      </c>
      <c r="AS82" s="314">
        <f>VLOOKUP($C40,BAU_Demands!$B$3:$BK$48,BAU_Demands!AQ$1,0)*(1-'Net Zero 2070'!AI78)</f>
        <v>6.1360000000000001</v>
      </c>
      <c r="AT82" s="314">
        <f>VLOOKUP($C40,BAU_Demands!$B$3:$BK$48,BAU_Demands!AR$1,0)*(1-'Net Zero 2070'!AJ78)</f>
        <v>6.0899800000000006</v>
      </c>
      <c r="AU82" s="314">
        <f>VLOOKUP($C40,BAU_Demands!$B$3:$BK$48,BAU_Demands!AS$1,0)*(1-'Net Zero 2070'!AK78)</f>
        <v>6.0439600000000002</v>
      </c>
      <c r="AV82" s="314">
        <f>VLOOKUP($C40,BAU_Demands!$B$3:$BK$48,BAU_Demands!AT$1,0)*(1-'Net Zero 2070'!AL78)</f>
        <v>5.9979399999999998</v>
      </c>
      <c r="AW82" s="314">
        <f>VLOOKUP($C40,BAU_Demands!$B$3:$BK$48,BAU_Demands!AU$1,0)*(1-'Net Zero 2070'!AM78)</f>
        <v>5.9519200000000003</v>
      </c>
      <c r="AX82" s="314">
        <f>VLOOKUP($C40,BAU_Demands!$B$3:$BK$48,BAU_Demands!AV$1,0)*(1-'Net Zero 2070'!AN78)</f>
        <v>5.9058999999999999</v>
      </c>
      <c r="AY82" s="314">
        <f>VLOOKUP($C40,BAU_Demands!$B$3:$BK$48,BAU_Demands!AW$1,0)*(1-'Net Zero 2070'!AO78)</f>
        <v>5.8752199999999997</v>
      </c>
      <c r="AZ82" s="314">
        <f>VLOOKUP($C40,BAU_Demands!$B$3:$BK$48,BAU_Demands!AX$1,0)*(1-'Net Zero 2070'!AP78)</f>
        <v>5.8445400000000003</v>
      </c>
      <c r="BA82" s="314">
        <f>VLOOKUP($C40,BAU_Demands!$B$3:$BK$48,BAU_Demands!AY$1,0)*(1-'Net Zero 2070'!AQ78)</f>
        <v>5.81386</v>
      </c>
      <c r="BB82" s="314">
        <f>VLOOKUP($C40,BAU_Demands!$B$3:$BK$48,BAU_Demands!AZ$1,0)*(1-'Net Zero 2070'!AR78)</f>
        <v>5.7831799999999998</v>
      </c>
      <c r="BC82" s="314">
        <f>VLOOKUP($C40,BAU_Demands!$B$3:$BK$48,BAU_Demands!BA$1,0)*(1-'Net Zero 2070'!AS78)</f>
        <v>5.7524999999999995</v>
      </c>
      <c r="BD82" s="314">
        <f>VLOOKUP($C40,BAU_Demands!$B$3:$BK$48,BAU_Demands!BB$1,0)*(1-'Net Zero 2070'!AT78)</f>
        <v>5.7218200000000001</v>
      </c>
      <c r="BE82" s="314">
        <f>VLOOKUP($C40,BAU_Demands!$B$3:$BK$48,BAU_Demands!BC$1,0)*(1-'Net Zero 2070'!AU78)</f>
        <v>5.6911399999999999</v>
      </c>
      <c r="BF82" s="314">
        <f>VLOOKUP($C40,BAU_Demands!$B$3:$BK$48,BAU_Demands!BD$1,0)*(1-'Net Zero 2070'!AV78)</f>
        <v>5.6604599999999996</v>
      </c>
      <c r="BG82" s="314">
        <f>VLOOKUP($C40,BAU_Demands!$B$3:$BK$48,BAU_Demands!BE$1,0)*(1-'Net Zero 2070'!AW78)</f>
        <v>5.6297800000000002</v>
      </c>
      <c r="BH82" s="314">
        <f>VLOOKUP($C40,BAU_Demands!$B$3:$BK$48,BAU_Demands!BF$1,0)*(1-'Net Zero 2070'!AX78)</f>
        <v>5.5991</v>
      </c>
      <c r="BI82" s="314">
        <f>VLOOKUP($C40,BAU_Demands!$B$3:$BK$48,BAU_Demands!BG$1,0)*(1-'Net Zero 2070'!AY78)</f>
        <v>5.5837599999999998</v>
      </c>
      <c r="BJ82" s="314">
        <f>VLOOKUP($C40,BAU_Demands!$B$3:$BK$48,BAU_Demands!BH$1,0)*(1-'Net Zero 2070'!AZ78)</f>
        <v>5.5684199999999997</v>
      </c>
      <c r="BK82" s="314">
        <f>VLOOKUP($C40,BAU_Demands!$B$3:$BK$48,BAU_Demands!BI$1,0)*(1-'Net Zero 2070'!BA78)</f>
        <v>5.5530799999999996</v>
      </c>
      <c r="BL82" s="314">
        <f>VLOOKUP($C40,BAU_Demands!$B$3:$BK$48,BAU_Demands!BJ$1,0)*(1-'Net Zero 2070'!BB78)</f>
        <v>5.5377399999999994</v>
      </c>
      <c r="BM82" s="314">
        <f>VLOOKUP($C40,BAU_Demands!$B$3:$BK$48,BAU_Demands!BK$1,0)*(1-'Net Zero 2070'!BC78)</f>
        <v>5.5223999999999993</v>
      </c>
    </row>
    <row r="83" spans="1:65" ht="15.75" hidden="1" customHeight="1">
      <c r="A83" s="314" t="s">
        <v>551</v>
      </c>
      <c r="B83" s="314" t="s">
        <v>458</v>
      </c>
      <c r="C83" s="314" t="s">
        <v>541</v>
      </c>
      <c r="D83" s="314" t="s">
        <v>460</v>
      </c>
      <c r="E83" s="314" t="s">
        <v>542</v>
      </c>
      <c r="F83" s="314" t="s">
        <v>462</v>
      </c>
      <c r="G83" s="314" t="s">
        <v>463</v>
      </c>
      <c r="H83" s="314" t="s">
        <v>464</v>
      </c>
      <c r="I83" s="314"/>
      <c r="J83" s="314"/>
      <c r="K83" s="314"/>
      <c r="L83" s="314"/>
      <c r="M83" s="226">
        <f>VLOOKUP($C83,BAU_Demands!$B$3:$BK$48,BAU_Demands!K$1,0)</f>
        <v>1.616278579</v>
      </c>
      <c r="N83" s="226">
        <f>VLOOKUP($C83,BAU_Demands!$B$3:$BK$48,BAU_Demands!L$1,0)</f>
        <v>1.5668813159999999</v>
      </c>
      <c r="O83" s="226">
        <f>VLOOKUP($C83,BAU_Demands!$B$3:$BK$48,BAU_Demands!M$1,0)</f>
        <v>1.4792549399999999</v>
      </c>
      <c r="P83" s="226">
        <f>VLOOKUP($C83,BAU_Demands!$B$3:$BK$48,BAU_Demands!N$1,0)</f>
        <v>1.508411693</v>
      </c>
      <c r="Q83" s="314">
        <f>VLOOKUP($C83,BAU_Demands!$B$3:$BK$48,BAU_Demands!O$1,0)</f>
        <v>1.508411693</v>
      </c>
      <c r="R83" s="314">
        <f>VLOOKUP($C83,BAU_Demands!$B$3:$BK$48,BAU_Demands!P$1,0)</f>
        <v>1.508411693</v>
      </c>
      <c r="S83" s="314">
        <f>VLOOKUP($C83,BAU_Demands!$B$3:$BK$48,BAU_Demands!Q$1,0)</f>
        <v>1.508411693</v>
      </c>
      <c r="T83" s="314">
        <f>VLOOKUP($C83,BAU_Demands!$B$3:$BK$48,BAU_Demands!R$1,0)</f>
        <v>1.508411693</v>
      </c>
      <c r="U83" s="314">
        <f>VLOOKUP($C83,BAU_Demands!$B$3:$BK$48,BAU_Demands!S$1,0)</f>
        <v>1.508411693</v>
      </c>
      <c r="V83" s="314">
        <f>VLOOKUP($C83,BAU_Demands!$B$3:$BK$48,BAU_Demands!T$1,0)</f>
        <v>1.508411693</v>
      </c>
      <c r="W83" s="314">
        <f>VLOOKUP($C83,BAU_Demands!$B$3:$BK$48,BAU_Demands!U$1,0)</f>
        <v>1.508411693</v>
      </c>
      <c r="X83" s="314">
        <f>VLOOKUP($C83,BAU_Demands!$B$3:$BK$48,BAU_Demands!V$1,0)</f>
        <v>1.508411693</v>
      </c>
      <c r="Y83" s="314">
        <f>VLOOKUP($C83,BAU_Demands!$B$3:$BK$48,BAU_Demands!W$1,0)</f>
        <v>1.508411693</v>
      </c>
      <c r="Z83" s="314">
        <f>VLOOKUP($C83,BAU_Demands!$B$3:$BK$48,BAU_Demands!X$1,0)</f>
        <v>1.508411693</v>
      </c>
      <c r="AA83" s="314">
        <f>VLOOKUP($C83,BAU_Demands!$B$3:$BK$48,BAU_Demands!Y$1,0)</f>
        <v>1.508411693</v>
      </c>
      <c r="AB83" s="314">
        <f>VLOOKUP($C83,BAU_Demands!$B$3:$BK$48,BAU_Demands!Z$1,0)</f>
        <v>1.508411693</v>
      </c>
      <c r="AC83" s="314">
        <f>VLOOKUP($C83,BAU_Demands!$B$3:$BK$48,BAU_Demands!AA$1,0)</f>
        <v>1.508411693</v>
      </c>
      <c r="AD83" s="314">
        <f>VLOOKUP($C83,BAU_Demands!$B$3:$BK$48,BAU_Demands!AB$1,0)</f>
        <v>1.508411693</v>
      </c>
      <c r="AE83" s="314">
        <f>VLOOKUP($C83,BAU_Demands!$B$3:$BK$48,BAU_Demands!AC$1,0)</f>
        <v>1.508411693</v>
      </c>
      <c r="AF83" s="314">
        <f>VLOOKUP($C83,BAU_Demands!$B$3:$BK$48,BAU_Demands!AD$1,0)</f>
        <v>1.508411693</v>
      </c>
      <c r="AG83" s="314">
        <f>VLOOKUP($C83,BAU_Demands!$B$3:$BK$48,BAU_Demands!AE$1,0)</f>
        <v>1.508411693</v>
      </c>
      <c r="AH83" s="314">
        <f>VLOOKUP($C83,BAU_Demands!$B$3:$BK$48,BAU_Demands!AF$1,0)</f>
        <v>1.508411693</v>
      </c>
      <c r="AI83" s="314">
        <f>VLOOKUP($C83,BAU_Demands!$B$3:$BK$48,BAU_Demands!AG$1,0)</f>
        <v>1.508411693</v>
      </c>
      <c r="AJ83" s="314">
        <f>VLOOKUP($C83,BAU_Demands!$B$3:$BK$48,BAU_Demands!AH$1,0)</f>
        <v>1.508411693</v>
      </c>
      <c r="AK83" s="314">
        <f>VLOOKUP($C83,BAU_Demands!$B$3:$BK$48,BAU_Demands!AI$1,0)</f>
        <v>1.508411693</v>
      </c>
      <c r="AL83" s="314">
        <f>VLOOKUP($C83,BAU_Demands!$B$3:$BK$48,BAU_Demands!AJ$1,0)</f>
        <v>1.508411693</v>
      </c>
      <c r="AM83" s="314">
        <f>VLOOKUP($C83,BAU_Demands!$B$3:$BK$48,BAU_Demands!AK$1,0)</f>
        <v>1.508411693</v>
      </c>
      <c r="AN83" s="314">
        <f>VLOOKUP($C83,BAU_Demands!$B$3:$BK$48,BAU_Demands!AL$1,0)</f>
        <v>1.508411693</v>
      </c>
      <c r="AO83" s="314">
        <f>VLOOKUP($C83,BAU_Demands!$B$3:$BK$48,BAU_Demands!AM$1,0)</f>
        <v>1.508411693</v>
      </c>
      <c r="AP83" s="314">
        <f>VLOOKUP($C83,BAU_Demands!$B$3:$BK$48,BAU_Demands!AN$1,0)</f>
        <v>1.508411693</v>
      </c>
      <c r="AQ83" s="314">
        <f>VLOOKUP($C83,BAU_Demands!$B$3:$BK$48,BAU_Demands!AO$1,0)</f>
        <v>1.508411693</v>
      </c>
      <c r="AR83" s="314">
        <f>VLOOKUP($C83,BAU_Demands!$B$3:$BK$48,BAU_Demands!AP$1,0)</f>
        <v>1.508411693</v>
      </c>
      <c r="AS83" s="314">
        <f>VLOOKUP($C83,BAU_Demands!$B$3:$BK$48,BAU_Demands!AQ$1,0)</f>
        <v>1.508411693</v>
      </c>
      <c r="AT83" s="314">
        <f>VLOOKUP($C83,BAU_Demands!$B$3:$BK$48,BAU_Demands!AR$1,0)</f>
        <v>1.508411693</v>
      </c>
      <c r="AU83" s="314">
        <f>VLOOKUP($C83,BAU_Demands!$B$3:$BK$48,BAU_Demands!AS$1,0)</f>
        <v>1.508411693</v>
      </c>
      <c r="AV83" s="314">
        <f>VLOOKUP($C83,BAU_Demands!$B$3:$BK$48,BAU_Demands!AT$1,0)</f>
        <v>1.508411693</v>
      </c>
      <c r="AW83" s="314">
        <f>VLOOKUP($C83,BAU_Demands!$B$3:$BK$48,BAU_Demands!AU$1,0)</f>
        <v>1.508411693</v>
      </c>
      <c r="AX83" s="314">
        <f>VLOOKUP($C83,BAU_Demands!$B$3:$BK$48,BAU_Demands!AV$1,0)</f>
        <v>1.508411693</v>
      </c>
      <c r="AY83" s="314">
        <f>VLOOKUP($C83,BAU_Demands!$B$3:$BK$48,BAU_Demands!AW$1,0)</f>
        <v>1.508411693</v>
      </c>
      <c r="AZ83" s="314">
        <f>VLOOKUP($C83,BAU_Demands!$B$3:$BK$48,BAU_Demands!AX$1,0)</f>
        <v>1.508411693</v>
      </c>
      <c r="BA83" s="314">
        <f>VLOOKUP($C83,BAU_Demands!$B$3:$BK$48,BAU_Demands!AY$1,0)</f>
        <v>1.508411693</v>
      </c>
      <c r="BB83" s="314">
        <f>VLOOKUP($C83,BAU_Demands!$B$3:$BK$48,BAU_Demands!AZ$1,0)</f>
        <v>1.508411693</v>
      </c>
      <c r="BC83" s="314">
        <f>VLOOKUP($C83,BAU_Demands!$B$3:$BK$48,BAU_Demands!BA$1,0)</f>
        <v>1.508411693</v>
      </c>
      <c r="BD83" s="314">
        <f>VLOOKUP($C83,BAU_Demands!$B$3:$BK$48,BAU_Demands!BB$1,0)</f>
        <v>1.508411693</v>
      </c>
      <c r="BE83" s="314">
        <f>VLOOKUP($C83,BAU_Demands!$B$3:$BK$48,BAU_Demands!BC$1,0)</f>
        <v>1.508411693</v>
      </c>
      <c r="BF83" s="314">
        <f>VLOOKUP($C83,BAU_Demands!$B$3:$BK$48,BAU_Demands!BD$1,0)</f>
        <v>1.508411693</v>
      </c>
      <c r="BG83" s="314">
        <f>VLOOKUP($C83,BAU_Demands!$B$3:$BK$48,BAU_Demands!BE$1,0)</f>
        <v>1.508411693</v>
      </c>
      <c r="BH83" s="314">
        <f>VLOOKUP($C83,BAU_Demands!$B$3:$BK$48,BAU_Demands!BF$1,0)</f>
        <v>1.508411693</v>
      </c>
      <c r="BI83" s="314">
        <f>VLOOKUP($C83,BAU_Demands!$B$3:$BK$48,BAU_Demands!BG$1,0)</f>
        <v>1.508411693</v>
      </c>
      <c r="BJ83" s="314">
        <f>VLOOKUP($C83,BAU_Demands!$B$3:$BK$48,BAU_Demands!BH$1,0)</f>
        <v>1.508411693</v>
      </c>
      <c r="BK83" s="314">
        <f>VLOOKUP($C83,BAU_Demands!$B$3:$BK$48,BAU_Demands!BI$1,0)</f>
        <v>1.508411693</v>
      </c>
      <c r="BL83" s="314">
        <f>VLOOKUP($C83,BAU_Demands!$B$3:$BK$48,BAU_Demands!BJ$1,0)</f>
        <v>1.508411693</v>
      </c>
      <c r="BM83" s="314">
        <f>VLOOKUP($C83,BAU_Demands!$B$3:$BK$48,BAU_Demands!BK$1,0)</f>
        <v>1.508411693</v>
      </c>
    </row>
    <row r="84" spans="1:65" ht="14.4" hidden="1">
      <c r="A84" s="29" t="s">
        <v>551</v>
      </c>
      <c r="B84" s="29" t="s">
        <v>458</v>
      </c>
      <c r="C84" s="29" t="s">
        <v>543</v>
      </c>
      <c r="D84" s="29" t="s">
        <v>460</v>
      </c>
      <c r="E84" s="29" t="s">
        <v>544</v>
      </c>
      <c r="F84" s="29" t="s">
        <v>462</v>
      </c>
      <c r="G84" s="29" t="s">
        <v>463</v>
      </c>
      <c r="H84" s="29" t="s">
        <v>464</v>
      </c>
      <c r="I84" s="326" t="s">
        <v>44</v>
      </c>
      <c r="J84" s="326" t="s">
        <v>44</v>
      </c>
      <c r="K84" s="326" t="s">
        <v>44</v>
      </c>
      <c r="L84" s="326" t="s">
        <v>44</v>
      </c>
      <c r="M84" s="327">
        <f>VLOOKUP($C84,BAU_Demands!$B$3:$BK$48,BAU_Demands!K$1,0)</f>
        <v>26.62421775</v>
      </c>
      <c r="N84" s="327">
        <f>VLOOKUP($C84,BAU_Demands!$B$3:$BK$48,BAU_Demands!L$1,0)</f>
        <v>27.54513743</v>
      </c>
      <c r="O84" s="327">
        <f>VLOOKUP($C84,BAU_Demands!$B$3:$BK$48,BAU_Demands!M$1,0)</f>
        <v>29.009550699999998</v>
      </c>
      <c r="P84" s="327">
        <f>VLOOKUP($C84,BAU_Demands!$B$3:$BK$48,BAU_Demands!N$1,0)</f>
        <v>28.635027879999999</v>
      </c>
      <c r="Q84" s="322">
        <f>(VLOOKUP($C84,BAU_Demands!$B$3:$BK$48,BAU_Demands!O$1,0)+(BAU_Demands!O44-Q88))*(1-'Net Zero 2070'!G62)</f>
        <v>24.754042939999998</v>
      </c>
      <c r="R84" s="322">
        <f>(VLOOKUP($C84,BAU_Demands!$B$3:$BK$48,BAU_Demands!P$1,0)+(BAU_Demands!P44-R88))*(1-'Net Zero 2070'!H62)</f>
        <v>24.586792180500002</v>
      </c>
      <c r="S84" s="322">
        <f>(VLOOKUP($C84,BAU_Demands!$B$3:$BK$48,BAU_Demands!Q$1,0)+(BAU_Demands!Q44-S88))*(1-'Net Zero 2070'!I62)</f>
        <v>24.684086385399997</v>
      </c>
      <c r="T84" s="322">
        <f>(VLOOKUP($C84,BAU_Demands!$B$3:$BK$48,BAU_Demands!R$1,0)+(BAU_Demands!R44-T88))*(1-'Net Zero 2070'!J62)</f>
        <v>24.703150489999999</v>
      </c>
      <c r="U84" s="322">
        <f>(VLOOKUP($C84,BAU_Demands!$B$3:$BK$48,BAU_Demands!S$1,0)+(BAU_Demands!S44-U88))*(1-'Net Zero 2070'!K62)</f>
        <v>25.826629024000006</v>
      </c>
      <c r="V84" s="322">
        <f>(VLOOKUP($C84,BAU_Demands!$B$3:$BK$48,BAU_Demands!T$1,0)+(BAU_Demands!T44-V88))*(1-'Net Zero 2070'!L62)</f>
        <v>26.962216439999995</v>
      </c>
      <c r="W84" s="322">
        <f>(VLOOKUP($C84,BAU_Demands!$B$3:$BK$48,BAU_Demands!U$1,0)+(BAU_Demands!U44-W88))*(1-'Net Zero 2070'!M62)</f>
        <v>28.106011224</v>
      </c>
      <c r="X84" s="322">
        <f>(VLOOKUP($C84,BAU_Demands!$B$3:$BK$48,BAU_Demands!V$1,0)+(BAU_Demands!V44-X88))*(1-'Net Zero 2070'!N62)</f>
        <v>29.263818437999998</v>
      </c>
      <c r="Y84" s="322">
        <f>(VLOOKUP($C84,BAU_Demands!$B$3:$BK$48,BAU_Demands!W$1,0)+(BAU_Demands!W44-Y88))*(1-'Net Zero 2070'!O62)</f>
        <v>30.431198980000001</v>
      </c>
      <c r="Z84" s="322">
        <f>(VLOOKUP($C84,BAU_Demands!$B$3:$BK$48,BAU_Demands!X$1,0)+(BAU_Demands!X44-Z88))*(1-'Net Zero 2070'!P62)</f>
        <v>31.667949594999996</v>
      </c>
      <c r="AA84" s="322">
        <f>(VLOOKUP($C84,BAU_Demands!$B$3:$BK$48,BAU_Demands!Y$1,0)+(BAU_Demands!Y44-AA88))*(1-'Net Zero 2070'!Q62)</f>
        <v>32.90921582</v>
      </c>
      <c r="AB84" s="322">
        <f>(VLOOKUP($C84,BAU_Demands!$B$3:$BK$48,BAU_Demands!Z$1,0)+(BAU_Demands!Z44-AB88))*(1-'Net Zero 2070'!R62)</f>
        <v>34.157046528000002</v>
      </c>
      <c r="AC84" s="322">
        <f>(VLOOKUP($C84,BAU_Demands!$B$3:$BK$48,BAU_Demands!AA$1,0)+(BAU_Demands!AA44-AC88))*(1-'Net Zero 2070'!S62)</f>
        <v>35.401765484999999</v>
      </c>
      <c r="AD84" s="322">
        <f>(VLOOKUP($C84,BAU_Demands!$B$3:$BK$48,BAU_Demands!AB$1,0)+(BAU_Demands!AB44-AD88))*(1-'Net Zero 2070'!T62)</f>
        <v>36.646502400000003</v>
      </c>
      <c r="AE84" s="322">
        <f>(VLOOKUP($C84,BAU_Demands!$B$3:$BK$48,BAU_Demands!AC$1,0)+(BAU_Demands!AC44-AE88))*(1-'Net Zero 2070'!U62)</f>
        <v>37.940697600000007</v>
      </c>
      <c r="AF84" s="322">
        <f>(VLOOKUP($C84,BAU_Demands!$B$3:$BK$48,BAU_Demands!AD$1,0)+(BAU_Demands!AD44-AF88))*(1-'Net Zero 2070'!V62)</f>
        <v>39.242572799999998</v>
      </c>
      <c r="AG84" s="322">
        <f>(VLOOKUP($C84,BAU_Demands!$B$3:$BK$48,BAU_Demands!AE$1,0)+(BAU_Demands!AE44-AG88))*(1-'Net Zero 2070'!W62)</f>
        <v>40.55664384</v>
      </c>
      <c r="AH84" s="322">
        <f>(VLOOKUP($C84,BAU_Demands!$B$3:$BK$48,BAU_Demands!AF$1,0)+(BAU_Demands!AF44-AH88))*(1-'Net Zero 2070'!X62)</f>
        <v>41.8796544</v>
      </c>
      <c r="AI84" s="322">
        <f>(VLOOKUP($C84,BAU_Demands!$B$3:$BK$48,BAU_Demands!AG$1,0)+(BAU_Demands!AG44-AI88))*(1-'Net Zero 2070'!Y62)</f>
        <v>43.210905599999997</v>
      </c>
      <c r="AJ84" s="322">
        <f>(VLOOKUP($C84,BAU_Demands!$B$3:$BK$48,BAU_Demands!AH$1,0)+(BAU_Demands!AH44-AJ88))*(1-'Net Zero 2070'!Z62)</f>
        <v>44.246000639999998</v>
      </c>
      <c r="AK84" s="322">
        <f>(VLOOKUP($C84,BAU_Demands!$B$3:$BK$48,BAU_Demands!AI$1,0)+(BAU_Demands!AI44-AK88))*(1-'Net Zero 2070'!AA62)</f>
        <v>45.279659520000003</v>
      </c>
      <c r="AL84" s="322">
        <f>(VLOOKUP($C84,BAU_Demands!$B$3:$BK$48,BAU_Demands!AJ$1,0)+(BAU_Demands!AJ44-AL88))*(1-'Net Zero 2070'!AB62)</f>
        <v>46.318348800000003</v>
      </c>
      <c r="AM84" s="322">
        <f>(VLOOKUP($C84,BAU_Demands!$B$3:$BK$48,BAU_Demands!AK$1,0)+(BAU_Demands!AK44-AM88))*(1-'Net Zero 2070'!AC62)</f>
        <v>47.358197760000003</v>
      </c>
      <c r="AN84" s="322">
        <f>(VLOOKUP($C84,BAU_Demands!$B$3:$BK$48,BAU_Demands!AL$1,0)+(BAU_Demands!AL44-AN88))*(1-'Net Zero 2070'!AD62)</f>
        <v>48.398645760000001</v>
      </c>
      <c r="AO84" s="322">
        <f>(VLOOKUP($C84,BAU_Demands!$B$3:$BK$48,BAU_Demands!AM$1,0)+(BAU_Demands!AM44-AO88))*(1-'Net Zero 2070'!AE62)</f>
        <v>49.360481280000002</v>
      </c>
      <c r="AP84" s="322">
        <f>(VLOOKUP($C84,BAU_Demands!$B$3:$BK$48,BAU_Demands!AN$1,0)+(BAU_Demands!AN44-AP88))*(1-'Net Zero 2070'!AF62)</f>
        <v>50.321049600000002</v>
      </c>
      <c r="AQ84" s="322">
        <f>(VLOOKUP($C84,BAU_Demands!$B$3:$BK$48,BAU_Demands!AO$1,0)+(BAU_Demands!AO44-AQ88))*(1-'Net Zero 2070'!AG62)</f>
        <v>51.27981312</v>
      </c>
      <c r="AR84" s="322">
        <f>(VLOOKUP($C84,BAU_Demands!$B$3:$BK$48,BAU_Demands!AP$1,0)+(BAU_Demands!AP44-AR88))*(1-'Net Zero 2070'!AH62)</f>
        <v>52.23197184</v>
      </c>
      <c r="AS84" s="322">
        <f>(VLOOKUP($C84,BAU_Demands!$B$3:$BK$48,BAU_Demands!AQ$1,0)+(BAU_Demands!AQ44-AS88))*(1-'Net Zero 2070'!AI62)</f>
        <v>53.186065920000004</v>
      </c>
      <c r="AT84" s="322">
        <f>(VLOOKUP($C84,BAU_Demands!$B$3:$BK$48,BAU_Demands!AR$1,0)+(BAU_Demands!AR44-AT88))*(1-'Net Zero 2070'!AJ62)</f>
        <v>53.566264319999995</v>
      </c>
      <c r="AU84" s="322">
        <f>(VLOOKUP($C84,BAU_Demands!$B$3:$BK$48,BAU_Demands!AS$1,0)+(BAU_Demands!AS44-AU88))*(1-'Net Zero 2070'!AK62)</f>
        <v>53.938636799999998</v>
      </c>
      <c r="AV84" s="322">
        <f>(VLOOKUP($C84,BAU_Demands!$B$3:$BK$48,BAU_Demands!AT$1,0)+(BAU_Demands!AT44-AV88))*(1-'Net Zero 2070'!AL62)</f>
        <v>54.304189440000002</v>
      </c>
      <c r="AW84" s="322">
        <f>(VLOOKUP($C84,BAU_Demands!$B$3:$BK$48,BAU_Demands!AU$1,0)+(BAU_Demands!AU44-AW88))*(1-'Net Zero 2070'!AM62)</f>
        <v>54.645903359999991</v>
      </c>
      <c r="AX84" s="322">
        <f>(VLOOKUP($C84,BAU_Demands!$B$3:$BK$48,BAU_Demands!AV$1,0)+(BAU_Demands!AV44-AX88))*(1-'Net Zero 2070'!AN62)</f>
        <v>54.991411199999995</v>
      </c>
      <c r="AY84" s="322">
        <f>(VLOOKUP($C84,BAU_Demands!$B$3:$BK$48,BAU_Demands!AW$1,0)+(BAU_Demands!AW44-AY88))*(1-'Net Zero 2070'!AO62)</f>
        <v>55.317626879999992</v>
      </c>
      <c r="AZ84" s="322">
        <f>(VLOOKUP($C84,BAU_Demands!$B$3:$BK$48,BAU_Demands!AX$1,0)+(BAU_Demands!AX44-AZ88))*(1-'Net Zero 2070'!AP62)</f>
        <v>55.632184319999993</v>
      </c>
      <c r="BA84" s="322">
        <f>(VLOOKUP($C84,BAU_Demands!$B$3:$BK$48,BAU_Demands!AY$1,0)+(BAU_Demands!AY44-BA88))*(1-'Net Zero 2070'!AQ62)</f>
        <v>55.942717439999996</v>
      </c>
      <c r="BB84" s="322">
        <f>(VLOOKUP($C84,BAU_Demands!$B$3:$BK$48,BAU_Demands!AZ$1,0)+(BAU_Demands!AZ44-BB88))*(1-'Net Zero 2070'!AR62)</f>
        <v>56.236753920000005</v>
      </c>
      <c r="BC84" s="322">
        <f>(VLOOKUP($C84,BAU_Demands!$B$3:$BK$48,BAU_Demands!BA$1,0)+(BAU_Demands!BA44-BC88))*(1-'Net Zero 2070'!AS62)</f>
        <v>56.516044800000003</v>
      </c>
      <c r="BD84" s="322">
        <f>(VLOOKUP($C84,BAU_Demands!$B$3:$BK$48,BAU_Demands!BB$1,0)+(BAU_Demands!BB44-BD88))*(1-'Net Zero 2070'!AT62)</f>
        <v>56.786396159999995</v>
      </c>
      <c r="BE84" s="322">
        <f>(VLOOKUP($C84,BAU_Demands!$B$3:$BK$48,BAU_Demands!BC$1,0)+(BAU_Demands!BC44-BE88))*(1-'Net Zero 2070'!AU62)</f>
        <v>57.052508159999995</v>
      </c>
      <c r="BF84" s="322">
        <f>(VLOOKUP($C84,BAU_Demands!$B$3:$BK$48,BAU_Demands!BD$1,0)+(BAU_Demands!BD44-BF88))*(1-'Net Zero 2070'!AV62)</f>
        <v>57.294167040000005</v>
      </c>
      <c r="BG84" s="322">
        <f>(VLOOKUP($C84,BAU_Demands!$B$3:$BK$48,BAU_Demands!BE$1,0)+(BAU_Demands!BE44-BG88))*(1-'Net Zero 2070'!AW62)</f>
        <v>57.528606719999999</v>
      </c>
      <c r="BH84" s="322">
        <f>(VLOOKUP($C84,BAU_Demands!$B$3:$BK$48,BAU_Demands!BF$1,0)+(BAU_Demands!BF44-BH88))*(1-'Net Zero 2070'!AX62)</f>
        <v>57.753830399999998</v>
      </c>
      <c r="BI84" s="322">
        <f>(VLOOKUP($C84,BAU_Demands!$B$3:$BK$48,BAU_Demands!BG$1,0)+(BAU_Demands!BG44-BI88))*(1-'Net Zero 2070'!AY62)</f>
        <v>57.959239680000003</v>
      </c>
      <c r="BJ84" s="322">
        <f>(VLOOKUP($C84,BAU_Demands!$B$3:$BK$48,BAU_Demands!BH$1,0)+(BAU_Demands!BH44-BJ88))*(1-'Net Zero 2070'!AZ62)</f>
        <v>58.155279360000009</v>
      </c>
      <c r="BK84" s="322">
        <f>(VLOOKUP($C84,BAU_Demands!$B$3:$BK$48,BAU_Demands!BI$1,0)+(BAU_Demands!BI44-BK88))*(1-'Net Zero 2070'!BA62)</f>
        <v>58.33626624</v>
      </c>
      <c r="BL84" s="322">
        <f>(VLOOKUP($C84,BAU_Demands!$B$3:$BK$48,BAU_Demands!BJ$1,0)+(BAU_Demands!BJ44-BL88))*(1-'Net Zero 2070'!BB62)</f>
        <v>58.507760640000008</v>
      </c>
      <c r="BM84" s="322">
        <f>(VLOOKUP($C84,BAU_Demands!$B$3:$BK$48,BAU_Demands!BK$1,0)+(BAU_Demands!BK44-BM88))*(1-'Net Zero 2070'!BC62)</f>
        <v>58.661990400000001</v>
      </c>
    </row>
    <row r="85" spans="1:65" ht="15.75" customHeight="1">
      <c r="A85" s="314" t="s">
        <v>551</v>
      </c>
      <c r="B85" s="314" t="s">
        <v>458</v>
      </c>
      <c r="C85" s="314" t="s">
        <v>529</v>
      </c>
      <c r="D85" s="314" t="s">
        <v>460</v>
      </c>
      <c r="E85" s="314" t="s">
        <v>530</v>
      </c>
      <c r="F85" s="314" t="s">
        <v>462</v>
      </c>
      <c r="G85" s="314" t="s">
        <v>463</v>
      </c>
      <c r="H85" s="314" t="s">
        <v>464</v>
      </c>
      <c r="I85" s="314" t="s">
        <v>44</v>
      </c>
      <c r="J85" s="314" t="s">
        <v>44</v>
      </c>
      <c r="K85" s="314" t="s">
        <v>44</v>
      </c>
      <c r="L85" s="314" t="s">
        <v>44</v>
      </c>
      <c r="M85" s="226">
        <f>VLOOKUP($C85,BAU_Demands!$B$3:$BK$48,BAU_Demands!K$1,0)</f>
        <v>0</v>
      </c>
      <c r="N85" s="226">
        <f>VLOOKUP($C85,BAU_Demands!$B$3:$BK$48,BAU_Demands!L$1,0)</f>
        <v>0</v>
      </c>
      <c r="O85" s="226">
        <f>VLOOKUP($C85,BAU_Demands!$B$3:$BK$48,BAU_Demands!M$1,0)</f>
        <v>0</v>
      </c>
      <c r="P85" s="226">
        <f>VLOOKUP($C85,BAU_Demands!$B$3:$BK$48,BAU_Demands!N$1,0)</f>
        <v>0</v>
      </c>
      <c r="Q85" s="314">
        <v>0</v>
      </c>
      <c r="R85" s="314">
        <v>0</v>
      </c>
      <c r="S85" s="314">
        <v>0</v>
      </c>
      <c r="T85" s="314">
        <v>0</v>
      </c>
      <c r="U85" s="314">
        <v>0</v>
      </c>
      <c r="V85" s="314">
        <v>0</v>
      </c>
      <c r="W85" s="314">
        <v>0</v>
      </c>
      <c r="X85" s="314">
        <v>0</v>
      </c>
      <c r="Y85" s="314">
        <v>0</v>
      </c>
      <c r="Z85" s="314">
        <v>0</v>
      </c>
      <c r="AA85" s="314">
        <v>0</v>
      </c>
      <c r="AB85" s="314">
        <v>0</v>
      </c>
      <c r="AC85" s="314">
        <v>0</v>
      </c>
      <c r="AD85" s="314">
        <v>0</v>
      </c>
      <c r="AE85" s="314">
        <v>0</v>
      </c>
      <c r="AF85" s="314">
        <v>0</v>
      </c>
      <c r="AG85" s="314">
        <v>0</v>
      </c>
      <c r="AH85" s="314">
        <v>0</v>
      </c>
      <c r="AI85" s="314">
        <v>0</v>
      </c>
      <c r="AJ85" s="314">
        <v>0</v>
      </c>
      <c r="AK85" s="314">
        <v>0</v>
      </c>
      <c r="AL85" s="314">
        <v>0</v>
      </c>
      <c r="AM85" s="314">
        <v>0</v>
      </c>
      <c r="AN85" s="314">
        <v>0</v>
      </c>
      <c r="AO85" s="314">
        <v>0</v>
      </c>
      <c r="AP85" s="314">
        <v>0</v>
      </c>
      <c r="AQ85" s="314">
        <v>0</v>
      </c>
      <c r="AR85" s="314">
        <v>0</v>
      </c>
      <c r="AS85" s="314">
        <v>0</v>
      </c>
      <c r="AT85" s="314">
        <v>0</v>
      </c>
      <c r="AU85" s="314">
        <v>0</v>
      </c>
      <c r="AV85" s="314">
        <v>0</v>
      </c>
      <c r="AW85" s="314">
        <v>0</v>
      </c>
      <c r="AX85" s="314">
        <v>0</v>
      </c>
      <c r="AY85" s="314">
        <v>0</v>
      </c>
      <c r="AZ85" s="314">
        <v>0</v>
      </c>
      <c r="BA85" s="314">
        <v>0</v>
      </c>
      <c r="BB85" s="314">
        <v>0</v>
      </c>
      <c r="BC85" s="314">
        <v>0</v>
      </c>
      <c r="BD85" s="314">
        <v>0</v>
      </c>
      <c r="BE85" s="314">
        <v>0</v>
      </c>
      <c r="BF85" s="314">
        <v>0</v>
      </c>
      <c r="BG85" s="314">
        <v>0</v>
      </c>
      <c r="BH85" s="314">
        <v>0</v>
      </c>
      <c r="BI85" s="314">
        <v>0</v>
      </c>
      <c r="BJ85" s="314">
        <v>0</v>
      </c>
      <c r="BK85" s="314">
        <v>0</v>
      </c>
      <c r="BL85" s="314">
        <v>0</v>
      </c>
      <c r="BM85" s="314">
        <v>0</v>
      </c>
    </row>
    <row r="86" spans="1:65" ht="15.75" customHeight="1">
      <c r="A86" s="30" t="s">
        <v>551</v>
      </c>
      <c r="B86" s="30" t="s">
        <v>458</v>
      </c>
      <c r="C86" s="30" t="s">
        <v>523</v>
      </c>
      <c r="D86" s="30" t="s">
        <v>460</v>
      </c>
      <c r="E86" s="30" t="s">
        <v>524</v>
      </c>
      <c r="F86" s="30" t="s">
        <v>462</v>
      </c>
      <c r="G86" s="30" t="s">
        <v>463</v>
      </c>
      <c r="H86" s="30" t="s">
        <v>464</v>
      </c>
      <c r="I86" s="30" t="s">
        <v>44</v>
      </c>
      <c r="J86" s="30" t="s">
        <v>44</v>
      </c>
      <c r="K86" s="30" t="s">
        <v>44</v>
      </c>
      <c r="L86" s="30" t="s">
        <v>44</v>
      </c>
      <c r="M86" s="226">
        <f>VLOOKUP($C86,BAU_Demands!$B$3:$BK$48,BAU_Demands!K$1,0)</f>
        <v>2.037976842</v>
      </c>
      <c r="N86" s="226">
        <f>VLOOKUP($C86,BAU_Demands!$B$3:$BK$48,BAU_Demands!L$1,0)</f>
        <v>2.0787363760000002</v>
      </c>
      <c r="O86" s="226">
        <f>VLOOKUP($C86,BAU_Demands!$B$3:$BK$48,BAU_Demands!M$1,0)</f>
        <v>2.1203111030000001</v>
      </c>
      <c r="P86" s="226">
        <f>VLOOKUP($C86,BAU_Demands!$B$3:$BK$48,BAU_Demands!N$1,0)</f>
        <v>2.16271733</v>
      </c>
      <c r="Q86" s="30">
        <f>VLOOKUP($C32,BAU_Demands!$B$3:$BK$48,BAU_Demands!O$1,0)*(1-'Net Zero 2070'!G71)</f>
        <v>2.2400000000000002</v>
      </c>
      <c r="R86" s="30">
        <f>VLOOKUP($C32,BAU_Demands!$B$3:$BK$48,BAU_Demands!P$1,0)*(1-'Net Zero 2070'!H71)</f>
        <v>2.2746569999999999</v>
      </c>
      <c r="S86" s="30">
        <f>VLOOKUP($C32,BAU_Demands!$B$3:$BK$48,BAU_Demands!Q$1,0)*(1-'Net Zero 2070'!I71)</f>
        <v>2.3483459999999998</v>
      </c>
      <c r="T86" s="30">
        <f>VLOOKUP($C32,BAU_Demands!$B$3:$BK$48,BAU_Demands!R$1,0)*(1-'Net Zero 2070'!J71)</f>
        <v>2.3715999999999999</v>
      </c>
      <c r="U86" s="30">
        <f>VLOOKUP($C32,BAU_Demands!$B$3:$BK$48,BAU_Demands!S$1,0)*(1-'Net Zero 2070'!K71)</f>
        <v>2.4350000000000001</v>
      </c>
      <c r="V86" s="30">
        <f>VLOOKUP($C32,BAU_Demands!$B$3:$BK$48,BAU_Demands!T$1,0)*(1-'Net Zero 2070'!L71)</f>
        <v>2.4780799999999998</v>
      </c>
      <c r="W86" s="30">
        <f>VLOOKUP($C32,BAU_Demands!$B$3:$BK$48,BAU_Demands!U$1,0)*(1-'Net Zero 2070'!M71)</f>
        <v>2.5492999999999997</v>
      </c>
      <c r="X86" s="30">
        <f>VLOOKUP($C32,BAU_Demands!$B$3:$BK$48,BAU_Demands!V$1,0)*(1-'Net Zero 2070'!N71)</f>
        <v>2.5620799999999999</v>
      </c>
      <c r="Y86" s="30">
        <f>VLOOKUP($C32,BAU_Demands!$B$3:$BK$48,BAU_Demands!W$1,0)*(1-'Net Zero 2070'!O71)</f>
        <v>2.6219999999999999</v>
      </c>
      <c r="Z86" s="30">
        <f>VLOOKUP($C32,BAU_Demands!$B$3:$BK$48,BAU_Demands!X$1,0)*(1-'Net Zero 2070'!P71)</f>
        <v>2.6602000000000001</v>
      </c>
      <c r="AA86" s="30">
        <f>VLOOKUP($C32,BAU_Demands!$B$3:$BK$48,BAU_Demands!Y$1,0)*(1-'Net Zero 2070'!Q71)</f>
        <v>2.7063000000000001</v>
      </c>
      <c r="AB86" s="30">
        <f>VLOOKUP($C32,BAU_Demands!$B$3:$BK$48,BAU_Demands!Z$1,0)*(1-'Net Zero 2070'!R71)</f>
        <v>2.7416</v>
      </c>
      <c r="AC86" s="30">
        <f>VLOOKUP($C32,BAU_Demands!$B$3:$BK$48,BAU_Demands!AA$1,0)*(1-'Net Zero 2070'!S71)</f>
        <v>2.7846000000000002</v>
      </c>
      <c r="AD86" s="30">
        <f>VLOOKUP($C32,BAU_Demands!$B$3:$BK$48,BAU_Demands!AB$1,0)*(1-'Net Zero 2070'!T71)</f>
        <v>2.7989999999999999</v>
      </c>
      <c r="AE86" s="30">
        <f>VLOOKUP($C32,BAU_Demands!$B$3:$BK$48,BAU_Demands!AC$1,0)*(1-'Net Zero 2070'!U71)</f>
        <v>2.8376399999999999</v>
      </c>
      <c r="AF86" s="30">
        <f>VLOOKUP($C32,BAU_Demands!$B$3:$BK$48,BAU_Demands!AD$1,0)*(1-'Net Zero 2070'!V71)</f>
        <v>2.8296799999999998</v>
      </c>
      <c r="AG86" s="30">
        <f>VLOOKUP($C32,BAU_Demands!$B$3:$BK$48,BAU_Demands!AE$1,0)*(1-'Net Zero 2070'!W71)</f>
        <v>2.8542000000000001</v>
      </c>
      <c r="AH86" s="30">
        <f>VLOOKUP($C32,BAU_Demands!$B$3:$BK$48,BAU_Demands!AF$1,0)*(1-'Net Zero 2070'!X71)</f>
        <v>2.8591199999999999</v>
      </c>
      <c r="AI86" s="30">
        <f>VLOOKUP($C32,BAU_Demands!$B$3:$BK$48,BAU_Demands!AG$1,0)*(1-'Net Zero 2070'!Y71)</f>
        <v>2.87</v>
      </c>
      <c r="AJ86" s="30">
        <f>VLOOKUP($C32,BAU_Demands!$B$3:$BK$48,BAU_Demands!AH$1,0)*(1-'Net Zero 2070'!Z71)</f>
        <v>2.88456</v>
      </c>
      <c r="AK86" s="30">
        <f>VLOOKUP($C32,BAU_Demands!$B$3:$BK$48,BAU_Demands!AI$1,0)*(1-'Net Zero 2070'!AA71)</f>
        <v>2.9133600000000004</v>
      </c>
      <c r="AL86" s="30">
        <f>VLOOKUP($C32,BAU_Demands!$B$3:$BK$48,BAU_Demands!AJ$1,0)*(1-'Net Zero 2070'!AB71)</f>
        <v>2.9086400000000001</v>
      </c>
      <c r="AM86" s="30">
        <f>VLOOKUP($C32,BAU_Demands!$B$3:$BK$48,BAU_Demands!AK$1,0)*(1-'Net Zero 2070'!AC71)</f>
        <v>2.9258800000000003</v>
      </c>
      <c r="AN86" s="30">
        <f>VLOOKUP($C32,BAU_Demands!$B$3:$BK$48,BAU_Demands!AL$1,0)*(1-'Net Zero 2070'!AD71)</f>
        <v>2.9260000000000002</v>
      </c>
      <c r="AO86" s="30">
        <f>VLOOKUP($C32,BAU_Demands!$B$3:$BK$48,BAU_Demands!AM$1,0)*(1-'Net Zero 2070'!AE71)</f>
        <v>2.9628800000000002</v>
      </c>
      <c r="AP86" s="30">
        <f>VLOOKUP($C32,BAU_Demands!$B$3:$BK$48,BAU_Demands!AN$1,0)*(1-'Net Zero 2070'!AF71)</f>
        <v>2.976</v>
      </c>
      <c r="AQ86" s="30">
        <f>VLOOKUP($C32,BAU_Demands!$B$3:$BK$48,BAU_Demands!AO$1,0)*(1-'Net Zero 2070'!AG71)</f>
        <v>3.0028800000000002</v>
      </c>
      <c r="AR86" s="30">
        <f>VLOOKUP($C32,BAU_Demands!$B$3:$BK$48,BAU_Demands!AP$1,0)*(1-'Net Zero 2070'!AH71)</f>
        <v>3.0139199999999997</v>
      </c>
      <c r="AS86" s="30">
        <f>VLOOKUP($C32,BAU_Demands!$B$3:$BK$48,BAU_Demands!AQ$1,0)*(1-'Net Zero 2070'!AI71)</f>
        <v>3.0383999999999998</v>
      </c>
      <c r="AT86" s="30">
        <f>VLOOKUP($C32,BAU_Demands!$B$3:$BK$48,BAU_Demands!AR$1,0)*(1-'Net Zero 2070'!AJ71)</f>
        <v>3.0701999999999998</v>
      </c>
      <c r="AU86" s="30">
        <f>VLOOKUP($C32,BAU_Demands!$B$3:$BK$48,BAU_Demands!AS$1,0)*(1-'Net Zero 2070'!AK71)</f>
        <v>3.1010399999999998</v>
      </c>
      <c r="AV86" s="30">
        <f>VLOOKUP($C32,BAU_Demands!$B$3:$BK$48,BAU_Demands!AT$1,0)*(1-'Net Zero 2070'!AL71)</f>
        <v>3.1379399999999995</v>
      </c>
      <c r="AW86" s="30">
        <f>VLOOKUP($C32,BAU_Demands!$B$3:$BK$48,BAU_Demands!AU$1,0)*(1-'Net Zero 2070'!AM71)</f>
        <v>3.1667999999999998</v>
      </c>
      <c r="AX86" s="30">
        <f>VLOOKUP($C32,BAU_Demands!$B$3:$BK$48,BAU_Demands!AV$1,0)*(1-'Net Zero 2070'!AN71)</f>
        <v>3.1946999999999997</v>
      </c>
      <c r="AY86" s="30">
        <f>VLOOKUP($C32,BAU_Demands!$B$3:$BK$48,BAU_Demands!AW$1,0)*(1-'Net Zero 2070'!AO71)</f>
        <v>3.2426400000000002</v>
      </c>
      <c r="AZ86" s="30">
        <f>VLOOKUP($C32,BAU_Demands!$B$3:$BK$48,BAU_Demands!AX$1,0)*(1-'Net Zero 2070'!AP71)</f>
        <v>3.2900399999999994</v>
      </c>
      <c r="BA86" s="30">
        <f>VLOOKUP($C32,BAU_Demands!$B$3:$BK$48,BAU_Demands!AY$1,0)*(1-'Net Zero 2070'!AQ71)</f>
        <v>3.3300900000000002</v>
      </c>
      <c r="BB86" s="30">
        <f>VLOOKUP($C32,BAU_Demands!$B$3:$BK$48,BAU_Demands!AZ$1,0)*(1-'Net Zero 2070'!AR71)</f>
        <v>3.3764400000000001</v>
      </c>
      <c r="BC86" s="30">
        <f>VLOOKUP($C32,BAU_Demands!$B$3:$BK$48,BAU_Demands!BA$1,0)*(1-'Net Zero 2070'!AS71)</f>
        <v>3.4222500000000005</v>
      </c>
      <c r="BD86" s="30">
        <f>VLOOKUP($C32,BAU_Demands!$B$3:$BK$48,BAU_Demands!BB$1,0)*(1-'Net Zero 2070'!AT71)</f>
        <v>3.4742399999999996</v>
      </c>
      <c r="BE86" s="30">
        <f>VLOOKUP($C32,BAU_Demands!$B$3:$BK$48,BAU_Demands!BC$1,0)*(1-'Net Zero 2070'!AU71)</f>
        <v>3.5189400000000002</v>
      </c>
      <c r="BF86" s="30">
        <f>VLOOKUP($C32,BAU_Demands!$B$3:$BK$48,BAU_Demands!BD$1,0)*(1-'Net Zero 2070'!AV71)</f>
        <v>3.5697599999999996</v>
      </c>
      <c r="BG86" s="30">
        <f>VLOOKUP($C32,BAU_Demands!$B$3:$BK$48,BAU_Demands!BE$1,0)*(1-'Net Zero 2070'!AW71)</f>
        <v>3.61998</v>
      </c>
      <c r="BH86" s="30">
        <f>VLOOKUP($C32,BAU_Demands!$B$3:$BK$48,BAU_Demands!BF$1,0)*(1-'Net Zero 2070'!AX71)</f>
        <v>3.6695999999999991</v>
      </c>
      <c r="BI86" s="30">
        <f>VLOOKUP($C32,BAU_Demands!$B$3:$BK$48,BAU_Demands!BG$1,0)*(1-'Net Zero 2070'!AY71)</f>
        <v>3.7242799999999998</v>
      </c>
      <c r="BJ86" s="30">
        <f>VLOOKUP($C32,BAU_Demands!$B$3:$BK$48,BAU_Demands!BH$1,0)*(1-'Net Zero 2070'!AZ71)</f>
        <v>3.78512</v>
      </c>
      <c r="BK86" s="30">
        <f>VLOOKUP($C32,BAU_Demands!$B$3:$BK$48,BAU_Demands!BI$1,0)*(1-'Net Zero 2070'!BA71)</f>
        <v>3.84552</v>
      </c>
      <c r="BL86" s="30">
        <f>VLOOKUP($C32,BAU_Demands!$B$3:$BK$48,BAU_Demands!BJ$1,0)*(1-'Net Zero 2070'!BB71)</f>
        <v>3.9054800000000003</v>
      </c>
      <c r="BM86" s="30">
        <f>VLOOKUP($C32,BAU_Demands!$B$3:$BK$48,BAU_Demands!BK$1,0)*(1-'Net Zero 2070'!BC71)</f>
        <v>3.9649999999999999</v>
      </c>
    </row>
    <row r="87" spans="1:65" ht="15.75" hidden="1" customHeight="1">
      <c r="A87" s="314" t="s">
        <v>551</v>
      </c>
      <c r="B87" s="314" t="s">
        <v>458</v>
      </c>
      <c r="C87" s="314" t="s">
        <v>545</v>
      </c>
      <c r="D87" s="314" t="s">
        <v>460</v>
      </c>
      <c r="E87" s="314" t="s">
        <v>546</v>
      </c>
      <c r="F87" s="314" t="s">
        <v>462</v>
      </c>
      <c r="G87" s="314" t="s">
        <v>463</v>
      </c>
      <c r="H87" s="314" t="s">
        <v>464</v>
      </c>
      <c r="I87" s="314"/>
      <c r="J87" s="314"/>
      <c r="K87" s="314"/>
      <c r="L87" s="314"/>
      <c r="M87" s="226">
        <f>VLOOKUP($C87,BAU_Demands!$B$3:$BK$48,BAU_Demands!K$1,0)</f>
        <v>8.0827000000000009</v>
      </c>
      <c r="N87" s="226">
        <f>VLOOKUP($C87,BAU_Demands!$B$3:$BK$48,BAU_Demands!L$1,0)</f>
        <v>7.7285000000000004</v>
      </c>
      <c r="O87" s="226">
        <f>VLOOKUP($C87,BAU_Demands!$B$3:$BK$48,BAU_Demands!M$1,0)</f>
        <v>7.3395000000000001</v>
      </c>
      <c r="P87" s="226">
        <f>VLOOKUP($C87,BAU_Demands!$B$3:$BK$48,BAU_Demands!N$1,0)</f>
        <v>7.1161000000000003</v>
      </c>
      <c r="Q87" s="314">
        <f>BAU_Demands!O43*(1-'Net Zero 2070'!G63)</f>
        <v>6.8926999999999996</v>
      </c>
      <c r="R87" s="314">
        <f>BAU_Demands!P43*(1-'Net Zero 2070'!H63)</f>
        <v>6.5579226899999998</v>
      </c>
      <c r="S87" s="314">
        <f>BAU_Demands!Q43*(1-'Net Zero 2070'!I63)</f>
        <v>6.2313481999999993</v>
      </c>
      <c r="T87" s="314">
        <f>BAU_Demands!R43*(1-'Net Zero 2070'!J63)</f>
        <v>5.9114699999999996</v>
      </c>
      <c r="U87" s="314">
        <f>BAU_Demands!S43*(1-'Net Zero 2070'!K63)</f>
        <v>5.517239</v>
      </c>
      <c r="V87" s="314">
        <f>BAU_Demands!T43*(1-'Net Zero 2070'!L63)</f>
        <v>5.1357840000000001</v>
      </c>
      <c r="W87" s="314">
        <f>BAU_Demands!U43*(1-'Net Zero 2070'!M63)</f>
        <v>4.7671049999999999</v>
      </c>
      <c r="X87" s="314">
        <f>BAU_Demands!V43*(1-'Net Zero 2070'!N63)</f>
        <v>4.4112020000000003</v>
      </c>
      <c r="Y87" s="314">
        <f>BAU_Demands!W43*(1-'Net Zero 2070'!O63)</f>
        <v>4.0680750000000003</v>
      </c>
      <c r="Z87" s="314">
        <f>BAU_Demands!X43*(1-'Net Zero 2070'!P63)</f>
        <v>3.7705969999999995</v>
      </c>
      <c r="AA87" s="314">
        <f>BAU_Demands!Y43*(1-'Net Zero 2070'!Q63)</f>
        <v>3.4822579999999999</v>
      </c>
      <c r="AB87" s="314">
        <f>BAU_Demands!Z43*(1-'Net Zero 2070'!R63)</f>
        <v>3.2029199999999998</v>
      </c>
      <c r="AC87" s="314">
        <f>BAU_Demands!AA43*(1-'Net Zero 2070'!S63)</f>
        <v>2.9327130000000001</v>
      </c>
      <c r="AD87" s="314">
        <f>BAU_Demands!AB43*(1-'Net Zero 2070'!T63)</f>
        <v>2.6715150000000003</v>
      </c>
      <c r="AE87" s="314">
        <f>BAU_Demands!AC43*(1-'Net Zero 2070'!U63)</f>
        <v>2.3895</v>
      </c>
      <c r="AF87" s="314">
        <f>BAU_Demands!AD43*(1-'Net Zero 2070'!V63)</f>
        <v>2.1153149999999998</v>
      </c>
      <c r="AG87" s="314">
        <f>BAU_Demands!AE43*(1-'Net Zero 2070'!W63)</f>
        <v>1.8489200000000001</v>
      </c>
      <c r="AH87" s="314">
        <f>BAU_Demands!AF43*(1-'Net Zero 2070'!X63)</f>
        <v>1.5903999999999998</v>
      </c>
      <c r="AI87" s="314">
        <f>BAU_Demands!AG43*(1-'Net Zero 2070'!Y63)</f>
        <v>1.3396800000000002</v>
      </c>
      <c r="AJ87" s="314">
        <f>BAU_Demands!AH43*(1-'Net Zero 2070'!Z63)</f>
        <v>1.1920230000000001</v>
      </c>
      <c r="AK87" s="314">
        <f>BAU_Demands!AI43*(1-'Net Zero 2070'!AA63)</f>
        <v>1.0474080000000001</v>
      </c>
      <c r="AL87" s="314">
        <f>BAU_Demands!AJ43*(1-'Net Zero 2070'!AB63)</f>
        <v>0.90581399999999979</v>
      </c>
      <c r="AM87" s="314">
        <f>BAU_Demands!AK43*(1-'Net Zero 2070'!AC63)</f>
        <v>0.76728600000000013</v>
      </c>
      <c r="AN87" s="314">
        <f>BAU_Demands!AL43*(1-'Net Zero 2070'!AD63)</f>
        <v>0.63180000000000003</v>
      </c>
      <c r="AO87" s="314">
        <f>BAU_Demands!AM43*(1-'Net Zero 2070'!AE63)</f>
        <v>0.54394599999999993</v>
      </c>
      <c r="AP87" s="314">
        <f>BAU_Demands!AN43*(1-'Net Zero 2070'!AF63)</f>
        <v>0.45720399999999989</v>
      </c>
      <c r="AQ87" s="314">
        <f>BAU_Demands!AO43*(1-'Net Zero 2070'!AG63)</f>
        <v>0.37158299999999989</v>
      </c>
      <c r="AR87" s="314">
        <f>BAU_Demands!AP43*(1-'Net Zero 2070'!AH63)</f>
        <v>0.28706299999999979</v>
      </c>
      <c r="AS87" s="314">
        <f>BAU_Demands!AQ43*(1-'Net Zero 2070'!AI63)</f>
        <v>0.2036550000000002</v>
      </c>
      <c r="AT87" s="314">
        <f>BAU_Demands!AR43*(1-'Net Zero 2070'!AJ63)</f>
        <v>0.20231500000000016</v>
      </c>
      <c r="AU87" s="314">
        <f>BAU_Demands!AS43*(1-'Net Zero 2070'!AK63)</f>
        <v>0.20097000000000018</v>
      </c>
      <c r="AV87" s="314">
        <f>BAU_Demands!AT43*(1-'Net Zero 2070'!AL63)</f>
        <v>0.19963000000000017</v>
      </c>
      <c r="AW87" s="314">
        <f>BAU_Demands!AU43*(1-'Net Zero 2070'!AM63)</f>
        <v>0.19828500000000018</v>
      </c>
      <c r="AX87" s="314">
        <f>BAU_Demands!AV43*(1-'Net Zero 2070'!AN63)</f>
        <v>0.19694500000000018</v>
      </c>
      <c r="AY87" s="314">
        <f>BAU_Demands!AW43*(1-'Net Zero 2070'!AO63)</f>
        <v>0.19564500000000018</v>
      </c>
      <c r="AZ87" s="314">
        <f>BAU_Demands!AX43*(1-'Net Zero 2070'!AP63)</f>
        <v>0.19435000000000016</v>
      </c>
      <c r="BA87" s="314">
        <f>BAU_Demands!AY43*(1-'Net Zero 2070'!AQ63)</f>
        <v>0.19305000000000019</v>
      </c>
      <c r="BB87" s="314">
        <f>BAU_Demands!AZ43*(1-'Net Zero 2070'!AR63)</f>
        <v>0.19175000000000017</v>
      </c>
      <c r="BC87" s="314">
        <f>BAU_Demands!BA43*(1-'Net Zero 2070'!AS63)</f>
        <v>0.19045500000000015</v>
      </c>
      <c r="BD87" s="314">
        <f>BAU_Demands!BB43*(1-'Net Zero 2070'!AT63)</f>
        <v>0.18919500000000017</v>
      </c>
      <c r="BE87" s="314">
        <f>BAU_Demands!BC43*(1-'Net Zero 2070'!AU63)</f>
        <v>0.18794000000000016</v>
      </c>
      <c r="BF87" s="314">
        <f>BAU_Demands!BD43*(1-'Net Zero 2070'!AV63)</f>
        <v>0.18668500000000016</v>
      </c>
      <c r="BG87" s="314">
        <f>BAU_Demands!BE43*(1-'Net Zero 2070'!AW63)</f>
        <v>0.18543000000000018</v>
      </c>
      <c r="BH87" s="314">
        <f>BAU_Demands!BF43*(1-'Net Zero 2070'!AX63)</f>
        <v>0.18417500000000017</v>
      </c>
      <c r="BI87" s="314">
        <f>BAU_Demands!BG43*(1-'Net Zero 2070'!AY63)</f>
        <v>0.18296000000000015</v>
      </c>
      <c r="BJ87" s="314">
        <f>BAU_Demands!BH43*(1-'Net Zero 2070'!AZ63)</f>
        <v>0.18174500000000016</v>
      </c>
      <c r="BK87" s="314">
        <f>BAU_Demands!BI43*(1-'Net Zero 2070'!BA63)</f>
        <v>0.18053500000000017</v>
      </c>
      <c r="BL87" s="314">
        <f>BAU_Demands!BJ43*(1-'Net Zero 2070'!BB63)</f>
        <v>0.17932000000000015</v>
      </c>
      <c r="BM87" s="314">
        <f>BAU_Demands!BK43*(1-'Net Zero 2070'!BC63)</f>
        <v>0.17810500000000015</v>
      </c>
    </row>
    <row r="88" spans="1:65" ht="15.75" hidden="1" customHeight="1">
      <c r="A88" s="314" t="s">
        <v>551</v>
      </c>
      <c r="B88" s="314" t="s">
        <v>458</v>
      </c>
      <c r="C88" s="314" t="s">
        <v>547</v>
      </c>
      <c r="D88" s="314" t="s">
        <v>460</v>
      </c>
      <c r="E88" s="314" t="s">
        <v>548</v>
      </c>
      <c r="F88" s="314" t="s">
        <v>462</v>
      </c>
      <c r="G88" s="314" t="s">
        <v>463</v>
      </c>
      <c r="H88" s="314" t="s">
        <v>464</v>
      </c>
      <c r="I88" s="314"/>
      <c r="J88" s="314"/>
      <c r="K88" s="314"/>
      <c r="L88" s="314"/>
      <c r="M88" s="226">
        <f>VLOOKUP($C88,BAU_Demands!$B$3:$BK$48,BAU_Demands!K$1,0)</f>
        <v>37.188177500000002</v>
      </c>
      <c r="N88" s="226">
        <f>VLOOKUP($C88,BAU_Demands!$B$3:$BK$48,BAU_Demands!L$1,0)</f>
        <v>38.367604450000002</v>
      </c>
      <c r="O88" s="226">
        <f>VLOOKUP($C88,BAU_Demands!$B$3:$BK$48,BAU_Demands!M$1,0)</f>
        <v>39.136214529999997</v>
      </c>
      <c r="P88" s="226">
        <f>VLOOKUP($C88,BAU_Demands!$B$3:$BK$48,BAU_Demands!N$1,0)</f>
        <v>39.917656399999998</v>
      </c>
      <c r="Q88" s="314">
        <f>BAU_Demands!O44*(1-'Net Zero 2070'!G64)</f>
        <v>40.450000000000003</v>
      </c>
      <c r="R88" s="314">
        <f>BAU_Demands!P44*(1-'Net Zero 2070'!H64)</f>
        <v>40.715367000000001</v>
      </c>
      <c r="S88" s="314">
        <f>BAU_Demands!Q44*(1-'Net Zero 2070'!I64)</f>
        <v>40.957917000000002</v>
      </c>
      <c r="T88" s="314">
        <f>BAU_Demands!R44*(1-'Net Zero 2070'!J64)</f>
        <v>41.199199999999998</v>
      </c>
      <c r="U88" s="314">
        <f>BAU_Demands!S44*(1-'Net Zero 2070'!K64)</f>
        <v>40.592699999999994</v>
      </c>
      <c r="V88" s="314">
        <f>BAU_Demands!T44*(1-'Net Zero 2070'!L64)</f>
        <v>39.959680000000006</v>
      </c>
      <c r="W88" s="314">
        <f>BAU_Demands!U44*(1-'Net Zero 2070'!M64)</f>
        <v>39.300139999999999</v>
      </c>
      <c r="X88" s="314">
        <f>BAU_Demands!V44*(1-'Net Zero 2070'!N64)</f>
        <v>38.605319999999999</v>
      </c>
      <c r="Y88" s="314">
        <f>BAU_Demands!W44*(1-'Net Zero 2070'!O64)</f>
        <v>37.875999999999998</v>
      </c>
      <c r="Z88" s="314">
        <f>BAU_Demands!X44*(1-'Net Zero 2070'!P64)</f>
        <v>36.9328</v>
      </c>
      <c r="AA88" s="314">
        <f>BAU_Demands!Y44*(1-'Net Zero 2070'!Q64)</f>
        <v>35.960800000000006</v>
      </c>
      <c r="AB88" s="314">
        <f>BAU_Demands!Z44*(1-'Net Zero 2070'!R64)</f>
        <v>34.952400000000004</v>
      </c>
      <c r="AC88" s="314">
        <f>BAU_Demands!AA44*(1-'Net Zero 2070'!S64)</f>
        <v>33.908500000000004</v>
      </c>
      <c r="AD88" s="314">
        <f>BAU_Demands!AB44*(1-'Net Zero 2070'!T64)</f>
        <v>32.83</v>
      </c>
      <c r="AE88" s="314">
        <f>BAU_Demands!AC44*(1-'Net Zero 2070'!U64)</f>
        <v>31.913899999999998</v>
      </c>
      <c r="AF88" s="314">
        <f>BAU_Demands!AD44*(1-'Net Zero 2070'!V64)</f>
        <v>30.961440000000003</v>
      </c>
      <c r="AG88" s="314">
        <f>BAU_Demands!AE44*(1-'Net Zero 2070'!W64)</f>
        <v>29.986620000000002</v>
      </c>
      <c r="AH88" s="314">
        <f>BAU_Demands!AF44*(1-'Net Zero 2070'!X64)</f>
        <v>28.98348</v>
      </c>
      <c r="AI88" s="314">
        <f>BAU_Demands!AG44*(1-'Net Zero 2070'!Y64)</f>
        <v>27.952800000000003</v>
      </c>
      <c r="AJ88" s="314">
        <f>BAU_Demands!AH44*(1-'Net Zero 2070'!Z64)</f>
        <v>27.290880000000001</v>
      </c>
      <c r="AK88" s="314">
        <f>BAU_Demands!AI44*(1-'Net Zero 2070'!AA64)</f>
        <v>26.60388</v>
      </c>
      <c r="AL88" s="314">
        <f>BAU_Demands!AJ44*(1-'Net Zero 2070'!AB64)</f>
        <v>25.903200000000002</v>
      </c>
      <c r="AM88" s="314">
        <f>BAU_Demands!AK44*(1-'Net Zero 2070'!AC64)</f>
        <v>25.183859999999999</v>
      </c>
      <c r="AN88" s="314">
        <f>BAU_Demands!AL44*(1-'Net Zero 2070'!AD64)</f>
        <v>24.446400000000001</v>
      </c>
      <c r="AO88" s="314">
        <f>BAU_Demands!AM44*(1-'Net Zero 2070'!AE64)</f>
        <v>23.79392</v>
      </c>
      <c r="AP88" s="314">
        <f>BAU_Demands!AN44*(1-'Net Zero 2070'!AF64)</f>
        <v>23.125759999999996</v>
      </c>
      <c r="AQ88" s="314">
        <f>BAU_Demands!AO44*(1-'Net Zero 2070'!AG64)</f>
        <v>22.442400000000003</v>
      </c>
      <c r="AR88" s="314">
        <f>BAU_Demands!AP44*(1-'Net Zero 2070'!AH64)</f>
        <v>21.740159999999999</v>
      </c>
      <c r="AS88" s="314">
        <f>BAU_Demands!AQ44*(1-'Net Zero 2070'!AI64)</f>
        <v>21.028000000000002</v>
      </c>
      <c r="AT88" s="314">
        <f>BAU_Demands!AR44*(1-'Net Zero 2070'!AJ64)</f>
        <v>21.042259999999999</v>
      </c>
      <c r="AU88" s="314">
        <f>BAU_Demands!AS44*(1-'Net Zero 2070'!AK64)</f>
        <v>21.0474</v>
      </c>
      <c r="AV88" s="314">
        <f>BAU_Demands!AT44*(1-'Net Zero 2070'!AL64)</f>
        <v>21.05142</v>
      </c>
      <c r="AW88" s="314">
        <f>BAU_Demands!AU44*(1-'Net Zero 2070'!AM64)</f>
        <v>21.046479999999999</v>
      </c>
      <c r="AX88" s="314">
        <f>BAU_Demands!AV44*(1-'Net Zero 2070'!AN64)</f>
        <v>21.0366</v>
      </c>
      <c r="AY88" s="314">
        <f>BAU_Demands!AW44*(1-'Net Zero 2070'!AO64)</f>
        <v>21.021840000000001</v>
      </c>
      <c r="AZ88" s="314">
        <f>BAU_Demands!AX44*(1-'Net Zero 2070'!AP64)</f>
        <v>21.00226</v>
      </c>
      <c r="BA88" s="314">
        <f>BAU_Demands!AY44*(1-'Net Zero 2070'!AQ64)</f>
        <v>20.977920000000001</v>
      </c>
      <c r="BB88" s="314">
        <f>BAU_Demands!AZ44*(1-'Net Zero 2070'!AR64)</f>
        <v>20.945059999999998</v>
      </c>
      <c r="BC88" s="314">
        <f>BAU_Demands!BA44*(1-'Net Zero 2070'!AS64)</f>
        <v>20.9114</v>
      </c>
      <c r="BD88" s="314">
        <f>BAU_Demands!BB44*(1-'Net Zero 2070'!AT64)</f>
        <v>20.86938</v>
      </c>
      <c r="BE88" s="314">
        <f>BAU_Demands!BC44*(1-'Net Zero 2070'!AU64)</f>
        <v>20.822880000000001</v>
      </c>
      <c r="BF88" s="314">
        <f>BAU_Demands!BD44*(1-'Net Zero 2070'!AV64)</f>
        <v>20.768219999999999</v>
      </c>
      <c r="BG88" s="314">
        <f>BAU_Demands!BE44*(1-'Net Zero 2070'!AW64)</f>
        <v>20.712959999999999</v>
      </c>
      <c r="BH88" s="314">
        <f>BAU_Demands!BF44*(1-'Net Zero 2070'!AX64)</f>
        <v>20.649699999999999</v>
      </c>
      <c r="BI88" s="314">
        <f>BAU_Demands!BG44*(1-'Net Zero 2070'!AY64)</f>
        <v>20.582239999999999</v>
      </c>
      <c r="BJ88" s="314">
        <f>BAU_Demands!BH44*(1-'Net Zero 2070'!AZ64)</f>
        <v>20.506979999999999</v>
      </c>
      <c r="BK88" s="314">
        <f>BAU_Demands!BI44*(1-'Net Zero 2070'!BA64)</f>
        <v>20.431319999999999</v>
      </c>
      <c r="BL88" s="314">
        <f>BAU_Demands!BJ44*(1-'Net Zero 2070'!BB64)</f>
        <v>20.348019999999998</v>
      </c>
      <c r="BM88" s="314">
        <f>BAU_Demands!BK44*(1-'Net Zero 2070'!BC64)</f>
        <v>20.257200000000001</v>
      </c>
    </row>
    <row r="89" spans="1:65" ht="15.75" hidden="1" customHeight="1">
      <c r="A89" s="314" t="s">
        <v>551</v>
      </c>
      <c r="B89" s="314" t="s">
        <v>458</v>
      </c>
      <c r="C89" s="314" t="s">
        <v>549</v>
      </c>
      <c r="D89" s="314" t="s">
        <v>460</v>
      </c>
      <c r="E89" s="314" t="s">
        <v>550</v>
      </c>
      <c r="F89" s="314" t="s">
        <v>462</v>
      </c>
      <c r="G89" s="314" t="s">
        <v>463</v>
      </c>
      <c r="H89" s="314" t="s">
        <v>464</v>
      </c>
      <c r="I89" s="314"/>
      <c r="J89" s="314"/>
      <c r="K89" s="314"/>
      <c r="L89" s="314"/>
      <c r="M89" s="226">
        <f>VLOOKUP($C89,BAU_Demands!$B$3:$BK$48,BAU_Demands!K$1,0)</f>
        <v>2.1965064999999999E-2</v>
      </c>
      <c r="N89" s="226">
        <f>VLOOKUP($C89,BAU_Demands!$B$3:$BK$48,BAU_Demands!L$1,0)</f>
        <v>2.0567029000000001E-2</v>
      </c>
      <c r="O89" s="226">
        <f>VLOOKUP($C89,BAU_Demands!$B$3:$BK$48,BAU_Demands!M$1,0)</f>
        <v>1.9008263000000001E-2</v>
      </c>
      <c r="P89" s="226">
        <f>VLOOKUP($C89,BAU_Demands!$B$3:$BK$48,BAU_Demands!N$1,0)</f>
        <v>2.3492364000000002E-2</v>
      </c>
      <c r="Q89" s="314">
        <f>VLOOKUP($C89,BAU_Demands!$B$3:$BK$48,BAU_Demands!O$1,0)</f>
        <v>0.02</v>
      </c>
      <c r="R89" s="314">
        <f>VLOOKUP($C89,BAU_Demands!$B$3:$BK$48,BAU_Demands!P$1,0)</f>
        <v>0.02</v>
      </c>
      <c r="S89" s="314">
        <f>VLOOKUP($C89,BAU_Demands!$B$3:$BK$48,BAU_Demands!Q$1,0)</f>
        <v>0.02</v>
      </c>
      <c r="T89" s="314">
        <f>VLOOKUP($C89,BAU_Demands!$B$3:$BK$48,BAU_Demands!R$1,0)</f>
        <v>0.02</v>
      </c>
      <c r="U89" s="314">
        <f>VLOOKUP($C89,BAU_Demands!$B$3:$BK$48,BAU_Demands!S$1,0)</f>
        <v>0.03</v>
      </c>
      <c r="V89" s="314">
        <f>VLOOKUP($C89,BAU_Demands!$B$3:$BK$48,BAU_Demands!T$1,0)</f>
        <v>0.03</v>
      </c>
      <c r="W89" s="314">
        <f>VLOOKUP($C89,BAU_Demands!$B$3:$BK$48,BAU_Demands!U$1,0)</f>
        <v>0.03</v>
      </c>
      <c r="X89" s="314">
        <f>VLOOKUP($C89,BAU_Demands!$B$3:$BK$48,BAU_Demands!V$1,0)</f>
        <v>0.03</v>
      </c>
      <c r="Y89" s="314">
        <f>VLOOKUP($C89,BAU_Demands!$B$3:$BK$48,BAU_Demands!W$1,0)</f>
        <v>0.03</v>
      </c>
      <c r="Z89" s="314">
        <f>VLOOKUP($C89,BAU_Demands!$B$3:$BK$48,BAU_Demands!X$1,0)</f>
        <v>0.03</v>
      </c>
      <c r="AA89" s="314">
        <f>VLOOKUP($C89,BAU_Demands!$B$3:$BK$48,BAU_Demands!Y$1,0)</f>
        <v>0.03</v>
      </c>
      <c r="AB89" s="314">
        <f>VLOOKUP($C89,BAU_Demands!$B$3:$BK$48,BAU_Demands!Z$1,0)</f>
        <v>0.03</v>
      </c>
      <c r="AC89" s="314">
        <f>VLOOKUP($C89,BAU_Demands!$B$3:$BK$48,BAU_Demands!AA$1,0)</f>
        <v>0.03</v>
      </c>
      <c r="AD89" s="314">
        <f>VLOOKUP($C89,BAU_Demands!$B$3:$BK$48,BAU_Demands!AB$1,0)</f>
        <v>0.03</v>
      </c>
      <c r="AE89" s="314">
        <f>VLOOKUP($C89,BAU_Demands!$B$3:$BK$48,BAU_Demands!AC$1,0)</f>
        <v>0.03</v>
      </c>
      <c r="AF89" s="314">
        <f>VLOOKUP($C89,BAU_Demands!$B$3:$BK$48,BAU_Demands!AD$1,0)</f>
        <v>0.03</v>
      </c>
      <c r="AG89" s="314">
        <f>VLOOKUP($C89,BAU_Demands!$B$3:$BK$48,BAU_Demands!AE$1,0)</f>
        <v>0.03</v>
      </c>
      <c r="AH89" s="314">
        <f>VLOOKUP($C89,BAU_Demands!$B$3:$BK$48,BAU_Demands!AF$1,0)</f>
        <v>0.03</v>
      </c>
      <c r="AI89" s="314">
        <f>VLOOKUP($C89,BAU_Demands!$B$3:$BK$48,BAU_Demands!AG$1,0)</f>
        <v>0.03</v>
      </c>
      <c r="AJ89" s="314">
        <f>VLOOKUP($C89,BAU_Demands!$B$3:$BK$48,BAU_Demands!AH$1,0)</f>
        <v>0.03</v>
      </c>
      <c r="AK89" s="314">
        <f>VLOOKUP($C89,BAU_Demands!$B$3:$BK$48,BAU_Demands!AI$1,0)</f>
        <v>0.03</v>
      </c>
      <c r="AL89" s="314">
        <f>VLOOKUP($C89,BAU_Demands!$B$3:$BK$48,BAU_Demands!AJ$1,0)</f>
        <v>0.03</v>
      </c>
      <c r="AM89" s="314">
        <f>VLOOKUP($C89,BAU_Demands!$B$3:$BK$48,BAU_Demands!AK$1,0)</f>
        <v>0.03</v>
      </c>
      <c r="AN89" s="314">
        <f>VLOOKUP($C89,BAU_Demands!$B$3:$BK$48,BAU_Demands!AL$1,0)</f>
        <v>0.03</v>
      </c>
      <c r="AO89" s="314">
        <f>VLOOKUP($C89,BAU_Demands!$B$3:$BK$48,BAU_Demands!AM$1,0)</f>
        <v>0.03</v>
      </c>
      <c r="AP89" s="314">
        <f>VLOOKUP($C89,BAU_Demands!$B$3:$BK$48,BAU_Demands!AN$1,0)</f>
        <v>0.03</v>
      </c>
      <c r="AQ89" s="314">
        <f>VLOOKUP($C89,BAU_Demands!$B$3:$BK$48,BAU_Demands!AO$1,0)</f>
        <v>0.03</v>
      </c>
      <c r="AR89" s="314">
        <f>VLOOKUP($C89,BAU_Demands!$B$3:$BK$48,BAU_Demands!AP$1,0)</f>
        <v>0.03</v>
      </c>
      <c r="AS89" s="314">
        <f>VLOOKUP($C89,BAU_Demands!$B$3:$BK$48,BAU_Demands!AQ$1,0)</f>
        <v>0.03</v>
      </c>
      <c r="AT89" s="314">
        <f>VLOOKUP($C89,BAU_Demands!$B$3:$BK$48,BAU_Demands!AR$1,0)</f>
        <v>0.03</v>
      </c>
      <c r="AU89" s="314">
        <f>VLOOKUP($C89,BAU_Demands!$B$3:$BK$48,BAU_Demands!AS$1,0)</f>
        <v>0.03</v>
      </c>
      <c r="AV89" s="314">
        <f>VLOOKUP($C89,BAU_Demands!$B$3:$BK$48,BAU_Demands!AT$1,0)</f>
        <v>0.03</v>
      </c>
      <c r="AW89" s="314">
        <f>VLOOKUP($C89,BAU_Demands!$B$3:$BK$48,BAU_Demands!AU$1,0)</f>
        <v>0.03</v>
      </c>
      <c r="AX89" s="314">
        <f>VLOOKUP($C89,BAU_Demands!$B$3:$BK$48,BAU_Demands!AV$1,0)</f>
        <v>0.03</v>
      </c>
      <c r="AY89" s="314">
        <f>VLOOKUP($C89,BAU_Demands!$B$3:$BK$48,BAU_Demands!AW$1,0)</f>
        <v>0.03</v>
      </c>
      <c r="AZ89" s="314">
        <f>VLOOKUP($C89,BAU_Demands!$B$3:$BK$48,BAU_Demands!AX$1,0)</f>
        <v>0.03</v>
      </c>
      <c r="BA89" s="314">
        <f>VLOOKUP($C89,BAU_Demands!$B$3:$BK$48,BAU_Demands!AY$1,0)</f>
        <v>0.03</v>
      </c>
      <c r="BB89" s="314">
        <f>VLOOKUP($C89,BAU_Demands!$B$3:$BK$48,BAU_Demands!AZ$1,0)</f>
        <v>0.03</v>
      </c>
      <c r="BC89" s="314">
        <f>VLOOKUP($C89,BAU_Demands!$B$3:$BK$48,BAU_Demands!BA$1,0)</f>
        <v>0.03</v>
      </c>
      <c r="BD89" s="314">
        <f>VLOOKUP($C89,BAU_Demands!$B$3:$BK$48,BAU_Demands!BB$1,0)</f>
        <v>0.03</v>
      </c>
      <c r="BE89" s="314">
        <f>VLOOKUP($C89,BAU_Demands!$B$3:$BK$48,BAU_Demands!BC$1,0)</f>
        <v>0.03</v>
      </c>
      <c r="BF89" s="314">
        <f>VLOOKUP($C89,BAU_Demands!$B$3:$BK$48,BAU_Demands!BD$1,0)</f>
        <v>0.03</v>
      </c>
      <c r="BG89" s="314">
        <f>VLOOKUP($C89,BAU_Demands!$B$3:$BK$48,BAU_Demands!BE$1,0)</f>
        <v>0.03</v>
      </c>
      <c r="BH89" s="314">
        <f>VLOOKUP($C89,BAU_Demands!$B$3:$BK$48,BAU_Demands!BF$1,0)</f>
        <v>0.03</v>
      </c>
      <c r="BI89" s="314">
        <f>VLOOKUP($C89,BAU_Demands!$B$3:$BK$48,BAU_Demands!BG$1,0)</f>
        <v>0.03</v>
      </c>
      <c r="BJ89" s="314">
        <f>VLOOKUP($C89,BAU_Demands!$B$3:$BK$48,BAU_Demands!BH$1,0)</f>
        <v>0.03</v>
      </c>
      <c r="BK89" s="314">
        <f>VLOOKUP($C89,BAU_Demands!$B$3:$BK$48,BAU_Demands!BI$1,0)</f>
        <v>0.03</v>
      </c>
      <c r="BL89" s="314">
        <f>VLOOKUP($C89,BAU_Demands!$B$3:$BK$48,BAU_Demands!BJ$1,0)</f>
        <v>0.03</v>
      </c>
      <c r="BM89" s="314">
        <f>VLOOKUP($C89,BAU_Demands!$B$3:$BK$48,BAU_Demands!BK$1,0)</f>
        <v>0.03</v>
      </c>
    </row>
    <row r="90" spans="1:65" ht="15" hidden="1" customHeight="1">
      <c r="A90" s="1" t="s">
        <v>554</v>
      </c>
      <c r="B90" s="314" t="s">
        <v>458</v>
      </c>
      <c r="C90" s="328" t="s">
        <v>479</v>
      </c>
      <c r="D90" s="1" t="s">
        <v>460</v>
      </c>
      <c r="E90" s="328" t="s">
        <v>480</v>
      </c>
      <c r="F90" s="314" t="s">
        <v>462</v>
      </c>
      <c r="G90" s="314" t="s">
        <v>463</v>
      </c>
      <c r="H90" s="314" t="s">
        <v>464</v>
      </c>
      <c r="I90" s="1"/>
      <c r="J90" s="1"/>
      <c r="K90" s="1"/>
      <c r="L90" s="1"/>
      <c r="M90" s="1">
        <f>VLOOKUP($C90,BAU_Demands!$B$3:$BK$48,BAU_Demands!K$1,0)</f>
        <v>24.96296225</v>
      </c>
      <c r="N90" s="1">
        <f>VLOOKUP($C90,BAU_Demands!$B$3:$BK$48,BAU_Demands!L$1,0)</f>
        <v>26.060401219999999</v>
      </c>
      <c r="O90" s="1">
        <f>VLOOKUP($C90,BAU_Demands!$B$3:$BK$48,BAU_Demands!M$1,0)</f>
        <v>23.917782280000001</v>
      </c>
      <c r="P90" s="1">
        <f>VLOOKUP($C90,BAU_Demands!$B$3:$BK$48,BAU_Demands!N$1,0)</f>
        <v>25.15051399</v>
      </c>
      <c r="Q90" s="1">
        <f>VLOOKUP($C90,BAU_Demands!$B$3:$BK$48,BAU_Demands!O$1,0)*(1-'Políticas anunciadas'!I70)</f>
        <v>21.771243999999999</v>
      </c>
      <c r="R90" s="1">
        <f>VLOOKUP($C90,BAU_Demands!$B$3:$BK$48,BAU_Demands!P$1,0)*(1-'Políticas anunciadas'!J70)</f>
        <v>22.156631766666667</v>
      </c>
      <c r="S90" s="1">
        <f>VLOOKUP($C90,BAU_Demands!$B$3:$BK$48,BAU_Demands!Q$1,0)*(1-'Políticas anunciadas'!K70)</f>
        <v>21.713608799999999</v>
      </c>
      <c r="T90" s="1">
        <f>VLOOKUP($C90,BAU_Demands!$B$3:$BK$48,BAU_Demands!R$1,0)*(1-'Políticas anunciadas'!L70)</f>
        <v>21.993062800000001</v>
      </c>
      <c r="U90" s="1">
        <f>VLOOKUP($C90,BAU_Demands!$B$3:$BK$48,BAU_Demands!S$1,0)*(1-'Políticas anunciadas'!M70)</f>
        <v>21.985641279999999</v>
      </c>
      <c r="V90" s="1">
        <f>VLOOKUP($C90,BAU_Demands!$B$3:$BK$48,BAU_Demands!T$1,0)*(1-'Políticas anunciadas'!N70)</f>
        <v>22.956088919999999</v>
      </c>
      <c r="W90" s="1">
        <f>VLOOKUP($C90,BAU_Demands!$B$3:$BK$48,BAU_Demands!U$1,0)*(1-'Políticas anunciadas'!O70)</f>
        <v>23.122488480000001</v>
      </c>
      <c r="X90" s="1">
        <f>VLOOKUP($C90,BAU_Demands!$B$3:$BK$48,BAU_Demands!V$1,0)*(1-'Políticas anunciadas'!P70)</f>
        <v>23.889099040000001</v>
      </c>
      <c r="Y90" s="1">
        <f>VLOOKUP($C90,BAU_Demands!$B$3:$BK$48,BAU_Demands!W$1,0)*(1-'Políticas anunciadas'!Q70)</f>
        <v>24.001536000000002</v>
      </c>
      <c r="Z90" s="1">
        <f>VLOOKUP($C90,BAU_Demands!$B$3:$BK$48,BAU_Demands!X$1,0)*(1-'Políticas anunciadas'!R70)</f>
        <v>24.934214720000003</v>
      </c>
      <c r="AA90" s="1">
        <f>VLOOKUP($C90,BAU_Demands!$B$3:$BK$48,BAU_Demands!Y$1,0)*(1-'Políticas anunciadas'!S70)</f>
        <v>25.062871920000003</v>
      </c>
      <c r="AB90" s="1">
        <f>VLOOKUP($C90,BAU_Demands!$B$3:$BK$48,BAU_Demands!Z$1,0)*(1-'Políticas anunciadas'!T70)</f>
        <v>25.915699199999999</v>
      </c>
      <c r="AC90" s="1">
        <f>VLOOKUP($C90,BAU_Demands!$B$3:$BK$48,BAU_Demands!AA$1,0)*(1-'Políticas anunciadas'!U70)</f>
        <v>26.07162224</v>
      </c>
      <c r="AD90" s="1">
        <f>VLOOKUP($C90,BAU_Demands!$B$3:$BK$48,BAU_Demands!AB$1,0)*(1-'Políticas anunciadas'!V70)</f>
        <v>26.766067600000003</v>
      </c>
      <c r="AE90" s="1">
        <f>VLOOKUP($C90,BAU_Demands!$B$3:$BK$48,BAU_Demands!AC$1,0)*(1-'Políticas anunciadas'!W70)</f>
        <v>27.1585012</v>
      </c>
      <c r="AF90" s="1">
        <f>VLOOKUP($C90,BAU_Demands!$B$3:$BK$48,BAU_Demands!AD$1,0)*(1-'Políticas anunciadas'!X70)</f>
        <v>27.949623200000001</v>
      </c>
      <c r="AG90" s="1">
        <f>VLOOKUP($C90,BAU_Demands!$B$3:$BK$48,BAU_Demands!AE$1,0)*(1-'Políticas anunciadas'!Y70)</f>
        <v>28.333757600000002</v>
      </c>
      <c r="AH90" s="1">
        <f>VLOOKUP($C90,BAU_Demands!$B$3:$BK$48,BAU_Demands!AF$1,0)*(1-'Políticas anunciadas'!Z70)</f>
        <v>29.180868799999999</v>
      </c>
      <c r="AI90" s="1">
        <f>VLOOKUP($C90,BAU_Demands!$B$3:$BK$48,BAU_Demands!AG$1,0)*(1-'Políticas anunciadas'!AA70)</f>
        <v>29.5874916</v>
      </c>
      <c r="AJ90" s="1">
        <f>VLOOKUP($C90,BAU_Demands!$B$3:$BK$48,BAU_Demands!AH$1,0)*(1-'Políticas anunciadas'!AB70)</f>
        <v>30.355053600000002</v>
      </c>
      <c r="AK90" s="1">
        <f>VLOOKUP($C90,BAU_Demands!$B$3:$BK$48,BAU_Demands!AI$1,0)*(1-'Políticas anunciadas'!AC70)</f>
        <v>30.786285200000002</v>
      </c>
      <c r="AL90" s="1">
        <f>VLOOKUP($C90,BAU_Demands!$B$3:$BK$48,BAU_Demands!AJ$1,0)*(1-'Políticas anunciadas'!AD70)</f>
        <v>31.379336000000002</v>
      </c>
      <c r="AM90" s="1">
        <f>VLOOKUP($C90,BAU_Demands!$B$3:$BK$48,BAU_Demands!AK$1,0)*(1-'Políticas anunciadas'!AE70)</f>
        <v>31.8315816</v>
      </c>
      <c r="AN90" s="1">
        <f>VLOOKUP($C90,BAU_Demands!$B$3:$BK$48,BAU_Demands!AL$1,0)*(1-'Políticas anunciadas'!AF70)</f>
        <v>32.444567199999995</v>
      </c>
      <c r="AO90" s="1">
        <f>VLOOKUP($C90,BAU_Demands!$B$3:$BK$48,BAU_Demands!AM$1,0)*(1-'Políticas anunciadas'!AG70)</f>
        <v>32.958410799999996</v>
      </c>
      <c r="AP90" s="1">
        <f>VLOOKUP($C90,BAU_Demands!$B$3:$BK$48,BAU_Demands!AN$1,0)*(1-'Políticas anunciadas'!AH70)</f>
        <v>33.55856</v>
      </c>
      <c r="AQ90" s="1">
        <f>VLOOKUP($C90,BAU_Demands!$B$3:$BK$48,BAU_Demands!AO$1,0)*(1-'Políticas anunciadas'!AI70)</f>
        <v>33.940216800000002</v>
      </c>
      <c r="AR90" s="1">
        <f>VLOOKUP($C90,BAU_Demands!$B$3:$BK$48,BAU_Demands!AP$1,0)*(1-'Políticas anunciadas'!AJ70)</f>
        <v>34.5289888</v>
      </c>
      <c r="AS90" s="1">
        <f>VLOOKUP($C90,BAU_Demands!$B$3:$BK$48,BAU_Demands!AQ$1,0)*(1-'Políticas anunciadas'!AK70)</f>
        <v>34.941113999999999</v>
      </c>
      <c r="AT90" s="1">
        <f>VLOOKUP($C90,BAU_Demands!$B$3:$BK$48,BAU_Demands!AR$1,0)*(1-'Políticas anunciadas'!AL70)</f>
        <v>35.522400000000005</v>
      </c>
      <c r="AU90" s="1">
        <f>VLOOKUP($C90,BAU_Demands!$B$3:$BK$48,BAU_Demands!AS$1,0)*(1-'Políticas anunciadas'!AM70)</f>
        <v>36.039200000000001</v>
      </c>
      <c r="AV90" s="1">
        <f>VLOOKUP($C90,BAU_Demands!$B$3:$BK$48,BAU_Demands!AT$1,0)*(1-'Políticas anunciadas'!AN70)</f>
        <v>36.533200000000001</v>
      </c>
      <c r="AW90" s="1">
        <f>VLOOKUP($C90,BAU_Demands!$B$3:$BK$48,BAU_Demands!AU$1,0)*(1-'Políticas anunciadas'!AO70)</f>
        <v>37.057600000000001</v>
      </c>
      <c r="AX90" s="1">
        <f>VLOOKUP($C90,BAU_Demands!$B$3:$BK$48,BAU_Demands!AV$1,0)*(1-'Políticas anunciadas'!AP70)</f>
        <v>37.574399999999997</v>
      </c>
      <c r="AY90" s="1">
        <f>VLOOKUP($C90,BAU_Demands!$B$3:$BK$48,BAU_Demands!AW$1,0)*(1-'Políticas anunciadas'!AQ70)</f>
        <v>38.106400000000001</v>
      </c>
      <c r="AZ90" s="1">
        <f>VLOOKUP($C90,BAU_Demands!$B$3:$BK$48,BAU_Demands!AX$1,0)*(1-'Políticas anunciadas'!AR70)</f>
        <v>38.6004</v>
      </c>
      <c r="BA90" s="1">
        <f>VLOOKUP($C90,BAU_Demands!$B$3:$BK$48,BAU_Demands!AY$1,0)*(1-'Políticas anunciadas'!AS70)</f>
        <v>39.102000000000004</v>
      </c>
      <c r="BB90" s="1">
        <f>VLOOKUP($C90,BAU_Demands!$B$3:$BK$48,BAU_Demands!AZ$1,0)*(1-'Políticas anunciadas'!AT70)</f>
        <v>39.5884</v>
      </c>
      <c r="BC90" s="1">
        <f>VLOOKUP($C90,BAU_Demands!$B$3:$BK$48,BAU_Demands!BA$1,0)*(1-'Políticas anunciadas'!AU70)</f>
        <v>40.0824</v>
      </c>
      <c r="BD90" s="1">
        <f>VLOOKUP($C90,BAU_Demands!$B$3:$BK$48,BAU_Demands!BB$1,0)*(1-'Políticas anunciadas'!AV70)</f>
        <v>40.553600000000003</v>
      </c>
      <c r="BE90" s="1">
        <f>VLOOKUP($C90,BAU_Demands!$B$3:$BK$48,BAU_Demands!BC$1,0)*(1-'Políticas anunciadas'!AW70)</f>
        <v>41.032400000000003</v>
      </c>
      <c r="BF90" s="1">
        <f>VLOOKUP($C90,BAU_Demands!$B$3:$BK$48,BAU_Demands!BD$1,0)*(1-'Políticas anunciadas'!AX70)</f>
        <v>41.503599999999999</v>
      </c>
      <c r="BG90" s="1">
        <f>VLOOKUP($C90,BAU_Demands!$B$3:$BK$48,BAU_Demands!BE$1,0)*(1-'Políticas anunciadas'!AY70)</f>
        <v>41.967199999999998</v>
      </c>
      <c r="BH90" s="1">
        <f>VLOOKUP($C90,BAU_Demands!$B$3:$BK$48,BAU_Demands!BF$1,0)*(1-'Políticas anunciadas'!AZ70)</f>
        <v>42.430799999999998</v>
      </c>
      <c r="BI90" s="1">
        <f>VLOOKUP($C90,BAU_Demands!$B$3:$BK$48,BAU_Demands!BG$1,0)*(1-'Políticas anunciadas'!BA70)</f>
        <v>42.879200000000004</v>
      </c>
      <c r="BJ90" s="1">
        <f>VLOOKUP($C90,BAU_Demands!$B$3:$BK$48,BAU_Demands!BH$1,0)*(1-'Políticas anunciadas'!BB70)</f>
        <v>43.32</v>
      </c>
      <c r="BK90" s="1">
        <f>VLOOKUP($C90,BAU_Demands!$B$3:$BK$48,BAU_Demands!BI$1,0)*(1-'Políticas anunciadas'!BC70)</f>
        <v>43.7532</v>
      </c>
      <c r="BL90" s="1">
        <f>VLOOKUP($C90,BAU_Demands!$B$3:$BK$48,BAU_Demands!BJ$1,0)*(1-'Políticas anunciadas'!BD70)</f>
        <v>44.178800000000003</v>
      </c>
      <c r="BM90" s="1">
        <f>VLOOKUP($C90,BAU_Demands!$B$3:$BK$48,BAU_Demands!BK$1,0)*(1-'Políticas anunciadas'!BE70)</f>
        <v>44.596800000000002</v>
      </c>
    </row>
    <row r="91" spans="1:65" ht="15" hidden="1" customHeight="1">
      <c r="A91" s="1" t="s">
        <v>554</v>
      </c>
      <c r="B91" s="314" t="s">
        <v>458</v>
      </c>
      <c r="C91" s="328" t="s">
        <v>489</v>
      </c>
      <c r="D91" s="1" t="s">
        <v>460</v>
      </c>
      <c r="E91" s="328" t="s">
        <v>490</v>
      </c>
      <c r="F91" s="314" t="s">
        <v>462</v>
      </c>
      <c r="G91" s="314" t="s">
        <v>463</v>
      </c>
      <c r="H91" s="314" t="s">
        <v>464</v>
      </c>
      <c r="I91" s="1"/>
      <c r="J91" s="1"/>
      <c r="K91" s="1"/>
      <c r="L91" s="1"/>
      <c r="M91" s="1">
        <f>VLOOKUP($C91,BAU_Demands!$B$3:$BK$48,BAU_Demands!K$1,0)</f>
        <v>2.0131327520000002</v>
      </c>
      <c r="N91" s="1">
        <f>VLOOKUP($C91,BAU_Demands!$B$3:$BK$48,BAU_Demands!L$1,0)</f>
        <v>1.852291168</v>
      </c>
      <c r="O91" s="1">
        <f>VLOOKUP($C91,BAU_Demands!$B$3:$BK$48,BAU_Demands!M$1,0)</f>
        <v>1.9887452189999999</v>
      </c>
      <c r="P91" s="1">
        <f>VLOOKUP($C91,BAU_Demands!$B$3:$BK$48,BAU_Demands!N$1,0)</f>
        <v>2.2581693889999999</v>
      </c>
      <c r="Q91" s="1">
        <f>VLOOKUP($C91,BAU_Demands!$B$3:$BK$48,BAU_Demands!O$1,0)*(1-'Políticas anunciadas'!I66)</f>
        <v>2.4573100000000001</v>
      </c>
      <c r="R91" s="1">
        <f>VLOOKUP($C91,BAU_Demands!$B$3:$BK$48,BAU_Demands!P$1,0)*(1-'Políticas anunciadas'!J66)</f>
        <v>2.378665085142857</v>
      </c>
      <c r="S91" s="1">
        <f>VLOOKUP($C91,BAU_Demands!$B$3:$BK$48,BAU_Demands!Q$1,0)*(1-'Políticas anunciadas'!K66)</f>
        <v>2.6250938518928573</v>
      </c>
      <c r="T91" s="1">
        <f>VLOOKUP($C91,BAU_Demands!$B$3:$BK$48,BAU_Demands!R$1,0)*(1-'Políticas anunciadas'!L66)</f>
        <v>2.511767531357143</v>
      </c>
      <c r="U91" s="1">
        <f>VLOOKUP($C91,BAU_Demands!$B$3:$BK$48,BAU_Demands!S$1,0)*(1-'Políticas anunciadas'!M66)</f>
        <v>2.7583535832142858</v>
      </c>
      <c r="V91" s="1">
        <f>VLOOKUP($C91,BAU_Demands!$B$3:$BK$48,BAU_Demands!T$1,0)*(1-'Políticas anunciadas'!N66)</f>
        <v>2.6475973755000002</v>
      </c>
      <c r="W91" s="1">
        <f>VLOOKUP($C91,BAU_Demands!$B$3:$BK$48,BAU_Demands!U$1,0)*(1-'Políticas anunciadas'!O66)</f>
        <v>2.9115357942857143</v>
      </c>
      <c r="X91" s="1">
        <f>VLOOKUP($C91,BAU_Demands!$B$3:$BK$48,BAU_Demands!V$1,0)*(1-'Políticas anunciadas'!P66)</f>
        <v>2.7767416622142855</v>
      </c>
      <c r="Y91" s="1">
        <f>VLOOKUP($C91,BAU_Demands!$B$3:$BK$48,BAU_Demands!W$1,0)*(1-'Políticas anunciadas'!Q66)</f>
        <v>3.0161869265357142</v>
      </c>
      <c r="Z91" s="1">
        <f>VLOOKUP($C91,BAU_Demands!$B$3:$BK$48,BAU_Demands!X$1,0)*(1-'Políticas anunciadas'!R66)</f>
        <v>2.9187948779285713</v>
      </c>
      <c r="AA91" s="1">
        <f>VLOOKUP($C91,BAU_Demands!$B$3:$BK$48,BAU_Demands!Y$1,0)*(1-'Políticas anunciadas'!S66)</f>
        <v>3.13814848625</v>
      </c>
      <c r="AB91" s="1">
        <f>VLOOKUP($C91,BAU_Demands!$B$3:$BK$48,BAU_Demands!Z$1,0)*(1-'Políticas anunciadas'!T66)</f>
        <v>3.0571062060000003</v>
      </c>
      <c r="AC91" s="1">
        <f>VLOOKUP($C91,BAU_Demands!$B$3:$BK$48,BAU_Demands!AA$1,0)*(1-'Políticas anunciadas'!U66)</f>
        <v>3.2513542855714288</v>
      </c>
      <c r="AD91" s="1">
        <f>VLOOKUP($C91,BAU_Demands!$B$3:$BK$48,BAU_Demands!AB$1,0)*(1-'Políticas anunciadas'!V66)</f>
        <v>3.1788739407857145</v>
      </c>
      <c r="AE91" s="1">
        <f>VLOOKUP($C91,BAU_Demands!$B$3:$BK$48,BAU_Demands!AC$1,0)*(1-'Políticas anunciadas'!W66)</f>
        <v>3.3628332782142856</v>
      </c>
      <c r="AF91" s="1">
        <f>VLOOKUP($C91,BAU_Demands!$B$3:$BK$48,BAU_Demands!AD$1,0)*(1-'Políticas anunciadas'!X66)</f>
        <v>3.3132869604999997</v>
      </c>
      <c r="AG91" s="1">
        <f>VLOOKUP($C91,BAU_Demands!$B$3:$BK$48,BAU_Demands!AE$1,0)*(1-'Políticas anunciadas'!Y66)</f>
        <v>3.4738357475714285</v>
      </c>
      <c r="AH91" s="1">
        <f>VLOOKUP($C91,BAU_Demands!$B$3:$BK$48,BAU_Demands!AF$1,0)*(1-'Políticas anunciadas'!Z66)</f>
        <v>3.452046002035714</v>
      </c>
      <c r="AI91" s="1">
        <f>VLOOKUP($C91,BAU_Demands!$B$3:$BK$48,BAU_Demands!AG$1,0)*(1-'Políticas anunciadas'!AA66)</f>
        <v>3.5965685688214286</v>
      </c>
      <c r="AJ91" s="1">
        <f>VLOOKUP($C91,BAU_Demands!$B$3:$BK$48,BAU_Demands!AH$1,0)*(1-'Políticas anunciadas'!AB66)</f>
        <v>3.5890084222142855</v>
      </c>
      <c r="AK91" s="1">
        <f>VLOOKUP($C91,BAU_Demands!$B$3:$BK$48,BAU_Demands!AI$1,0)*(1-'Políticas anunciadas'!AC66)</f>
        <v>3.7263442498571426</v>
      </c>
      <c r="AL91" s="1">
        <f>VLOOKUP($C91,BAU_Demands!$B$3:$BK$48,BAU_Demands!AJ$1,0)*(1-'Políticas anunciadas'!AD66)</f>
        <v>3.7138593289999999</v>
      </c>
      <c r="AM91" s="1">
        <f>VLOOKUP($C91,BAU_Demands!$B$3:$BK$48,BAU_Demands!AK$1,0)*(1-'Políticas anunciadas'!AE66)</f>
        <v>3.8403699697499998</v>
      </c>
      <c r="AN91" s="1">
        <f>VLOOKUP($C91,BAU_Demands!$B$3:$BK$48,BAU_Demands!AL$1,0)*(1-'Políticas anunciadas'!AF66)</f>
        <v>3.8436172457142854</v>
      </c>
      <c r="AO91" s="1">
        <f>VLOOKUP($C91,BAU_Demands!$B$3:$BK$48,BAU_Demands!AM$1,0)*(1-'Políticas anunciadas'!AG66)</f>
        <v>3.9721991537500005</v>
      </c>
      <c r="AP91" s="1">
        <f>VLOOKUP($C91,BAU_Demands!$B$3:$BK$48,BAU_Demands!AN$1,0)*(1-'Políticas anunciadas'!AH66)</f>
        <v>3.9911924324999997</v>
      </c>
      <c r="AQ91" s="1">
        <f>VLOOKUP($C91,BAU_Demands!$B$3:$BK$48,BAU_Demands!AO$1,0)*(1-'Políticas anunciadas'!AI66)</f>
        <v>4.0949620644642861</v>
      </c>
      <c r="AR91" s="1">
        <f>VLOOKUP($C91,BAU_Demands!$B$3:$BK$48,BAU_Demands!AP$1,0)*(1-'Políticas anunciadas'!AJ66)</f>
        <v>4.1225434950000004</v>
      </c>
      <c r="AS91" s="1">
        <f>VLOOKUP($C91,BAU_Demands!$B$3:$BK$48,BAU_Demands!AQ$1,0)*(1-'Políticas anunciadas'!AK66)</f>
        <v>4.2319374907142864</v>
      </c>
      <c r="AT91" s="1">
        <f>VLOOKUP($C91,BAU_Demands!$B$3:$BK$48,BAU_Demands!AR$1,0)*(1-'Políticas anunciadas'!AL66)</f>
        <v>4.3268171428571431</v>
      </c>
      <c r="AU91" s="1">
        <f>VLOOKUP($C91,BAU_Demands!$B$3:$BK$48,BAU_Demands!AS$1,0)*(1-'Políticas anunciadas'!AM66)</f>
        <v>4.4066150000000004</v>
      </c>
      <c r="AV91" s="1">
        <f>VLOOKUP($C91,BAU_Demands!$B$3:$BK$48,BAU_Demands!AT$1,0)*(1-'Políticas anunciadas'!AN66)</f>
        <v>4.5041457142857144</v>
      </c>
      <c r="AW91" s="1">
        <f>VLOOKUP($C91,BAU_Demands!$B$3:$BK$48,BAU_Demands!AU$1,0)*(1-'Políticas anunciadas'!AO66)</f>
        <v>4.5928100000000001</v>
      </c>
      <c r="AX91" s="1">
        <f>VLOOKUP($C91,BAU_Demands!$B$3:$BK$48,BAU_Demands!AV$1,0)*(1-'Políticas anunciadas'!AP66)</f>
        <v>4.6903407142857141</v>
      </c>
      <c r="AY91" s="1">
        <f>VLOOKUP($C91,BAU_Demands!$B$3:$BK$48,BAU_Demands!AW$1,0)*(1-'Políticas anunciadas'!AQ66)</f>
        <v>4.7790049999999997</v>
      </c>
      <c r="AZ91" s="1">
        <f>VLOOKUP($C91,BAU_Demands!$B$3:$BK$48,BAU_Demands!AX$1,0)*(1-'Políticas anunciadas'!AR66)</f>
        <v>4.8765357142857146</v>
      </c>
      <c r="BA91" s="1">
        <f>VLOOKUP($C91,BAU_Demands!$B$3:$BK$48,BAU_Demands!AY$1,0)*(1-'Políticas anunciadas'!AS66)</f>
        <v>4.9740664285714287</v>
      </c>
      <c r="BB91" s="1">
        <f>VLOOKUP($C91,BAU_Demands!$B$3:$BK$48,BAU_Demands!AZ$1,0)*(1-'Políticas anunciadas'!AT66)</f>
        <v>5.0715971428571427</v>
      </c>
      <c r="BC91" s="1">
        <f>VLOOKUP($C91,BAU_Demands!$B$3:$BK$48,BAU_Demands!BA$1,0)*(1-'Políticas anunciadas'!AU66)</f>
        <v>5.177994285714286</v>
      </c>
      <c r="BD91" s="1">
        <f>VLOOKUP($C91,BAU_Demands!$B$3:$BK$48,BAU_Demands!BB$1,0)*(1-'Políticas anunciadas'!AV66)</f>
        <v>5.2843914285714284</v>
      </c>
      <c r="BE91" s="1">
        <f>VLOOKUP($C91,BAU_Demands!$B$3:$BK$48,BAU_Demands!BC$1,0)*(1-'Políticas anunciadas'!AW66)</f>
        <v>5.3907885714285717</v>
      </c>
      <c r="BF91" s="1">
        <f>VLOOKUP($C91,BAU_Demands!$B$3:$BK$48,BAU_Demands!BD$1,0)*(1-'Políticas anunciadas'!AX66)</f>
        <v>5.497185714285715</v>
      </c>
      <c r="BG91" s="1">
        <f>VLOOKUP($C91,BAU_Demands!$B$3:$BK$48,BAU_Demands!BE$1,0)*(1-'Políticas anunciadas'!AY66)</f>
        <v>5.6124492857142858</v>
      </c>
      <c r="BH91" s="1">
        <f>VLOOKUP($C91,BAU_Demands!$B$3:$BK$48,BAU_Demands!BF$1,0)*(1-'Políticas anunciadas'!AZ66)</f>
        <v>5.7277128571428575</v>
      </c>
      <c r="BI91" s="1">
        <f>VLOOKUP($C91,BAU_Demands!$B$3:$BK$48,BAU_Demands!BG$1,0)*(1-'Políticas anunciadas'!BA66)</f>
        <v>5.8429764285714283</v>
      </c>
      <c r="BJ91" s="1">
        <f>VLOOKUP($C91,BAU_Demands!$B$3:$BK$48,BAU_Demands!BH$1,0)*(1-'Políticas anunciadas'!BB66)</f>
        <v>5.95824</v>
      </c>
      <c r="BK91" s="1">
        <f>VLOOKUP($C91,BAU_Demands!$B$3:$BK$48,BAU_Demands!BI$1,0)*(1-'Políticas anunciadas'!BC66)</f>
        <v>6.0823700000000009</v>
      </c>
      <c r="BL91" s="1">
        <f>VLOOKUP($C91,BAU_Demands!$B$3:$BK$48,BAU_Demands!BJ$1,0)*(1-'Políticas anunciadas'!BD66)</f>
        <v>6.2065000000000001</v>
      </c>
      <c r="BM91" s="1">
        <f>VLOOKUP($C91,BAU_Demands!$B$3:$BK$48,BAU_Demands!BK$1,0)*(1-'Políticas anunciadas'!BE66)</f>
        <v>6.3306300000000002</v>
      </c>
    </row>
    <row r="92" spans="1:65" ht="15" hidden="1" customHeight="1">
      <c r="A92" s="1" t="s">
        <v>554</v>
      </c>
      <c r="B92" s="314" t="s">
        <v>458</v>
      </c>
      <c r="C92" s="328" t="s">
        <v>491</v>
      </c>
      <c r="D92" s="1" t="s">
        <v>460</v>
      </c>
      <c r="E92" s="328" t="s">
        <v>492</v>
      </c>
      <c r="F92" s="314" t="s">
        <v>462</v>
      </c>
      <c r="G92" s="314" t="s">
        <v>463</v>
      </c>
      <c r="H92" s="314" t="s">
        <v>464</v>
      </c>
      <c r="I92" s="1"/>
      <c r="J92" s="1"/>
      <c r="K92" s="1"/>
      <c r="L92" s="1"/>
      <c r="M92" s="1">
        <f>VLOOKUP($C92,BAU_Demands!$B$3:$BK$48,BAU_Demands!K$1,0)</f>
        <v>1.368450092</v>
      </c>
      <c r="N92" s="1">
        <f>VLOOKUP($C92,BAU_Demands!$B$3:$BK$48,BAU_Demands!L$1,0)</f>
        <v>1.05043928</v>
      </c>
      <c r="O92" s="1">
        <f>VLOOKUP($C92,BAU_Demands!$B$3:$BK$48,BAU_Demands!M$1,0)</f>
        <v>1.5998269759999999</v>
      </c>
      <c r="P92" s="1">
        <f>VLOOKUP($C92,BAU_Demands!$B$3:$BK$48,BAU_Demands!N$1,0)</f>
        <v>1.8325867499999999</v>
      </c>
      <c r="Q92" s="1">
        <f>VLOOKUP($C92,BAU_Demands!$B$3:$BK$48,BAU_Demands!O$1,0)*(1-'Políticas anunciadas'!I67)</f>
        <v>1.99</v>
      </c>
      <c r="R92" s="1">
        <f>VLOOKUP($C92,BAU_Demands!$B$3:$BK$48,BAU_Demands!P$1,0)*(1-'Políticas anunciadas'!J67)</f>
        <v>1.94</v>
      </c>
      <c r="S92" s="1">
        <f>VLOOKUP($C92,BAU_Demands!$B$3:$BK$48,BAU_Demands!Q$1,0)*(1-'Políticas anunciadas'!K67)</f>
        <v>2.14</v>
      </c>
      <c r="T92" s="1">
        <f>VLOOKUP($C92,BAU_Demands!$B$3:$BK$48,BAU_Demands!R$1,0)*(1-'Políticas anunciadas'!L67)</f>
        <v>2.06</v>
      </c>
      <c r="U92" s="1">
        <f>VLOOKUP($C92,BAU_Demands!$B$3:$BK$48,BAU_Demands!S$1,0)*(1-'Políticas anunciadas'!M67)</f>
        <v>2.27</v>
      </c>
      <c r="V92" s="1">
        <f>VLOOKUP($C92,BAU_Demands!$B$3:$BK$48,BAU_Demands!T$1,0)*(1-'Políticas anunciadas'!N67)</f>
        <v>2.19</v>
      </c>
      <c r="W92" s="1">
        <f>VLOOKUP($C92,BAU_Demands!$B$3:$BK$48,BAU_Demands!U$1,0)*(1-'Políticas anunciadas'!O67)</f>
        <v>2.42</v>
      </c>
      <c r="X92" s="1">
        <f>VLOOKUP($C92,BAU_Demands!$B$3:$BK$48,BAU_Demands!V$1,0)*(1-'Políticas anunciadas'!P67)</f>
        <v>2.3199999999999998</v>
      </c>
      <c r="Y92" s="1">
        <f>VLOOKUP($C92,BAU_Demands!$B$3:$BK$48,BAU_Demands!W$1,0)*(1-'Políticas anunciadas'!Q67)</f>
        <v>2.54</v>
      </c>
      <c r="Z92" s="1">
        <f>VLOOKUP($C92,BAU_Demands!$B$3:$BK$48,BAU_Demands!X$1,0)*(1-'Políticas anunciadas'!R67)</f>
        <v>2.4700000000000002</v>
      </c>
      <c r="AA92" s="1">
        <f>VLOOKUP($C92,BAU_Demands!$B$3:$BK$48,BAU_Demands!Y$1,0)*(1-'Políticas anunciadas'!S67)</f>
        <v>2.67</v>
      </c>
      <c r="AB92" s="1">
        <f>VLOOKUP($C92,BAU_Demands!$B$3:$BK$48,BAU_Demands!Z$1,0)*(1-'Políticas anunciadas'!T67)</f>
        <v>2.62</v>
      </c>
      <c r="AC92" s="1">
        <f>VLOOKUP($C92,BAU_Demands!$B$3:$BK$48,BAU_Demands!AA$1,0)*(1-'Políticas anunciadas'!U67)</f>
        <v>2.8</v>
      </c>
      <c r="AD92" s="1">
        <f>VLOOKUP($C92,BAU_Demands!$B$3:$BK$48,BAU_Demands!AB$1,0)*(1-'Políticas anunciadas'!V67)</f>
        <v>2.76</v>
      </c>
      <c r="AE92" s="1">
        <f>VLOOKUP($C92,BAU_Demands!$B$3:$BK$48,BAU_Demands!AC$1,0)*(1-'Políticas anunciadas'!W67)</f>
        <v>2.93</v>
      </c>
      <c r="AF92" s="1">
        <f>VLOOKUP($C92,BAU_Demands!$B$3:$BK$48,BAU_Demands!AD$1,0)*(1-'Políticas anunciadas'!X67)</f>
        <v>2.9</v>
      </c>
      <c r="AG92" s="1">
        <f>VLOOKUP($C92,BAU_Demands!$B$3:$BK$48,BAU_Demands!AE$1,0)*(1-'Políticas anunciadas'!Y67)</f>
        <v>3.06</v>
      </c>
      <c r="AH92" s="1">
        <f>VLOOKUP($C92,BAU_Demands!$B$3:$BK$48,BAU_Demands!AF$1,0)*(1-'Políticas anunciadas'!Z67)</f>
        <v>3.06</v>
      </c>
      <c r="AI92" s="1">
        <f>VLOOKUP($C92,BAU_Demands!$B$3:$BK$48,BAU_Demands!AG$1,0)*(1-'Políticas anunciadas'!AA67)</f>
        <v>3.2</v>
      </c>
      <c r="AJ92" s="1">
        <f>VLOOKUP($C92,BAU_Demands!$B$3:$BK$48,BAU_Demands!AH$1,0)*(1-'Políticas anunciadas'!AB67)</f>
        <v>3.21</v>
      </c>
      <c r="AK92" s="1">
        <f>VLOOKUP($C92,BAU_Demands!$B$3:$BK$48,BAU_Demands!AI$1,0)*(1-'Políticas anunciadas'!AC67)</f>
        <v>3.34</v>
      </c>
      <c r="AL92" s="1">
        <f>VLOOKUP($C92,BAU_Demands!$B$3:$BK$48,BAU_Demands!AJ$1,0)*(1-'Políticas anunciadas'!AD67)</f>
        <v>3.34</v>
      </c>
      <c r="AM92" s="1">
        <f>VLOOKUP($C92,BAU_Demands!$B$3:$BK$48,BAU_Demands!AK$1,0)*(1-'Políticas anunciadas'!AE67)</f>
        <v>3.47</v>
      </c>
      <c r="AN92" s="1">
        <f>VLOOKUP($C92,BAU_Demands!$B$3:$BK$48,BAU_Demands!AL$1,0)*(1-'Políticas anunciadas'!AF67)</f>
        <v>3.49</v>
      </c>
      <c r="AO92" s="1">
        <f>VLOOKUP($C92,BAU_Demands!$B$3:$BK$48,BAU_Demands!AM$1,0)*(1-'Políticas anunciadas'!AG67)</f>
        <v>3.61</v>
      </c>
      <c r="AP92" s="1">
        <f>VLOOKUP($C92,BAU_Demands!$B$3:$BK$48,BAU_Demands!AN$1,0)*(1-'Políticas anunciadas'!AH67)</f>
        <v>3.64</v>
      </c>
      <c r="AQ92" s="1">
        <f>VLOOKUP($C92,BAU_Demands!$B$3:$BK$48,BAU_Demands!AO$1,0)*(1-'Políticas anunciadas'!AI67)</f>
        <v>3.74</v>
      </c>
      <c r="AR92" s="1">
        <f>VLOOKUP($C92,BAU_Demands!$B$3:$BK$48,BAU_Demands!AP$1,0)*(1-'Políticas anunciadas'!AJ67)</f>
        <v>3.77</v>
      </c>
      <c r="AS92" s="1">
        <f>VLOOKUP($C92,BAU_Demands!$B$3:$BK$48,BAU_Demands!AQ$1,0)*(1-'Políticas anunciadas'!AK67)</f>
        <v>3.87</v>
      </c>
      <c r="AT92" s="1">
        <f>VLOOKUP($C92,BAU_Demands!$B$3:$BK$48,BAU_Demands!AR$1,0)*(1-'Políticas anunciadas'!AL67)</f>
        <v>3.96</v>
      </c>
      <c r="AU92" s="1">
        <f>VLOOKUP($C92,BAU_Demands!$B$3:$BK$48,BAU_Demands!AS$1,0)*(1-'Políticas anunciadas'!AM67)</f>
        <v>4.04</v>
      </c>
      <c r="AV92" s="1">
        <f>VLOOKUP($C92,BAU_Demands!$B$3:$BK$48,BAU_Demands!AT$1,0)*(1-'Políticas anunciadas'!AN67)</f>
        <v>4.12</v>
      </c>
      <c r="AW92" s="1">
        <f>VLOOKUP($C92,BAU_Demands!$B$3:$BK$48,BAU_Demands!AU$1,0)*(1-'Políticas anunciadas'!AO67)</f>
        <v>4.2</v>
      </c>
      <c r="AX92" s="1">
        <f>VLOOKUP($C92,BAU_Demands!$B$3:$BK$48,BAU_Demands!AV$1,0)*(1-'Políticas anunciadas'!AP67)</f>
        <v>4.29</v>
      </c>
      <c r="AY92" s="1">
        <f>VLOOKUP($C92,BAU_Demands!$B$3:$BK$48,BAU_Demands!AW$1,0)*(1-'Políticas anunciadas'!AQ67)</f>
        <v>4.37</v>
      </c>
      <c r="AZ92" s="1">
        <f>VLOOKUP($C92,BAU_Demands!$B$3:$BK$48,BAU_Demands!AX$1,0)*(1-'Políticas anunciadas'!AR67)</f>
        <v>4.46</v>
      </c>
      <c r="BA92" s="1">
        <f>VLOOKUP($C92,BAU_Demands!$B$3:$BK$48,BAU_Demands!AY$1,0)*(1-'Políticas anunciadas'!AS67)</f>
        <v>4.55</v>
      </c>
      <c r="BB92" s="1">
        <f>VLOOKUP($C92,BAU_Demands!$B$3:$BK$48,BAU_Demands!AZ$1,0)*(1-'Políticas anunciadas'!AT67)</f>
        <v>4.6500000000000004</v>
      </c>
      <c r="BC92" s="1">
        <f>VLOOKUP($C92,BAU_Demands!$B$3:$BK$48,BAU_Demands!BA$1,0)*(1-'Políticas anunciadas'!AU67)</f>
        <v>4.74</v>
      </c>
      <c r="BD92" s="1">
        <f>VLOOKUP($C92,BAU_Demands!$B$3:$BK$48,BAU_Demands!BB$1,0)*(1-'Políticas anunciadas'!AV67)</f>
        <v>4.84</v>
      </c>
      <c r="BE92" s="1">
        <f>VLOOKUP($C92,BAU_Demands!$B$3:$BK$48,BAU_Demands!BC$1,0)*(1-'Políticas anunciadas'!AW67)</f>
        <v>4.9400000000000004</v>
      </c>
      <c r="BF92" s="1">
        <f>VLOOKUP($C92,BAU_Demands!$B$3:$BK$48,BAU_Demands!BD$1,0)*(1-'Políticas anunciadas'!AX67)</f>
        <v>5.04</v>
      </c>
      <c r="BG92" s="1">
        <f>VLOOKUP($C92,BAU_Demands!$B$3:$BK$48,BAU_Demands!BE$1,0)*(1-'Políticas anunciadas'!AY67)</f>
        <v>5.14</v>
      </c>
      <c r="BH92" s="1">
        <f>VLOOKUP($C92,BAU_Demands!$B$3:$BK$48,BAU_Demands!BF$1,0)*(1-'Políticas anunciadas'!AZ67)</f>
        <v>5.24</v>
      </c>
      <c r="BI92" s="1">
        <f>VLOOKUP($C92,BAU_Demands!$B$3:$BK$48,BAU_Demands!BG$1,0)*(1-'Políticas anunciadas'!BA67)</f>
        <v>5.35</v>
      </c>
      <c r="BJ92" s="1">
        <f>VLOOKUP($C92,BAU_Demands!$B$3:$BK$48,BAU_Demands!BH$1,0)*(1-'Políticas anunciadas'!BB67)</f>
        <v>5.46</v>
      </c>
      <c r="BK92" s="1">
        <f>VLOOKUP($C92,BAU_Demands!$B$3:$BK$48,BAU_Demands!BI$1,0)*(1-'Políticas anunciadas'!BC67)</f>
        <v>5.57</v>
      </c>
      <c r="BL92" s="1">
        <f>VLOOKUP($C92,BAU_Demands!$B$3:$BK$48,BAU_Demands!BJ$1,0)*(1-'Políticas anunciadas'!BD67)</f>
        <v>5.68</v>
      </c>
      <c r="BM92" s="1">
        <f>VLOOKUP($C92,BAU_Demands!$B$3:$BK$48,BAU_Demands!BK$1,0)*(1-'Políticas anunciadas'!BE67)</f>
        <v>5.8</v>
      </c>
    </row>
    <row r="93" spans="1:65" ht="15" hidden="1" customHeight="1">
      <c r="A93" s="1" t="s">
        <v>554</v>
      </c>
      <c r="B93" s="314" t="s">
        <v>458</v>
      </c>
      <c r="C93" s="329" t="s">
        <v>493</v>
      </c>
      <c r="D93" s="1" t="s">
        <v>460</v>
      </c>
      <c r="E93" s="329" t="s">
        <v>494</v>
      </c>
      <c r="F93" s="314" t="s">
        <v>462</v>
      </c>
      <c r="G93" s="314" t="s">
        <v>463</v>
      </c>
      <c r="H93" s="314" t="s">
        <v>464</v>
      </c>
      <c r="I93" s="1"/>
      <c r="J93" s="1"/>
      <c r="K93" s="1"/>
      <c r="L93" s="1"/>
      <c r="M93" s="1">
        <f>VLOOKUP($C93,BAU_Demands!$B$3:$BK$48,BAU_Demands!K$1,0)</f>
        <v>5.7711699510000001</v>
      </c>
      <c r="N93" s="1">
        <f>VLOOKUP($C93,BAU_Demands!$B$3:$BK$48,BAU_Demands!L$1,0)</f>
        <v>7.8918634460000003</v>
      </c>
      <c r="O93" s="1">
        <f>VLOOKUP($C93,BAU_Demands!$B$3:$BK$48,BAU_Demands!M$1,0)</f>
        <v>8.4675547279999996</v>
      </c>
      <c r="P93" s="1">
        <f>VLOOKUP($C93,BAU_Demands!$B$3:$BK$48,BAU_Demands!N$1,0)</f>
        <v>8.6230478349999995</v>
      </c>
      <c r="Q93" s="1">
        <f>VLOOKUP($C93,BAU_Demands!$B$3:$BK$48,BAU_Demands!O$1,0)*(1-'Políticas anunciadas'!I68)</f>
        <v>8.0668000000000006</v>
      </c>
      <c r="R93" s="1">
        <f>VLOOKUP($C93,BAU_Demands!$B$3:$BK$48,BAU_Demands!P$1,0)*(1-'Políticas anunciadas'!J68)</f>
        <v>7.6220333333333325</v>
      </c>
      <c r="S93" s="1">
        <f>VLOOKUP($C93,BAU_Demands!$B$3:$BK$48,BAU_Demands!Q$1,0)*(1-'Políticas anunciadas'!K68)</f>
        <v>8.1983999999999995</v>
      </c>
      <c r="T93" s="1">
        <f>VLOOKUP($C93,BAU_Demands!$B$3:$BK$48,BAU_Demands!R$1,0)*(1-'Políticas anunciadas'!L68)</f>
        <v>7.6471999999999998</v>
      </c>
      <c r="U93" s="1">
        <f>VLOOKUP($C93,BAU_Demands!$B$3:$BK$48,BAU_Demands!S$1,0)*(1-'Políticas anunciadas'!M68)</f>
        <v>8.4237199999999994</v>
      </c>
      <c r="V93" s="1">
        <f>VLOOKUP($C93,BAU_Demands!$B$3:$BK$48,BAU_Demands!T$1,0)*(1-'Políticas anunciadas'!N68)</f>
        <v>8.1036600000000014</v>
      </c>
      <c r="W93" s="1">
        <f>VLOOKUP($C93,BAU_Demands!$B$3:$BK$48,BAU_Demands!U$1,0)*(1-'Políticas anunciadas'!O68)</f>
        <v>8.9375999999999998</v>
      </c>
      <c r="X93" s="1">
        <f>VLOOKUP($C93,BAU_Demands!$B$3:$BK$48,BAU_Demands!V$1,0)*(1-'Políticas anunciadas'!P68)</f>
        <v>8.5472599999999996</v>
      </c>
      <c r="Y93" s="1">
        <f>VLOOKUP($C93,BAU_Demands!$B$3:$BK$48,BAU_Demands!W$1,0)*(1-'Políticas anunciadas'!Q68)</f>
        <v>9.3132000000000001</v>
      </c>
      <c r="Z93" s="1">
        <f>VLOOKUP($C93,BAU_Demands!$B$3:$BK$48,BAU_Demands!X$1,0)*(1-'Políticas anunciadas'!R68)</f>
        <v>9.0248800000000013</v>
      </c>
      <c r="AA93" s="1">
        <f>VLOOKUP($C93,BAU_Demands!$B$3:$BK$48,BAU_Demands!Y$1,0)*(1-'Políticas anunciadas'!S68)</f>
        <v>9.7117599999999999</v>
      </c>
      <c r="AB93" s="1">
        <f>VLOOKUP($C93,BAU_Demands!$B$3:$BK$48,BAU_Demands!Z$1,0)*(1-'Políticas anunciadas'!T68)</f>
        <v>9.4694400000000005</v>
      </c>
      <c r="AC93" s="1">
        <f>VLOOKUP($C93,BAU_Demands!$B$3:$BK$48,BAU_Demands!AA$1,0)*(1-'Políticas anunciadas'!U68)</f>
        <v>10.077159999999999</v>
      </c>
      <c r="AD93" s="1">
        <f>VLOOKUP($C93,BAU_Demands!$B$3:$BK$48,BAU_Demands!AB$1,0)*(1-'Políticas anunciadas'!V68)</f>
        <v>9.8648000000000007</v>
      </c>
      <c r="AE93" s="1">
        <f>VLOOKUP($C93,BAU_Demands!$B$3:$BK$48,BAU_Demands!AC$1,0)*(1-'Políticas anunciadas'!W68)</f>
        <v>10.488000000000001</v>
      </c>
      <c r="AF93" s="1">
        <f>VLOOKUP($C93,BAU_Demands!$B$3:$BK$48,BAU_Demands!AD$1,0)*(1-'Políticas anunciadas'!X68)</f>
        <v>10.389200000000001</v>
      </c>
      <c r="AG93" s="1">
        <f>VLOOKUP($C93,BAU_Demands!$B$3:$BK$48,BAU_Demands!AE$1,0)*(1-'Políticas anunciadas'!Y68)</f>
        <v>10.944000000000001</v>
      </c>
      <c r="AH93" s="1">
        <f>VLOOKUP($C93,BAU_Demands!$B$3:$BK$48,BAU_Demands!AF$1,0)*(1-'Políticas anunciadas'!Z68)</f>
        <v>10.936400000000001</v>
      </c>
      <c r="AI93" s="1">
        <f>VLOOKUP($C93,BAU_Demands!$B$3:$BK$48,BAU_Demands!AG$1,0)*(1-'Políticas anunciadas'!AA68)</f>
        <v>11.453200000000001</v>
      </c>
      <c r="AJ93" s="1">
        <f>VLOOKUP($C93,BAU_Demands!$B$3:$BK$48,BAU_Demands!AH$1,0)*(1-'Políticas anunciadas'!AB68)</f>
        <v>11.468400000000001</v>
      </c>
      <c r="AK93" s="1">
        <f>VLOOKUP($C93,BAU_Demands!$B$3:$BK$48,BAU_Demands!AI$1,0)*(1-'Políticas anunciadas'!AC68)</f>
        <v>11.954800000000001</v>
      </c>
      <c r="AL93" s="1">
        <f>VLOOKUP($C93,BAU_Demands!$B$3:$BK$48,BAU_Demands!AJ$1,0)*(1-'Políticas anunciadas'!AD68)</f>
        <v>11.954800000000001</v>
      </c>
      <c r="AM93" s="1">
        <f>VLOOKUP($C93,BAU_Demands!$B$3:$BK$48,BAU_Demands!AK$1,0)*(1-'Políticas anunciadas'!AE68)</f>
        <v>12.410799999999998</v>
      </c>
      <c r="AN93" s="1">
        <f>VLOOKUP($C93,BAU_Demands!$B$3:$BK$48,BAU_Demands!AL$1,0)*(1-'Políticas anunciadas'!AF68)</f>
        <v>12.463999999999999</v>
      </c>
      <c r="AO93" s="1">
        <f>VLOOKUP($C93,BAU_Demands!$B$3:$BK$48,BAU_Demands!AM$1,0)*(1-'Políticas anunciadas'!AG68)</f>
        <v>12.912399999999998</v>
      </c>
      <c r="AP93" s="1">
        <f>VLOOKUP($C93,BAU_Demands!$B$3:$BK$48,BAU_Demands!AN$1,0)*(1-'Políticas anunciadas'!AH68)</f>
        <v>13.0036</v>
      </c>
      <c r="AQ93" s="1">
        <f>VLOOKUP($C93,BAU_Demands!$B$3:$BK$48,BAU_Demands!AO$1,0)*(1-'Políticas anunciadas'!AI68)</f>
        <v>13.376000000000001</v>
      </c>
      <c r="AR93" s="1">
        <f>VLOOKUP($C93,BAU_Demands!$B$3:$BK$48,BAU_Demands!AP$1,0)*(1-'Políticas anunciadas'!AJ68)</f>
        <v>13.49</v>
      </c>
      <c r="AS93" s="1">
        <f>VLOOKUP($C93,BAU_Demands!$B$3:$BK$48,BAU_Demands!AQ$1,0)*(1-'Políticas anunciadas'!AK68)</f>
        <v>13.854800000000001</v>
      </c>
      <c r="AT93" s="1">
        <f>VLOOKUP($C93,BAU_Demands!$B$3:$BK$48,BAU_Demands!AR$1,0)*(1-'Políticas anunciadas'!AL68)</f>
        <v>14.158799999999999</v>
      </c>
      <c r="AU93" s="1">
        <f>VLOOKUP($C93,BAU_Demands!$B$3:$BK$48,BAU_Demands!AS$1,0)*(1-'Políticas anunciadas'!AM68)</f>
        <v>14.432399999999999</v>
      </c>
      <c r="AV93" s="1">
        <f>VLOOKUP($C93,BAU_Demands!$B$3:$BK$48,BAU_Demands!AT$1,0)*(1-'Políticas anunciadas'!AN68)</f>
        <v>14.7364</v>
      </c>
      <c r="AW93" s="1">
        <f>VLOOKUP($C93,BAU_Demands!$B$3:$BK$48,BAU_Demands!AU$1,0)*(1-'Políticas anunciadas'!AO68)</f>
        <v>15.0252</v>
      </c>
      <c r="AX93" s="1">
        <f>VLOOKUP($C93,BAU_Demands!$B$3:$BK$48,BAU_Demands!AV$1,0)*(1-'Políticas anunciadas'!AP68)</f>
        <v>15.3368</v>
      </c>
      <c r="AY93" s="1">
        <f>VLOOKUP($C93,BAU_Demands!$B$3:$BK$48,BAU_Demands!AW$1,0)*(1-'Políticas anunciadas'!AQ68)</f>
        <v>15.640799999999999</v>
      </c>
      <c r="AZ93" s="1">
        <f>VLOOKUP($C93,BAU_Demands!$B$3:$BK$48,BAU_Demands!AX$1,0)*(1-'Políticas anunciadas'!AR68)</f>
        <v>15.967600000000001</v>
      </c>
      <c r="BA93" s="1">
        <f>VLOOKUP($C93,BAU_Demands!$B$3:$BK$48,BAU_Demands!AY$1,0)*(1-'Políticas anunciadas'!AS68)</f>
        <v>16.279200000000003</v>
      </c>
      <c r="BB93" s="1">
        <f>VLOOKUP($C93,BAU_Demands!$B$3:$BK$48,BAU_Demands!AZ$1,0)*(1-'Políticas anunciadas'!AT68)</f>
        <v>16.613599999999998</v>
      </c>
      <c r="BC93" s="1">
        <f>VLOOKUP($C93,BAU_Demands!$B$3:$BK$48,BAU_Demands!BA$1,0)*(1-'Políticas anunciadas'!AU68)</f>
        <v>16.9404</v>
      </c>
      <c r="BD93" s="1">
        <f>VLOOKUP($C93,BAU_Demands!$B$3:$BK$48,BAU_Demands!BB$1,0)*(1-'Políticas anunciadas'!AV68)</f>
        <v>17.297600000000003</v>
      </c>
      <c r="BE93" s="1">
        <f>VLOOKUP($C93,BAU_Demands!$B$3:$BK$48,BAU_Demands!BC$1,0)*(1-'Políticas anunciadas'!AW68)</f>
        <v>17.647199999999998</v>
      </c>
      <c r="BF93" s="1">
        <f>VLOOKUP($C93,BAU_Demands!$B$3:$BK$48,BAU_Demands!BD$1,0)*(1-'Políticas anunciadas'!AX68)</f>
        <v>18.0044</v>
      </c>
      <c r="BG93" s="1">
        <f>VLOOKUP($C93,BAU_Demands!$B$3:$BK$48,BAU_Demands!BE$1,0)*(1-'Políticas anunciadas'!AY68)</f>
        <v>18.369200000000003</v>
      </c>
      <c r="BH93" s="1">
        <f>VLOOKUP($C93,BAU_Demands!$B$3:$BK$48,BAU_Demands!BF$1,0)*(1-'Políticas anunciadas'!AZ68)</f>
        <v>18.741600000000002</v>
      </c>
      <c r="BI93" s="1">
        <f>VLOOKUP($C93,BAU_Demands!$B$3:$BK$48,BAU_Demands!BG$1,0)*(1-'Políticas anunciadas'!BA68)</f>
        <v>19.121600000000001</v>
      </c>
      <c r="BJ93" s="1">
        <f>VLOOKUP($C93,BAU_Demands!$B$3:$BK$48,BAU_Demands!BH$1,0)*(1-'Políticas anunciadas'!BB68)</f>
        <v>19.5092</v>
      </c>
      <c r="BK93" s="1">
        <f>VLOOKUP($C93,BAU_Demands!$B$3:$BK$48,BAU_Demands!BI$1,0)*(1-'Políticas anunciadas'!BC68)</f>
        <v>19.911999999999999</v>
      </c>
      <c r="BL93" s="1">
        <f>VLOOKUP($C93,BAU_Demands!$B$3:$BK$48,BAU_Demands!BJ$1,0)*(1-'Políticas anunciadas'!BD68)</f>
        <v>20.314800000000002</v>
      </c>
      <c r="BM93" s="1">
        <f>VLOOKUP($C93,BAU_Demands!$B$3:$BK$48,BAU_Demands!BK$1,0)*(1-'Políticas anunciadas'!BE68)</f>
        <v>20.725200000000001</v>
      </c>
    </row>
    <row r="94" spans="1:65" ht="15" hidden="1" customHeight="1">
      <c r="A94" s="1" t="s">
        <v>554</v>
      </c>
      <c r="B94" s="314" t="s">
        <v>458</v>
      </c>
      <c r="C94" s="328" t="s">
        <v>495</v>
      </c>
      <c r="D94" s="1" t="s">
        <v>460</v>
      </c>
      <c r="E94" s="328" t="s">
        <v>496</v>
      </c>
      <c r="F94" s="314" t="s">
        <v>462</v>
      </c>
      <c r="G94" s="314" t="s">
        <v>463</v>
      </c>
      <c r="H94" s="314" t="s">
        <v>464</v>
      </c>
      <c r="I94" s="1"/>
      <c r="J94" s="1"/>
      <c r="K94" s="1"/>
      <c r="L94" s="1"/>
      <c r="M94" s="1">
        <f>VLOOKUP($C94,BAU_Demands!$B$3:$BK$48,BAU_Demands!K$1,0)</f>
        <v>4.480764765</v>
      </c>
      <c r="N94" s="1">
        <f>VLOOKUP($C94,BAU_Demands!$B$3:$BK$48,BAU_Demands!L$1,0)</f>
        <v>4.2873983139999998</v>
      </c>
      <c r="O94" s="1">
        <f>VLOOKUP($C94,BAU_Demands!$B$3:$BK$48,BAU_Demands!M$1,0)</f>
        <v>3.3116198030000001</v>
      </c>
      <c r="P94" s="1">
        <f>VLOOKUP($C94,BAU_Demands!$B$3:$BK$48,BAU_Demands!N$1,0)</f>
        <v>3.9848753609999998</v>
      </c>
      <c r="Q94" s="1">
        <f>VLOOKUP($C94,BAU_Demands!$B$3:$BK$48,BAU_Demands!O$1,0)*(1-'Políticas anunciadas'!I69)</f>
        <v>3.9848753609999998</v>
      </c>
      <c r="R94" s="1">
        <f>VLOOKUP($C94,BAU_Demands!$B$3:$BK$48,BAU_Demands!P$1,0)*(1-'Políticas anunciadas'!J69)</f>
        <v>3.9848753609999998</v>
      </c>
      <c r="S94" s="1">
        <f>VLOOKUP($C94,BAU_Demands!$B$3:$BK$48,BAU_Demands!Q$1,0)*(1-'Políticas anunciadas'!K69)</f>
        <v>3.9848753609999998</v>
      </c>
      <c r="T94" s="1">
        <f>VLOOKUP($C94,BAU_Demands!$B$3:$BK$48,BAU_Demands!R$1,0)*(1-'Políticas anunciadas'!L69)</f>
        <v>3.9848753609999998</v>
      </c>
      <c r="U94" s="1">
        <f>VLOOKUP($C94,BAU_Demands!$B$3:$BK$48,BAU_Demands!S$1,0)*(1-'Políticas anunciadas'!M69)</f>
        <v>3.9848753609999998</v>
      </c>
      <c r="V94" s="1">
        <f>VLOOKUP($C94,BAU_Demands!$B$3:$BK$48,BAU_Demands!T$1,0)*(1-'Políticas anunciadas'!N69)</f>
        <v>3.9848753609999998</v>
      </c>
      <c r="W94" s="1">
        <f>VLOOKUP($C94,BAU_Demands!$B$3:$BK$48,BAU_Demands!U$1,0)*(1-'Políticas anunciadas'!O69)</f>
        <v>3.9848753609999998</v>
      </c>
      <c r="X94" s="1">
        <f>VLOOKUP($C94,BAU_Demands!$B$3:$BK$48,BAU_Demands!V$1,0)*(1-'Políticas anunciadas'!P69)</f>
        <v>3.9848753609999998</v>
      </c>
      <c r="Y94" s="1">
        <f>VLOOKUP($C94,BAU_Demands!$B$3:$BK$48,BAU_Demands!W$1,0)*(1-'Políticas anunciadas'!Q69)</f>
        <v>3.9848753609999998</v>
      </c>
      <c r="Z94" s="1">
        <f>VLOOKUP($C94,BAU_Demands!$B$3:$BK$48,BAU_Demands!X$1,0)*(1-'Políticas anunciadas'!R69)</f>
        <v>3.9848753609999998</v>
      </c>
      <c r="AA94" s="1">
        <f>VLOOKUP($C94,BAU_Demands!$B$3:$BK$48,BAU_Demands!Y$1,0)*(1-'Políticas anunciadas'!S69)</f>
        <v>3.9848753609999998</v>
      </c>
      <c r="AB94" s="1">
        <f>VLOOKUP($C94,BAU_Demands!$B$3:$BK$48,BAU_Demands!Z$1,0)*(1-'Políticas anunciadas'!T69)</f>
        <v>3.9848753609999998</v>
      </c>
      <c r="AC94" s="1">
        <f>VLOOKUP($C94,BAU_Demands!$B$3:$BK$48,BAU_Demands!AA$1,0)*(1-'Políticas anunciadas'!U69)</f>
        <v>3.9848753609999998</v>
      </c>
      <c r="AD94" s="1">
        <f>VLOOKUP($C94,BAU_Demands!$B$3:$BK$48,BAU_Demands!AB$1,0)*(1-'Políticas anunciadas'!V69)</f>
        <v>3.9848753609999998</v>
      </c>
      <c r="AE94" s="1">
        <f>VLOOKUP($C94,BAU_Demands!$B$3:$BK$48,BAU_Demands!AC$1,0)*(1-'Políticas anunciadas'!W69)</f>
        <v>3.9848753609999998</v>
      </c>
      <c r="AF94" s="1">
        <f>VLOOKUP($C94,BAU_Demands!$B$3:$BK$48,BAU_Demands!AD$1,0)*(1-'Políticas anunciadas'!X69)</f>
        <v>3.9848753609999998</v>
      </c>
      <c r="AG94" s="1">
        <f>VLOOKUP($C94,BAU_Demands!$B$3:$BK$48,BAU_Demands!AE$1,0)*(1-'Políticas anunciadas'!Y69)</f>
        <v>3.9848753609999998</v>
      </c>
      <c r="AH94" s="1">
        <f>VLOOKUP($C94,BAU_Demands!$B$3:$BK$48,BAU_Demands!AF$1,0)*(1-'Políticas anunciadas'!Z69)</f>
        <v>3.9848753609999998</v>
      </c>
      <c r="AI94" s="1">
        <f>VLOOKUP($C94,BAU_Demands!$B$3:$BK$48,BAU_Demands!AG$1,0)*(1-'Políticas anunciadas'!AA69)</f>
        <v>3.9848753609999998</v>
      </c>
      <c r="AJ94" s="1">
        <f>VLOOKUP($C94,BAU_Demands!$B$3:$BK$48,BAU_Demands!AH$1,0)*(1-'Políticas anunciadas'!AB69)</f>
        <v>3.9848753609999998</v>
      </c>
      <c r="AK94" s="1">
        <f>VLOOKUP($C94,BAU_Demands!$B$3:$BK$48,BAU_Demands!AI$1,0)*(1-'Políticas anunciadas'!AC69)</f>
        <v>3.9848753609999998</v>
      </c>
      <c r="AL94" s="1">
        <f>VLOOKUP($C94,BAU_Demands!$B$3:$BK$48,BAU_Demands!AJ$1,0)*(1-'Políticas anunciadas'!AD69)</f>
        <v>3.9848753609999998</v>
      </c>
      <c r="AM94" s="1">
        <f>VLOOKUP($C94,BAU_Demands!$B$3:$BK$48,BAU_Demands!AK$1,0)*(1-'Políticas anunciadas'!AE69)</f>
        <v>3.9848753609999998</v>
      </c>
      <c r="AN94" s="1">
        <f>VLOOKUP($C94,BAU_Demands!$B$3:$BK$48,BAU_Demands!AL$1,0)*(1-'Políticas anunciadas'!AF69)</f>
        <v>3.9848753609999998</v>
      </c>
      <c r="AO94" s="1">
        <f>VLOOKUP($C94,BAU_Demands!$B$3:$BK$48,BAU_Demands!AM$1,0)*(1-'Políticas anunciadas'!AG69)</f>
        <v>3.9848753609999998</v>
      </c>
      <c r="AP94" s="1">
        <f>VLOOKUP($C94,BAU_Demands!$B$3:$BK$48,BAU_Demands!AN$1,0)*(1-'Políticas anunciadas'!AH69)</f>
        <v>3.9848753609999998</v>
      </c>
      <c r="AQ94" s="1">
        <f>VLOOKUP($C94,BAU_Demands!$B$3:$BK$48,BAU_Demands!AO$1,0)*(1-'Políticas anunciadas'!AI69)</f>
        <v>3.9848753609999998</v>
      </c>
      <c r="AR94" s="1">
        <f>VLOOKUP($C94,BAU_Demands!$B$3:$BK$48,BAU_Demands!AP$1,0)*(1-'Políticas anunciadas'!AJ69)</f>
        <v>3.9848753609999998</v>
      </c>
      <c r="AS94" s="1">
        <f>VLOOKUP($C94,BAU_Demands!$B$3:$BK$48,BAU_Demands!AQ$1,0)*(1-'Políticas anunciadas'!AK69)</f>
        <v>3.9848753609999998</v>
      </c>
      <c r="AT94" s="1">
        <f>VLOOKUP($C94,BAU_Demands!$B$3:$BK$48,BAU_Demands!AR$1,0)*(1-'Políticas anunciadas'!AL69)</f>
        <v>3.9848753609999998</v>
      </c>
      <c r="AU94" s="1">
        <f>VLOOKUP($C94,BAU_Demands!$B$3:$BK$48,BAU_Demands!AS$1,0)*(1-'Políticas anunciadas'!AM69)</f>
        <v>3.9848753609999998</v>
      </c>
      <c r="AV94" s="1">
        <f>VLOOKUP($C94,BAU_Demands!$B$3:$BK$48,BAU_Demands!AT$1,0)*(1-'Políticas anunciadas'!AN69)</f>
        <v>3.9848753609999998</v>
      </c>
      <c r="AW94" s="1">
        <f>VLOOKUP($C94,BAU_Demands!$B$3:$BK$48,BAU_Demands!AU$1,0)*(1-'Políticas anunciadas'!AO69)</f>
        <v>3.9848753609999998</v>
      </c>
      <c r="AX94" s="1">
        <f>VLOOKUP($C94,BAU_Demands!$B$3:$BK$48,BAU_Demands!AV$1,0)*(1-'Políticas anunciadas'!AP69)</f>
        <v>3.9848753609999998</v>
      </c>
      <c r="AY94" s="1">
        <f>VLOOKUP($C94,BAU_Demands!$B$3:$BK$48,BAU_Demands!AW$1,0)*(1-'Políticas anunciadas'!AQ69)</f>
        <v>3.9848753609999998</v>
      </c>
      <c r="AZ94" s="1">
        <f>VLOOKUP($C94,BAU_Demands!$B$3:$BK$48,BAU_Demands!AX$1,0)*(1-'Políticas anunciadas'!AR69)</f>
        <v>3.9848753609999998</v>
      </c>
      <c r="BA94" s="1">
        <f>VLOOKUP($C94,BAU_Demands!$B$3:$BK$48,BAU_Demands!AY$1,0)*(1-'Políticas anunciadas'!AS69)</f>
        <v>3.9848753609999998</v>
      </c>
      <c r="BB94" s="1">
        <f>VLOOKUP($C94,BAU_Demands!$B$3:$BK$48,BAU_Demands!AZ$1,0)*(1-'Políticas anunciadas'!AT69)</f>
        <v>3.9848753609999998</v>
      </c>
      <c r="BC94" s="1">
        <f>VLOOKUP($C94,BAU_Demands!$B$3:$BK$48,BAU_Demands!BA$1,0)*(1-'Políticas anunciadas'!AU69)</f>
        <v>3.9848753609999998</v>
      </c>
      <c r="BD94" s="1">
        <f>VLOOKUP($C94,BAU_Demands!$B$3:$BK$48,BAU_Demands!BB$1,0)*(1-'Políticas anunciadas'!AV69)</f>
        <v>3.9848753609999998</v>
      </c>
      <c r="BE94" s="1">
        <f>VLOOKUP($C94,BAU_Demands!$B$3:$BK$48,BAU_Demands!BC$1,0)*(1-'Políticas anunciadas'!AW69)</f>
        <v>3.9848753609999998</v>
      </c>
      <c r="BF94" s="1">
        <f>VLOOKUP($C94,BAU_Demands!$B$3:$BK$48,BAU_Demands!BD$1,0)*(1-'Políticas anunciadas'!AX69)</f>
        <v>3.9848753609999998</v>
      </c>
      <c r="BG94" s="1">
        <f>VLOOKUP($C94,BAU_Demands!$B$3:$BK$48,BAU_Demands!BE$1,0)*(1-'Políticas anunciadas'!AY69)</f>
        <v>3.9848753609999998</v>
      </c>
      <c r="BH94" s="1">
        <f>VLOOKUP($C94,BAU_Demands!$B$3:$BK$48,BAU_Demands!BF$1,0)*(1-'Políticas anunciadas'!AZ69)</f>
        <v>3.9848753609999998</v>
      </c>
      <c r="BI94" s="1">
        <f>VLOOKUP($C94,BAU_Demands!$B$3:$BK$48,BAU_Demands!BG$1,0)*(1-'Políticas anunciadas'!BA69)</f>
        <v>3.9848753609999998</v>
      </c>
      <c r="BJ94" s="1">
        <f>VLOOKUP($C94,BAU_Demands!$B$3:$BK$48,BAU_Demands!BH$1,0)*(1-'Políticas anunciadas'!BB69)</f>
        <v>3.9848753609999998</v>
      </c>
      <c r="BK94" s="1">
        <f>VLOOKUP($C94,BAU_Demands!$B$3:$BK$48,BAU_Demands!BI$1,0)*(1-'Políticas anunciadas'!BC69)</f>
        <v>3.9848753609999998</v>
      </c>
      <c r="BL94" s="1">
        <f>VLOOKUP($C94,BAU_Demands!$B$3:$BK$48,BAU_Demands!BJ$1,0)*(1-'Políticas anunciadas'!BD69)</f>
        <v>3.9848753609999998</v>
      </c>
      <c r="BM94" s="1">
        <f>VLOOKUP($C94,BAU_Demands!$B$3:$BK$48,BAU_Demands!BK$1,0)*(1-'Políticas anunciadas'!BE69)</f>
        <v>3.9848753609999998</v>
      </c>
    </row>
    <row r="95" spans="1:65" ht="15" hidden="1" customHeight="1">
      <c r="A95" s="1" t="s">
        <v>554</v>
      </c>
      <c r="B95" s="314" t="s">
        <v>458</v>
      </c>
      <c r="C95" s="328" t="s">
        <v>497</v>
      </c>
      <c r="D95" s="1" t="s">
        <v>460</v>
      </c>
      <c r="E95" s="328" t="s">
        <v>498</v>
      </c>
      <c r="F95" s="314" t="s">
        <v>462</v>
      </c>
      <c r="G95" s="314" t="s">
        <v>463</v>
      </c>
      <c r="H95" s="314" t="s">
        <v>464</v>
      </c>
      <c r="I95" s="1"/>
      <c r="J95" s="1"/>
      <c r="K95" s="1"/>
      <c r="L95" s="1"/>
      <c r="M95" s="1">
        <f>VLOOKUP($C95,BAU_Demands!$B$3:$BK$48,BAU_Demands!K$1,0)</f>
        <v>2.548915091</v>
      </c>
      <c r="N95" s="1">
        <f>VLOOKUP($C95,BAU_Demands!$B$3:$BK$48,BAU_Demands!L$1,0)</f>
        <v>2.9144162329999999</v>
      </c>
      <c r="O95" s="1">
        <f>VLOOKUP($C95,BAU_Demands!$B$3:$BK$48,BAU_Demands!M$1,0)</f>
        <v>0.673872794</v>
      </c>
      <c r="P95" s="1">
        <f>VLOOKUP($C95,BAU_Demands!$B$3:$BK$48,BAU_Demands!N$1,0)</f>
        <v>3.1559712019999999</v>
      </c>
      <c r="Q95" s="1">
        <f>VLOOKUP($C95,BAU_Demands!$B$3:$BK$48,BAU_Demands!O$1,0)*(1-'Políticas anunciadas'!I70)</f>
        <v>2.9498000000000002</v>
      </c>
      <c r="R95" s="1">
        <f>VLOOKUP($C95,BAU_Demands!$B$3:$BK$48,BAU_Demands!P$1,0)*(1-'Políticas anunciadas'!J70)</f>
        <v>2.7861000000000002</v>
      </c>
      <c r="S95" s="1">
        <f>VLOOKUP($C95,BAU_Demands!$B$3:$BK$48,BAU_Demands!Q$1,0)*(1-'Políticas anunciadas'!K70)</f>
        <v>3.0011999999999999</v>
      </c>
      <c r="T95" s="1">
        <f>VLOOKUP($C95,BAU_Demands!$B$3:$BK$48,BAU_Demands!R$1,0)*(1-'Políticas anunciadas'!L70)</f>
        <v>2.7966000000000002</v>
      </c>
      <c r="U95" s="1">
        <f>VLOOKUP($C95,BAU_Demands!$B$3:$BK$48,BAU_Demands!S$1,0)*(1-'Políticas anunciadas'!M70)</f>
        <v>3.08108</v>
      </c>
      <c r="V95" s="1">
        <f>VLOOKUP($C95,BAU_Demands!$B$3:$BK$48,BAU_Demands!T$1,0)*(1-'Políticas anunciadas'!N70)</f>
        <v>2.9632200000000002</v>
      </c>
      <c r="W95" s="1">
        <f>VLOOKUP($C95,BAU_Demands!$B$3:$BK$48,BAU_Demands!U$1,0)*(1-'Políticas anunciadas'!O70)</f>
        <v>3.2692800000000002</v>
      </c>
      <c r="X95" s="1">
        <f>VLOOKUP($C95,BAU_Demands!$B$3:$BK$48,BAU_Demands!V$1,0)*(1-'Políticas anunciadas'!P70)</f>
        <v>3.1280000000000001</v>
      </c>
      <c r="Y95" s="1">
        <f>VLOOKUP($C95,BAU_Demands!$B$3:$BK$48,BAU_Demands!W$1,0)*(1-'Políticas anunciadas'!Q70)</f>
        <v>3.4086000000000003</v>
      </c>
      <c r="Z95" s="1">
        <f>VLOOKUP($C95,BAU_Demands!$B$3:$BK$48,BAU_Demands!X$1,0)*(1-'Políticas anunciadas'!R70)</f>
        <v>3.298</v>
      </c>
      <c r="AA95" s="1">
        <f>VLOOKUP($C95,BAU_Demands!$B$3:$BK$48,BAU_Demands!Y$1,0)*(1-'Políticas anunciadas'!S70)</f>
        <v>3.5511999999999997</v>
      </c>
      <c r="AB95" s="1">
        <f>VLOOKUP($C95,BAU_Demands!$B$3:$BK$48,BAU_Demands!Z$1,0)*(1-'Políticas anunciadas'!T70)</f>
        <v>3.4636800000000001</v>
      </c>
      <c r="AC95" s="1">
        <f>VLOOKUP($C95,BAU_Demands!$B$3:$BK$48,BAU_Demands!AA$1,0)*(1-'Políticas anunciadas'!U70)</f>
        <v>3.6901200000000003</v>
      </c>
      <c r="AD95" s="1">
        <f>VLOOKUP($C95,BAU_Demands!$B$3:$BK$48,BAU_Demands!AB$1,0)*(1-'Políticas anunciadas'!V70)</f>
        <v>3.61</v>
      </c>
      <c r="AE95" s="1">
        <f>VLOOKUP($C95,BAU_Demands!$B$3:$BK$48,BAU_Demands!AC$1,0)*(1-'Políticas anunciadas'!W70)</f>
        <v>3.8380000000000001</v>
      </c>
      <c r="AF95" s="1">
        <f>VLOOKUP($C95,BAU_Demands!$B$3:$BK$48,BAU_Demands!AD$1,0)*(1-'Políticas anunciadas'!X70)</f>
        <v>3.8</v>
      </c>
      <c r="AG95" s="1">
        <f>VLOOKUP($C95,BAU_Demands!$B$3:$BK$48,BAU_Demands!AE$1,0)*(1-'Políticas anunciadas'!Y70)</f>
        <v>4.0051999999999994</v>
      </c>
      <c r="AH95" s="1">
        <f>VLOOKUP($C95,BAU_Demands!$B$3:$BK$48,BAU_Demands!AF$1,0)*(1-'Políticas anunciadas'!Z70)</f>
        <v>4.0051999999999994</v>
      </c>
      <c r="AI95" s="1">
        <f>VLOOKUP($C95,BAU_Demands!$B$3:$BK$48,BAU_Demands!AG$1,0)*(1-'Políticas anunciadas'!AA70)</f>
        <v>4.1875999999999998</v>
      </c>
      <c r="AJ95" s="1">
        <f>VLOOKUP($C95,BAU_Demands!$B$3:$BK$48,BAU_Demands!AH$1,0)*(1-'Políticas anunciadas'!AB70)</f>
        <v>4.1951999999999998</v>
      </c>
      <c r="AK95" s="1">
        <f>VLOOKUP($C95,BAU_Demands!$B$3:$BK$48,BAU_Demands!AI$1,0)*(1-'Políticas anunciadas'!AC70)</f>
        <v>4.3776000000000002</v>
      </c>
      <c r="AL95" s="1">
        <f>VLOOKUP($C95,BAU_Demands!$B$3:$BK$48,BAU_Demands!AJ$1,0)*(1-'Políticas anunciadas'!AD70)</f>
        <v>4.3776000000000002</v>
      </c>
      <c r="AM95" s="1">
        <f>VLOOKUP($C95,BAU_Demands!$B$3:$BK$48,BAU_Demands!AK$1,0)*(1-'Políticas anunciadas'!AE70)</f>
        <v>4.5448000000000004</v>
      </c>
      <c r="AN95" s="1">
        <f>VLOOKUP($C95,BAU_Demands!$B$3:$BK$48,BAU_Demands!AL$1,0)*(1-'Políticas anunciadas'!AF70)</f>
        <v>4.5600000000000005</v>
      </c>
      <c r="AO95" s="1">
        <f>VLOOKUP($C95,BAU_Demands!$B$3:$BK$48,BAU_Demands!AM$1,0)*(1-'Políticas anunciadas'!AG70)</f>
        <v>4.7271999999999998</v>
      </c>
      <c r="AP95" s="1">
        <f>VLOOKUP($C95,BAU_Demands!$B$3:$BK$48,BAU_Demands!AN$1,0)*(1-'Políticas anunciadas'!AH70)</f>
        <v>4.7576000000000001</v>
      </c>
      <c r="AQ95" s="1">
        <f>VLOOKUP($C95,BAU_Demands!$B$3:$BK$48,BAU_Demands!AO$1,0)*(1-'Políticas anunciadas'!AI70)</f>
        <v>4.8944000000000001</v>
      </c>
      <c r="AR95" s="1">
        <f>VLOOKUP($C95,BAU_Demands!$B$3:$BK$48,BAU_Demands!AP$1,0)*(1-'Políticas anunciadas'!AJ70)</f>
        <v>4.9400000000000004</v>
      </c>
      <c r="AS95" s="1">
        <f>VLOOKUP($C95,BAU_Demands!$B$3:$BK$48,BAU_Demands!AQ$1,0)*(1-'Políticas anunciadas'!AK70)</f>
        <v>5.0692000000000004</v>
      </c>
      <c r="AT95" s="1">
        <f>VLOOKUP($C95,BAU_Demands!$B$3:$BK$48,BAU_Demands!AR$1,0)*(1-'Políticas anunciadas'!AL70)</f>
        <v>5.1832000000000003</v>
      </c>
      <c r="AU95" s="1">
        <f>VLOOKUP($C95,BAU_Demands!$B$3:$BK$48,BAU_Demands!AS$1,0)*(1-'Políticas anunciadas'!AM70)</f>
        <v>5.282</v>
      </c>
      <c r="AV95" s="1">
        <f>VLOOKUP($C95,BAU_Demands!$B$3:$BK$48,BAU_Demands!AT$1,0)*(1-'Políticas anunciadas'!AN70)</f>
        <v>5.3959999999999999</v>
      </c>
      <c r="AW95" s="1">
        <f>VLOOKUP($C95,BAU_Demands!$B$3:$BK$48,BAU_Demands!AU$1,0)*(1-'Políticas anunciadas'!AO70)</f>
        <v>5.4948000000000006</v>
      </c>
      <c r="AX95" s="1">
        <f>VLOOKUP($C95,BAU_Demands!$B$3:$BK$48,BAU_Demands!AV$1,0)*(1-'Políticas anunciadas'!AP70)</f>
        <v>5.6163999999999996</v>
      </c>
      <c r="AY95" s="1">
        <f>VLOOKUP($C95,BAU_Demands!$B$3:$BK$48,BAU_Demands!AW$1,0)*(1-'Políticas anunciadas'!AQ70)</f>
        <v>5.7228000000000003</v>
      </c>
      <c r="AZ95" s="1">
        <f>VLOOKUP($C95,BAU_Demands!$B$3:$BK$48,BAU_Demands!AX$1,0)*(1-'Políticas anunciadas'!AR70)</f>
        <v>5.8444000000000003</v>
      </c>
      <c r="BA95" s="1">
        <f>VLOOKUP($C95,BAU_Demands!$B$3:$BK$48,BAU_Demands!AY$1,0)*(1-'Políticas anunciadas'!AS70)</f>
        <v>5.9584000000000001</v>
      </c>
      <c r="BB95" s="1">
        <f>VLOOKUP($C95,BAU_Demands!$B$3:$BK$48,BAU_Demands!AZ$1,0)*(1-'Políticas anunciadas'!AT70)</f>
        <v>6.08</v>
      </c>
      <c r="BC95" s="1">
        <f>VLOOKUP($C95,BAU_Demands!$B$3:$BK$48,BAU_Demands!BA$1,0)*(1-'Políticas anunciadas'!AU70)</f>
        <v>6.2016</v>
      </c>
      <c r="BD95" s="1">
        <f>VLOOKUP($C95,BAU_Demands!$B$3:$BK$48,BAU_Demands!BB$1,0)*(1-'Políticas anunciadas'!AV70)</f>
        <v>6.3308</v>
      </c>
      <c r="BE95" s="1">
        <f>VLOOKUP($C95,BAU_Demands!$B$3:$BK$48,BAU_Demands!BC$1,0)*(1-'Políticas anunciadas'!AW70)</f>
        <v>6.46</v>
      </c>
      <c r="BF95" s="1">
        <f>VLOOKUP($C95,BAU_Demands!$B$3:$BK$48,BAU_Demands!BD$1,0)*(1-'Políticas anunciadas'!AX70)</f>
        <v>6.5891999999999999</v>
      </c>
      <c r="BG95" s="1">
        <f>VLOOKUP($C95,BAU_Demands!$B$3:$BK$48,BAU_Demands!BE$1,0)*(1-'Políticas anunciadas'!AY70)</f>
        <v>6.726</v>
      </c>
      <c r="BH95" s="1">
        <f>VLOOKUP($C95,BAU_Demands!$B$3:$BK$48,BAU_Demands!BF$1,0)*(1-'Políticas anunciadas'!AZ70)</f>
        <v>6.8628</v>
      </c>
      <c r="BI95" s="1">
        <f>VLOOKUP($C95,BAU_Demands!$B$3:$BK$48,BAU_Demands!BG$1,0)*(1-'Políticas anunciadas'!BA70)</f>
        <v>6.9996000000000009</v>
      </c>
      <c r="BJ95" s="1">
        <f>VLOOKUP($C95,BAU_Demands!$B$3:$BK$48,BAU_Demands!BH$1,0)*(1-'Políticas anunciadas'!BB70)</f>
        <v>7.1440000000000001</v>
      </c>
      <c r="BK95" s="1">
        <f>VLOOKUP($C95,BAU_Demands!$B$3:$BK$48,BAU_Demands!BI$1,0)*(1-'Políticas anunciadas'!BC70)</f>
        <v>7.2884000000000002</v>
      </c>
      <c r="BL95" s="1">
        <f>VLOOKUP($C95,BAU_Demands!$B$3:$BK$48,BAU_Demands!BJ$1,0)*(1-'Políticas anunciadas'!BD70)</f>
        <v>7.4327999999999994</v>
      </c>
      <c r="BM95" s="1">
        <f>VLOOKUP($C95,BAU_Demands!$B$3:$BK$48,BAU_Demands!BK$1,0)*(1-'Políticas anunciadas'!BE70)</f>
        <v>7.5848000000000004</v>
      </c>
    </row>
    <row r="96" spans="1:65" ht="15" hidden="1" customHeight="1">
      <c r="A96" s="1" t="s">
        <v>554</v>
      </c>
      <c r="B96" s="314" t="s">
        <v>458</v>
      </c>
      <c r="C96" s="329" t="s">
        <v>499</v>
      </c>
      <c r="D96" s="1" t="s">
        <v>460</v>
      </c>
      <c r="E96" s="329" t="s">
        <v>500</v>
      </c>
      <c r="F96" s="314" t="s">
        <v>462</v>
      </c>
      <c r="G96" s="314" t="s">
        <v>463</v>
      </c>
      <c r="H96" s="314" t="s">
        <v>464</v>
      </c>
      <c r="I96" s="1"/>
      <c r="J96" s="1"/>
      <c r="K96" s="1"/>
      <c r="L96" s="1"/>
      <c r="M96" s="1">
        <f>VLOOKUP($C96,BAU_Demands!$B$3:$BK$48,BAU_Demands!K$1,0)</f>
        <v>34.952288680000002</v>
      </c>
      <c r="N96" s="1">
        <f>VLOOKUP($C96,BAU_Demands!$B$3:$BK$48,BAU_Demands!L$1,0)</f>
        <v>32.606013470000001</v>
      </c>
      <c r="O96" s="1">
        <f>VLOOKUP($C96,BAU_Demands!$B$3:$BK$48,BAU_Demands!M$1,0)</f>
        <v>25.107180830000001</v>
      </c>
      <c r="P96" s="1">
        <f>VLOOKUP($C96,BAU_Demands!$B$3:$BK$48,BAU_Demands!N$1,0)</f>
        <v>20.302984909999999</v>
      </c>
      <c r="Q96" s="1">
        <f>VLOOKUP($C96,BAU_Demands!$B$3:$BK$48,BAU_Demands!O$1,0)*(1-'Políticas anunciadas'!I71)</f>
        <v>22.09</v>
      </c>
      <c r="R96" s="1">
        <f>VLOOKUP($C96,BAU_Demands!$B$3:$BK$48,BAU_Demands!P$1,0)*(1-'Políticas anunciadas'!J71)</f>
        <v>21.45</v>
      </c>
      <c r="S96" s="1">
        <f>VLOOKUP($C96,BAU_Demands!$B$3:$BK$48,BAU_Demands!Q$1,0)*(1-'Políticas anunciadas'!K71)</f>
        <v>23.74</v>
      </c>
      <c r="T96" s="1">
        <f>VLOOKUP($C96,BAU_Demands!$B$3:$BK$48,BAU_Demands!R$1,0)*(1-'Políticas anunciadas'!L71)</f>
        <v>22.79</v>
      </c>
      <c r="U96" s="1">
        <f>VLOOKUP($C96,BAU_Demands!$B$3:$BK$48,BAU_Demands!S$1,0)*(1-'Políticas anunciadas'!M71)</f>
        <v>25.16</v>
      </c>
      <c r="V96" s="1">
        <f>VLOOKUP($C96,BAU_Demands!$B$3:$BK$48,BAU_Demands!T$1,0)*(1-'Políticas anunciadas'!N71)</f>
        <v>24.28</v>
      </c>
      <c r="W96" s="1">
        <f>VLOOKUP($C96,BAU_Demands!$B$3:$BK$48,BAU_Demands!U$1,0)*(1-'Políticas anunciadas'!O71)</f>
        <v>26.84</v>
      </c>
      <c r="X96" s="1">
        <f>VLOOKUP($C96,BAU_Demands!$B$3:$BK$48,BAU_Demands!V$1,0)*(1-'Políticas anunciadas'!P71)</f>
        <v>25.74</v>
      </c>
      <c r="Y96" s="1">
        <f>VLOOKUP($C96,BAU_Demands!$B$3:$BK$48,BAU_Demands!W$1,0)*(1-'Políticas anunciadas'!Q71)</f>
        <v>28.11</v>
      </c>
      <c r="Z96" s="1">
        <f>VLOOKUP($C96,BAU_Demands!$B$3:$BK$48,BAU_Demands!X$1,0)*(1-'Políticas anunciadas'!R71)</f>
        <v>27.37</v>
      </c>
      <c r="AA96" s="1">
        <f>VLOOKUP($C96,BAU_Demands!$B$3:$BK$48,BAU_Demands!Y$1,0)*(1-'Políticas anunciadas'!S71)</f>
        <v>29.61</v>
      </c>
      <c r="AB96" s="1">
        <f>VLOOKUP($C96,BAU_Demands!$B$3:$BK$48,BAU_Demands!Z$1,0)*(1-'Políticas anunciadas'!T71)</f>
        <v>29.02</v>
      </c>
      <c r="AC96" s="1">
        <f>VLOOKUP($C96,BAU_Demands!$B$3:$BK$48,BAU_Demands!AA$1,0)*(1-'Políticas anunciadas'!U71)</f>
        <v>31.06</v>
      </c>
      <c r="AD96" s="1">
        <f>VLOOKUP($C96,BAU_Demands!$B$3:$BK$48,BAU_Demands!AB$1,0)*(1-'Políticas anunciadas'!V71)</f>
        <v>30.56</v>
      </c>
      <c r="AE96" s="1">
        <f>VLOOKUP($C96,BAU_Demands!$B$3:$BK$48,BAU_Demands!AC$1,0)*(1-'Políticas anunciadas'!W71)</f>
        <v>32.49</v>
      </c>
      <c r="AF96" s="1">
        <f>VLOOKUP($C96,BAU_Demands!$B$3:$BK$48,BAU_Demands!AD$1,0)*(1-'Políticas anunciadas'!X71)</f>
        <v>32.18</v>
      </c>
      <c r="AG96" s="1">
        <f>VLOOKUP($C96,BAU_Demands!$B$3:$BK$48,BAU_Demands!AE$1,0)*(1-'Políticas anunciadas'!Y71)</f>
        <v>33.909999999999997</v>
      </c>
      <c r="AH96" s="1">
        <f>VLOOKUP($C96,BAU_Demands!$B$3:$BK$48,BAU_Demands!AF$1,0)*(1-'Políticas anunciadas'!Z71)</f>
        <v>33.869999999999997</v>
      </c>
      <c r="AI96" s="1">
        <f>VLOOKUP($C96,BAU_Demands!$B$3:$BK$48,BAU_Demands!AG$1,0)*(1-'Políticas anunciadas'!AA71)</f>
        <v>35.47</v>
      </c>
      <c r="AJ96" s="1">
        <f>VLOOKUP($C96,BAU_Demands!$B$3:$BK$48,BAU_Demands!AH$1,0)*(1-'Políticas anunciadas'!AB71)</f>
        <v>35.53</v>
      </c>
      <c r="AK96" s="1">
        <f>VLOOKUP($C96,BAU_Demands!$B$3:$BK$48,BAU_Demands!AI$1,0)*(1-'Políticas anunciadas'!AC71)</f>
        <v>37.03</v>
      </c>
      <c r="AL96" s="1">
        <f>VLOOKUP($C96,BAU_Demands!$B$3:$BK$48,BAU_Demands!AJ$1,0)*(1-'Políticas anunciadas'!AD71)</f>
        <v>37.04</v>
      </c>
      <c r="AM96" s="1">
        <f>VLOOKUP($C96,BAU_Demands!$B$3:$BK$48,BAU_Demands!AK$1,0)*(1-'Políticas anunciadas'!AE71)</f>
        <v>38.44</v>
      </c>
      <c r="AN96" s="1">
        <f>VLOOKUP($C96,BAU_Demands!$B$3:$BK$48,BAU_Demands!AL$1,0)*(1-'Políticas anunciadas'!AF71)</f>
        <v>38.619999999999997</v>
      </c>
      <c r="AO96" s="1">
        <f>VLOOKUP($C96,BAU_Demands!$B$3:$BK$48,BAU_Demands!AM$1,0)*(1-'Políticas anunciadas'!AG71)</f>
        <v>40</v>
      </c>
      <c r="AP96" s="1">
        <f>VLOOKUP($C96,BAU_Demands!$B$3:$BK$48,BAU_Demands!AN$1,0)*(1-'Políticas anunciadas'!AH71)</f>
        <v>40.29</v>
      </c>
      <c r="AQ96" s="1">
        <f>VLOOKUP($C96,BAU_Demands!$B$3:$BK$48,BAU_Demands!AO$1,0)*(1-'Políticas anunciadas'!AI71)</f>
        <v>41.43</v>
      </c>
      <c r="AR96" s="1">
        <f>VLOOKUP($C96,BAU_Demands!$B$3:$BK$48,BAU_Demands!AP$1,0)*(1-'Políticas anunciadas'!AJ71)</f>
        <v>41.8</v>
      </c>
      <c r="AS96" s="1">
        <f>VLOOKUP($C96,BAU_Demands!$B$3:$BK$48,BAU_Demands!AQ$1,0)*(1-'Políticas anunciadas'!AK71)</f>
        <v>42.91</v>
      </c>
      <c r="AT96" s="1">
        <f>VLOOKUP($C96,BAU_Demands!$B$3:$BK$48,BAU_Demands!AR$1,0)*(1-'Políticas anunciadas'!AL71)</f>
        <v>43.85</v>
      </c>
      <c r="AU96" s="1">
        <f>VLOOKUP($C96,BAU_Demands!$B$3:$BK$48,BAU_Demands!AS$1,0)*(1-'Políticas anunciadas'!AM71)</f>
        <v>44.71</v>
      </c>
      <c r="AV96" s="1">
        <f>VLOOKUP($C96,BAU_Demands!$B$3:$BK$48,BAU_Demands!AT$1,0)*(1-'Políticas anunciadas'!AN71)</f>
        <v>45.66</v>
      </c>
      <c r="AW96" s="1">
        <f>VLOOKUP($C96,BAU_Demands!$B$3:$BK$48,BAU_Demands!AU$1,0)*(1-'Políticas anunciadas'!AO71)</f>
        <v>46.54</v>
      </c>
      <c r="AX96" s="1">
        <f>VLOOKUP($C96,BAU_Demands!$B$3:$BK$48,BAU_Demands!AV$1,0)*(1-'Políticas anunciadas'!AP71)</f>
        <v>47.52</v>
      </c>
      <c r="AY96" s="1">
        <f>VLOOKUP($C96,BAU_Demands!$B$3:$BK$48,BAU_Demands!AW$1,0)*(1-'Políticas anunciadas'!AQ71)</f>
        <v>48.45</v>
      </c>
      <c r="AZ96" s="1">
        <f>VLOOKUP($C96,BAU_Demands!$B$3:$BK$48,BAU_Demands!AX$1,0)*(1-'Políticas anunciadas'!AR71)</f>
        <v>49.46</v>
      </c>
      <c r="BA96" s="1">
        <f>VLOOKUP($C96,BAU_Demands!$B$3:$BK$48,BAU_Demands!AY$1,0)*(1-'Políticas anunciadas'!AS71)</f>
        <v>50.42</v>
      </c>
      <c r="BB96" s="1">
        <f>VLOOKUP($C96,BAU_Demands!$B$3:$BK$48,BAU_Demands!AZ$1,0)*(1-'Políticas anunciadas'!AT71)</f>
        <v>51.46</v>
      </c>
      <c r="BC96" s="1">
        <f>VLOOKUP($C96,BAU_Demands!$B$3:$BK$48,BAU_Demands!BA$1,0)*(1-'Políticas anunciadas'!AU71)</f>
        <v>52.49</v>
      </c>
      <c r="BD96" s="1">
        <f>VLOOKUP($C96,BAU_Demands!$B$3:$BK$48,BAU_Demands!BB$1,0)*(1-'Políticas anunciadas'!AV71)</f>
        <v>53.58</v>
      </c>
      <c r="BE96" s="1">
        <f>VLOOKUP($C96,BAU_Demands!$B$3:$BK$48,BAU_Demands!BC$1,0)*(1-'Políticas anunciadas'!AW71)</f>
        <v>54.68</v>
      </c>
      <c r="BF96" s="1">
        <f>VLOOKUP($C96,BAU_Demands!$B$3:$BK$48,BAU_Demands!BD$1,0)*(1-'Políticas anunciadas'!AX71)</f>
        <v>55.79</v>
      </c>
      <c r="BG96" s="1">
        <f>VLOOKUP($C96,BAU_Demands!$B$3:$BK$48,BAU_Demands!BE$1,0)*(1-'Políticas anunciadas'!AY71)</f>
        <v>56.92</v>
      </c>
      <c r="BH96" s="1">
        <f>VLOOKUP($C96,BAU_Demands!$B$3:$BK$48,BAU_Demands!BF$1,0)*(1-'Políticas anunciadas'!AZ71)</f>
        <v>58.07</v>
      </c>
      <c r="BI96" s="1">
        <f>VLOOKUP($C96,BAU_Demands!$B$3:$BK$48,BAU_Demands!BG$1,0)*(1-'Políticas anunciadas'!BA71)</f>
        <v>59.25</v>
      </c>
      <c r="BJ96" s="1">
        <f>VLOOKUP($C96,BAU_Demands!$B$3:$BK$48,BAU_Demands!BH$1,0)*(1-'Políticas anunciadas'!BB71)</f>
        <v>60.45</v>
      </c>
      <c r="BK96" s="1">
        <f>VLOOKUP($C96,BAU_Demands!$B$3:$BK$48,BAU_Demands!BI$1,0)*(1-'Políticas anunciadas'!BC71)</f>
        <v>61.68</v>
      </c>
      <c r="BL96" s="1">
        <f>VLOOKUP($C96,BAU_Demands!$B$3:$BK$48,BAU_Demands!BJ$1,0)*(1-'Políticas anunciadas'!BD71)</f>
        <v>62.93</v>
      </c>
      <c r="BM96" s="1">
        <f>VLOOKUP($C96,BAU_Demands!$B$3:$BK$48,BAU_Demands!BK$1,0)*(1-'Políticas anunciadas'!BE71)</f>
        <v>64.209999999999994</v>
      </c>
    </row>
    <row r="97" spans="1:65" ht="15" customHeight="1">
      <c r="A97" s="1" t="s">
        <v>554</v>
      </c>
      <c r="B97" s="314" t="s">
        <v>458</v>
      </c>
      <c r="C97" s="329" t="s">
        <v>521</v>
      </c>
      <c r="D97" s="1" t="s">
        <v>460</v>
      </c>
      <c r="E97" s="329" t="s">
        <v>522</v>
      </c>
      <c r="F97" s="314" t="s">
        <v>462</v>
      </c>
      <c r="G97" s="314" t="s">
        <v>463</v>
      </c>
      <c r="H97" s="314" t="s">
        <v>464</v>
      </c>
      <c r="I97" s="1"/>
      <c r="J97" s="1"/>
      <c r="K97" s="1"/>
      <c r="L97" s="1"/>
      <c r="M97" s="1">
        <f>VLOOKUP($C97,BAU_Demands!$B$3:$BK$48,BAU_Demands!K$1,0)</f>
        <v>35.971610609999999</v>
      </c>
      <c r="N97" s="1">
        <f>VLOOKUP($C97,BAU_Demands!$B$3:$BK$48,BAU_Demands!L$1,0)</f>
        <v>37.380280939999999</v>
      </c>
      <c r="O97" s="1">
        <f>VLOOKUP($C97,BAU_Demands!$B$3:$BK$48,BAU_Demands!M$1,0)</f>
        <v>36.49129731</v>
      </c>
      <c r="P97" s="1">
        <f>VLOOKUP($C97,BAU_Demands!$B$3:$BK$48,BAU_Demands!N$1,0)</f>
        <v>40.945505949999998</v>
      </c>
      <c r="Q97" s="1">
        <f>VLOOKUP($C97,BAU_Demands!$B$3:$BK$48,BAU_Demands!O$1,0)*(1-'Políticas anunciadas'!I63)</f>
        <v>40.793222399999998</v>
      </c>
      <c r="R97" s="1">
        <f>VLOOKUP($C97,BAU_Demands!$B$3:$BK$48,BAU_Demands!P$1,0)*(1-'Políticas anunciadas'!J63)</f>
        <v>41.531014233333337</v>
      </c>
      <c r="S97" s="1">
        <f>VLOOKUP($C97,BAU_Demands!$B$3:$BK$48,BAU_Demands!Q$1,0)*(1-'Políticas anunciadas'!K63)</f>
        <v>43.031197733333336</v>
      </c>
      <c r="T97" s="1">
        <f>VLOOKUP($C97,BAU_Demands!$B$3:$BK$48,BAU_Demands!R$1,0)*(1-'Políticas anunciadas'!L63)</f>
        <v>43.606291999999996</v>
      </c>
      <c r="U97" s="1">
        <f>VLOOKUP($C97,BAU_Demands!$B$3:$BK$48,BAU_Demands!S$1,0)*(1-'Políticas anunciadas'!M63)</f>
        <v>44.894720399999997</v>
      </c>
      <c r="V97" s="1">
        <f>VLOOKUP($C97,BAU_Demands!$B$3:$BK$48,BAU_Demands!T$1,0)*(1-'Políticas anunciadas'!N63)</f>
        <v>45.784375560000001</v>
      </c>
      <c r="W97" s="1">
        <f>VLOOKUP($C97,BAU_Demands!$B$3:$BK$48,BAU_Demands!U$1,0)*(1-'Políticas anunciadas'!O63)</f>
        <v>47.346612639999996</v>
      </c>
      <c r="X97" s="1">
        <f>VLOOKUP($C97,BAU_Demands!$B$3:$BK$48,BAU_Demands!V$1,0)*(1-'Políticas anunciadas'!P63)</f>
        <v>47.803523279999993</v>
      </c>
      <c r="Y97" s="1">
        <f>VLOOKUP($C97,BAU_Demands!$B$3:$BK$48,BAU_Demands!W$1,0)*(1-'Políticas anunciadas'!Q63)</f>
        <v>49.184672800000001</v>
      </c>
      <c r="Z97" s="1">
        <f>VLOOKUP($C97,BAU_Demands!$B$3:$BK$48,BAU_Demands!X$1,0)*(1-'Políticas anunciadas'!R63)</f>
        <v>50.203635538</v>
      </c>
      <c r="AA97" s="1">
        <f>VLOOKUP($C97,BAU_Demands!$B$3:$BK$48,BAU_Demands!Y$1,0)*(1-'Políticas anunciadas'!S63)</f>
        <v>51.666253924000003</v>
      </c>
      <c r="AB97" s="1">
        <f>VLOOKUP($C97,BAU_Demands!$B$3:$BK$48,BAU_Demands!Z$1,0)*(1-'Políticas anunciadas'!T63)</f>
        <v>52.652971424</v>
      </c>
      <c r="AC97" s="1">
        <f>VLOOKUP($C97,BAU_Demands!$B$3:$BK$48,BAU_Demands!AA$1,0)*(1-'Políticas anunciadas'!U63)</f>
        <v>54.083109696000001</v>
      </c>
      <c r="AD97" s="1">
        <f>VLOOKUP($C97,BAU_Demands!$B$3:$BK$48,BAU_Demands!AB$1,0)*(1-'Políticas anunciadas'!V63)</f>
        <v>54.887402920000007</v>
      </c>
      <c r="AE97" s="1">
        <f>VLOOKUP($C97,BAU_Demands!$B$3:$BK$48,BAU_Demands!AC$1,0)*(1-'Políticas anunciadas'!W63)</f>
        <v>56.53892244</v>
      </c>
      <c r="AF97" s="1">
        <f>VLOOKUP($C97,BAU_Demands!$B$3:$BK$48,BAU_Demands!AD$1,0)*(1-'Políticas anunciadas'!X63)</f>
        <v>57.485730820000001</v>
      </c>
      <c r="AG97" s="1">
        <f>VLOOKUP($C97,BAU_Demands!$B$3:$BK$48,BAU_Demands!AE$1,0)*(1-'Políticas anunciadas'!Y63)</f>
        <v>59.044569289999998</v>
      </c>
      <c r="AH97" s="1">
        <f>VLOOKUP($C97,BAU_Demands!$B$3:$BK$48,BAU_Demands!AF$1,0)*(1-'Políticas anunciadas'!Z63)</f>
        <v>60.225263490000003</v>
      </c>
      <c r="AI97" s="1">
        <f>VLOOKUP($C97,BAU_Demands!$B$3:$BK$48,BAU_Demands!AG$1,0)*(1-'Políticas anunciadas'!AA63)</f>
        <v>61.768740460000004</v>
      </c>
      <c r="AJ97" s="1">
        <f>VLOOKUP($C97,BAU_Demands!$B$3:$BK$48,BAU_Demands!AH$1,0)*(1-'Políticas anunciadas'!AB63)</f>
        <v>62.898695160000003</v>
      </c>
      <c r="AK97" s="1">
        <f>VLOOKUP($C97,BAU_Demands!$B$3:$BK$48,BAU_Demands!AI$1,0)*(1-'Políticas anunciadas'!AC63)</f>
        <v>64.441874210000009</v>
      </c>
      <c r="AL97" s="1">
        <f>VLOOKUP($C97,BAU_Demands!$B$3:$BK$48,BAU_Demands!AJ$1,0)*(1-'Políticas anunciadas'!AD63)</f>
        <v>65.316325269999993</v>
      </c>
      <c r="AM97" s="1">
        <f>VLOOKUP($C97,BAU_Demands!$B$3:$BK$48,BAU_Demands!AK$1,0)*(1-'Políticas anunciadas'!AE63)</f>
        <v>66.858582630000015</v>
      </c>
      <c r="AN97" s="1">
        <f>VLOOKUP($C97,BAU_Demands!$B$3:$BK$48,BAU_Demands!AL$1,0)*(1-'Políticas anunciadas'!AF63)</f>
        <v>67.872460250000003</v>
      </c>
      <c r="AO97" s="1">
        <f>VLOOKUP($C97,BAU_Demands!$B$3:$BK$48,BAU_Demands!AM$1,0)*(1-'Políticas anunciadas'!AG63)</f>
        <v>69.507473140000002</v>
      </c>
      <c r="AP97" s="1">
        <f>VLOOKUP($C97,BAU_Demands!$B$3:$BK$48,BAU_Demands!AN$1,0)*(1-'Políticas anunciadas'!AH63)</f>
        <v>70.579677910000001</v>
      </c>
      <c r="AQ97" s="1">
        <f>VLOOKUP($C97,BAU_Demands!$B$3:$BK$48,BAU_Demands!AO$1,0)*(1-'Políticas anunciadas'!AI63)</f>
        <v>71.903038550000005</v>
      </c>
      <c r="AR97" s="1">
        <f>VLOOKUP($C97,BAU_Demands!$B$3:$BK$48,BAU_Demands!AP$1,0)*(1-'Políticas anunciadas'!AJ63)</f>
        <v>73.024670110000002</v>
      </c>
      <c r="AS97" s="1">
        <f>VLOOKUP($C97,BAU_Demands!$B$3:$BK$48,BAU_Demands!AQ$1,0)*(1-'Políticas anunciadas'!AK63)</f>
        <v>74.380103700000006</v>
      </c>
      <c r="AT97" s="1">
        <f>VLOOKUP($C97,BAU_Demands!$B$3:$BK$48,BAU_Demands!AR$1,0)*(1-'Políticas anunciadas'!AL63)</f>
        <v>75.820639999999997</v>
      </c>
      <c r="AU97" s="1">
        <f>VLOOKUP($C97,BAU_Demands!$B$3:$BK$48,BAU_Demands!AS$1,0)*(1-'Políticas anunciadas'!AM63)</f>
        <v>77.245069999999998</v>
      </c>
      <c r="AV97" s="1">
        <f>VLOOKUP($C97,BAU_Demands!$B$3:$BK$48,BAU_Demands!AT$1,0)*(1-'Políticas anunciadas'!AN63)</f>
        <v>78.706740000000011</v>
      </c>
      <c r="AW97" s="1">
        <f>VLOOKUP($C97,BAU_Demands!$B$3:$BK$48,BAU_Demands!AU$1,0)*(1-'Políticas anunciadas'!AO63)</f>
        <v>80.14979000000001</v>
      </c>
      <c r="AX97" s="1">
        <f>VLOOKUP($C97,BAU_Demands!$B$3:$BK$48,BAU_Demands!AV$1,0)*(1-'Políticas anunciadas'!AP63)</f>
        <v>81.658010000000004</v>
      </c>
      <c r="AY97" s="1">
        <f>VLOOKUP($C97,BAU_Demands!$B$3:$BK$48,BAU_Demands!AW$1,0)*(1-'Políticas anunciadas'!AQ63)</f>
        <v>83.14761</v>
      </c>
      <c r="AZ97" s="1">
        <f>VLOOKUP($C97,BAU_Demands!$B$3:$BK$48,BAU_Demands!AX$1,0)*(1-'Políticas anunciadas'!AR63)</f>
        <v>84.693070000000006</v>
      </c>
      <c r="BA97" s="1">
        <f>VLOOKUP($C97,BAU_Demands!$B$3:$BK$48,BAU_Demands!AY$1,0)*(1-'Políticas anunciadas'!AS63)</f>
        <v>86.229220000000012</v>
      </c>
      <c r="BB97" s="1">
        <f>VLOOKUP($C97,BAU_Demands!$B$3:$BK$48,BAU_Demands!AZ$1,0)*(1-'Políticas anunciadas'!AT63)</f>
        <v>87.811920000000001</v>
      </c>
      <c r="BC97" s="1">
        <f>VLOOKUP($C97,BAU_Demands!$B$3:$BK$48,BAU_Demands!BA$1,0)*(1-'Políticas anunciadas'!AU63)</f>
        <v>89.43186</v>
      </c>
      <c r="BD97" s="1">
        <f>VLOOKUP($C97,BAU_Demands!$B$3:$BK$48,BAU_Demands!BB$1,0)*(1-'Políticas anunciadas'!AV63)</f>
        <v>91.098349999999996</v>
      </c>
      <c r="BE97" s="1">
        <f>VLOOKUP($C97,BAU_Demands!$B$3:$BK$48,BAU_Demands!BC$1,0)*(1-'Políticas anunciadas'!AW63)</f>
        <v>92.792770000000004</v>
      </c>
      <c r="BF97" s="1">
        <f>VLOOKUP($C97,BAU_Demands!$B$3:$BK$48,BAU_Demands!BD$1,0)*(1-'Políticas anunciadas'!AX63)</f>
        <v>94.505810000000011</v>
      </c>
      <c r="BG97" s="1">
        <f>VLOOKUP($C97,BAU_Demands!$B$3:$BK$48,BAU_Demands!BE$1,0)*(1-'Políticas anunciadas'!AY63)</f>
        <v>96.25609</v>
      </c>
      <c r="BH97" s="1">
        <f>VLOOKUP($C97,BAU_Demands!$B$3:$BK$48,BAU_Demands!BF$1,0)*(1-'Políticas anunciadas'!AZ63)</f>
        <v>98.034300000000002</v>
      </c>
      <c r="BI97" s="1">
        <f>VLOOKUP($C97,BAU_Demands!$B$3:$BK$48,BAU_Demands!BG$1,0)*(1-'Políticas anunciadas'!BA63)</f>
        <v>99.84975</v>
      </c>
      <c r="BJ97" s="1">
        <f>VLOOKUP($C97,BAU_Demands!$B$3:$BK$48,BAU_Demands!BH$1,0)*(1-'Políticas anunciadas'!BB63)</f>
        <v>101.69313000000001</v>
      </c>
      <c r="BK97" s="1">
        <f>VLOOKUP($C97,BAU_Demands!$B$3:$BK$48,BAU_Demands!BI$1,0)*(1-'Políticas anunciadas'!BC63)</f>
        <v>103.57375</v>
      </c>
      <c r="BL97" s="1">
        <f>VLOOKUP($C97,BAU_Demands!$B$3:$BK$48,BAU_Demands!BJ$1,0)*(1-'Políticas anunciadas'!BD63)</f>
        <v>105.49161000000001</v>
      </c>
      <c r="BM97" s="1">
        <f>VLOOKUP($C97,BAU_Demands!$B$3:$BK$48,BAU_Demands!BK$1,0)*(1-'Políticas anunciadas'!BE63)</f>
        <v>107.44671</v>
      </c>
    </row>
    <row r="98" spans="1:65" ht="15" hidden="1" customHeight="1">
      <c r="A98" s="1" t="s">
        <v>554</v>
      </c>
      <c r="B98" s="314" t="s">
        <v>458</v>
      </c>
      <c r="C98" s="329" t="s">
        <v>543</v>
      </c>
      <c r="D98" s="1" t="s">
        <v>460</v>
      </c>
      <c r="E98" s="329" t="s">
        <v>544</v>
      </c>
      <c r="F98" s="314" t="s">
        <v>462</v>
      </c>
      <c r="G98" s="314" t="s">
        <v>463</v>
      </c>
      <c r="H98" s="314" t="s">
        <v>464</v>
      </c>
      <c r="I98" s="1"/>
      <c r="J98" s="1"/>
      <c r="K98" s="1"/>
      <c r="L98" s="1"/>
      <c r="M98" s="1">
        <f>VLOOKUP($C98,BAU_Demands!$B$3:$BK$48,BAU_Demands!K$1,0)</f>
        <v>26.62421775</v>
      </c>
      <c r="N98" s="1">
        <f>VLOOKUP($C98,BAU_Demands!$B$3:$BK$48,BAU_Demands!L$1,0)</f>
        <v>27.54513743</v>
      </c>
      <c r="O98" s="1">
        <f>VLOOKUP($C98,BAU_Demands!$B$3:$BK$48,BAU_Demands!M$1,0)</f>
        <v>29.009550699999998</v>
      </c>
      <c r="P98" s="1">
        <f>VLOOKUP($C98,BAU_Demands!$B$3:$BK$48,BAU_Demands!N$1,0)</f>
        <v>28.635027879999999</v>
      </c>
      <c r="Q98" s="1">
        <f>(VLOOKUP($C98,BAU_Demands!$B$3:$BK$48,BAU_Demands!O$1,0)*(1-'Políticas anunciadas'!I59))</f>
        <v>24.957182799999998</v>
      </c>
      <c r="R98" s="1">
        <f>(VLOOKUP($C98,BAU_Demands!$B$3:$BK$48,BAU_Demands!P$1,0)*(1-'Políticas anunciadas'!J59))</f>
        <v>24.599372133333333</v>
      </c>
      <c r="S98" s="1">
        <f>(VLOOKUP($C98,BAU_Demands!$B$3:$BK$48,BAU_Demands!Q$1,0)*(1-'Políticas anunciadas'!K59))</f>
        <v>24.220904000000001</v>
      </c>
      <c r="T98" s="1">
        <f>(VLOOKUP($C98,BAU_Demands!$B$3:$BK$48,BAU_Demands!R$1,0)*(1-'Políticas anunciadas'!L59))</f>
        <v>23.8219523</v>
      </c>
      <c r="U98" s="1">
        <f>(VLOOKUP($C98,BAU_Demands!$B$3:$BK$48,BAU_Demands!S$1,0)*(1-'Políticas anunciadas'!M59))</f>
        <v>24.053652720000002</v>
      </c>
      <c r="V98" s="1">
        <f>(VLOOKUP($C98,BAU_Demands!$B$3:$BK$48,BAU_Demands!T$1,0)*(1-'Políticas anunciadas'!N59))</f>
        <v>24.280624680000003</v>
      </c>
      <c r="W98" s="1">
        <f>(VLOOKUP($C98,BAU_Demands!$B$3:$BK$48,BAU_Demands!U$1,0)*(1-'Políticas anunciadas'!O59))</f>
        <v>24.502673439999999</v>
      </c>
      <c r="X98" s="1">
        <f>(VLOOKUP($C98,BAU_Demands!$B$3:$BK$48,BAU_Demands!V$1,0)*(1-'Políticas anunciadas'!P59))</f>
        <v>24.719786360000001</v>
      </c>
      <c r="Y98" s="1">
        <f>(VLOOKUP($C98,BAU_Demands!$B$3:$BK$48,BAU_Demands!W$1,0)*(1-'Políticas anunciadas'!Q59))</f>
        <v>24.931685999999999</v>
      </c>
      <c r="Z98" s="1">
        <f>(VLOOKUP($C98,BAU_Demands!$B$3:$BK$48,BAU_Demands!X$1,0)*(1-'Políticas anunciadas'!R59))</f>
        <v>25.073623119999997</v>
      </c>
      <c r="AA98" s="1">
        <f>(VLOOKUP($C98,BAU_Demands!$B$3:$BK$48,BAU_Demands!Y$1,0)*(1-'Políticas anunciadas'!S59))</f>
        <v>25.208695000000002</v>
      </c>
      <c r="AB98" s="1">
        <f>(VLOOKUP($C98,BAU_Demands!$B$3:$BK$48,BAU_Demands!Z$1,0)*(1-'Políticas anunciadas'!T59))</f>
        <v>25.336750080000002</v>
      </c>
      <c r="AC98" s="1">
        <f>(VLOOKUP($C98,BAU_Demands!$B$3:$BK$48,BAU_Demands!AA$1,0)*(1-'Políticas anunciadas'!U59))</f>
        <v>25.457740599999997</v>
      </c>
      <c r="AD98" s="1">
        <f>(VLOOKUP($C98,BAU_Demands!$B$3:$BK$48,BAU_Demands!AB$1,0)*(1-'Políticas anunciadas'!V59))</f>
        <v>25.571567999999999</v>
      </c>
      <c r="AE98" s="1">
        <f>(VLOOKUP($C98,BAU_Demands!$B$3:$BK$48,BAU_Demands!AC$1,0)*(1-'Políticas anunciadas'!W59))</f>
        <v>25.814046000000001</v>
      </c>
      <c r="AF98" s="1">
        <f>(VLOOKUP($C98,BAU_Demands!$B$3:$BK$48,BAU_Demands!AD$1,0)*(1-'Políticas anunciadas'!X59))</f>
        <v>26.051690399999998</v>
      </c>
      <c r="AG98" s="1">
        <f>(VLOOKUP($C98,BAU_Demands!$B$3:$BK$48,BAU_Demands!AE$1,0)*(1-'Políticas anunciadas'!Y59))</f>
        <v>26.284410000000001</v>
      </c>
      <c r="AH98" s="1">
        <f>(VLOOKUP($C98,BAU_Demands!$B$3:$BK$48,BAU_Demands!AF$1,0)*(1-'Políticas anunciadas'!Z59))</f>
        <v>26.512052799999999</v>
      </c>
      <c r="AI98" s="1">
        <f>(VLOOKUP($C98,BAU_Demands!$B$3:$BK$48,BAU_Demands!AG$1,0)*(1-'Políticas anunciadas'!AA59))</f>
        <v>26.73452</v>
      </c>
      <c r="AJ98" s="1">
        <f>(VLOOKUP($C98,BAU_Demands!$B$3:$BK$48,BAU_Demands!AH$1,0)*(1-'Políticas anunciadas'!AB59))</f>
        <v>26.951773599999999</v>
      </c>
      <c r="AK98" s="1">
        <f>(VLOOKUP($C98,BAU_Demands!$B$3:$BK$48,BAU_Demands!AI$1,0)*(1-'Políticas anunciadas'!AC59))</f>
        <v>27.163745200000001</v>
      </c>
      <c r="AL98" s="1">
        <f>(VLOOKUP($C98,BAU_Demands!$B$3:$BK$48,BAU_Demands!AJ$1,0)*(1-'Políticas anunciadas'!AD59))</f>
        <v>27.370298000000002</v>
      </c>
      <c r="AM98" s="1">
        <f>(VLOOKUP($C98,BAU_Demands!$B$3:$BK$48,BAU_Demands!AK$1,0)*(1-'Políticas anunciadas'!AE59))</f>
        <v>27.571416799999998</v>
      </c>
      <c r="AN98" s="1">
        <f>(VLOOKUP($C98,BAU_Demands!$B$3:$BK$48,BAU_Demands!AL$1,0)*(1-'Políticas anunciadas'!AF59))</f>
        <v>27.766957199999997</v>
      </c>
      <c r="AO98" s="1">
        <f>(VLOOKUP($C98,BAU_Demands!$B$3:$BK$48,BAU_Demands!AM$1,0)*(1-'Políticas anunciadas'!AG59))</f>
        <v>27.956888800000002</v>
      </c>
      <c r="AP98" s="1">
        <f>(VLOOKUP($C98,BAU_Demands!$B$3:$BK$48,BAU_Demands!AN$1,0)*(1-'Políticas anunciadas'!AH59))</f>
        <v>28.141249600000002</v>
      </c>
      <c r="AQ98" s="1">
        <f>(VLOOKUP($C98,BAU_Demands!$B$3:$BK$48,BAU_Demands!AO$1,0)*(1-'Políticas anunciadas'!AI59))</f>
        <v>28.319872400000001</v>
      </c>
      <c r="AR98" s="1">
        <f>(VLOOKUP($C98,BAU_Demands!$B$3:$BK$48,BAU_Demands!AP$1,0)*(1-'Políticas anunciadas'!AJ59))</f>
        <v>28.492810400000003</v>
      </c>
      <c r="AS98" s="1">
        <f>(VLOOKUP($C98,BAU_Demands!$B$3:$BK$48,BAU_Demands!AQ$1,0)*(1-'Políticas anunciadas'!AK59))</f>
        <v>28.660124400000001</v>
      </c>
      <c r="AT98" s="1">
        <f>(VLOOKUP($C98,BAU_Demands!$B$3:$BK$48,BAU_Demands!AR$1,0)*(1-'Políticas anunciadas'!AL59))</f>
        <v>28.819200000000002</v>
      </c>
      <c r="AU98" s="1">
        <f>(VLOOKUP($C98,BAU_Demands!$B$3:$BK$48,BAU_Demands!AS$1,0)*(1-'Políticas anunciadas'!AM59))</f>
        <v>28.978800000000003</v>
      </c>
      <c r="AV98" s="1">
        <f>(VLOOKUP($C98,BAU_Demands!$B$3:$BK$48,BAU_Demands!AT$1,0)*(1-'Políticas anunciadas'!AN59))</f>
        <v>29.130800000000001</v>
      </c>
      <c r="AW98" s="1">
        <f>(VLOOKUP($C98,BAU_Demands!$B$3:$BK$48,BAU_Demands!AU$1,0)*(1-'Políticas anunciadas'!AO59))</f>
        <v>29.267599999999998</v>
      </c>
      <c r="AX98" s="1">
        <f>(VLOOKUP($C98,BAU_Demands!$B$3:$BK$48,BAU_Demands!AV$1,0)*(1-'Políticas anunciadas'!AP59))</f>
        <v>29.412000000000003</v>
      </c>
      <c r="AY98" s="1">
        <f>(VLOOKUP($C98,BAU_Demands!$B$3:$BK$48,BAU_Demands!AW$1,0)*(1-'Políticas anunciadas'!AQ59))</f>
        <v>29.5412</v>
      </c>
      <c r="AZ98" s="1">
        <f>(VLOOKUP($C98,BAU_Demands!$B$3:$BK$48,BAU_Demands!AX$1,0)*(1-'Políticas anunciadas'!AR59))</f>
        <v>29.662800000000001</v>
      </c>
      <c r="BA98" s="1">
        <f>(VLOOKUP($C98,BAU_Demands!$B$3:$BK$48,BAU_Demands!AY$1,0)*(1-'Políticas anunciadas'!AS59))</f>
        <v>29.784399999999998</v>
      </c>
      <c r="BB98" s="1">
        <f>(VLOOKUP($C98,BAU_Demands!$B$3:$BK$48,BAU_Demands!AZ$1,0)*(1-'Políticas anunciadas'!AT59))</f>
        <v>29.898400000000002</v>
      </c>
      <c r="BC98" s="1">
        <f>(VLOOKUP($C98,BAU_Demands!$B$3:$BK$48,BAU_Demands!BA$1,0)*(1-'Políticas anunciadas'!AU59))</f>
        <v>29.997199999999999</v>
      </c>
      <c r="BD98" s="1">
        <f>(VLOOKUP($C98,BAU_Demands!$B$3:$BK$48,BAU_Demands!BB$1,0)*(1-'Políticas anunciadas'!AV59))</f>
        <v>30.096</v>
      </c>
      <c r="BE98" s="1">
        <f>(VLOOKUP($C98,BAU_Demands!$B$3:$BK$48,BAU_Demands!BC$1,0)*(1-'Políticas anunciadas'!AW59))</f>
        <v>30.194799999999997</v>
      </c>
      <c r="BF98" s="1">
        <f>(VLOOKUP($C98,BAU_Demands!$B$3:$BK$48,BAU_Demands!BD$1,0)*(1-'Políticas anunciadas'!AX59))</f>
        <v>30.278400000000001</v>
      </c>
      <c r="BG98" s="1">
        <f>(VLOOKUP($C98,BAU_Demands!$B$3:$BK$48,BAU_Demands!BE$1,0)*(1-'Políticas anunciadas'!AY59))</f>
        <v>30.354399999999998</v>
      </c>
      <c r="BH98" s="1">
        <f>(VLOOKUP($C98,BAU_Demands!$B$3:$BK$48,BAU_Demands!BF$1,0)*(1-'Políticas anunciadas'!AZ59))</f>
        <v>30.430399999999999</v>
      </c>
      <c r="BI98" s="1">
        <f>(VLOOKUP($C98,BAU_Demands!$B$3:$BK$48,BAU_Demands!BG$1,0)*(1-'Políticas anunciadas'!BA59))</f>
        <v>30.491199999999999</v>
      </c>
      <c r="BJ98" s="1">
        <f>(VLOOKUP($C98,BAU_Demands!$B$3:$BK$48,BAU_Demands!BH$1,0)*(1-'Políticas anunciadas'!BB59))</f>
        <v>30.552000000000003</v>
      </c>
      <c r="BK98" s="1">
        <f>(VLOOKUP($C98,BAU_Demands!$B$3:$BK$48,BAU_Demands!BI$1,0)*(1-'Políticas anunciadas'!BC59))</f>
        <v>30.5976</v>
      </c>
      <c r="BL98" s="1">
        <f>(VLOOKUP($C98,BAU_Demands!$B$3:$BK$48,BAU_Demands!BJ$1,0)*(1-'Políticas anunciadas'!BD59))</f>
        <v>30.6432</v>
      </c>
      <c r="BM98" s="1">
        <f>(VLOOKUP($C98,BAU_Demands!$B$3:$BK$48,BAU_Demands!BK$1,0)*(1-'Políticas anunciadas'!BE59))</f>
        <v>30.681199999999997</v>
      </c>
    </row>
    <row r="99" spans="1:65" ht="15" hidden="1" customHeight="1">
      <c r="A99" s="1" t="s">
        <v>554</v>
      </c>
      <c r="B99" s="314" t="s">
        <v>458</v>
      </c>
      <c r="C99" s="328" t="s">
        <v>545</v>
      </c>
      <c r="D99" s="1" t="s">
        <v>460</v>
      </c>
      <c r="E99" s="328" t="s">
        <v>546</v>
      </c>
      <c r="F99" s="314" t="s">
        <v>462</v>
      </c>
      <c r="G99" s="314" t="s">
        <v>463</v>
      </c>
      <c r="H99" s="314" t="s">
        <v>464</v>
      </c>
      <c r="I99" s="1"/>
      <c r="J99" s="1"/>
      <c r="K99" s="1"/>
      <c r="L99" s="1"/>
      <c r="M99" s="1">
        <f>VLOOKUP($C99,BAU_Demands!$B$3:$BK$48,BAU_Demands!K$1,0)</f>
        <v>8.0827000000000009</v>
      </c>
      <c r="N99" s="1">
        <f>VLOOKUP($C99,BAU_Demands!$B$3:$BK$48,BAU_Demands!L$1,0)</f>
        <v>7.7285000000000004</v>
      </c>
      <c r="O99" s="1">
        <f>VLOOKUP($C99,BAU_Demands!$B$3:$BK$48,BAU_Demands!M$1,0)</f>
        <v>7.3395000000000001</v>
      </c>
      <c r="P99" s="1">
        <f>VLOOKUP($C99,BAU_Demands!$B$3:$BK$48,BAU_Demands!N$1,0)</f>
        <v>7.1161000000000003</v>
      </c>
      <c r="Q99" s="1">
        <f>SUM(BAU_Demands!O42:O45)*'Políticas anunciadas'!I61</f>
        <v>6.0799085626400009</v>
      </c>
      <c r="R99" s="1">
        <f>SUM(BAU_Demands!P42:P45)*'Políticas anunciadas'!J61</f>
        <v>5.5195348705800003</v>
      </c>
      <c r="S99" s="1">
        <f>SUM(BAU_Demands!Q42:Q45)*'Políticas anunciadas'!K61</f>
        <v>4.9465129727999999</v>
      </c>
      <c r="T99" s="1">
        <f>SUM(BAU_Demands!R42:R45)*'Políticas anunciadas'!L61</f>
        <v>4.3630564562499998</v>
      </c>
      <c r="U99" s="1">
        <f>SUM(BAU_Demands!S42:S45)*'Políticas anunciadas'!M61</f>
        <v>3.7710808905600008</v>
      </c>
      <c r="V99" s="1">
        <f>SUM(BAU_Demands!T42:T45)*'Políticas anunciadas'!N61</f>
        <v>3.166864404940001</v>
      </c>
      <c r="W99" s="1">
        <f>SUM(BAU_Demands!U42:U45)*'Políticas anunciadas'!O61</f>
        <v>2.5510533953200012</v>
      </c>
      <c r="X99" s="1">
        <f>SUM(BAU_Demands!V42:V45)*'Políticas anunciadas'!P61</f>
        <v>1.9235157895800012</v>
      </c>
      <c r="Y99" s="1">
        <f>SUM(BAU_Demands!W42:W45)*'Políticas anunciadas'!Q61</f>
        <v>1.639556</v>
      </c>
      <c r="Z99" s="1">
        <f>SUM(BAU_Demands!X42:X45)*'Políticas anunciadas'!R61</f>
        <v>1.6538414000000001</v>
      </c>
      <c r="AA99" s="1">
        <f>SUM(BAU_Demands!Y42:Y45)*'Políticas anunciadas'!S61</f>
        <v>1.668023</v>
      </c>
      <c r="AB99" s="1">
        <f>SUM(BAU_Demands!Z42:Z45)*'Políticas anunciadas'!T61</f>
        <v>1.6818912000000001</v>
      </c>
      <c r="AC99" s="1">
        <f>SUM(BAU_Demands!AA42:AA45)*'Políticas anunciadas'!U61</f>
        <v>1.6954470000000001</v>
      </c>
      <c r="AD99" s="1">
        <f>SUM(BAU_Demands!AB42:AB45)*'Políticas anunciadas'!V61</f>
        <v>1.708682</v>
      </c>
      <c r="AE99" s="1">
        <f>SUM(BAU_Demands!AC42:AC45)*'Políticas anunciadas'!W61</f>
        <v>1.7224970000000002</v>
      </c>
      <c r="AF99" s="1">
        <f>SUM(BAU_Demands!AD42:AD45)*'Políticas anunciadas'!X61</f>
        <v>1.7357848000000002</v>
      </c>
      <c r="AG99" s="1">
        <f>SUM(BAU_Demands!AE42:AE45)*'Políticas anunciadas'!Y61</f>
        <v>1.7489410000000001</v>
      </c>
      <c r="AH99" s="1">
        <f>SUM(BAU_Demands!AF42:AF45)*'Políticas anunciadas'!Z61</f>
        <v>1.7617655999999999</v>
      </c>
      <c r="AI99" s="1">
        <f>SUM(BAU_Demands!AG42:AG45)*'Políticas anunciadas'!AA61</f>
        <v>1.7742520000000002</v>
      </c>
      <c r="AJ99" s="1">
        <f>SUM(BAU_Demands!AH42:AH45)*'Políticas anunciadas'!AB61</f>
        <v>1.7869552</v>
      </c>
      <c r="AK99" s="1">
        <f>SUM(BAU_Demands!AI42:AI45)*'Políticas anunciadas'!AC61</f>
        <v>1.7991194000000001</v>
      </c>
      <c r="AL99" s="1">
        <f>SUM(BAU_Demands!AJ42:AJ45)*'Políticas anunciadas'!AD61</f>
        <v>1.8111390000000001</v>
      </c>
      <c r="AM99" s="1">
        <f>SUM(BAU_Demands!AK42:AK45)*'Políticas anunciadas'!AE61</f>
        <v>1.8228176000000003</v>
      </c>
      <c r="AN99" s="1">
        <f>SUM(BAU_Demands!AL42:AL45)*'Políticas anunciadas'!AF61</f>
        <v>1.8341494</v>
      </c>
      <c r="AO99" s="1">
        <f>SUM(BAU_Demands!AM42:AM45)*'Políticas anunciadas'!AG61</f>
        <v>1.8455916000000003</v>
      </c>
      <c r="AP99" s="1">
        <f>SUM(BAU_Demands!AN42:AN45)*'Políticas anunciadas'!AH61</f>
        <v>1.8566872000000001</v>
      </c>
      <c r="AQ99" s="1">
        <f>SUM(BAU_Demands!AO42:AO45)*'Políticas anunciadas'!AI61</f>
        <v>1.8674338000000001</v>
      </c>
      <c r="AR99" s="1">
        <f>SUM(BAU_Demands!AP42:AP45)*'Políticas anunciadas'!AJ61</f>
        <v>1.8776288000000001</v>
      </c>
      <c r="AS99" s="1">
        <f>SUM(BAU_Demands!AQ42:AQ45)*'Políticas anunciadas'!AK61</f>
        <v>1.8876758000000002</v>
      </c>
      <c r="AT99" s="1">
        <f>SUM(BAU_Demands!AR42:AR45)*'Políticas anunciadas'!AL61</f>
        <v>1.8973259999999998</v>
      </c>
      <c r="AU99" s="1">
        <f>SUM(BAU_Demands!AS42:AS45)*'Políticas anunciadas'!AM61</f>
        <v>1.9065879999999999</v>
      </c>
      <c r="AV99" s="1">
        <f>SUM(BAU_Demands!AT42:AT45)*'Políticas anunciadas'!AN61</f>
        <v>1.9156520000000001</v>
      </c>
      <c r="AW99" s="1">
        <f>SUM(BAU_Demands!AU42:AU45)*'Políticas anunciadas'!AO61</f>
        <v>1.9239139999999999</v>
      </c>
      <c r="AX99" s="1">
        <f>SUM(BAU_Demands!AV42:AV45)*'Políticas anunciadas'!AP61</f>
        <v>1.9321780000000002</v>
      </c>
      <c r="AY99" s="1">
        <f>SUM(BAU_Demands!AW42:AW45)*'Políticas anunciadas'!AQ61</f>
        <v>1.9398579999999999</v>
      </c>
      <c r="AZ99" s="1">
        <f>SUM(BAU_Demands!AX42:AX45)*'Políticas anunciadas'!AR61</f>
        <v>1.9471400000000001</v>
      </c>
      <c r="BA99" s="1">
        <f>SUM(BAU_Demands!AY42:AY45)*'Políticas anunciadas'!AS61</f>
        <v>1.9542200000000001</v>
      </c>
      <c r="BB99" s="1">
        <f>SUM(BAU_Demands!AZ42:AZ45)*'Políticas anunciadas'!AT61</f>
        <v>1.9606999999999999</v>
      </c>
      <c r="BC99" s="1">
        <f>SUM(BAU_Demands!BA42:BA45)*'Políticas anunciadas'!AU61</f>
        <v>1.966782</v>
      </c>
      <c r="BD99" s="1">
        <f>SUM(BAU_Demands!BB42:BB45)*'Políticas anunciadas'!AV61</f>
        <v>1.9724780000000002</v>
      </c>
      <c r="BE99" s="1">
        <f>SUM(BAU_Demands!BC42:BC45)*'Políticas anunciadas'!AW61</f>
        <v>1.977976</v>
      </c>
      <c r="BF99" s="1">
        <f>SUM(BAU_Demands!BD42:BD45)*'Políticas anunciadas'!AX61</f>
        <v>1.982674</v>
      </c>
      <c r="BG99" s="1">
        <f>SUM(BAU_Demands!BE42:BE45)*'Políticas anunciadas'!AY61</f>
        <v>1.9871719999999999</v>
      </c>
      <c r="BH99" s="1">
        <f>SUM(BAU_Demands!BF42:BF45)*'Políticas anunciadas'!AZ61</f>
        <v>1.9912700000000001</v>
      </c>
      <c r="BI99" s="1">
        <f>SUM(BAU_Demands!BG42:BG45)*'Políticas anunciadas'!BA61</f>
        <v>1.9947839999999999</v>
      </c>
      <c r="BJ99" s="1">
        <f>SUM(BAU_Demands!BH42:BH45)*'Políticas anunciadas'!BB61</f>
        <v>1.9978980000000002</v>
      </c>
      <c r="BK99" s="1">
        <f>SUM(BAU_Demands!BI42:BI45)*'Políticas anunciadas'!BC61</f>
        <v>2.0006140000000001</v>
      </c>
      <c r="BL99" s="1">
        <f>SUM(BAU_Demands!BJ42:BJ45)*'Políticas anunciadas'!BD61</f>
        <v>2.0029279999999998</v>
      </c>
      <c r="BM99" s="1">
        <f>SUM(BAU_Demands!BK42:BK45)*'Políticas anunciadas'!BE61</f>
        <v>2.004642</v>
      </c>
    </row>
    <row r="100" spans="1:65" ht="15.75" hidden="1"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row>
    <row r="101" spans="1:65" ht="15.75" hidden="1"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row>
    <row r="102" spans="1:65" ht="15.75" hidden="1"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row>
    <row r="103" spans="1:65" ht="15.75" hidden="1"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row>
    <row r="104" spans="1:65" ht="15.75" hidden="1"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row>
    <row r="105" spans="1:65" ht="15.75" hidden="1"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row>
    <row r="106" spans="1:65" ht="15.75" hidden="1"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row>
    <row r="107" spans="1:65" ht="15.75" hidden="1"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row>
    <row r="108" spans="1:65" ht="15.75" hidden="1"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row>
    <row r="109" spans="1:65" ht="15.75" hidden="1"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row>
    <row r="110" spans="1:65" ht="15.75" hidden="1"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row>
    <row r="111" spans="1:65" ht="15.75" hidden="1"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row>
    <row r="112" spans="1:65" ht="15.75" hidden="1"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row>
    <row r="113" spans="1:65" ht="15.75" hidden="1"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row>
    <row r="114" spans="1:65" ht="15.75" hidden="1"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row>
    <row r="115" spans="1:65" ht="15.75" hidden="1"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row>
    <row r="116" spans="1:65" ht="15.75" hidden="1"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row>
    <row r="117" spans="1:65" ht="15.75" hidden="1"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row>
    <row r="118" spans="1:65" ht="15.75" hidden="1"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row>
    <row r="119" spans="1:65" ht="15.75" hidden="1"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row>
    <row r="120" spans="1:65" ht="15.75" hidden="1"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row>
    <row r="121" spans="1:65" ht="15.75" hidden="1"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row>
    <row r="122" spans="1:65" ht="15.75" hidden="1"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row>
    <row r="123" spans="1:65" ht="15.75" hidden="1"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row>
    <row r="124" spans="1:65" ht="15.75" hidden="1"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row>
    <row r="125" spans="1:65" ht="15.75" hidden="1"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row>
    <row r="126" spans="1:65" ht="15.75" hidden="1"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row>
    <row r="127" spans="1:65" ht="15.75" hidden="1"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row>
    <row r="128" spans="1:65" ht="15.75" hidden="1"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row>
    <row r="129" spans="1:65" ht="15.75" hidden="1"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row>
    <row r="130" spans="1:65" ht="15.75" hidden="1"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row>
    <row r="131" spans="1:65" ht="15.75" hidden="1"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row>
    <row r="132" spans="1:65" ht="15.75" hidden="1"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row>
    <row r="133" spans="1:65" ht="15.75" hidden="1"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row>
    <row r="134" spans="1:65" ht="15.75" hidden="1"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row>
    <row r="135" spans="1:65" ht="15.75" hidden="1"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row>
    <row r="136" spans="1:65" ht="15.75" hidden="1"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row>
    <row r="137" spans="1:65" ht="15.75" hidden="1"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row>
    <row r="138" spans="1:65" ht="15.75" hidden="1"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row>
    <row r="139" spans="1:65" ht="15.75" hidden="1"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row>
    <row r="140" spans="1:65" ht="15.75" hidden="1"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row>
    <row r="141" spans="1:65" ht="15.75" hidden="1"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row>
    <row r="142" spans="1:65" ht="15.75" hidden="1"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row>
    <row r="143" spans="1:65" ht="15.75" hidden="1"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row>
    <row r="144" spans="1:65" ht="15.75" hidden="1"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row>
    <row r="145" spans="1:65" ht="15.75" hidden="1"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row>
    <row r="146" spans="1:65" ht="15.75" hidden="1"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row>
    <row r="147" spans="1:65" ht="15.75" hidden="1"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row>
    <row r="148" spans="1:65" ht="15.75" hidden="1"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row>
    <row r="149" spans="1:65" ht="15.75" hidden="1"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row>
    <row r="150" spans="1:65" ht="15.75" hidden="1"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row>
    <row r="151" spans="1:65" ht="15.75" hidden="1"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row>
    <row r="152" spans="1:65" ht="15.75" hidden="1"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row>
    <row r="153" spans="1:65" ht="15.75" hidden="1"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row>
    <row r="154" spans="1:65" ht="15.75" hidden="1"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row>
    <row r="155" spans="1:65" ht="15.75" hidden="1"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row>
    <row r="156" spans="1:65" ht="15.75" hidden="1"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row>
    <row r="157" spans="1:65" ht="15.75" hidden="1"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row>
    <row r="158" spans="1:65" ht="15.75" hidden="1"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row>
    <row r="159" spans="1:65" ht="15.75" hidden="1"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row>
    <row r="160" spans="1:65" ht="15.75" hidden="1"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row>
    <row r="161" spans="1:65" ht="15.75" hidden="1"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row>
    <row r="162" spans="1:65" ht="15.75" hidden="1"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row>
    <row r="163" spans="1:65" ht="15.75" hidden="1"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row>
    <row r="164" spans="1:65" ht="15.75" hidden="1"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row>
    <row r="165" spans="1:65" ht="15.75" hidden="1"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row>
    <row r="166" spans="1:65" ht="15.75" hidden="1"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row>
    <row r="167" spans="1:65" ht="15.75" hidden="1"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row>
    <row r="168" spans="1:65" ht="15.75" hidden="1"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row>
    <row r="169" spans="1:65" ht="15.75" hidden="1"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row>
    <row r="170" spans="1:65" ht="15.75" hidden="1"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row>
    <row r="171" spans="1:65" ht="15.75" hidden="1"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row>
    <row r="172" spans="1:65" ht="15.75" hidden="1"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row>
    <row r="173" spans="1:65" ht="15.75" hidden="1"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row>
    <row r="174" spans="1:65" ht="15.75" hidden="1"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row>
    <row r="175" spans="1:65" ht="15.75" hidden="1"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row>
    <row r="176" spans="1:65" ht="15.75" hidden="1"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row>
    <row r="177" spans="1:65" ht="15.75" hidden="1"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row>
    <row r="178" spans="1:65" ht="15.75" hidden="1"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row>
    <row r="179" spans="1:65" ht="15.75" hidden="1"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row>
    <row r="180" spans="1:65" ht="15.75" hidden="1"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row>
    <row r="181" spans="1:65" ht="15.75" hidden="1"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row>
    <row r="182" spans="1:65" ht="15.75" hidden="1"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row>
    <row r="183" spans="1:65" ht="15.75" hidden="1"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row>
    <row r="184" spans="1:65" ht="15.75" hidden="1"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row>
    <row r="185" spans="1:65" ht="15.75" hidden="1"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row>
    <row r="186" spans="1:65" ht="15.75" hidden="1"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row>
    <row r="187" spans="1:65" ht="15.75" hidden="1"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row>
    <row r="188" spans="1:65" ht="15.75" hidden="1"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row>
    <row r="189" spans="1:65" ht="15.75" hidden="1"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row>
    <row r="190" spans="1:65" ht="15.75" hidden="1"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row>
    <row r="191" spans="1:65" ht="15.75" hidden="1"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row>
    <row r="192" spans="1:65" ht="15.75" hidden="1"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row>
    <row r="193" spans="1:65" ht="15.75" hidden="1"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row>
    <row r="194" spans="1:65" ht="15.75" hidden="1"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row>
    <row r="195" spans="1:65" ht="15.75" hidden="1"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row>
    <row r="196" spans="1:65" ht="15.75" hidden="1"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row>
    <row r="197" spans="1:65" ht="15.75" hidden="1"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row>
    <row r="198" spans="1:65" ht="15.75" hidden="1"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row>
    <row r="199" spans="1:65" ht="15.75" hidden="1"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row>
    <row r="200" spans="1:65" ht="15.75" hidden="1"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row>
    <row r="201" spans="1:65" ht="15.75" hidden="1"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row>
    <row r="202" spans="1:65" ht="15.75" hidden="1"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row>
    <row r="203" spans="1:65" ht="15.75" hidden="1"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row>
    <row r="204" spans="1:65" ht="15.75" hidden="1"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row>
    <row r="205" spans="1:65" ht="15.75" hidden="1"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row>
    <row r="206" spans="1:65" ht="15.75" hidden="1"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row>
    <row r="207" spans="1:65" ht="15.75" hidden="1"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row>
    <row r="208" spans="1:65" ht="15.75" hidden="1"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row>
    <row r="209" spans="1:65" ht="15.75" hidden="1"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row>
    <row r="210" spans="1:65" ht="15.75" hidden="1"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row>
    <row r="211" spans="1:65" ht="15.75" hidden="1"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row>
    <row r="212" spans="1:65" ht="15.75" hidden="1"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row>
    <row r="213" spans="1:65" ht="15.75" hidden="1"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row>
    <row r="214" spans="1:65" ht="15.75" hidden="1"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row>
    <row r="215" spans="1:65" ht="15.75" hidden="1"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row>
    <row r="216" spans="1:65" ht="15.75" hidden="1"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row>
    <row r="217" spans="1:65" ht="15.75" hidden="1"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row>
    <row r="218" spans="1:65" ht="15.75" hidden="1"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row>
    <row r="219" spans="1:65" ht="15.75" hidden="1"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row>
    <row r="220" spans="1:65" ht="15.75" hidden="1"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row>
    <row r="221" spans="1:65" ht="15.75" hidden="1"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row>
    <row r="222" spans="1:65" ht="15.75" hidden="1"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row>
    <row r="223" spans="1:65" ht="15.75" hidden="1"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row>
    <row r="224" spans="1:65" ht="15.75" hidden="1"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row>
    <row r="225" spans="1:65" ht="15.75" hidden="1"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row>
    <row r="226" spans="1:65" ht="15.75" hidden="1"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row>
    <row r="227" spans="1:65" ht="15.75" hidden="1"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row>
    <row r="228" spans="1:65" ht="15.75" hidden="1"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row>
    <row r="229" spans="1:65" ht="15.75" hidden="1"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row>
    <row r="230" spans="1:65" ht="15.75" hidden="1"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row>
    <row r="231" spans="1:65" ht="15.75" hidden="1"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row>
    <row r="232" spans="1:65" ht="15.75" hidden="1"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row>
    <row r="233" spans="1:65" ht="15.75" hidden="1"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row>
    <row r="234" spans="1:65" ht="15.75" hidden="1"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row>
    <row r="235" spans="1:65" ht="15.75" hidden="1"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row>
    <row r="236" spans="1:65" ht="15.75" hidden="1"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row>
    <row r="237" spans="1:65" ht="15.75" hidden="1"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row>
    <row r="238" spans="1:65" ht="15.75" hidden="1"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row>
    <row r="239" spans="1:65" ht="15.75" hidden="1"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row>
    <row r="240" spans="1:65" ht="15.75" hidden="1"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row>
    <row r="241" spans="1:65" ht="15.75" hidden="1"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row>
    <row r="242" spans="1:65" ht="15.75" hidden="1"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row>
    <row r="243" spans="1:65" ht="15.75" hidden="1"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row>
    <row r="244" spans="1:65" ht="15.75" hidden="1"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row>
    <row r="245" spans="1:65" ht="15.75" hidden="1"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row>
    <row r="246" spans="1:65" ht="15.75" hidden="1"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row>
    <row r="247" spans="1:65" ht="15.75" hidden="1"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row>
    <row r="248" spans="1:65" ht="15.75" hidden="1"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row>
    <row r="249" spans="1:65" ht="15.75" hidden="1"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row>
    <row r="250" spans="1:65" ht="15.75" hidden="1"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row>
    <row r="251" spans="1:65" ht="15.75" hidden="1"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row>
    <row r="252" spans="1:65" ht="15.75" hidden="1"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row>
    <row r="253" spans="1:65" ht="15.75" hidden="1"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row>
    <row r="254" spans="1:65" ht="15.75" hidden="1"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row>
    <row r="255" spans="1:65" ht="15.75" hidden="1"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row>
    <row r="256" spans="1:65" ht="15.75" hidden="1"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row>
    <row r="257" spans="1:65" ht="15.75" hidden="1"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row>
    <row r="258" spans="1:65" ht="15.75" hidden="1"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row>
    <row r="259" spans="1:65" ht="15.75" hidden="1"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row>
    <row r="260" spans="1:65" ht="15.75" hidden="1"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row>
    <row r="261" spans="1:65" ht="15.75" hidden="1"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row>
    <row r="262" spans="1:65" ht="15.75" hidden="1"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row>
    <row r="263" spans="1:65" ht="15.75" hidden="1"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row>
    <row r="264" spans="1:65" ht="15.75" hidden="1"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row>
    <row r="265" spans="1:65" ht="15.75" hidden="1"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row>
    <row r="266" spans="1:65" ht="15.75" hidden="1"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row>
    <row r="267" spans="1:65" ht="15.75" hidden="1"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row>
    <row r="268" spans="1:65" ht="15.75" hidden="1"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row>
    <row r="269" spans="1:65" ht="15.75" hidden="1"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row>
    <row r="270" spans="1:65" ht="15.75" hidden="1"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row>
    <row r="271" spans="1:65" ht="15.75" hidden="1"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row>
    <row r="272" spans="1:65" ht="15.75" hidden="1"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row>
    <row r="273" spans="1:65" ht="15.75" hidden="1"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row>
    <row r="274" spans="1:65" ht="15.75" hidden="1"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row>
    <row r="275" spans="1:65" ht="15.75" hidden="1"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row>
    <row r="276" spans="1:65" ht="15.75" hidden="1"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row>
    <row r="277" spans="1:65" ht="15.75" hidden="1"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row>
    <row r="278" spans="1:65" ht="15.75" hidden="1"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row>
    <row r="279" spans="1:65" ht="15.75" hidden="1"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row>
    <row r="280" spans="1:65" ht="15.75" hidden="1"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row>
    <row r="281" spans="1:65" ht="15.75" hidden="1"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row>
    <row r="282" spans="1:65" ht="15.75" hidden="1"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row>
    <row r="283" spans="1:65" ht="15.75" hidden="1"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row>
    <row r="284" spans="1:65" ht="15.75" hidden="1"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row>
    <row r="285" spans="1:65" ht="15.75" hidden="1"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row>
    <row r="286" spans="1:65" ht="15.75" hidden="1"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row>
    <row r="287" spans="1:65" ht="15.75" hidden="1"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row>
    <row r="288" spans="1:65" ht="15.75" hidden="1"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row>
    <row r="289" spans="1:65" ht="15.75" hidden="1"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row>
    <row r="290" spans="1:65" ht="15.75" hidden="1"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row>
    <row r="291" spans="1:65" ht="15.75" hidden="1"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row>
    <row r="292" spans="1:65" ht="15.75" hidden="1"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row>
    <row r="293" spans="1:65" ht="15.75" hidden="1"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row>
    <row r="294" spans="1:65" ht="15.75" hidden="1"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row>
    <row r="295" spans="1:65" ht="15.75" hidden="1"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row>
    <row r="296" spans="1:65" ht="15.75" hidden="1"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row>
    <row r="297" spans="1:65" ht="15.75" hidden="1"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row>
    <row r="298" spans="1:65" ht="15.75" hidden="1"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row>
    <row r="299" spans="1:65" ht="15.75" hidden="1"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row>
    <row r="300" spans="1:65" ht="15.75" hidden="1"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row>
    <row r="301" spans="1:65" ht="15.75" hidden="1"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row>
    <row r="302" spans="1:65" ht="15.75" hidden="1"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row>
    <row r="303" spans="1:65" ht="15.75" hidden="1"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row>
    <row r="304" spans="1:65" ht="15.75" hidden="1"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row>
    <row r="305" spans="1:65" ht="15.75" hidden="1"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row>
    <row r="306" spans="1:65" ht="15.75" hidden="1"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row>
    <row r="307" spans="1:65" ht="15.75" hidden="1"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row>
    <row r="308" spans="1:65" ht="15.75" hidden="1"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row>
    <row r="309" spans="1:65" ht="15.75" hidden="1"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row>
    <row r="310" spans="1:65" ht="15.75" hidden="1"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row>
    <row r="311" spans="1:65" ht="15.75" hidden="1"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row>
    <row r="312" spans="1:65" ht="15.75" hidden="1"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row>
    <row r="313" spans="1:65" ht="15.75" hidden="1"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row>
    <row r="314" spans="1:65" ht="15.75" hidden="1"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row>
    <row r="315" spans="1:65" ht="15.75" hidden="1"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row>
    <row r="316" spans="1:65" ht="15.75" hidden="1"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row>
    <row r="317" spans="1:65" ht="15.75" hidden="1"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row>
    <row r="318" spans="1:65" ht="15.75" hidden="1"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row>
    <row r="319" spans="1:65" ht="15.75" hidden="1"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row>
    <row r="320" spans="1:65" ht="15.75" hidden="1"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row>
    <row r="321" spans="1:65" ht="15.75" hidden="1"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row>
    <row r="322" spans="1:65" ht="15.75" hidden="1"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row>
    <row r="323" spans="1:65" ht="15.75" hidden="1"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row>
    <row r="324" spans="1:65" ht="15.75" hidden="1"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row>
    <row r="325" spans="1:65" ht="15.75" hidden="1"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row>
    <row r="326" spans="1:65" ht="15.75" hidden="1"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row>
    <row r="327" spans="1:65" ht="15.75" hidden="1"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row>
    <row r="328" spans="1:65" ht="15.75" hidden="1"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row>
    <row r="329" spans="1:65" ht="15.75" hidden="1"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row>
    <row r="330" spans="1:65" ht="15.75" hidden="1"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row>
    <row r="331" spans="1:65" ht="15.75" hidden="1"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row>
    <row r="332" spans="1:65" ht="15.75" hidden="1"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row>
    <row r="333" spans="1:65" ht="15.75" hidden="1"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row>
    <row r="334" spans="1:65" ht="15.75" hidden="1"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row>
    <row r="335" spans="1:65" ht="15.75" hidden="1"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row>
    <row r="336" spans="1:65" ht="15.75" hidden="1"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row>
    <row r="337" spans="1:65" ht="15.75" hidden="1"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row>
    <row r="338" spans="1:65" ht="15.75" hidden="1"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row>
    <row r="339" spans="1:65" ht="15.75" hidden="1"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row>
    <row r="340" spans="1:65" ht="15.75" hidden="1"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row>
    <row r="341" spans="1:65" ht="15.75" hidden="1"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row>
    <row r="342" spans="1:65" ht="15.75" hidden="1"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row>
    <row r="343" spans="1:65" ht="15.75" hidden="1"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row>
    <row r="344" spans="1:65" ht="15.75" hidden="1"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row>
    <row r="345" spans="1:65" ht="15.75" hidden="1"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row>
    <row r="346" spans="1:65" ht="15.75" hidden="1"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row>
    <row r="347" spans="1:65" ht="15.75" hidden="1"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row>
    <row r="348" spans="1:65" ht="15.75" hidden="1"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row>
    <row r="349" spans="1:65" ht="15.75" hidden="1"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row>
    <row r="350" spans="1:65" ht="15.75" hidden="1"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row>
    <row r="351" spans="1:65" ht="15.75" hidden="1"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row>
    <row r="352" spans="1:65" ht="15.75" hidden="1"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row>
    <row r="353" spans="1:65" ht="15.75" hidden="1"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row>
    <row r="354" spans="1:65" ht="15.75" hidden="1"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row>
    <row r="355" spans="1:65" ht="15.75" hidden="1"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row>
    <row r="356" spans="1:65" ht="15.75" hidden="1"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row>
    <row r="357" spans="1:65" ht="15.75" hidden="1"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row>
    <row r="358" spans="1:65" ht="15.75" hidden="1"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row>
    <row r="359" spans="1:65" ht="15.75" hidden="1"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row>
    <row r="360" spans="1:65" ht="15.75" hidden="1"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row>
    <row r="361" spans="1:65" ht="15.75" hidden="1"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row>
    <row r="362" spans="1:65" ht="15.75" hidden="1"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row>
    <row r="363" spans="1:65" ht="15.75" hidden="1"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row>
    <row r="364" spans="1:65" ht="15.75" hidden="1"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row>
    <row r="365" spans="1:65" ht="15.75" hidden="1"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row>
    <row r="366" spans="1:65" ht="15.75" hidden="1"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row>
    <row r="367" spans="1:65" ht="15.75" hidden="1"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row>
    <row r="368" spans="1:65" ht="15.75" hidden="1"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row>
    <row r="369" spans="1:65" ht="15.75" hidden="1"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row>
    <row r="370" spans="1:65" ht="15.75" hidden="1"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row>
    <row r="371" spans="1:65" ht="15.75" hidden="1"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row>
    <row r="372" spans="1:65" ht="15.75" hidden="1"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row>
    <row r="373" spans="1:65" ht="15.75" hidden="1"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row>
    <row r="374" spans="1:65" ht="15.75" hidden="1"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row>
    <row r="375" spans="1:65" ht="15.75" hidden="1"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row>
    <row r="376" spans="1:65" ht="15.75" hidden="1"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row>
    <row r="377" spans="1:65" ht="15.75" hidden="1"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row>
    <row r="378" spans="1:65" ht="15.75" hidden="1"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row>
    <row r="379" spans="1:65" ht="15.75" hidden="1"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row>
    <row r="380" spans="1:65" ht="15.75" hidden="1"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row>
    <row r="381" spans="1:65" ht="15.75" hidden="1"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row>
    <row r="382" spans="1:65" ht="15.75" hidden="1"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row>
    <row r="383" spans="1:65" ht="15.75" hidden="1"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row>
    <row r="384" spans="1:65" ht="15.75" hidden="1"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row>
    <row r="385" spans="1:65" ht="15.75" hidden="1"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row>
    <row r="386" spans="1:65" ht="15.75" hidden="1"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row>
    <row r="387" spans="1:65" ht="15.75" hidden="1"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row>
    <row r="388" spans="1:65" ht="15.75" hidden="1"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row>
    <row r="389" spans="1:65" ht="15.75" hidden="1"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row>
    <row r="390" spans="1:65" ht="15.75" hidden="1"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row>
    <row r="391" spans="1:65" ht="15.75" hidden="1"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row>
    <row r="392" spans="1:65" ht="15.75" hidden="1"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row>
    <row r="393" spans="1:65" ht="15.75" hidden="1"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row>
    <row r="394" spans="1:65" ht="15.75" hidden="1"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row>
    <row r="395" spans="1:65" ht="15.75" hidden="1"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row>
    <row r="396" spans="1:65" ht="15.75" hidden="1"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row>
    <row r="397" spans="1:65" ht="15.75" hidden="1"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row>
    <row r="398" spans="1:65" ht="15.75" hidden="1"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row>
    <row r="399" spans="1:65" ht="15.75" hidden="1"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row>
    <row r="400" spans="1:65" ht="15.75" hidden="1"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row>
    <row r="401" spans="1:65" ht="15.75" hidden="1"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row>
    <row r="402" spans="1:65" ht="15.75" hidden="1"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row>
    <row r="403" spans="1:65" ht="15.75" hidden="1"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row>
    <row r="404" spans="1:65" ht="15.75" hidden="1"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row>
    <row r="405" spans="1:65" ht="15.75" hidden="1"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row>
    <row r="406" spans="1:65" ht="15.75" hidden="1"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row>
    <row r="407" spans="1:65" ht="15.75" hidden="1"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row>
    <row r="408" spans="1:65" ht="15.75" hidden="1"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row>
    <row r="409" spans="1:65" ht="15.75" hidden="1"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row>
    <row r="410" spans="1:65" ht="15.75" hidden="1"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row>
    <row r="411" spans="1:65" ht="15.75" hidden="1"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row>
    <row r="412" spans="1:65" ht="15.75" hidden="1"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row>
    <row r="413" spans="1:65" ht="15.75" hidden="1"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row>
    <row r="414" spans="1:65" ht="15.75" hidden="1"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row>
    <row r="415" spans="1:65" ht="15.75" hidden="1"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row>
    <row r="416" spans="1:65" ht="15.75" hidden="1"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row>
    <row r="417" spans="1:65" ht="15.75" hidden="1"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row>
    <row r="418" spans="1:65" ht="15.75" hidden="1"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row>
    <row r="419" spans="1:65" ht="15.75" hidden="1"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row>
    <row r="420" spans="1:65" ht="15.75" hidden="1"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row>
    <row r="421" spans="1:65" ht="15.75" hidden="1"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row>
    <row r="422" spans="1:65" ht="15.75" hidden="1"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row>
    <row r="423" spans="1:65" ht="15.75" hidden="1"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row>
    <row r="424" spans="1:65" ht="15.75" hidden="1"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row>
    <row r="425" spans="1:65" ht="15.75" hidden="1"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row>
    <row r="426" spans="1:65" ht="15.75" hidden="1"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row>
    <row r="427" spans="1:65" ht="15.75" hidden="1"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row>
    <row r="428" spans="1:65" ht="15.75" hidden="1"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row>
    <row r="429" spans="1:65" ht="15.75" hidden="1"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row>
    <row r="430" spans="1:65" ht="15.75" hidden="1"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row>
    <row r="431" spans="1:65" ht="15.75" hidden="1"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row>
    <row r="432" spans="1:65" ht="15.75" hidden="1"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row>
    <row r="433" spans="1:65" ht="15.75" hidden="1"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row>
    <row r="434" spans="1:65" ht="15.75" hidden="1"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row>
    <row r="435" spans="1:65" ht="15.75" hidden="1"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row>
    <row r="436" spans="1:65" ht="15.75" hidden="1"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row>
    <row r="437" spans="1:65" ht="15.75" hidden="1"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row>
    <row r="438" spans="1:65" ht="15.75" hidden="1"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row>
    <row r="439" spans="1:65" ht="15.75" hidden="1"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row>
    <row r="440" spans="1:65" ht="15.75" hidden="1"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row>
    <row r="441" spans="1:65" ht="15.75" hidden="1"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row>
    <row r="442" spans="1:65" ht="15.75" hidden="1"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row>
    <row r="443" spans="1:65" ht="15.75" hidden="1"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row>
    <row r="444" spans="1:65" ht="15.75" hidden="1"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row>
    <row r="445" spans="1:65" ht="15.75" hidden="1"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row>
    <row r="446" spans="1:65" ht="15.75" hidden="1"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row>
    <row r="447" spans="1:65" ht="15.75" hidden="1"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row>
    <row r="448" spans="1:65" ht="15.75" hidden="1"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row>
    <row r="449" spans="1:65" ht="15.75" hidden="1"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row>
    <row r="450" spans="1:65" ht="15.75" hidden="1"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row>
    <row r="451" spans="1:65" ht="15.75" hidden="1"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row>
    <row r="452" spans="1:65" ht="15.75" hidden="1"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row>
    <row r="453" spans="1:65" ht="15.75" hidden="1"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row>
    <row r="454" spans="1:65" ht="15.75" hidden="1"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row>
    <row r="455" spans="1:65" ht="15.75" hidden="1"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row>
    <row r="456" spans="1:65" ht="15.75" hidden="1"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row>
    <row r="457" spans="1:65" ht="15.75" hidden="1"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row>
    <row r="458" spans="1:65" ht="15.75" hidden="1"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row>
    <row r="459" spans="1:65" ht="15.75" hidden="1"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row>
    <row r="460" spans="1:65" ht="15.75" hidden="1"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row>
    <row r="461" spans="1:65" ht="15.75" hidden="1"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row>
    <row r="462" spans="1:65" ht="15.75" hidden="1"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row>
    <row r="463" spans="1:65" ht="15.75" hidden="1"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row>
    <row r="464" spans="1:65" ht="15.75" hidden="1"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row>
    <row r="465" spans="1:65" ht="15.75" hidden="1"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row>
    <row r="466" spans="1:65" ht="15.75" hidden="1"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row>
    <row r="467" spans="1:65" ht="15.75" hidden="1"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row>
    <row r="468" spans="1:65" ht="15.75" hidden="1"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row>
    <row r="469" spans="1:65" ht="15.75" hidden="1"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row>
    <row r="470" spans="1:65" ht="15.75" hidden="1"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row>
    <row r="471" spans="1:65" ht="15.75" hidden="1"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row>
    <row r="472" spans="1:65" ht="15.75" hidden="1"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row>
    <row r="473" spans="1:65" ht="15.75" hidden="1"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row>
    <row r="474" spans="1:65" ht="15.75" hidden="1"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row>
    <row r="475" spans="1:65" ht="15.75" hidden="1"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row>
    <row r="476" spans="1:65" ht="15.75" hidden="1"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row>
    <row r="477" spans="1:65" ht="15.75" hidden="1"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row>
    <row r="478" spans="1:65" ht="15.75" hidden="1"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row>
    <row r="479" spans="1:65" ht="15.75" hidden="1"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row>
    <row r="480" spans="1:65" ht="15.75" hidden="1"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row>
    <row r="481" spans="1:65" ht="15.75" hidden="1"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row>
    <row r="482" spans="1:65" ht="15.75" hidden="1"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row>
    <row r="483" spans="1:65" ht="15.75" hidden="1"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row>
    <row r="484" spans="1:65" ht="15.75" hidden="1"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row>
    <row r="485" spans="1:65" ht="15.75" hidden="1"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row>
    <row r="486" spans="1:65" ht="15.75" hidden="1"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row>
    <row r="487" spans="1:65" ht="15.75" hidden="1"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row>
    <row r="488" spans="1:65" ht="15.75" hidden="1"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row>
    <row r="489" spans="1:65" ht="15.75" hidden="1"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row>
    <row r="490" spans="1:65" ht="15.75" hidden="1"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row>
    <row r="491" spans="1:65" ht="15.75" hidden="1"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row>
    <row r="492" spans="1:65" ht="15.75" hidden="1"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row>
    <row r="493" spans="1:65" ht="15.75" hidden="1"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row>
    <row r="494" spans="1:65" ht="15.75" hidden="1"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row>
    <row r="495" spans="1:65" ht="15.75" hidden="1"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row>
    <row r="496" spans="1:65" ht="15.75" hidden="1"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row>
    <row r="497" spans="1:65" ht="15.75" hidden="1"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row>
    <row r="498" spans="1:65" ht="15.75" hidden="1"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row>
    <row r="499" spans="1:65" ht="15.75" hidden="1"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row>
    <row r="500" spans="1:65" ht="15.75" hidden="1"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row>
    <row r="501" spans="1:65" ht="15.75" hidden="1"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row>
    <row r="502" spans="1:65" ht="15.75" hidden="1"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row>
    <row r="503" spans="1:65" ht="15.75" hidden="1"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row>
    <row r="504" spans="1:65" ht="15.75" hidden="1"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row>
    <row r="505" spans="1:65" ht="15.75" hidden="1"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row>
    <row r="506" spans="1:65" ht="15.75" hidden="1"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row>
    <row r="507" spans="1:65" ht="15.75" hidden="1"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row>
    <row r="508" spans="1:65" ht="15.75" hidden="1"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row>
    <row r="509" spans="1:65" ht="15.75" hidden="1"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row>
    <row r="510" spans="1:65" ht="15.75" hidden="1"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row>
    <row r="511" spans="1:65" ht="15.75" hidden="1"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row>
    <row r="512" spans="1:65" ht="15.75" hidden="1"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row>
    <row r="513" spans="1:65" ht="15.75" hidden="1"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row>
    <row r="514" spans="1:65" ht="15.75" hidden="1"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row>
    <row r="515" spans="1:65" ht="15.75" hidden="1"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row>
    <row r="516" spans="1:65" ht="15.75" hidden="1"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row>
    <row r="517" spans="1:65" ht="15.75" hidden="1"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row>
    <row r="518" spans="1:65" ht="15.75" hidden="1"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row>
    <row r="519" spans="1:65" ht="15.75" hidden="1"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row>
    <row r="520" spans="1:65" ht="15.75" hidden="1"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row>
    <row r="521" spans="1:65" ht="15.75" hidden="1"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row>
    <row r="522" spans="1:65" ht="15.75" hidden="1"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row>
    <row r="523" spans="1:65" ht="15.75" hidden="1"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row>
    <row r="524" spans="1:65" ht="15.75" hidden="1"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row>
    <row r="525" spans="1:65" ht="15.75" hidden="1"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row>
    <row r="526" spans="1:65" ht="15.75" hidden="1"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row>
    <row r="527" spans="1:65" ht="15.75" hidden="1"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row>
    <row r="528" spans="1:65" ht="15.75" hidden="1"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row>
    <row r="529" spans="1:65" ht="15.75" hidden="1"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row>
    <row r="530" spans="1:65" ht="15.75" hidden="1"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row>
    <row r="531" spans="1:65" ht="15.75" hidden="1"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row>
    <row r="532" spans="1:65" ht="15.75" hidden="1"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row>
    <row r="533" spans="1:65" ht="15.75" hidden="1"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row>
    <row r="534" spans="1:65" ht="15.75" hidden="1"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row>
    <row r="535" spans="1:65" ht="15.75" hidden="1"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row>
    <row r="536" spans="1:65" ht="15.75" hidden="1"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row>
    <row r="537" spans="1:65" ht="15.75" hidden="1"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row>
    <row r="538" spans="1:65" ht="15.75" hidden="1"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row>
    <row r="539" spans="1:65" ht="15.75" hidden="1"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row>
    <row r="540" spans="1:65" ht="15.75" hidden="1"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row>
    <row r="541" spans="1:65" ht="15.75" hidden="1"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row>
    <row r="542" spans="1:65" ht="15.75" hidden="1"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row>
    <row r="543" spans="1:65" ht="15.75" hidden="1"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row>
    <row r="544" spans="1:65" ht="15.75" hidden="1"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row>
    <row r="545" spans="1:65" ht="15.75" hidden="1"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row>
    <row r="546" spans="1:65" ht="15.75" hidden="1"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row>
    <row r="547" spans="1:65" ht="15.75" hidden="1"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row>
    <row r="548" spans="1:65" ht="15.75" hidden="1"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row>
    <row r="549" spans="1:65" ht="15.75" hidden="1"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row>
    <row r="550" spans="1:65" ht="15.75" hidden="1"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row>
    <row r="551" spans="1:65" ht="15.75" hidden="1"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row>
    <row r="552" spans="1:65" ht="15.75" hidden="1"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row>
    <row r="553" spans="1:65" ht="15.75" hidden="1"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row>
    <row r="554" spans="1:65" ht="15.75" hidden="1"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row>
    <row r="555" spans="1:65" ht="15.75" hidden="1"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row>
    <row r="556" spans="1:65" ht="15.75" hidden="1"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row>
    <row r="557" spans="1:65" ht="15.75" hidden="1"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row>
    <row r="558" spans="1:65" ht="15.75" hidden="1"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row>
    <row r="559" spans="1:65" ht="15.75" hidden="1"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row>
    <row r="560" spans="1:65" ht="15.75" hidden="1"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row>
    <row r="561" spans="1:65" ht="15.75" hidden="1"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row>
    <row r="562" spans="1:65" ht="15.75" hidden="1"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row>
    <row r="563" spans="1:65" ht="15.75" hidden="1"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row>
    <row r="564" spans="1:65" ht="15.75" hidden="1"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row>
    <row r="565" spans="1:65" ht="15.75" hidden="1"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row>
    <row r="566" spans="1:65" ht="15.75" hidden="1"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row>
    <row r="567" spans="1:65" ht="15.75" hidden="1"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row>
    <row r="568" spans="1:65" ht="15.75" hidden="1"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row>
    <row r="569" spans="1:65" ht="15.75" hidden="1"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row>
    <row r="570" spans="1:65" ht="15.75" hidden="1"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row>
    <row r="571" spans="1:65" ht="15.75" hidden="1"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row>
    <row r="572" spans="1:65" ht="15.75" hidden="1"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row>
    <row r="573" spans="1:65" ht="15.75" hidden="1"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row>
    <row r="574" spans="1:65" ht="15.75" hidden="1"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row>
    <row r="575" spans="1:65" ht="15.75" hidden="1"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row>
    <row r="576" spans="1:65" ht="15.75" hidden="1"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row>
    <row r="577" spans="1:65" ht="15.75" hidden="1"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row>
    <row r="578" spans="1:65" ht="15.75" hidden="1"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row>
    <row r="579" spans="1:65" ht="15.75" hidden="1"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row>
    <row r="580" spans="1:65" ht="15.75" hidden="1"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row>
    <row r="581" spans="1:65" ht="15.75" hidden="1"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row>
    <row r="582" spans="1:65" ht="15.75" hidden="1"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row>
    <row r="583" spans="1:65" ht="15.75" hidden="1"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row>
    <row r="584" spans="1:65" ht="15.75" hidden="1"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row>
    <row r="585" spans="1:65" ht="15.75" hidden="1"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row>
    <row r="586" spans="1:65" ht="15.75" hidden="1"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row>
    <row r="587" spans="1:65" ht="15.75" hidden="1"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row>
    <row r="588" spans="1:65" ht="15.75" hidden="1"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row>
    <row r="589" spans="1:65" ht="15.75" hidden="1"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row>
    <row r="590" spans="1:65" ht="15.75" hidden="1"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row>
    <row r="591" spans="1:65" ht="15.75" hidden="1"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row>
    <row r="592" spans="1:65" ht="15.75" hidden="1"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row>
    <row r="593" spans="1:65" ht="15.75" hidden="1"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row>
    <row r="594" spans="1:65" ht="15.75" hidden="1"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row>
    <row r="595" spans="1:65" ht="15.75" hidden="1"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row>
    <row r="596" spans="1:65" ht="15.75" hidden="1"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row>
    <row r="597" spans="1:65" ht="15.75" hidden="1"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row>
    <row r="598" spans="1:65" ht="15.75" hidden="1"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row>
    <row r="599" spans="1:65" ht="15.75" hidden="1"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row>
    <row r="600" spans="1:65" ht="15.75" hidden="1"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row>
    <row r="601" spans="1:65" ht="15.75" hidden="1"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row>
    <row r="602" spans="1:65" ht="15.75" hidden="1"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row>
    <row r="603" spans="1:65" ht="15.75" hidden="1"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row>
    <row r="604" spans="1:65" ht="15.75" hidden="1"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row>
    <row r="605" spans="1:65" ht="15.75" hidden="1"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row>
    <row r="606" spans="1:65" ht="15.75" hidden="1"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row>
    <row r="607" spans="1:65" ht="15.75" hidden="1"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row>
    <row r="608" spans="1:65" ht="15.75" hidden="1"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row>
    <row r="609" spans="1:65" ht="15.75" hidden="1"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row>
    <row r="610" spans="1:65" ht="15.75" hidden="1"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row>
    <row r="611" spans="1:65" ht="15.75" hidden="1"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row>
    <row r="612" spans="1:65" ht="15.75" hidden="1"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row>
    <row r="613" spans="1:65" ht="15.75" hidden="1"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row>
    <row r="614" spans="1:65" ht="15.75" hidden="1"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row>
    <row r="615" spans="1:65" ht="15.75" hidden="1"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row>
    <row r="616" spans="1:65" ht="15.75" hidden="1"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row>
    <row r="617" spans="1:65" ht="15.75" hidden="1"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row>
    <row r="618" spans="1:65" ht="15.75" hidden="1"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row>
    <row r="619" spans="1:65" ht="15.75" hidden="1"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row>
    <row r="620" spans="1:65" ht="15.75" hidden="1"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row>
    <row r="621" spans="1:65" ht="15.75" hidden="1"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row>
    <row r="622" spans="1:65" ht="15.75" hidden="1"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row>
    <row r="623" spans="1:65" ht="15.75" hidden="1"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row>
    <row r="624" spans="1:65" ht="15.75" hidden="1"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row>
    <row r="625" spans="1:65" ht="15.75" hidden="1"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row>
    <row r="626" spans="1:65" ht="15.75" hidden="1"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row>
    <row r="627" spans="1:65" ht="15.75" hidden="1"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row>
    <row r="628" spans="1:65" ht="15.75" hidden="1"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row>
    <row r="629" spans="1:65" ht="15.75" hidden="1"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row>
    <row r="630" spans="1:65" ht="15.75" hidden="1"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row>
    <row r="631" spans="1:65" ht="15.75" hidden="1"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row>
    <row r="632" spans="1:65" ht="15.75" hidden="1"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row>
    <row r="633" spans="1:65" ht="15.75" hidden="1"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row>
    <row r="634" spans="1:65" ht="15.75" hidden="1"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row>
    <row r="635" spans="1:65" ht="15.75" hidden="1"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row>
    <row r="636" spans="1:65" ht="15.75" hidden="1"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row>
    <row r="637" spans="1:65" ht="15.75" hidden="1"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row>
    <row r="638" spans="1:65" ht="15.75" hidden="1"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row>
    <row r="639" spans="1:65" ht="15.75" hidden="1"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row>
    <row r="640" spans="1:65" ht="15.75" hidden="1"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row>
    <row r="641" spans="1:65" ht="15.75" hidden="1"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row>
    <row r="642" spans="1:65" ht="15.75" hidden="1"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row>
    <row r="643" spans="1:65" ht="15.75" hidden="1"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row>
    <row r="644" spans="1:65" ht="15.75" hidden="1"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row>
    <row r="645" spans="1:65" ht="15.75" hidden="1"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row>
    <row r="646" spans="1:65" ht="15.75" hidden="1"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row>
    <row r="647" spans="1:65" ht="15.75" hidden="1"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row>
    <row r="648" spans="1:65" ht="15.75" hidden="1"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row>
    <row r="649" spans="1:65" ht="15.75" hidden="1"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row>
    <row r="650" spans="1:65" ht="15.75" hidden="1"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row>
    <row r="651" spans="1:65" ht="15.75" hidden="1"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row>
    <row r="652" spans="1:65" ht="15.75" hidden="1"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row>
    <row r="653" spans="1:65" ht="15.75" hidden="1"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row>
    <row r="654" spans="1:65" ht="15.75" hidden="1"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row>
    <row r="655" spans="1:65" ht="15.75" hidden="1"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row>
    <row r="656" spans="1:65" ht="15.75" hidden="1"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row>
    <row r="657" spans="1:65" ht="15.75" hidden="1"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row>
    <row r="658" spans="1:65" ht="15.75" hidden="1"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row>
    <row r="659" spans="1:65" ht="15.75" hidden="1"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row>
    <row r="660" spans="1:65" ht="15.75" hidden="1"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row>
    <row r="661" spans="1:65" ht="15.75" hidden="1"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row>
    <row r="662" spans="1:65" ht="15.75" hidden="1"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row>
    <row r="663" spans="1:65" ht="15.75" hidden="1"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row>
    <row r="664" spans="1:65" ht="15.75" hidden="1"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row>
    <row r="665" spans="1:65" ht="15.75" hidden="1"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row>
    <row r="666" spans="1:65" ht="15.75" hidden="1"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row>
    <row r="667" spans="1:65" ht="15.75" hidden="1"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row>
    <row r="668" spans="1:65" ht="15.75" hidden="1"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row>
    <row r="669" spans="1:65" ht="15.75" hidden="1"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row>
    <row r="670" spans="1:65" ht="15.75" hidden="1"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row>
    <row r="671" spans="1:65" ht="15.75" hidden="1"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row>
    <row r="672" spans="1:65" ht="15.75" hidden="1"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row>
    <row r="673" spans="1:65" ht="15.75" hidden="1"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row>
    <row r="674" spans="1:65" ht="15.75" hidden="1"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row>
    <row r="675" spans="1:65" ht="15.75" hidden="1"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row>
    <row r="676" spans="1:65" ht="15.75" hidden="1"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row>
    <row r="677" spans="1:65" ht="15.75" hidden="1"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row>
    <row r="678" spans="1:65" ht="15.75" hidden="1"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row>
    <row r="679" spans="1:65" ht="15.75" hidden="1"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row>
    <row r="680" spans="1:65" ht="15.75" hidden="1"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row>
    <row r="681" spans="1:65" ht="15.75" hidden="1"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row>
    <row r="682" spans="1:65" ht="15.75" hidden="1"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row>
    <row r="683" spans="1:65" ht="15.75" hidden="1"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row>
    <row r="684" spans="1:65" ht="15.75" hidden="1"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row>
    <row r="685" spans="1:65" ht="15.75" hidden="1"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row>
    <row r="686" spans="1:65" ht="15.75" hidden="1"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row>
    <row r="687" spans="1:65" ht="15.75" hidden="1"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row>
    <row r="688" spans="1:65" ht="15.75" hidden="1"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row>
    <row r="689" spans="1:65" ht="15.75" hidden="1"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row>
    <row r="690" spans="1:65" ht="15.75" hidden="1"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row>
    <row r="691" spans="1:65" ht="15.75" hidden="1"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row>
    <row r="692" spans="1:65" ht="15.75" hidden="1"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row>
    <row r="693" spans="1:65" ht="15.75" hidden="1"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row>
    <row r="694" spans="1:65" ht="15.75" hidden="1"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row>
    <row r="695" spans="1:65" ht="15.75" hidden="1"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row>
    <row r="696" spans="1:65" ht="15.75" hidden="1"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row>
    <row r="697" spans="1:65" ht="15.75" hidden="1"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row>
    <row r="698" spans="1:65" ht="15.75" hidden="1"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row>
    <row r="699" spans="1:65" ht="15.75" hidden="1"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row>
    <row r="700" spans="1:65" ht="15.75" hidden="1"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row>
    <row r="701" spans="1:65" ht="15.75" hidden="1"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row>
    <row r="702" spans="1:65" ht="15.75" hidden="1"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row>
    <row r="703" spans="1:65" ht="15.75" hidden="1"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row>
    <row r="704" spans="1:65" ht="15.75" hidden="1"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row>
    <row r="705" spans="1:65" ht="15.75" hidden="1"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row>
    <row r="706" spans="1:65" ht="15.75" hidden="1"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row>
    <row r="707" spans="1:65" ht="15.75" hidden="1"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row>
    <row r="708" spans="1:65" ht="15.75" hidden="1"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row>
    <row r="709" spans="1:65" ht="15.75" hidden="1"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row>
    <row r="710" spans="1:65" ht="15.75" hidden="1"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row>
    <row r="711" spans="1:65" ht="15.75" hidden="1"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row>
    <row r="712" spans="1:65" ht="15.75" hidden="1"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row>
    <row r="713" spans="1:65" ht="15.75" hidden="1"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row>
    <row r="714" spans="1:65" ht="15.75" hidden="1"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row>
    <row r="715" spans="1:65" ht="15.75" hidden="1"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row>
    <row r="716" spans="1:65" ht="15.75" hidden="1"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row>
    <row r="717" spans="1:65" ht="15.75" hidden="1"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row>
    <row r="718" spans="1:65" ht="15.75" hidden="1"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row>
    <row r="719" spans="1:65" ht="15.75" hidden="1"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row>
    <row r="720" spans="1:65" ht="15.75" hidden="1"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row>
    <row r="721" spans="1:65" ht="15.75" hidden="1"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row>
    <row r="722" spans="1:65" ht="15.75" hidden="1"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row>
    <row r="723" spans="1:65" ht="15.75" hidden="1"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row>
    <row r="724" spans="1:65" ht="15.75" hidden="1"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row>
    <row r="725" spans="1:65" ht="15.75" hidden="1"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row>
    <row r="726" spans="1:65" ht="15.75" hidden="1"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row>
    <row r="727" spans="1:65" ht="15.75" hidden="1"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row>
    <row r="728" spans="1:65" ht="15.75" hidden="1"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row>
    <row r="729" spans="1:65" ht="15.75" hidden="1"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row>
    <row r="730" spans="1:65" ht="15.75" hidden="1"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row>
    <row r="731" spans="1:65" ht="15.75" hidden="1"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row>
    <row r="732" spans="1:65" ht="15.75" hidden="1"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row>
    <row r="733" spans="1:65" ht="15.75" hidden="1"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row>
    <row r="734" spans="1:65" ht="15.75" hidden="1"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row>
    <row r="735" spans="1:65" ht="15.75" hidden="1"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row>
    <row r="736" spans="1:65" ht="15.75" hidden="1"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row>
    <row r="737" spans="1:65" ht="15.75" hidden="1"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row>
    <row r="738" spans="1:65" ht="15.75" hidden="1"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row>
    <row r="739" spans="1:65" ht="15.75" hidden="1"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row>
    <row r="740" spans="1:65" ht="15.75" hidden="1"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row>
    <row r="741" spans="1:65" ht="15.75" hidden="1"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row>
    <row r="742" spans="1:65" ht="15.75" hidden="1"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row>
    <row r="743" spans="1:65" ht="15.75" hidden="1"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row>
    <row r="744" spans="1:65" ht="15.75" hidden="1"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row>
    <row r="745" spans="1:65" ht="15.75" hidden="1"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row>
    <row r="746" spans="1:65" ht="15.75" hidden="1"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row>
    <row r="747" spans="1:65" ht="15.75" hidden="1"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row>
    <row r="748" spans="1:65" ht="15.75" hidden="1"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row>
    <row r="749" spans="1:65" ht="15.75" hidden="1"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row>
    <row r="750" spans="1:65" ht="15.75" hidden="1"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row>
    <row r="751" spans="1:65" ht="15.75" hidden="1"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row>
    <row r="752" spans="1:65" ht="15.75" hidden="1"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row>
    <row r="753" spans="1:65" ht="15.75" hidden="1"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row>
    <row r="754" spans="1:65" ht="15.75" hidden="1"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row>
    <row r="755" spans="1:65" ht="15.75" hidden="1"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row>
    <row r="756" spans="1:65" ht="15.75" hidden="1"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row>
    <row r="757" spans="1:65" ht="15.75" hidden="1"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row>
    <row r="758" spans="1:65" ht="15.75" hidden="1"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row>
    <row r="759" spans="1:65" ht="15.75" hidden="1"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row>
    <row r="760" spans="1:65" ht="15.75" hidden="1"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row>
    <row r="761" spans="1:65" ht="15.75" hidden="1"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row>
    <row r="762" spans="1:65" ht="15.75" hidden="1"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row>
    <row r="763" spans="1:65" ht="15.75" hidden="1"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row>
    <row r="764" spans="1:65" ht="15.75" hidden="1"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row>
    <row r="765" spans="1:65" ht="15.75" hidden="1"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row>
    <row r="766" spans="1:65" ht="15.75" hidden="1"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row>
    <row r="767" spans="1:65" ht="15.75" hidden="1"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row>
    <row r="768" spans="1:65" ht="15.75" hidden="1"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row>
    <row r="769" spans="1:65" ht="15.75" hidden="1"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row>
    <row r="770" spans="1:65" ht="15.75" hidden="1"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row>
    <row r="771" spans="1:65" ht="15.75" hidden="1"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row>
    <row r="772" spans="1:65" ht="15.75" hidden="1"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row>
    <row r="773" spans="1:65" ht="15.75" hidden="1"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row>
    <row r="774" spans="1:65" ht="15.75" hidden="1"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row>
    <row r="775" spans="1:65" ht="15.75" hidden="1"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row>
    <row r="776" spans="1:65" ht="15.75" hidden="1"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row>
    <row r="777" spans="1:65" ht="15.75" hidden="1"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row>
    <row r="778" spans="1:65" ht="15.75" hidden="1"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row>
    <row r="779" spans="1:65" ht="15.75" hidden="1"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row>
    <row r="780" spans="1:65" ht="15.75" hidden="1"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row>
    <row r="781" spans="1:65" ht="15.75" hidden="1"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row>
    <row r="782" spans="1:65" ht="15.75" hidden="1"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row>
    <row r="783" spans="1:65" ht="15.75" hidden="1"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row>
    <row r="784" spans="1:65" ht="15.75" hidden="1"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row>
    <row r="785" spans="1:65" ht="15.75" hidden="1"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row>
    <row r="786" spans="1:65" ht="15.75" hidden="1"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row>
    <row r="787" spans="1:65" ht="15.75" hidden="1"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row>
    <row r="788" spans="1:65" ht="15.75" hidden="1"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row>
    <row r="789" spans="1:65" ht="15.75" hidden="1"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row>
    <row r="790" spans="1:65" ht="15.75" hidden="1"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row>
    <row r="791" spans="1:65" ht="15.75" hidden="1"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row>
    <row r="792" spans="1:65" ht="15.75" hidden="1"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row>
    <row r="793" spans="1:65" ht="15.75" hidden="1"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row>
    <row r="794" spans="1:65" ht="15.75" hidden="1"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row>
    <row r="795" spans="1:65" ht="15.75" hidden="1"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row>
    <row r="796" spans="1:65" ht="15.75" hidden="1"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row>
    <row r="797" spans="1:65" ht="15.75" hidden="1"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row>
    <row r="798" spans="1:65" ht="15.75" hidden="1"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row>
    <row r="799" spans="1:65" ht="15.75" hidden="1"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row>
    <row r="800" spans="1:65" ht="15.75" hidden="1"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row>
    <row r="801" spans="1:65" ht="15.75" hidden="1"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row>
    <row r="802" spans="1:65" ht="15.75" hidden="1"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row>
    <row r="803" spans="1:65" ht="15.75" hidden="1"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row>
    <row r="804" spans="1:65" ht="15.75" hidden="1"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row>
    <row r="805" spans="1:65" ht="15.75" hidden="1"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row>
    <row r="806" spans="1:65" ht="15.75" hidden="1"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row>
    <row r="807" spans="1:65" ht="15.75" hidden="1"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row>
    <row r="808" spans="1:65" ht="15.75" hidden="1"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row>
    <row r="809" spans="1:65" ht="15.75" hidden="1"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row>
    <row r="810" spans="1:65" ht="15.75" hidden="1"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row>
    <row r="811" spans="1:65" ht="15.75" hidden="1"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row>
    <row r="812" spans="1:65" ht="15.75" hidden="1"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row>
    <row r="813" spans="1:65" ht="15.75" hidden="1"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row>
    <row r="814" spans="1:65" ht="15.75" hidden="1"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row>
    <row r="815" spans="1:65" ht="15.75" hidden="1"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row>
    <row r="816" spans="1:65" ht="15.75" hidden="1"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row>
    <row r="817" spans="1:65" ht="15.75" hidden="1"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row>
    <row r="818" spans="1:65" ht="15.75" hidden="1"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row>
    <row r="819" spans="1:65" ht="15.75" hidden="1"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row>
    <row r="820" spans="1:65" ht="15.75" hidden="1"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row>
    <row r="821" spans="1:65" ht="15.75" hidden="1"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row>
    <row r="822" spans="1:65" ht="15.75" hidden="1"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row>
    <row r="823" spans="1:65" ht="15.75" hidden="1"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row>
    <row r="824" spans="1:65" ht="15.75" hidden="1"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row>
    <row r="825" spans="1:65" ht="15.75" hidden="1"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row>
    <row r="826" spans="1:65" ht="15.75" hidden="1"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row>
    <row r="827" spans="1:65" ht="15.75" hidden="1"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row>
    <row r="828" spans="1:65" ht="15.75" hidden="1"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row>
    <row r="829" spans="1:65" ht="15.75" hidden="1"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row>
    <row r="830" spans="1:65" ht="15.75" hidden="1"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row>
    <row r="831" spans="1:65" ht="15.75" hidden="1"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row>
    <row r="832" spans="1:65" ht="15.75" hidden="1"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row>
    <row r="833" spans="1:65" ht="15.75" hidden="1"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row>
    <row r="834" spans="1:65" ht="15.75" hidden="1"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row>
    <row r="835" spans="1:65" ht="15.75" hidden="1"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row>
    <row r="836" spans="1:65" ht="15.75" hidden="1"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row>
    <row r="837" spans="1:65" ht="15.75" hidden="1"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row>
    <row r="838" spans="1:65" ht="15.75" hidden="1"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row>
    <row r="839" spans="1:65" ht="15.75" hidden="1"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row>
    <row r="840" spans="1:65" ht="15.75" hidden="1"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row>
    <row r="841" spans="1:65" ht="15.75" hidden="1"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row>
    <row r="842" spans="1:65" ht="15.75" hidden="1"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row>
    <row r="843" spans="1:65" ht="15.75" hidden="1"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row>
    <row r="844" spans="1:65" ht="15.75" hidden="1"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row>
    <row r="845" spans="1:65" ht="15.75" hidden="1"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row>
    <row r="846" spans="1:65" ht="15.75" hidden="1"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row>
    <row r="847" spans="1:65" ht="15.75" hidden="1"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row>
    <row r="848" spans="1:65" ht="15.75" hidden="1"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row>
    <row r="849" spans="1:65" ht="15.75" hidden="1"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row>
    <row r="850" spans="1:65" ht="15.75" hidden="1"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row>
    <row r="851" spans="1:65" ht="15.75" hidden="1"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row>
    <row r="852" spans="1:65" ht="15.75" hidden="1"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row>
    <row r="853" spans="1:65" ht="15.75" hidden="1"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row>
    <row r="854" spans="1:65" ht="15.75" hidden="1"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row>
    <row r="855" spans="1:65" ht="15.75" hidden="1"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row>
    <row r="856" spans="1:65" ht="15.75" hidden="1"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row>
    <row r="857" spans="1:65" ht="15.75" hidden="1"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row>
    <row r="858" spans="1:65" ht="15.75" hidden="1"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row>
    <row r="859" spans="1:65" ht="15.75" hidden="1"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row>
    <row r="860" spans="1:65" ht="15.75" hidden="1"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row>
    <row r="861" spans="1:65" ht="15.75" hidden="1"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row>
    <row r="862" spans="1:65" ht="15.75" hidden="1"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row>
    <row r="863" spans="1:65" ht="15.75" hidden="1"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row>
    <row r="864" spans="1:65" ht="15.75" hidden="1"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row>
    <row r="865" spans="1:65" ht="15.75" hidden="1"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row>
    <row r="866" spans="1:65" ht="15.75" hidden="1"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row>
    <row r="867" spans="1:65" ht="15.75" hidden="1"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row>
    <row r="868" spans="1:65" ht="15.75" hidden="1"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row>
    <row r="869" spans="1:65" ht="15.75" hidden="1"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row>
    <row r="870" spans="1:65" ht="15.75" hidden="1"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row>
    <row r="871" spans="1:65" ht="15.75" hidden="1"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row>
    <row r="872" spans="1:65" ht="15.75" hidden="1"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row>
    <row r="873" spans="1:65" ht="15.75" hidden="1"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row>
    <row r="874" spans="1:65" ht="15.75" hidden="1"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row>
    <row r="875" spans="1:65" ht="15.75" hidden="1"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row>
    <row r="876" spans="1:65" ht="15.75" hidden="1"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row>
    <row r="877" spans="1:65" ht="15.75" hidden="1"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row>
    <row r="878" spans="1:65" ht="15.75" hidden="1"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row>
    <row r="879" spans="1:65" ht="15.75" hidden="1"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row>
    <row r="880" spans="1:65" ht="15.75" hidden="1"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row>
    <row r="881" spans="1:65" ht="15.75" hidden="1"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row>
    <row r="882" spans="1:65" ht="15.75" hidden="1"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row>
    <row r="883" spans="1:65" ht="15.75" hidden="1"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row>
    <row r="884" spans="1:65" ht="15.75" hidden="1"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row>
    <row r="885" spans="1:65" ht="15.75" hidden="1"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row>
    <row r="886" spans="1:65" ht="15.75" hidden="1"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row>
    <row r="887" spans="1:65" ht="15.75" hidden="1"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row>
    <row r="888" spans="1:65" ht="15.75" hidden="1"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row>
    <row r="889" spans="1:65" ht="15.75" hidden="1"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row>
    <row r="890" spans="1:65" ht="15.75" hidden="1"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row>
    <row r="891" spans="1:65" ht="15.75" hidden="1"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row>
    <row r="892" spans="1:65" ht="15.75" hidden="1"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row>
    <row r="893" spans="1:65" ht="15.75" hidden="1"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row>
    <row r="894" spans="1:65" ht="15.75" hidden="1"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row>
    <row r="895" spans="1:65" ht="15.75" hidden="1"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row>
    <row r="896" spans="1:65" ht="15.75" hidden="1"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row>
    <row r="897" spans="1:65" ht="15.75" hidden="1"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row>
    <row r="898" spans="1:65" ht="15.75" hidden="1"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row>
    <row r="899" spans="1:65" ht="15.75" hidden="1"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row>
    <row r="900" spans="1:65" ht="15.75" hidden="1"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row>
    <row r="901" spans="1:65" ht="15.75" hidden="1"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row>
    <row r="902" spans="1:65" ht="15.75" hidden="1"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row>
    <row r="903" spans="1:65" ht="15.75" hidden="1"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row>
    <row r="904" spans="1:65" ht="15.75" hidden="1"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row>
    <row r="905" spans="1:65" ht="15.75" hidden="1"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row>
    <row r="906" spans="1:65" ht="15.75" hidden="1"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row>
    <row r="907" spans="1:65" ht="15.75" hidden="1"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row>
    <row r="908" spans="1:65" ht="15.75" hidden="1"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row>
    <row r="909" spans="1:65" ht="15.75" hidden="1"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row>
    <row r="910" spans="1:65" ht="15.75" hidden="1"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row>
    <row r="911" spans="1:65" ht="15.75" hidden="1"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row>
    <row r="912" spans="1:65" ht="15.75" hidden="1"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row>
    <row r="913" spans="1:65" ht="15.75" hidden="1"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row>
    <row r="914" spans="1:65" ht="15.75" hidden="1"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row>
    <row r="915" spans="1:65" ht="15.75" hidden="1"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row>
    <row r="916" spans="1:65" ht="15.75" hidden="1"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row>
    <row r="917" spans="1:65" ht="15.75" hidden="1"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row>
    <row r="918" spans="1:65" ht="15.75" hidden="1"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row>
    <row r="919" spans="1:65" ht="15.75" hidden="1"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row>
    <row r="920" spans="1:65" ht="15.75" hidden="1"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row>
    <row r="921" spans="1:65" ht="15.75" hidden="1"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row>
    <row r="922" spans="1:65" ht="15.75" hidden="1"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row>
    <row r="923" spans="1:65" ht="15.75" hidden="1"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row>
    <row r="924" spans="1:65" ht="15.75" hidden="1"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row>
    <row r="925" spans="1:65" ht="15.75" hidden="1"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row>
    <row r="926" spans="1:65" ht="15.75" hidden="1"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row>
    <row r="927" spans="1:65" ht="15.75" hidden="1"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row>
    <row r="928" spans="1:65" ht="15.75" hidden="1"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row>
    <row r="929" spans="1:65" ht="15.75" hidden="1"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row>
    <row r="930" spans="1:65" ht="15.75" hidden="1"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row>
    <row r="931" spans="1:65" ht="15.75" hidden="1"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row>
    <row r="932" spans="1:65" ht="15.75" hidden="1"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row>
    <row r="933" spans="1:65" ht="15.75" hidden="1"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row>
    <row r="934" spans="1:65" ht="15.75" hidden="1"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row>
    <row r="935" spans="1:65" ht="15.75" hidden="1"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row>
    <row r="936" spans="1:65" ht="15.75" hidden="1"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row>
    <row r="937" spans="1:65" ht="15.75" hidden="1"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row>
    <row r="938" spans="1:65" ht="15.75" hidden="1"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row>
    <row r="939" spans="1:65" ht="15.75" hidden="1"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row>
    <row r="940" spans="1:65" ht="15.75" hidden="1"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row>
    <row r="941" spans="1:65" ht="15.75" hidden="1"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row>
    <row r="942" spans="1:65" ht="15.75" hidden="1"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row>
    <row r="943" spans="1:65" ht="15.75" hidden="1"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row>
    <row r="944" spans="1:65" ht="15.75" hidden="1"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row>
    <row r="945" spans="1:65" ht="15.75" hidden="1"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row>
    <row r="946" spans="1:65" ht="15.75" hidden="1"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row>
    <row r="947" spans="1:65" ht="15.75" hidden="1"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row>
    <row r="948" spans="1:65" ht="15.75" hidden="1"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row>
    <row r="949" spans="1:65" ht="15.75" hidden="1"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row>
    <row r="950" spans="1:65" ht="15.75" hidden="1"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row>
    <row r="951" spans="1:65" ht="15.75" hidden="1"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row>
    <row r="952" spans="1:65" ht="15.75" hidden="1"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row>
    <row r="953" spans="1:65" ht="15.75" hidden="1"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row>
    <row r="954" spans="1:65" ht="15.75" hidden="1"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row>
    <row r="955" spans="1:65" ht="15.75" hidden="1"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row>
    <row r="956" spans="1:65" ht="15.75" hidden="1"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row>
    <row r="957" spans="1:65" ht="15.75" hidden="1"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row>
    <row r="958" spans="1:65" ht="15.75" hidden="1"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row>
    <row r="959" spans="1:65" ht="15.75" hidden="1"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row>
    <row r="960" spans="1:65" ht="15.75" hidden="1"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row>
    <row r="961" spans="1:65" ht="15.75" hidden="1"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row>
    <row r="962" spans="1:65" ht="15.75" hidden="1"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row>
    <row r="963" spans="1:65" ht="15.75" hidden="1"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row>
    <row r="964" spans="1:65" ht="15.75" hidden="1"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row>
    <row r="965" spans="1:65" ht="15.75" hidden="1"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row>
    <row r="966" spans="1:65" ht="15.75" hidden="1"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row>
    <row r="967" spans="1:65" ht="15.75" hidden="1"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row>
    <row r="968" spans="1:65" ht="15.75" hidden="1"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row>
    <row r="969" spans="1:65" ht="15.75" hidden="1"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row>
    <row r="970" spans="1:65" ht="15.75" hidden="1"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row>
    <row r="971" spans="1:65" ht="15.75" hidden="1"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row>
    <row r="972" spans="1:65" ht="15.75" hidden="1"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row>
    <row r="973" spans="1:65" ht="15.75" hidden="1"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row>
    <row r="974" spans="1:65" ht="15.75" hidden="1"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row>
    <row r="975" spans="1:65" ht="15.75" hidden="1"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row>
    <row r="976" spans="1:65" ht="15.75" hidden="1"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row>
    <row r="977" spans="1:65" ht="15.75" hidden="1"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row>
    <row r="978" spans="1:65" ht="15.75" hidden="1"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row>
    <row r="979" spans="1:65" ht="15.75" hidden="1"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row>
    <row r="980" spans="1:65" ht="15.75" hidden="1"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row>
    <row r="981" spans="1:65" ht="15.75" hidden="1"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row>
    <row r="982" spans="1:65" ht="15.75" hidden="1"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row>
    <row r="983" spans="1:65" ht="15.75" hidden="1"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row>
    <row r="984" spans="1:65" ht="15.75" hidden="1"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row>
    <row r="985" spans="1:65" ht="15.75" hidden="1"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row>
    <row r="986" spans="1:65" ht="15.75" hidden="1"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row>
    <row r="987" spans="1:65" ht="15.75" hidden="1"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row>
    <row r="988" spans="1:65" ht="15.75" hidden="1"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row>
    <row r="989" spans="1:65" ht="15.75" hidden="1"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row>
    <row r="990" spans="1:65" ht="15.75" hidden="1"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row>
    <row r="991" spans="1:65" ht="15.75" hidden="1"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row>
    <row r="992" spans="1:65" ht="15.75" hidden="1"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row>
    <row r="993" spans="1:65" ht="15.75" hidden="1"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row>
    <row r="994" spans="1:65" ht="15.75" hidden="1"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row>
    <row r="995" spans="1:65" ht="15.75" hidden="1"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row>
    <row r="996" spans="1:65" ht="15.75" hidden="1"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row>
    <row r="997" spans="1:65" ht="15.75" hidden="1"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row>
    <row r="998" spans="1:65" ht="15.75" hidden="1"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row>
    <row r="999" spans="1:65" ht="15.75" hidden="1"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row>
    <row r="1000" spans="1:65" ht="15.75" hidden="1"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row>
    <row r="1001" spans="1:65" ht="15.75" hidden="1"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row>
    <row r="1002" spans="1:65" ht="15.75" hidden="1"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row>
    <row r="1003" spans="1:65" ht="15.75" hidden="1"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row>
    <row r="1004" spans="1:65" ht="15.75" hidden="1"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row>
    <row r="1005" spans="1:65" ht="15.75" hidden="1"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row>
    <row r="1006" spans="1:65" ht="15.75" hidden="1"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row>
    <row r="1007" spans="1:65" ht="15.75" hidden="1"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row>
    <row r="1008" spans="1:65" ht="15.75" hidden="1"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row>
    <row r="1009" spans="1:65" ht="15.75" hidden="1"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row>
    <row r="1010" spans="1:65" ht="15.75" hidden="1"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row>
    <row r="1011" spans="1:65" ht="15.75" hidden="1"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row>
    <row r="1012" spans="1:65" ht="15.75" hidden="1"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row>
    <row r="1013" spans="1:65" ht="15" hidden="1"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row>
    <row r="1014" spans="1:65" ht="15" hidden="1"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row>
    <row r="1015" spans="1:65" ht="15" hidden="1"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row>
    <row r="1016" spans="1:65" ht="15" hidden="1"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row>
    <row r="1017" spans="1:65" ht="15" hidden="1"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row>
    <row r="1018" spans="1:65" ht="15" hidden="1"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row>
    <row r="1019" spans="1:65" ht="15" hidden="1"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row>
    <row r="1020" spans="1:65" ht="15" hidden="1"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row>
    <row r="1021" spans="1:65" ht="15" hidden="1"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row>
    <row r="1022" spans="1:65" ht="15" hidden="1"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row>
    <row r="1023" spans="1:65" ht="15" hidden="1"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row>
    <row r="1024" spans="1:65" ht="15" hidden="1"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row>
    <row r="1025" spans="1:65" ht="15" hidden="1"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row>
    <row r="1026" spans="1:65" ht="15" hidden="1"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row>
    <row r="1027" spans="1:65" ht="15" hidden="1"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row>
    <row r="1028" spans="1:65" ht="15" hidden="1"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row>
    <row r="1029" spans="1:65" ht="15" hidden="1"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row>
    <row r="1030" spans="1:65" ht="15" hidden="1"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row>
    <row r="1031" spans="1:65" ht="15" hidden="1"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row>
    <row r="1032" spans="1:65" ht="15" hidden="1"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row>
    <row r="1033" spans="1:65" ht="15" hidden="1"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row>
    <row r="1034" spans="1:65" ht="15" hidden="1"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row>
    <row r="1035" spans="1:65" ht="15" hidden="1"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row>
    <row r="1036" spans="1:65" ht="15" hidden="1"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row>
    <row r="1037" spans="1:65" ht="15" hidden="1"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row>
    <row r="1038" spans="1:65" ht="15" hidden="1"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row>
    <row r="1039" spans="1:65" ht="15" hidden="1"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row>
    <row r="1040" spans="1:65" ht="15" hidden="1"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row>
    <row r="1041" spans="1:65" ht="15" hidden="1"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row>
    <row r="1042" spans="1:65" ht="15" hidden="1"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row>
    <row r="1043" spans="1:65" ht="15" hidden="1"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row>
    <row r="1044" spans="1:65" ht="15" hidden="1"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row>
    <row r="1045" spans="1:65" ht="15" hidden="1"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row>
    <row r="1046" spans="1:65" ht="15" hidden="1"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row>
    <row r="1047" spans="1:65" ht="15" hidden="1"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row>
    <row r="1048" spans="1:65" ht="15" hidden="1"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row>
    <row r="1049" spans="1:65" ht="15" hidden="1"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row>
    <row r="1050" spans="1:65" ht="15" hidden="1"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row>
    <row r="1051" spans="1:65" ht="15" hidden="1"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row>
    <row r="1052" spans="1:65" ht="15" hidden="1"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row>
    <row r="1053" spans="1:65" ht="15" hidden="1"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row>
    <row r="1054" spans="1:65" ht="15" hidden="1"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row>
    <row r="1055" spans="1:65" ht="15" hidden="1"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row>
    <row r="1056" spans="1:65" ht="15" hidden="1"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row>
    <row r="1057" spans="1:65" ht="15" hidden="1"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row>
    <row r="1058" spans="1:65" ht="15" hidden="1"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row>
    <row r="1059" spans="1:65" ht="15" customHeight="1">
      <c r="A1059" s="1"/>
      <c r="B1059" s="1"/>
      <c r="C1059" s="1"/>
      <c r="D1059" s="1"/>
      <c r="E1059" s="1"/>
      <c r="F1059" s="1"/>
      <c r="G1059" s="1"/>
      <c r="H1059" s="1"/>
      <c r="I1059" s="1"/>
      <c r="J1059" s="1"/>
      <c r="K1059" s="1"/>
      <c r="L1059" s="1"/>
      <c r="M1059" s="3"/>
      <c r="N1059" s="3"/>
      <c r="O1059" s="3"/>
      <c r="P1059" s="3"/>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row>
    <row r="1060" spans="1:65" ht="15" customHeight="1">
      <c r="A1060" s="1"/>
      <c r="B1060" s="1"/>
      <c r="C1060" s="1"/>
      <c r="D1060" s="1"/>
      <c r="E1060" s="1"/>
      <c r="F1060" s="1"/>
      <c r="G1060" s="1"/>
      <c r="H1060" s="1"/>
      <c r="I1060" s="1"/>
      <c r="J1060" s="1"/>
      <c r="K1060" s="1"/>
      <c r="L1060" s="1"/>
      <c r="M1060" s="3"/>
      <c r="N1060" s="3"/>
      <c r="O1060" s="3"/>
      <c r="P1060" s="3"/>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row>
    <row r="1061" spans="1:65" ht="15" customHeight="1">
      <c r="A1061" s="1"/>
      <c r="B1061" s="1"/>
      <c r="C1061" s="1"/>
      <c r="D1061" s="1"/>
      <c r="E1061" s="1"/>
      <c r="F1061" s="1"/>
      <c r="G1061" s="1"/>
      <c r="H1061" s="1"/>
      <c r="I1061" s="1"/>
      <c r="J1061" s="1"/>
      <c r="K1061" s="1"/>
      <c r="L1061" s="1"/>
      <c r="M1061" s="3"/>
      <c r="N1061" s="3"/>
      <c r="O1061" s="3"/>
      <c r="P1061" s="3"/>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row>
    <row r="1062" spans="1:65" ht="15" customHeight="1">
      <c r="A1062" s="1"/>
      <c r="B1062" s="1"/>
      <c r="C1062" s="1"/>
      <c r="D1062" s="1"/>
      <c r="E1062" s="1"/>
      <c r="F1062" s="1"/>
      <c r="G1062" s="1"/>
      <c r="H1062" s="1"/>
      <c r="I1062" s="1"/>
      <c r="J1062" s="1"/>
      <c r="K1062" s="1"/>
      <c r="L1062" s="1"/>
      <c r="M1062" s="3"/>
      <c r="N1062" s="3"/>
      <c r="O1062" s="3"/>
      <c r="P1062" s="3"/>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row>
    <row r="1063" spans="1:65" ht="15" customHeight="1">
      <c r="A1063" s="1"/>
      <c r="B1063" s="1"/>
      <c r="C1063" s="1"/>
      <c r="D1063" s="1"/>
      <c r="E1063" s="1"/>
      <c r="F1063" s="1"/>
      <c r="G1063" s="1"/>
      <c r="H1063" s="1"/>
      <c r="I1063" s="1"/>
      <c r="J1063" s="1"/>
      <c r="K1063" s="1"/>
      <c r="L1063" s="1"/>
      <c r="M1063" s="3"/>
      <c r="N1063" s="3"/>
      <c r="O1063" s="3"/>
      <c r="P1063" s="3"/>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row>
    <row r="1064" spans="1:65" ht="15" customHeight="1">
      <c r="A1064" s="1"/>
      <c r="B1064" s="1"/>
      <c r="C1064" s="1"/>
      <c r="D1064" s="1"/>
      <c r="E1064" s="1"/>
      <c r="F1064" s="1"/>
      <c r="G1064" s="1"/>
      <c r="H1064" s="1"/>
      <c r="I1064" s="1"/>
      <c r="J1064" s="1"/>
      <c r="K1064" s="1"/>
      <c r="L1064" s="1"/>
      <c r="M1064" s="3"/>
      <c r="N1064" s="3"/>
      <c r="O1064" s="3"/>
      <c r="P1064" s="3"/>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row>
    <row r="1065" spans="1:65" ht="15" customHeight="1">
      <c r="A1065" s="1"/>
      <c r="B1065" s="1"/>
      <c r="C1065" s="1"/>
      <c r="D1065" s="1"/>
      <c r="E1065" s="1"/>
      <c r="F1065" s="1"/>
      <c r="G1065" s="1"/>
      <c r="H1065" s="1"/>
      <c r="I1065" s="1"/>
      <c r="J1065" s="1"/>
      <c r="K1065" s="1"/>
      <c r="L1065" s="1"/>
      <c r="M1065" s="3"/>
      <c r="N1065" s="3"/>
      <c r="O1065" s="3"/>
      <c r="P1065" s="3"/>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row>
    <row r="1066" spans="1:65" ht="15" customHeight="1">
      <c r="A1066" s="1"/>
      <c r="B1066" s="1"/>
      <c r="C1066" s="1"/>
      <c r="D1066" s="1"/>
      <c r="E1066" s="1"/>
      <c r="F1066" s="1"/>
      <c r="G1066" s="1"/>
      <c r="H1066" s="1"/>
      <c r="I1066" s="1"/>
      <c r="J1066" s="1"/>
      <c r="K1066" s="1"/>
      <c r="L1066" s="1"/>
      <c r="M1066" s="3"/>
      <c r="N1066" s="3"/>
      <c r="O1066" s="3"/>
      <c r="P1066" s="3"/>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row>
    <row r="1067" spans="1:65" ht="15" customHeight="1">
      <c r="A1067" s="1"/>
      <c r="B1067" s="1"/>
      <c r="C1067" s="1"/>
      <c r="D1067" s="1"/>
      <c r="E1067" s="1"/>
      <c r="F1067" s="1"/>
      <c r="G1067" s="1"/>
      <c r="H1067" s="1"/>
      <c r="I1067" s="1"/>
      <c r="J1067" s="1"/>
      <c r="K1067" s="1"/>
      <c r="L1067" s="1"/>
      <c r="M1067" s="3"/>
      <c r="N1067" s="3"/>
      <c r="O1067" s="3"/>
      <c r="P1067" s="3"/>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row>
    <row r="1068" spans="1:65" ht="15" customHeight="1">
      <c r="A1068" s="1"/>
      <c r="B1068" s="1"/>
      <c r="C1068" s="1"/>
      <c r="D1068" s="1"/>
      <c r="E1068" s="1"/>
      <c r="F1068" s="1"/>
      <c r="G1068" s="1"/>
      <c r="H1068" s="1"/>
      <c r="I1068" s="1"/>
      <c r="J1068" s="1"/>
      <c r="K1068" s="1"/>
      <c r="L1068" s="1"/>
      <c r="M1068" s="3"/>
      <c r="N1068" s="3"/>
      <c r="O1068" s="3"/>
      <c r="P1068" s="3"/>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row>
    <row r="1069" spans="1:65" ht="15" customHeight="1">
      <c r="A1069" s="1"/>
      <c r="B1069" s="1"/>
      <c r="C1069" s="1"/>
      <c r="D1069" s="1"/>
      <c r="E1069" s="1"/>
      <c r="F1069" s="1"/>
      <c r="G1069" s="1"/>
      <c r="H1069" s="1"/>
      <c r="I1069" s="1"/>
      <c r="J1069" s="1"/>
      <c r="K1069" s="1"/>
      <c r="L1069" s="1"/>
      <c r="M1069" s="3"/>
      <c r="N1069" s="3"/>
      <c r="O1069" s="3"/>
      <c r="P1069" s="3"/>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row>
    <row r="1070" spans="1:65" ht="15" customHeight="1">
      <c r="A1070" s="1"/>
      <c r="B1070" s="1"/>
      <c r="C1070" s="1"/>
      <c r="D1070" s="1"/>
      <c r="E1070" s="1"/>
      <c r="F1070" s="1"/>
      <c r="G1070" s="1"/>
      <c r="H1070" s="1"/>
      <c r="I1070" s="1"/>
      <c r="J1070" s="1"/>
      <c r="K1070" s="1"/>
      <c r="L1070" s="1"/>
      <c r="M1070" s="3"/>
      <c r="N1070" s="3"/>
      <c r="O1070" s="3"/>
      <c r="P1070" s="3"/>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row>
    <row r="1071" spans="1:65" ht="15" customHeight="1">
      <c r="A1071" s="1"/>
      <c r="B1071" s="1"/>
      <c r="C1071" s="1"/>
      <c r="D1071" s="1"/>
      <c r="E1071" s="1"/>
      <c r="F1071" s="1"/>
      <c r="G1071" s="1"/>
      <c r="H1071" s="1"/>
      <c r="I1071" s="1"/>
      <c r="J1071" s="1"/>
      <c r="K1071" s="1"/>
      <c r="L1071" s="1"/>
      <c r="M1071" s="3"/>
      <c r="N1071" s="3"/>
      <c r="O1071" s="3"/>
      <c r="P1071" s="3"/>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row>
    <row r="1072" spans="1:65" ht="15" customHeight="1">
      <c r="A1072" s="1"/>
      <c r="B1072" s="1"/>
      <c r="C1072" s="1"/>
      <c r="D1072" s="1"/>
      <c r="E1072" s="1"/>
      <c r="F1072" s="1"/>
      <c r="G1072" s="1"/>
      <c r="H1072" s="1"/>
      <c r="I1072" s="1"/>
      <c r="J1072" s="1"/>
      <c r="K1072" s="1"/>
      <c r="L1072" s="1"/>
      <c r="M1072" s="3"/>
      <c r="N1072" s="3"/>
      <c r="O1072" s="3"/>
      <c r="P1072" s="3"/>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row>
    <row r="1073" spans="1:65" ht="15" customHeight="1">
      <c r="A1073" s="1"/>
      <c r="B1073" s="1"/>
      <c r="C1073" s="1"/>
      <c r="D1073" s="1"/>
      <c r="E1073" s="1"/>
      <c r="F1073" s="1"/>
      <c r="G1073" s="1"/>
      <c r="H1073" s="1"/>
      <c r="I1073" s="1"/>
      <c r="J1073" s="1"/>
      <c r="K1073" s="1"/>
      <c r="L1073" s="1"/>
      <c r="M1073" s="3"/>
      <c r="N1073" s="3"/>
      <c r="O1073" s="3"/>
      <c r="P1073" s="3"/>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row>
    <row r="1074" spans="1:65" ht="15" customHeight="1">
      <c r="A1074" s="1"/>
      <c r="B1074" s="1"/>
      <c r="C1074" s="1"/>
      <c r="D1074" s="1"/>
      <c r="E1074" s="1"/>
      <c r="F1074" s="1"/>
      <c r="G1074" s="1"/>
      <c r="H1074" s="1"/>
      <c r="I1074" s="1"/>
      <c r="J1074" s="1"/>
      <c r="K1074" s="1"/>
      <c r="L1074" s="1"/>
      <c r="M1074" s="3"/>
      <c r="N1074" s="3"/>
      <c r="O1074" s="3"/>
      <c r="P1074" s="3"/>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row>
    <row r="1075" spans="1:65" ht="15" customHeight="1">
      <c r="A1075" s="1"/>
      <c r="B1075" s="1"/>
      <c r="C1075" s="1"/>
      <c r="D1075" s="1"/>
      <c r="E1075" s="1"/>
      <c r="F1075" s="1"/>
      <c r="G1075" s="1"/>
      <c r="H1075" s="1"/>
      <c r="I1075" s="1"/>
      <c r="J1075" s="1"/>
      <c r="K1075" s="1"/>
      <c r="L1075" s="1"/>
      <c r="M1075" s="3"/>
      <c r="N1075" s="3"/>
      <c r="O1075" s="3"/>
      <c r="P1075" s="3"/>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row>
    <row r="1076" spans="1:65" ht="15" customHeight="1">
      <c r="A1076" s="1"/>
      <c r="B1076" s="1"/>
      <c r="C1076" s="1"/>
      <c r="D1076" s="1"/>
      <c r="E1076" s="1"/>
      <c r="F1076" s="1"/>
      <c r="G1076" s="1"/>
      <c r="H1076" s="1"/>
      <c r="I1076" s="1"/>
      <c r="J1076" s="1"/>
      <c r="K1076" s="1"/>
      <c r="L1076" s="1"/>
      <c r="M1076" s="3"/>
      <c r="N1076" s="3"/>
      <c r="O1076" s="3"/>
      <c r="P1076" s="3"/>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row>
    <row r="1077" spans="1:65" ht="15" customHeight="1">
      <c r="A1077" s="1"/>
      <c r="B1077" s="1"/>
      <c r="C1077" s="1"/>
      <c r="D1077" s="1"/>
      <c r="E1077" s="1"/>
      <c r="F1077" s="1"/>
      <c r="G1077" s="1"/>
      <c r="H1077" s="1"/>
      <c r="I1077" s="1"/>
      <c r="J1077" s="1"/>
      <c r="K1077" s="1"/>
      <c r="L1077" s="1"/>
      <c r="M1077" s="3"/>
      <c r="N1077" s="3"/>
      <c r="O1077" s="3"/>
      <c r="P1077" s="3"/>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row>
    <row r="1078" spans="1:65" ht="15" customHeight="1">
      <c r="A1078" s="1"/>
      <c r="B1078" s="1"/>
      <c r="C1078" s="1"/>
      <c r="D1078" s="1"/>
      <c r="E1078" s="1"/>
      <c r="F1078" s="1"/>
      <c r="G1078" s="1"/>
      <c r="H1078" s="1"/>
      <c r="I1078" s="1"/>
      <c r="J1078" s="1"/>
      <c r="K1078" s="1"/>
      <c r="L1078" s="1"/>
      <c r="M1078" s="3"/>
      <c r="N1078" s="3"/>
      <c r="O1078" s="3"/>
      <c r="P1078" s="3"/>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row>
    <row r="1079" spans="1:65" ht="15" customHeight="1">
      <c r="A1079" s="1"/>
      <c r="B1079" s="1"/>
      <c r="C1079" s="1"/>
      <c r="D1079" s="1"/>
      <c r="E1079" s="1"/>
      <c r="F1079" s="1"/>
      <c r="G1079" s="1"/>
      <c r="H1079" s="1"/>
      <c r="I1079" s="1"/>
      <c r="J1079" s="1"/>
      <c r="K1079" s="1"/>
      <c r="L1079" s="1"/>
      <c r="M1079" s="3"/>
      <c r="N1079" s="3"/>
      <c r="O1079" s="3"/>
      <c r="P1079" s="3"/>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row>
    <row r="1080" spans="1:65" ht="15" customHeight="1">
      <c r="A1080" s="1"/>
      <c r="B1080" s="1"/>
      <c r="C1080" s="1"/>
      <c r="D1080" s="1"/>
      <c r="E1080" s="1"/>
      <c r="F1080" s="1"/>
      <c r="G1080" s="1"/>
      <c r="H1080" s="1"/>
      <c r="I1080" s="1"/>
      <c r="J1080" s="1"/>
      <c r="K1080" s="1"/>
      <c r="L1080" s="1"/>
      <c r="M1080" s="3"/>
      <c r="N1080" s="3"/>
      <c r="O1080" s="3"/>
      <c r="P1080" s="3"/>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row>
    <row r="1081" spans="1:65" ht="15" customHeight="1">
      <c r="A1081" s="1"/>
      <c r="B1081" s="1"/>
      <c r="C1081" s="1"/>
      <c r="D1081" s="1"/>
      <c r="E1081" s="1"/>
      <c r="F1081" s="1"/>
      <c r="G1081" s="1"/>
      <c r="H1081" s="1"/>
      <c r="I1081" s="1"/>
      <c r="J1081" s="1"/>
      <c r="K1081" s="1"/>
      <c r="L1081" s="1"/>
      <c r="M1081" s="3"/>
      <c r="N1081" s="3"/>
      <c r="O1081" s="3"/>
      <c r="P1081" s="3"/>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row>
    <row r="1082" spans="1:65" ht="15" customHeight="1">
      <c r="A1082" s="1"/>
      <c r="B1082" s="1"/>
      <c r="C1082" s="1"/>
      <c r="D1082" s="1"/>
      <c r="E1082" s="1"/>
      <c r="F1082" s="1"/>
      <c r="G1082" s="1"/>
      <c r="H1082" s="1"/>
      <c r="I1082" s="1"/>
      <c r="J1082" s="1"/>
      <c r="K1082" s="1"/>
      <c r="L1082" s="1"/>
      <c r="M1082" s="3"/>
      <c r="N1082" s="3"/>
      <c r="O1082" s="3"/>
      <c r="P1082" s="3"/>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row>
    <row r="1083" spans="1:65" ht="15" customHeight="1">
      <c r="A1083" s="1"/>
      <c r="B1083" s="1"/>
      <c r="C1083" s="1"/>
      <c r="D1083" s="1"/>
      <c r="E1083" s="1"/>
      <c r="F1083" s="1"/>
      <c r="G1083" s="1"/>
      <c r="H1083" s="1"/>
      <c r="I1083" s="1"/>
      <c r="J1083" s="1"/>
      <c r="K1083" s="1"/>
      <c r="L1083" s="1"/>
      <c r="M1083" s="3"/>
      <c r="N1083" s="3"/>
      <c r="O1083" s="3"/>
      <c r="P1083" s="3"/>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row>
    <row r="1084" spans="1:65" ht="15" customHeight="1">
      <c r="A1084" s="1"/>
      <c r="B1084" s="1"/>
      <c r="C1084" s="1"/>
      <c r="D1084" s="1"/>
      <c r="E1084" s="1"/>
      <c r="F1084" s="1"/>
      <c r="G1084" s="1"/>
      <c r="H1084" s="1"/>
      <c r="I1084" s="1"/>
      <c r="J1084" s="1"/>
      <c r="K1084" s="1"/>
      <c r="L1084" s="1"/>
      <c r="M1084" s="3"/>
      <c r="N1084" s="3"/>
      <c r="O1084" s="3"/>
      <c r="P1084" s="3"/>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row>
    <row r="1085" spans="1:65" ht="15" customHeight="1">
      <c r="A1085" s="1"/>
      <c r="B1085" s="1"/>
      <c r="C1085" s="1"/>
      <c r="D1085" s="1"/>
      <c r="E1085" s="1"/>
      <c r="F1085" s="1"/>
      <c r="G1085" s="1"/>
      <c r="H1085" s="1"/>
      <c r="I1085" s="1"/>
      <c r="J1085" s="1"/>
      <c r="K1085" s="1"/>
      <c r="L1085" s="1"/>
      <c r="M1085" s="3"/>
      <c r="N1085" s="3"/>
      <c r="O1085" s="3"/>
      <c r="P1085" s="3"/>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row>
    <row r="1086" spans="1:65" ht="15" customHeight="1">
      <c r="A1086" s="1"/>
      <c r="B1086" s="1"/>
      <c r="C1086" s="1"/>
      <c r="D1086" s="1"/>
      <c r="E1086" s="1"/>
      <c r="F1086" s="1"/>
      <c r="G1086" s="1"/>
      <c r="H1086" s="1"/>
      <c r="I1086" s="1"/>
      <c r="J1086" s="1"/>
      <c r="K1086" s="1"/>
      <c r="L1086" s="1"/>
      <c r="M1086" s="3"/>
      <c r="N1086" s="3"/>
      <c r="O1086" s="3"/>
      <c r="P1086" s="3"/>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row>
    <row r="1087" spans="1:65" ht="15" customHeight="1">
      <c r="A1087" s="1"/>
      <c r="B1087" s="1"/>
      <c r="C1087" s="1"/>
      <c r="D1087" s="1"/>
      <c r="E1087" s="1"/>
      <c r="F1087" s="1"/>
      <c r="G1087" s="1"/>
      <c r="H1087" s="1"/>
      <c r="I1087" s="1"/>
      <c r="J1087" s="1"/>
      <c r="K1087" s="1"/>
      <c r="L1087" s="1"/>
      <c r="M1087" s="3"/>
      <c r="N1087" s="3"/>
      <c r="O1087" s="3"/>
      <c r="P1087" s="3"/>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row>
    <row r="1088" spans="1:65" ht="15" customHeight="1">
      <c r="A1088" s="1"/>
      <c r="B1088" s="1"/>
      <c r="C1088" s="1"/>
      <c r="D1088" s="1"/>
      <c r="E1088" s="1"/>
      <c r="F1088" s="1"/>
      <c r="G1088" s="1"/>
      <c r="H1088" s="1"/>
      <c r="I1088" s="1"/>
      <c r="J1088" s="1"/>
      <c r="K1088" s="1"/>
      <c r="L1088" s="1"/>
      <c r="M1088" s="3"/>
      <c r="N1088" s="3"/>
      <c r="O1088" s="3"/>
      <c r="P1088" s="3"/>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row>
    <row r="1089" spans="1:65" ht="15" customHeight="1">
      <c r="A1089" s="1"/>
      <c r="B1089" s="1"/>
      <c r="C1089" s="1"/>
      <c r="D1089" s="1"/>
      <c r="E1089" s="1"/>
      <c r="F1089" s="1"/>
      <c r="G1089" s="1"/>
      <c r="H1089" s="1"/>
      <c r="I1089" s="1"/>
      <c r="J1089" s="1"/>
      <c r="K1089" s="1"/>
      <c r="L1089" s="1"/>
      <c r="M1089" s="3"/>
      <c r="N1089" s="3"/>
      <c r="O1089" s="3"/>
      <c r="P1089" s="3"/>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row>
    <row r="1090" spans="1:65" ht="15" customHeight="1">
      <c r="A1090" s="1"/>
      <c r="B1090" s="1"/>
      <c r="C1090" s="1"/>
      <c r="D1090" s="1"/>
      <c r="E1090" s="1"/>
      <c r="F1090" s="1"/>
      <c r="G1090" s="1"/>
      <c r="H1090" s="1"/>
      <c r="I1090" s="1"/>
      <c r="J1090" s="1"/>
      <c r="K1090" s="1"/>
      <c r="L1090" s="1"/>
      <c r="M1090" s="3"/>
      <c r="N1090" s="3"/>
      <c r="O1090" s="3"/>
      <c r="P1090" s="3"/>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row>
    <row r="1091" spans="1:65" ht="15" customHeight="1">
      <c r="A1091" s="1"/>
      <c r="B1091" s="1"/>
      <c r="C1091" s="1"/>
      <c r="D1091" s="1"/>
      <c r="E1091" s="1"/>
      <c r="F1091" s="1"/>
      <c r="G1091" s="1"/>
      <c r="H1091" s="1"/>
      <c r="I1091" s="1"/>
      <c r="J1091" s="1"/>
      <c r="K1091" s="1"/>
      <c r="L1091" s="1"/>
      <c r="M1091" s="3"/>
      <c r="N1091" s="3"/>
      <c r="O1091" s="3"/>
      <c r="P1091" s="3"/>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row>
    <row r="1092" spans="1:65" ht="15" customHeight="1">
      <c r="A1092" s="1"/>
      <c r="B1092" s="1"/>
      <c r="C1092" s="1"/>
      <c r="D1092" s="1"/>
      <c r="E1092" s="1"/>
      <c r="F1092" s="1"/>
      <c r="G1092" s="1"/>
      <c r="H1092" s="1"/>
      <c r="I1092" s="1"/>
      <c r="J1092" s="1"/>
      <c r="K1092" s="1"/>
      <c r="L1092" s="1"/>
      <c r="M1092" s="3"/>
      <c r="N1092" s="3"/>
      <c r="O1092" s="3"/>
      <c r="P1092" s="3"/>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row>
    <row r="1093" spans="1:65" ht="15" customHeight="1">
      <c r="A1093" s="1"/>
      <c r="B1093" s="1"/>
      <c r="C1093" s="1"/>
      <c r="D1093" s="1"/>
      <c r="E1093" s="1"/>
      <c r="F1093" s="1"/>
      <c r="G1093" s="1"/>
      <c r="H1093" s="1"/>
      <c r="I1093" s="1"/>
      <c r="J1093" s="1"/>
      <c r="K1093" s="1"/>
      <c r="L1093" s="1"/>
      <c r="M1093" s="3"/>
      <c r="N1093" s="3"/>
      <c r="O1093" s="3"/>
      <c r="P1093" s="3"/>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row>
    <row r="1094" spans="1:65" ht="15" customHeight="1">
      <c r="A1094" s="1"/>
      <c r="B1094" s="1"/>
      <c r="C1094" s="1"/>
      <c r="D1094" s="1"/>
      <c r="E1094" s="1"/>
      <c r="F1094" s="1"/>
      <c r="G1094" s="1"/>
      <c r="H1094" s="1"/>
      <c r="I1094" s="1"/>
      <c r="J1094" s="1"/>
      <c r="K1094" s="1"/>
      <c r="L1094" s="1"/>
      <c r="M1094" s="3"/>
      <c r="N1094" s="3"/>
      <c r="O1094" s="3"/>
      <c r="P1094" s="3"/>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row>
    <row r="1095" spans="1:65" ht="15" customHeight="1">
      <c r="A1095" s="1"/>
      <c r="B1095" s="1"/>
      <c r="C1095" s="1"/>
      <c r="D1095" s="1"/>
      <c r="E1095" s="1"/>
      <c r="F1095" s="1"/>
      <c r="G1095" s="1"/>
      <c r="H1095" s="1"/>
      <c r="I1095" s="1"/>
      <c r="J1095" s="1"/>
      <c r="K1095" s="1"/>
      <c r="L1095" s="1"/>
      <c r="M1095" s="3"/>
      <c r="N1095" s="3"/>
      <c r="O1095" s="3"/>
      <c r="P1095" s="3"/>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row>
    <row r="1096" spans="1:65" ht="15" customHeight="1">
      <c r="A1096" s="1"/>
      <c r="B1096" s="1"/>
      <c r="C1096" s="1"/>
      <c r="D1096" s="1"/>
      <c r="E1096" s="1"/>
      <c r="F1096" s="1"/>
      <c r="G1096" s="1"/>
      <c r="H1096" s="1"/>
      <c r="I1096" s="1"/>
      <c r="J1096" s="1"/>
      <c r="K1096" s="1"/>
      <c r="L1096" s="1"/>
      <c r="M1096" s="3"/>
      <c r="N1096" s="3"/>
      <c r="O1096" s="3"/>
      <c r="P1096" s="3"/>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row>
    <row r="1097" spans="1:65" ht="15" customHeight="1">
      <c r="A1097" s="1"/>
      <c r="B1097" s="1"/>
      <c r="C1097" s="1"/>
      <c r="D1097" s="1"/>
      <c r="E1097" s="1"/>
      <c r="F1097" s="1"/>
      <c r="G1097" s="1"/>
      <c r="H1097" s="1"/>
      <c r="I1097" s="1"/>
      <c r="J1097" s="1"/>
      <c r="K1097" s="1"/>
      <c r="L1097" s="1"/>
      <c r="M1097" s="3"/>
      <c r="N1097" s="3"/>
      <c r="O1097" s="3"/>
      <c r="P1097" s="3"/>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row>
    <row r="1098" spans="1:65" ht="15" customHeight="1">
      <c r="A1098" s="1"/>
      <c r="B1098" s="1"/>
      <c r="C1098" s="1"/>
      <c r="D1098" s="1"/>
      <c r="E1098" s="1"/>
      <c r="F1098" s="1"/>
      <c r="G1098" s="1"/>
      <c r="H1098" s="1"/>
      <c r="I1098" s="1"/>
      <c r="J1098" s="1"/>
      <c r="K1098" s="1"/>
      <c r="L1098" s="1"/>
      <c r="M1098" s="3"/>
      <c r="N1098" s="3"/>
      <c r="O1098" s="3"/>
      <c r="P1098" s="3"/>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row>
    <row r="1099" spans="1:65" ht="15" customHeight="1">
      <c r="A1099" s="1"/>
      <c r="B1099" s="1"/>
      <c r="C1099" s="1"/>
      <c r="D1099" s="1"/>
      <c r="E1099" s="1"/>
      <c r="F1099" s="1"/>
      <c r="G1099" s="1"/>
      <c r="H1099" s="1"/>
      <c r="I1099" s="1"/>
      <c r="J1099" s="1"/>
      <c r="K1099" s="1"/>
      <c r="L1099" s="1"/>
      <c r="M1099" s="3"/>
      <c r="N1099" s="3"/>
      <c r="O1099" s="3"/>
      <c r="P1099" s="3"/>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row>
    <row r="1100" spans="1:65" ht="15" customHeight="1">
      <c r="A1100" s="1"/>
      <c r="B1100" s="1"/>
      <c r="C1100" s="1"/>
      <c r="D1100" s="1"/>
      <c r="E1100" s="1"/>
      <c r="F1100" s="1"/>
      <c r="G1100" s="1"/>
      <c r="H1100" s="1"/>
      <c r="I1100" s="1"/>
      <c r="J1100" s="1"/>
      <c r="K1100" s="1"/>
      <c r="L1100" s="1"/>
      <c r="M1100" s="3"/>
      <c r="N1100" s="3"/>
      <c r="O1100" s="3"/>
      <c r="P1100" s="3"/>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row>
    <row r="1101" spans="1:65" ht="15" customHeight="1">
      <c r="A1101" s="1"/>
      <c r="B1101" s="1"/>
      <c r="C1101" s="1"/>
      <c r="D1101" s="1"/>
      <c r="E1101" s="1"/>
      <c r="F1101" s="1"/>
      <c r="G1101" s="1"/>
      <c r="H1101" s="1"/>
      <c r="I1101" s="1"/>
      <c r="J1101" s="1"/>
      <c r="K1101" s="1"/>
      <c r="L1101" s="1"/>
      <c r="M1101" s="3"/>
      <c r="N1101" s="3"/>
      <c r="O1101" s="3"/>
      <c r="P1101" s="3"/>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row>
    <row r="1102" spans="1:65" ht="15" customHeight="1">
      <c r="A1102" s="1"/>
      <c r="B1102" s="1"/>
      <c r="C1102" s="1"/>
      <c r="D1102" s="1"/>
      <c r="E1102" s="1"/>
      <c r="F1102" s="1"/>
      <c r="G1102" s="1"/>
      <c r="H1102" s="1"/>
      <c r="I1102" s="1"/>
      <c r="J1102" s="1"/>
      <c r="K1102" s="1"/>
      <c r="L1102" s="1"/>
      <c r="M1102" s="3"/>
      <c r="N1102" s="3"/>
      <c r="O1102" s="3"/>
      <c r="P1102" s="3"/>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row>
  </sheetData>
  <autoFilter ref="A1:BM1058" xr:uid="{00000000-0009-0000-0000-000006000000}">
    <filterColumn colId="2">
      <filters>
        <filter val="E5_INDCOK"/>
        <filter val="E5_INDELE"/>
        <filter val="E5_INDFIR"/>
        <filter val="E5_INDFOI"/>
        <filter val="E5_INDHEC"/>
        <filter val="E5_INDHYD"/>
        <filter val="E5_INDLPG"/>
        <filter val="E5_INDNGS"/>
        <filter val="E5_INDPURDSL"/>
        <filter val="E5_INDPURGSL"/>
        <filter val="E5_INDSUG"/>
      </filters>
    </filterColumn>
  </autoFilter>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A1000"/>
  <sheetViews>
    <sheetView workbookViewId="0">
      <selection activeCell="K8" sqref="K8"/>
    </sheetView>
  </sheetViews>
  <sheetFormatPr defaultColWidth="14.44140625" defaultRowHeight="15" customHeight="1"/>
  <cols>
    <col min="1" max="2" width="8.6640625" customWidth="1"/>
    <col min="3" max="3" width="51.88671875" customWidth="1"/>
    <col min="4" max="53" width="8.6640625" customWidth="1"/>
  </cols>
  <sheetData>
    <row r="1" spans="1:53" ht="14.4">
      <c r="A1" s="30" t="s">
        <v>574</v>
      </c>
      <c r="B1" s="30" t="s">
        <v>575</v>
      </c>
      <c r="C1" s="30" t="s">
        <v>30</v>
      </c>
      <c r="D1" s="30">
        <v>2022</v>
      </c>
      <c r="E1" s="30">
        <v>2023</v>
      </c>
      <c r="F1" s="30">
        <v>2024</v>
      </c>
      <c r="G1" s="30">
        <v>2025</v>
      </c>
      <c r="H1" s="30">
        <v>2026</v>
      </c>
      <c r="I1" s="30">
        <v>2027</v>
      </c>
      <c r="J1" s="30">
        <v>2028</v>
      </c>
      <c r="K1" s="30">
        <v>2029</v>
      </c>
      <c r="L1" s="30">
        <v>2030</v>
      </c>
      <c r="M1" s="30">
        <v>2031</v>
      </c>
      <c r="N1" s="30">
        <v>2032</v>
      </c>
      <c r="O1" s="30">
        <v>2033</v>
      </c>
      <c r="P1" s="30">
        <v>2034</v>
      </c>
      <c r="Q1" s="30">
        <v>2035</v>
      </c>
      <c r="R1" s="30">
        <v>2036</v>
      </c>
      <c r="S1" s="30">
        <v>2037</v>
      </c>
      <c r="T1" s="30">
        <v>2038</v>
      </c>
      <c r="U1" s="30">
        <v>2039</v>
      </c>
      <c r="V1" s="30">
        <v>2040</v>
      </c>
      <c r="W1" s="30">
        <v>2041</v>
      </c>
      <c r="X1" s="30">
        <v>2042</v>
      </c>
      <c r="Y1" s="30">
        <v>2043</v>
      </c>
      <c r="Z1" s="30">
        <v>2044</v>
      </c>
      <c r="AA1" s="30">
        <v>2045</v>
      </c>
      <c r="AB1" s="30">
        <v>2046</v>
      </c>
      <c r="AC1" s="30">
        <v>2047</v>
      </c>
      <c r="AD1" s="30">
        <v>2048</v>
      </c>
      <c r="AE1" s="30">
        <v>2049</v>
      </c>
      <c r="AF1" s="30">
        <v>2050</v>
      </c>
      <c r="AG1" s="30">
        <v>2051</v>
      </c>
      <c r="AH1" s="30">
        <v>2052</v>
      </c>
      <c r="AI1" s="30">
        <v>2053</v>
      </c>
      <c r="AJ1" s="30">
        <v>2054</v>
      </c>
      <c r="AK1" s="30">
        <v>2055</v>
      </c>
      <c r="AL1" s="30">
        <v>2056</v>
      </c>
      <c r="AM1" s="30">
        <v>2057</v>
      </c>
      <c r="AN1" s="30">
        <v>2058</v>
      </c>
      <c r="AO1" s="30">
        <v>2059</v>
      </c>
      <c r="AP1" s="30">
        <v>2060</v>
      </c>
      <c r="AQ1" s="30">
        <v>2061</v>
      </c>
      <c r="AR1" s="30">
        <v>2062</v>
      </c>
      <c r="AS1" s="30">
        <v>2063</v>
      </c>
      <c r="AT1" s="30">
        <v>2064</v>
      </c>
      <c r="AU1" s="30">
        <v>2065</v>
      </c>
      <c r="AV1" s="30">
        <v>2066</v>
      </c>
      <c r="AW1" s="30">
        <v>2067</v>
      </c>
      <c r="AX1" s="30">
        <v>2068</v>
      </c>
      <c r="AY1" s="30">
        <v>2069</v>
      </c>
      <c r="AZ1" s="30">
        <v>2070</v>
      </c>
      <c r="BA1" s="30"/>
    </row>
    <row r="2" spans="1:53" ht="14.4">
      <c r="A2" s="30" t="s">
        <v>457</v>
      </c>
      <c r="B2" s="30" t="s">
        <v>341</v>
      </c>
      <c r="C2" s="30" t="s">
        <v>342</v>
      </c>
      <c r="D2" s="30">
        <v>2.5000000000000001E-2</v>
      </c>
      <c r="E2" s="30">
        <v>0.05</v>
      </c>
      <c r="F2" s="30">
        <v>7.1999999999999995E-2</v>
      </c>
      <c r="G2" s="30">
        <v>9.5000000000000001E-2</v>
      </c>
      <c r="H2" s="30">
        <v>0.11</v>
      </c>
      <c r="I2" s="30">
        <v>0.13</v>
      </c>
      <c r="J2" s="30">
        <v>0.16</v>
      </c>
      <c r="K2" s="30">
        <v>0.18</v>
      </c>
      <c r="L2" s="30">
        <v>0.21</v>
      </c>
      <c r="M2" s="30">
        <v>0.24</v>
      </c>
      <c r="N2" s="30">
        <v>0.27</v>
      </c>
      <c r="O2" s="30">
        <v>0.3</v>
      </c>
      <c r="P2" s="30">
        <v>0.33</v>
      </c>
      <c r="Q2" s="30">
        <v>0.35</v>
      </c>
      <c r="R2" s="30">
        <v>0.37</v>
      </c>
      <c r="S2" s="30">
        <v>0.38</v>
      </c>
      <c r="T2" s="30">
        <v>0.39</v>
      </c>
      <c r="U2" s="30">
        <v>0.4</v>
      </c>
      <c r="V2" s="30">
        <v>0.41</v>
      </c>
      <c r="W2" s="30">
        <v>0.42</v>
      </c>
      <c r="X2" s="30">
        <v>0.42</v>
      </c>
      <c r="Y2" s="30">
        <v>0.43</v>
      </c>
      <c r="Z2" s="30">
        <v>0.43</v>
      </c>
      <c r="AA2" s="30">
        <v>0.43</v>
      </c>
      <c r="AB2" s="30">
        <v>0.44</v>
      </c>
      <c r="AC2" s="30">
        <v>0.44</v>
      </c>
      <c r="AD2" s="30">
        <v>0.44</v>
      </c>
      <c r="AE2" s="30">
        <v>0.45</v>
      </c>
      <c r="AF2" s="30">
        <v>0.45</v>
      </c>
      <c r="AG2" s="30">
        <v>0.45</v>
      </c>
      <c r="AH2" s="30">
        <v>0.45</v>
      </c>
      <c r="AI2" s="30">
        <v>0.45</v>
      </c>
      <c r="AJ2" s="30">
        <v>0.45</v>
      </c>
      <c r="AK2" s="30">
        <v>0.45</v>
      </c>
      <c r="AL2" s="30">
        <v>0.45</v>
      </c>
      <c r="AM2" s="30">
        <v>0.45</v>
      </c>
      <c r="AN2" s="30">
        <v>0.45</v>
      </c>
      <c r="AO2" s="30">
        <v>0.45</v>
      </c>
      <c r="AP2" s="30">
        <v>0.45</v>
      </c>
      <c r="AQ2" s="30">
        <v>0.45</v>
      </c>
      <c r="AR2" s="30">
        <v>0.45</v>
      </c>
      <c r="AS2" s="30">
        <v>0.45</v>
      </c>
      <c r="AT2" s="30">
        <v>0.45</v>
      </c>
      <c r="AU2" s="30">
        <v>0.45</v>
      </c>
      <c r="AV2" s="30">
        <v>0.45</v>
      </c>
      <c r="AW2" s="30">
        <v>0.45</v>
      </c>
      <c r="AX2" s="30">
        <v>0.45</v>
      </c>
      <c r="AY2" s="30">
        <v>0.45</v>
      </c>
      <c r="AZ2" s="30">
        <v>0.45</v>
      </c>
      <c r="BA2" s="30"/>
    </row>
    <row r="3" spans="1:53" ht="14.4">
      <c r="A3" s="30" t="s">
        <v>457</v>
      </c>
      <c r="B3" s="30" t="s">
        <v>344</v>
      </c>
      <c r="C3" s="30" t="s">
        <v>345</v>
      </c>
      <c r="D3" s="30">
        <v>0.05</v>
      </c>
      <c r="E3" s="30">
        <v>0.06</v>
      </c>
      <c r="F3" s="30">
        <v>6.8000000000000005E-2</v>
      </c>
      <c r="G3" s="30">
        <v>0.08</v>
      </c>
      <c r="H3" s="30">
        <v>8.5000000000000006E-2</v>
      </c>
      <c r="I3" s="30">
        <v>9.1999999999999998E-2</v>
      </c>
      <c r="J3" s="30">
        <v>9.9000000000000005E-2</v>
      </c>
      <c r="K3" s="30">
        <v>0.108</v>
      </c>
      <c r="L3" s="30">
        <v>0.115</v>
      </c>
      <c r="M3" s="30">
        <v>0.12</v>
      </c>
      <c r="N3" s="30">
        <v>0.126</v>
      </c>
      <c r="O3" s="30">
        <v>0.128</v>
      </c>
      <c r="P3" s="30">
        <v>0.13200000000000001</v>
      </c>
      <c r="Q3" s="30">
        <v>0.13600000000000001</v>
      </c>
      <c r="R3" s="30">
        <v>0.14000000000000001</v>
      </c>
      <c r="S3" s="30">
        <v>0.14299999999999999</v>
      </c>
      <c r="T3" s="30">
        <v>0.14699999999999999</v>
      </c>
      <c r="U3" s="30">
        <v>0.151</v>
      </c>
      <c r="V3" s="30">
        <v>0.154</v>
      </c>
      <c r="W3" s="30">
        <v>0.16</v>
      </c>
      <c r="X3" s="30">
        <v>0.16500000000000001</v>
      </c>
      <c r="Y3" s="30">
        <v>0.16800000000000001</v>
      </c>
      <c r="Z3" s="30">
        <v>0.17399999999999999</v>
      </c>
      <c r="AA3" s="30">
        <v>0.18</v>
      </c>
      <c r="AB3" s="30">
        <v>0.185</v>
      </c>
      <c r="AC3" s="30">
        <v>0.19</v>
      </c>
      <c r="AD3" s="30">
        <v>0.19400000000000001</v>
      </c>
      <c r="AE3" s="30">
        <v>0.19700000000000001</v>
      </c>
      <c r="AF3" s="30">
        <v>0.2</v>
      </c>
      <c r="AG3" s="30">
        <v>0.2</v>
      </c>
      <c r="AH3" s="30">
        <v>0.2</v>
      </c>
      <c r="AI3" s="30">
        <v>0.2</v>
      </c>
      <c r="AJ3" s="30">
        <v>0.2</v>
      </c>
      <c r="AK3" s="30">
        <v>0.2</v>
      </c>
      <c r="AL3" s="30">
        <v>0.2</v>
      </c>
      <c r="AM3" s="30">
        <v>0.2</v>
      </c>
      <c r="AN3" s="30">
        <v>0.2</v>
      </c>
      <c r="AO3" s="30">
        <v>0.2</v>
      </c>
      <c r="AP3" s="30">
        <v>0.2</v>
      </c>
      <c r="AQ3" s="30">
        <v>0.2</v>
      </c>
      <c r="AR3" s="30">
        <v>0.2</v>
      </c>
      <c r="AS3" s="30">
        <v>0.2</v>
      </c>
      <c r="AT3" s="30">
        <v>0.2</v>
      </c>
      <c r="AU3" s="30">
        <v>0.2</v>
      </c>
      <c r="AV3" s="30">
        <v>0.2</v>
      </c>
      <c r="AW3" s="30">
        <v>0.2</v>
      </c>
      <c r="AX3" s="30">
        <v>0.2</v>
      </c>
      <c r="AY3" s="30">
        <v>0.2</v>
      </c>
      <c r="AZ3" s="30">
        <v>0.2</v>
      </c>
      <c r="BA3" s="30"/>
    </row>
    <row r="4" spans="1:53" ht="14.4">
      <c r="A4" s="30" t="s">
        <v>551</v>
      </c>
      <c r="B4" s="30" t="s">
        <v>341</v>
      </c>
      <c r="C4" s="30" t="s">
        <v>342</v>
      </c>
      <c r="D4" s="30">
        <v>2.5000000000000001E-2</v>
      </c>
      <c r="E4" s="30">
        <v>4.4999999999999998E-2</v>
      </c>
      <c r="F4" s="30">
        <v>5.1999999999999998E-2</v>
      </c>
      <c r="G4" s="30">
        <v>5.8999999999999997E-2</v>
      </c>
      <c r="H4" s="30">
        <v>6.8000000000000005E-2</v>
      </c>
      <c r="I4" s="30">
        <v>7.6999999999999999E-2</v>
      </c>
      <c r="J4" s="30">
        <v>8.5999999999999993E-2</v>
      </c>
      <c r="K4" s="30">
        <v>9.5000000000000001E-2</v>
      </c>
      <c r="L4" s="30">
        <v>0.104</v>
      </c>
      <c r="M4" s="30">
        <v>0.113</v>
      </c>
      <c r="N4" s="30">
        <v>0.122</v>
      </c>
      <c r="O4" s="30">
        <v>0.13100000000000001</v>
      </c>
      <c r="P4" s="30">
        <v>0.14000000000000001</v>
      </c>
      <c r="Q4" s="30">
        <v>0.14899999999999999</v>
      </c>
      <c r="R4" s="30">
        <v>0.158</v>
      </c>
      <c r="S4" s="30">
        <v>0.16700000000000001</v>
      </c>
      <c r="T4" s="30">
        <v>0.17599999999999999</v>
      </c>
      <c r="U4" s="30">
        <v>0.185</v>
      </c>
      <c r="V4" s="30">
        <v>0.19400000000000001</v>
      </c>
      <c r="W4" s="30">
        <v>0.20300000000000001</v>
      </c>
      <c r="X4" s="30">
        <v>0.221</v>
      </c>
      <c r="Y4" s="30">
        <v>0.23899999999999999</v>
      </c>
      <c r="Z4" s="30">
        <v>0.25700000000000001</v>
      </c>
      <c r="AA4" s="30">
        <v>0.27500000000000002</v>
      </c>
      <c r="AB4" s="30">
        <v>0.29299999999999998</v>
      </c>
      <c r="AC4" s="30">
        <v>0.311</v>
      </c>
      <c r="AD4" s="30">
        <v>0.32900000000000001</v>
      </c>
      <c r="AE4" s="30">
        <v>0.34699999999999998</v>
      </c>
      <c r="AF4" s="30">
        <v>0.36499999999999999</v>
      </c>
      <c r="AG4" s="30">
        <v>0.38300000000000001</v>
      </c>
      <c r="AH4" s="30">
        <v>0.40100000000000002</v>
      </c>
      <c r="AI4" s="30">
        <v>0.41899999999999998</v>
      </c>
      <c r="AJ4" s="30">
        <v>0.437</v>
      </c>
      <c r="AK4" s="30">
        <v>0.45500000000000002</v>
      </c>
      <c r="AL4" s="30">
        <v>0.47399999999999998</v>
      </c>
      <c r="AM4" s="30">
        <v>0.49199999999999999</v>
      </c>
      <c r="AN4" s="30">
        <v>0.51</v>
      </c>
      <c r="AO4" s="30">
        <v>0.505</v>
      </c>
      <c r="AP4" s="30">
        <v>0.5</v>
      </c>
      <c r="AQ4" s="30">
        <v>0.495</v>
      </c>
      <c r="AR4" s="30">
        <v>0.49</v>
      </c>
      <c r="AS4" s="30">
        <v>0.48499999999999999</v>
      </c>
      <c r="AT4" s="30">
        <v>0.48</v>
      </c>
      <c r="AU4" s="30">
        <v>0.47499999999999998</v>
      </c>
      <c r="AV4" s="30">
        <v>0.47</v>
      </c>
      <c r="AW4" s="30">
        <v>0.46500000000000002</v>
      </c>
      <c r="AX4" s="30">
        <v>0.46</v>
      </c>
      <c r="AY4" s="30">
        <v>0.45500000000000002</v>
      </c>
      <c r="AZ4" s="30">
        <v>0.45</v>
      </c>
      <c r="BA4" s="30"/>
    </row>
    <row r="5" spans="1:53" ht="14.4">
      <c r="A5" s="30" t="s">
        <v>551</v>
      </c>
      <c r="B5" s="30" t="s">
        <v>344</v>
      </c>
      <c r="C5" s="30" t="s">
        <v>345</v>
      </c>
      <c r="D5" s="30">
        <v>0.05</v>
      </c>
      <c r="E5" s="30">
        <v>5.8000000000000003E-2</v>
      </c>
      <c r="F5" s="30">
        <v>5.8000000000000003E-2</v>
      </c>
      <c r="G5" s="30">
        <v>5.8999999999999997E-2</v>
      </c>
      <c r="H5" s="30">
        <v>6.2E-2</v>
      </c>
      <c r="I5" s="30">
        <v>6.6000000000000003E-2</v>
      </c>
      <c r="J5" s="30">
        <v>6.9000000000000006E-2</v>
      </c>
      <c r="K5" s="30">
        <v>7.2999999999999995E-2</v>
      </c>
      <c r="L5" s="30">
        <v>7.6999999999999999E-2</v>
      </c>
      <c r="M5" s="30">
        <v>0.08</v>
      </c>
      <c r="N5" s="30">
        <v>8.3000000000000004E-2</v>
      </c>
      <c r="O5" s="30">
        <v>8.5999999999999993E-2</v>
      </c>
      <c r="P5" s="30">
        <v>0.09</v>
      </c>
      <c r="Q5" s="30">
        <v>9.4E-2</v>
      </c>
      <c r="R5" s="30">
        <v>9.7000000000000003E-2</v>
      </c>
      <c r="S5" s="30">
        <v>0.10100000000000001</v>
      </c>
      <c r="T5" s="30">
        <v>0.104</v>
      </c>
      <c r="U5" s="30">
        <v>0.107</v>
      </c>
      <c r="V5" s="30">
        <v>0.111</v>
      </c>
      <c r="W5" s="30">
        <v>0.114</v>
      </c>
      <c r="X5" s="30">
        <v>0.122</v>
      </c>
      <c r="Y5" s="30">
        <v>0.128</v>
      </c>
      <c r="Z5" s="30">
        <v>0.13500000000000001</v>
      </c>
      <c r="AA5" s="30">
        <v>0.14199999999999999</v>
      </c>
      <c r="AB5" s="30">
        <v>0.14899999999999999</v>
      </c>
      <c r="AC5" s="30">
        <v>0.156</v>
      </c>
      <c r="AD5" s="30">
        <v>0.16300000000000001</v>
      </c>
      <c r="AE5" s="30">
        <v>0.17</v>
      </c>
      <c r="AF5" s="30">
        <v>0.17599999999999999</v>
      </c>
      <c r="AG5" s="30">
        <v>0.184</v>
      </c>
      <c r="AH5" s="30">
        <v>0.191</v>
      </c>
      <c r="AI5" s="30">
        <v>0.19700000000000001</v>
      </c>
      <c r="AJ5" s="30">
        <v>0.20399999999999999</v>
      </c>
      <c r="AK5" s="30">
        <v>0.21199999999999999</v>
      </c>
      <c r="AL5" s="30">
        <v>0.219</v>
      </c>
      <c r="AM5" s="30">
        <v>0.22500000000000001</v>
      </c>
      <c r="AN5" s="30">
        <v>0.23200000000000001</v>
      </c>
      <c r="AO5" s="30">
        <v>0.23</v>
      </c>
      <c r="AP5" s="30">
        <v>0.22700000000000001</v>
      </c>
      <c r="AQ5" s="30">
        <v>0.224</v>
      </c>
      <c r="AR5" s="30">
        <v>0.221</v>
      </c>
      <c r="AS5" s="30">
        <v>0.219</v>
      </c>
      <c r="AT5" s="30">
        <v>0.216</v>
      </c>
      <c r="AU5" s="30">
        <v>0.21299999999999999</v>
      </c>
      <c r="AV5" s="30">
        <v>0.21099999999999999</v>
      </c>
      <c r="AW5" s="30">
        <v>0.20799999999999999</v>
      </c>
      <c r="AX5" s="30">
        <v>0.20499999999999999</v>
      </c>
      <c r="AY5" s="30">
        <v>0.20300000000000001</v>
      </c>
      <c r="AZ5" s="30">
        <v>0.2</v>
      </c>
      <c r="BA5" s="30"/>
    </row>
    <row r="6" spans="1:53" ht="14.4">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row>
    <row r="7" spans="1:53" ht="14.4">
      <c r="A7" s="30" t="s">
        <v>457</v>
      </c>
      <c r="B7" s="30" t="s">
        <v>341</v>
      </c>
      <c r="C7" s="30" t="s">
        <v>372</v>
      </c>
      <c r="D7" s="30">
        <v>0.97499999999999998</v>
      </c>
      <c r="E7" s="30">
        <v>0.95</v>
      </c>
      <c r="F7" s="30">
        <v>0.92800000000000005</v>
      </c>
      <c r="G7" s="30">
        <v>0.90500000000000003</v>
      </c>
      <c r="H7" s="30">
        <v>0.89</v>
      </c>
      <c r="I7" s="30">
        <v>0.87</v>
      </c>
      <c r="J7" s="30">
        <v>0.84</v>
      </c>
      <c r="K7" s="30">
        <v>0.82</v>
      </c>
      <c r="L7" s="30">
        <v>0.79</v>
      </c>
      <c r="M7" s="30">
        <v>0.76</v>
      </c>
      <c r="N7" s="30">
        <v>0.73</v>
      </c>
      <c r="O7" s="30">
        <v>0.7</v>
      </c>
      <c r="P7" s="30">
        <v>0.67</v>
      </c>
      <c r="Q7" s="30">
        <v>0.65</v>
      </c>
      <c r="R7" s="30">
        <v>0.63</v>
      </c>
      <c r="S7" s="30">
        <v>0.62</v>
      </c>
      <c r="T7" s="30">
        <v>0.61</v>
      </c>
      <c r="U7" s="30">
        <v>0.6</v>
      </c>
      <c r="V7" s="30">
        <v>0.59</v>
      </c>
      <c r="W7" s="30">
        <v>0.57999999999999996</v>
      </c>
      <c r="X7" s="30">
        <v>0.57999999999999996</v>
      </c>
      <c r="Y7" s="30">
        <v>0.56999999999999995</v>
      </c>
      <c r="Z7" s="30">
        <v>0.56999999999999995</v>
      </c>
      <c r="AA7" s="30">
        <v>0.56999999999999995</v>
      </c>
      <c r="AB7" s="30">
        <v>0.56000000000000005</v>
      </c>
      <c r="AC7" s="30">
        <v>0.56000000000000005</v>
      </c>
      <c r="AD7" s="30">
        <v>0.56000000000000005</v>
      </c>
      <c r="AE7" s="30">
        <v>0.55000000000000004</v>
      </c>
      <c r="AF7" s="30">
        <v>0.55000000000000004</v>
      </c>
      <c r="AG7" s="30">
        <v>0.55000000000000004</v>
      </c>
      <c r="AH7" s="30">
        <v>0.55000000000000004</v>
      </c>
      <c r="AI7" s="30">
        <v>0.55000000000000004</v>
      </c>
      <c r="AJ7" s="30">
        <v>0.55000000000000004</v>
      </c>
      <c r="AK7" s="30">
        <v>0.55000000000000004</v>
      </c>
      <c r="AL7" s="30">
        <v>0.55000000000000004</v>
      </c>
      <c r="AM7" s="30">
        <v>0.55000000000000004</v>
      </c>
      <c r="AN7" s="30">
        <v>0.55000000000000004</v>
      </c>
      <c r="AO7" s="30">
        <v>0.55000000000000004</v>
      </c>
      <c r="AP7" s="30">
        <v>0.55000000000000004</v>
      </c>
      <c r="AQ7" s="30">
        <v>0.55000000000000004</v>
      </c>
      <c r="AR7" s="30">
        <v>0.55000000000000004</v>
      </c>
      <c r="AS7" s="30">
        <v>0.55000000000000004</v>
      </c>
      <c r="AT7" s="30">
        <v>0.55000000000000004</v>
      </c>
      <c r="AU7" s="30">
        <v>0.55000000000000004</v>
      </c>
      <c r="AV7" s="30">
        <v>0.55000000000000004</v>
      </c>
      <c r="AW7" s="30">
        <v>0.55000000000000004</v>
      </c>
      <c r="AX7" s="30">
        <v>0.55000000000000004</v>
      </c>
      <c r="AY7" s="30">
        <v>0.55000000000000004</v>
      </c>
      <c r="AZ7" s="30">
        <v>0.55000000000000004</v>
      </c>
      <c r="BA7" s="30"/>
    </row>
    <row r="8" spans="1:53" ht="14.4">
      <c r="A8" s="30" t="s">
        <v>457</v>
      </c>
      <c r="B8" s="30" t="s">
        <v>344</v>
      </c>
      <c r="C8" s="30" t="s">
        <v>61</v>
      </c>
      <c r="D8" s="30">
        <v>0.95</v>
      </c>
      <c r="E8" s="30">
        <v>0.94</v>
      </c>
      <c r="F8" s="30">
        <v>0.93200000000000005</v>
      </c>
      <c r="G8" s="30">
        <v>0.92</v>
      </c>
      <c r="H8" s="30">
        <v>0.91500000000000004</v>
      </c>
      <c r="I8" s="30">
        <v>0.90800000000000003</v>
      </c>
      <c r="J8" s="30">
        <v>0.90100000000000002</v>
      </c>
      <c r="K8" s="30">
        <v>0.89200000000000002</v>
      </c>
      <c r="L8" s="30">
        <v>0.88500000000000001</v>
      </c>
      <c r="M8" s="30">
        <v>0.88</v>
      </c>
      <c r="N8" s="30">
        <v>0.874</v>
      </c>
      <c r="O8" s="30">
        <v>0.872</v>
      </c>
      <c r="P8" s="30">
        <v>0.86799999999999999</v>
      </c>
      <c r="Q8" s="30">
        <v>0.86399999999999999</v>
      </c>
      <c r="R8" s="30">
        <v>0.86</v>
      </c>
      <c r="S8" s="30">
        <v>0.85699999999999998</v>
      </c>
      <c r="T8" s="30">
        <v>0.85299999999999998</v>
      </c>
      <c r="U8" s="30">
        <v>0.84899999999999998</v>
      </c>
      <c r="V8" s="30">
        <v>0.84599999999999997</v>
      </c>
      <c r="W8" s="30">
        <v>0.84</v>
      </c>
      <c r="X8" s="30">
        <v>0.83499999999999996</v>
      </c>
      <c r="Y8" s="30">
        <v>0.83199999999999996</v>
      </c>
      <c r="Z8" s="30">
        <v>0.82599999999999996</v>
      </c>
      <c r="AA8" s="30">
        <v>0.82</v>
      </c>
      <c r="AB8" s="30">
        <v>0.81499999999999995</v>
      </c>
      <c r="AC8" s="30">
        <v>0.81</v>
      </c>
      <c r="AD8" s="30">
        <v>0.80600000000000005</v>
      </c>
      <c r="AE8" s="30">
        <v>0.80300000000000005</v>
      </c>
      <c r="AF8" s="30">
        <v>0.8</v>
      </c>
      <c r="AG8" s="30">
        <v>0.8</v>
      </c>
      <c r="AH8" s="30">
        <v>0.8</v>
      </c>
      <c r="AI8" s="30">
        <v>0.8</v>
      </c>
      <c r="AJ8" s="30">
        <v>0.8</v>
      </c>
      <c r="AK8" s="30">
        <v>0.8</v>
      </c>
      <c r="AL8" s="30">
        <v>0.8</v>
      </c>
      <c r="AM8" s="30">
        <v>0.8</v>
      </c>
      <c r="AN8" s="30">
        <v>0.8</v>
      </c>
      <c r="AO8" s="30">
        <v>0.8</v>
      </c>
      <c r="AP8" s="30">
        <v>0.8</v>
      </c>
      <c r="AQ8" s="30">
        <v>0.8</v>
      </c>
      <c r="AR8" s="30">
        <v>0.8</v>
      </c>
      <c r="AS8" s="30">
        <v>0.8</v>
      </c>
      <c r="AT8" s="30">
        <v>0.8</v>
      </c>
      <c r="AU8" s="30">
        <v>0.8</v>
      </c>
      <c r="AV8" s="30">
        <v>0.8</v>
      </c>
      <c r="AW8" s="30">
        <v>0.8</v>
      </c>
      <c r="AX8" s="30">
        <v>0.8</v>
      </c>
      <c r="AY8" s="30">
        <v>0.8</v>
      </c>
      <c r="AZ8" s="30">
        <v>0.8</v>
      </c>
      <c r="BA8" s="30"/>
    </row>
    <row r="9" spans="1:53" ht="14.4">
      <c r="A9" s="30" t="s">
        <v>551</v>
      </c>
      <c r="B9" s="30" t="s">
        <v>341</v>
      </c>
      <c r="C9" s="30" t="s">
        <v>372</v>
      </c>
      <c r="D9" s="30">
        <v>0.97499999999999998</v>
      </c>
      <c r="E9" s="30">
        <v>0.95499999999999996</v>
      </c>
      <c r="F9" s="30">
        <v>0.94799999999999995</v>
      </c>
      <c r="G9" s="30">
        <v>0.94099999999999995</v>
      </c>
      <c r="H9" s="30">
        <v>0.93200000000000005</v>
      </c>
      <c r="I9" s="30">
        <v>0.92300000000000004</v>
      </c>
      <c r="J9" s="30">
        <v>0.91400000000000003</v>
      </c>
      <c r="K9" s="30">
        <v>0.90500000000000003</v>
      </c>
      <c r="L9" s="30">
        <v>0.89600000000000002</v>
      </c>
      <c r="M9" s="30">
        <v>0.88700000000000001</v>
      </c>
      <c r="N9" s="30">
        <v>0.878</v>
      </c>
      <c r="O9" s="30">
        <v>0.86899999999999999</v>
      </c>
      <c r="P9" s="30">
        <v>0.86</v>
      </c>
      <c r="Q9" s="30">
        <v>0.85099999999999998</v>
      </c>
      <c r="R9" s="30">
        <v>0.84199999999999997</v>
      </c>
      <c r="S9" s="30">
        <v>0.83299999999999996</v>
      </c>
      <c r="T9" s="30">
        <v>0.82399999999999995</v>
      </c>
      <c r="U9" s="30">
        <v>0.81499999999999995</v>
      </c>
      <c r="V9" s="30">
        <v>0.80600000000000005</v>
      </c>
      <c r="W9" s="30">
        <v>0.79700000000000004</v>
      </c>
      <c r="X9" s="30">
        <v>0.77900000000000003</v>
      </c>
      <c r="Y9" s="30">
        <v>0.76100000000000001</v>
      </c>
      <c r="Z9" s="30">
        <v>0.74299999999999999</v>
      </c>
      <c r="AA9" s="30">
        <v>0.72499999999999998</v>
      </c>
      <c r="AB9" s="30">
        <v>0.70699999999999996</v>
      </c>
      <c r="AC9" s="30">
        <v>0.68899999999999995</v>
      </c>
      <c r="AD9" s="30">
        <v>0.67100000000000004</v>
      </c>
      <c r="AE9" s="30">
        <v>0.65300000000000002</v>
      </c>
      <c r="AF9" s="30">
        <v>0.63500000000000001</v>
      </c>
      <c r="AG9" s="30">
        <v>0.61699999999999999</v>
      </c>
      <c r="AH9" s="30">
        <v>0.59899999999999998</v>
      </c>
      <c r="AI9" s="30">
        <v>0.58099999999999996</v>
      </c>
      <c r="AJ9" s="30">
        <v>0.56299999999999994</v>
      </c>
      <c r="AK9" s="30">
        <v>0.54500000000000004</v>
      </c>
      <c r="AL9" s="30">
        <v>0.52600000000000002</v>
      </c>
      <c r="AM9" s="30">
        <v>0.50800000000000001</v>
      </c>
      <c r="AN9" s="30">
        <v>0.49</v>
      </c>
      <c r="AO9" s="30">
        <v>0.495</v>
      </c>
      <c r="AP9" s="30">
        <v>0.5</v>
      </c>
      <c r="AQ9" s="30">
        <v>0.505</v>
      </c>
      <c r="AR9" s="30">
        <v>0.51</v>
      </c>
      <c r="AS9" s="30">
        <v>0.51500000000000001</v>
      </c>
      <c r="AT9" s="30">
        <v>0.52</v>
      </c>
      <c r="AU9" s="30">
        <v>0.52500000000000002</v>
      </c>
      <c r="AV9" s="30">
        <v>0.53</v>
      </c>
      <c r="AW9" s="30">
        <v>0.53500000000000003</v>
      </c>
      <c r="AX9" s="30">
        <v>0.54</v>
      </c>
      <c r="AY9" s="30">
        <v>0.54500000000000004</v>
      </c>
      <c r="AZ9" s="30">
        <v>0.55000000000000004</v>
      </c>
      <c r="BA9" s="30"/>
    </row>
    <row r="10" spans="1:53" ht="14.4">
      <c r="A10" s="30" t="s">
        <v>551</v>
      </c>
      <c r="B10" s="30" t="s">
        <v>344</v>
      </c>
      <c r="C10" s="30" t="s">
        <v>61</v>
      </c>
      <c r="D10" s="30">
        <v>0.95</v>
      </c>
      <c r="E10" s="30">
        <v>0.94199999999999995</v>
      </c>
      <c r="F10" s="30">
        <v>0.94199999999999995</v>
      </c>
      <c r="G10" s="30">
        <v>0.94099999999999995</v>
      </c>
      <c r="H10" s="30">
        <v>0.93799999999999994</v>
      </c>
      <c r="I10" s="30">
        <v>0.93400000000000005</v>
      </c>
      <c r="J10" s="30">
        <v>0.93100000000000005</v>
      </c>
      <c r="K10" s="30">
        <v>0.92700000000000005</v>
      </c>
      <c r="L10" s="30">
        <v>0.92300000000000004</v>
      </c>
      <c r="M10" s="30">
        <v>0.92</v>
      </c>
      <c r="N10" s="30">
        <v>0.91700000000000004</v>
      </c>
      <c r="O10" s="30">
        <v>0.91400000000000003</v>
      </c>
      <c r="P10" s="30">
        <v>0.91</v>
      </c>
      <c r="Q10" s="30">
        <v>0.90600000000000003</v>
      </c>
      <c r="R10" s="30">
        <v>0.90300000000000002</v>
      </c>
      <c r="S10" s="30">
        <v>0.89900000000000002</v>
      </c>
      <c r="T10" s="30">
        <v>0.89600000000000002</v>
      </c>
      <c r="U10" s="30">
        <v>0.89300000000000002</v>
      </c>
      <c r="V10" s="30">
        <v>0.88900000000000001</v>
      </c>
      <c r="W10" s="30">
        <v>0.88600000000000001</v>
      </c>
      <c r="X10" s="30">
        <v>0.878</v>
      </c>
      <c r="Y10" s="30">
        <v>0.872</v>
      </c>
      <c r="Z10" s="30">
        <v>0.86499999999999999</v>
      </c>
      <c r="AA10" s="30">
        <v>0.85799999999999998</v>
      </c>
      <c r="AB10" s="30">
        <v>0.85099999999999998</v>
      </c>
      <c r="AC10" s="30">
        <v>0.84399999999999997</v>
      </c>
      <c r="AD10" s="30">
        <v>0.83699999999999997</v>
      </c>
      <c r="AE10" s="30">
        <v>0.83</v>
      </c>
      <c r="AF10" s="30">
        <v>0.82399999999999995</v>
      </c>
      <c r="AG10" s="30">
        <v>0.81599999999999995</v>
      </c>
      <c r="AH10" s="30">
        <v>0.80900000000000005</v>
      </c>
      <c r="AI10" s="30">
        <v>0.80300000000000005</v>
      </c>
      <c r="AJ10" s="30">
        <v>0.79600000000000004</v>
      </c>
      <c r="AK10" s="30">
        <v>0.78800000000000003</v>
      </c>
      <c r="AL10" s="30">
        <v>0.78100000000000003</v>
      </c>
      <c r="AM10" s="30">
        <v>0.77500000000000002</v>
      </c>
      <c r="AN10" s="30">
        <v>0.76800000000000002</v>
      </c>
      <c r="AO10" s="30">
        <v>0.77</v>
      </c>
      <c r="AP10" s="30">
        <v>0.77300000000000002</v>
      </c>
      <c r="AQ10" s="30">
        <v>0.77600000000000002</v>
      </c>
      <c r="AR10" s="30">
        <v>0.77900000000000003</v>
      </c>
      <c r="AS10" s="30">
        <v>0.78100000000000003</v>
      </c>
      <c r="AT10" s="30">
        <v>0.78400000000000003</v>
      </c>
      <c r="AU10" s="30">
        <v>0.78700000000000003</v>
      </c>
      <c r="AV10" s="30">
        <v>0.78900000000000003</v>
      </c>
      <c r="AW10" s="30">
        <v>0.79200000000000004</v>
      </c>
      <c r="AX10" s="30">
        <v>0.79500000000000004</v>
      </c>
      <c r="AY10" s="30">
        <v>0.79700000000000004</v>
      </c>
      <c r="AZ10" s="30">
        <v>0.8</v>
      </c>
      <c r="BA10" s="30"/>
    </row>
    <row r="11" spans="1:53" ht="14.4">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000"/>
  <sheetViews>
    <sheetView workbookViewId="0">
      <selection activeCell="I6" sqref="I6"/>
    </sheetView>
  </sheetViews>
  <sheetFormatPr defaultColWidth="14.44140625" defaultRowHeight="15" customHeight="1"/>
  <cols>
    <col min="1" max="1" width="13.44140625" customWidth="1"/>
    <col min="2" max="2" width="24.5546875" customWidth="1"/>
    <col min="3" max="3" width="87.44140625" customWidth="1"/>
    <col min="4" max="4" width="32.33203125" customWidth="1"/>
    <col min="5" max="5" width="51.33203125" hidden="1" customWidth="1"/>
    <col min="6" max="6" width="59.33203125" customWidth="1"/>
    <col min="7" max="7" width="30.44140625" customWidth="1"/>
    <col min="8" max="8" width="8.44140625" customWidth="1"/>
    <col min="9" max="10" width="6.33203125" customWidth="1"/>
    <col min="11" max="11" width="8.44140625" customWidth="1"/>
    <col min="12" max="12" width="6.6640625" customWidth="1"/>
    <col min="13" max="15" width="6.5546875" customWidth="1"/>
    <col min="16" max="16" width="6.6640625" customWidth="1"/>
    <col min="17" max="20" width="5.88671875" customWidth="1"/>
    <col min="21" max="21" width="9.44140625" customWidth="1"/>
    <col min="22" max="25" width="6.5546875" customWidth="1"/>
    <col min="26" max="26" width="6" customWidth="1"/>
    <col min="27" max="30" width="6.33203125" customWidth="1"/>
    <col min="31" max="31" width="7.44140625" customWidth="1"/>
    <col min="32" max="35" width="6" customWidth="1"/>
    <col min="36" max="36" width="6.6640625" customWidth="1"/>
  </cols>
  <sheetData>
    <row r="1" spans="1:51" ht="14.25" customHeight="1">
      <c r="A1" s="15" t="s">
        <v>25</v>
      </c>
      <c r="B1" s="15" t="s">
        <v>26</v>
      </c>
      <c r="C1" s="15" t="s">
        <v>27</v>
      </c>
      <c r="D1" s="15" t="s">
        <v>28</v>
      </c>
      <c r="E1" s="15" t="s">
        <v>29</v>
      </c>
      <c r="F1" s="15" t="s">
        <v>30</v>
      </c>
      <c r="G1" s="15" t="s">
        <v>31</v>
      </c>
      <c r="H1" s="15">
        <v>2022</v>
      </c>
      <c r="I1" s="15">
        <v>2023</v>
      </c>
      <c r="J1" s="15">
        <v>2024</v>
      </c>
      <c r="K1" s="15">
        <v>2025</v>
      </c>
      <c r="L1" s="15">
        <v>2026</v>
      </c>
      <c r="M1" s="15">
        <v>2027</v>
      </c>
      <c r="N1" s="15">
        <v>2028</v>
      </c>
      <c r="O1" s="15">
        <v>2029</v>
      </c>
      <c r="P1" s="15">
        <v>2030</v>
      </c>
      <c r="Q1" s="15">
        <v>2031</v>
      </c>
      <c r="R1" s="15">
        <v>2032</v>
      </c>
      <c r="S1" s="15">
        <v>2033</v>
      </c>
      <c r="T1" s="15">
        <v>2034</v>
      </c>
      <c r="U1" s="15">
        <v>2035</v>
      </c>
      <c r="V1" s="15">
        <v>2036</v>
      </c>
      <c r="W1" s="15">
        <v>2037</v>
      </c>
      <c r="X1" s="15">
        <v>2038</v>
      </c>
      <c r="Y1" s="15">
        <v>2039</v>
      </c>
      <c r="Z1" s="15">
        <v>2040</v>
      </c>
      <c r="AA1" s="15">
        <v>2041</v>
      </c>
      <c r="AB1" s="15">
        <v>2042</v>
      </c>
      <c r="AC1" s="15">
        <v>2043</v>
      </c>
      <c r="AD1" s="15">
        <v>2044</v>
      </c>
      <c r="AE1" s="15">
        <v>2045</v>
      </c>
      <c r="AF1" s="15">
        <v>2046</v>
      </c>
      <c r="AG1" s="15">
        <v>2047</v>
      </c>
      <c r="AH1" s="15">
        <v>2048</v>
      </c>
      <c r="AI1" s="15">
        <v>2049</v>
      </c>
      <c r="AJ1" s="15">
        <v>2050</v>
      </c>
      <c r="AK1" s="17" t="s">
        <v>576</v>
      </c>
      <c r="AL1" s="1"/>
      <c r="AM1" s="1"/>
      <c r="AN1" s="1"/>
      <c r="AO1" s="1"/>
      <c r="AP1" s="1"/>
      <c r="AQ1" s="1"/>
      <c r="AR1" s="1"/>
      <c r="AS1" s="1"/>
      <c r="AT1" s="1"/>
      <c r="AU1" s="1"/>
      <c r="AV1" s="1"/>
      <c r="AW1" s="1"/>
      <c r="AX1" s="1"/>
      <c r="AY1" s="1"/>
    </row>
    <row r="2" spans="1:51" ht="14.25" customHeight="1">
      <c r="A2" s="14" t="s">
        <v>47</v>
      </c>
      <c r="B2" s="14"/>
      <c r="C2" s="20" t="s">
        <v>36</v>
      </c>
      <c r="D2" s="1" t="s">
        <v>37</v>
      </c>
      <c r="E2" s="14"/>
      <c r="F2" s="19" t="s">
        <v>38</v>
      </c>
      <c r="G2" s="1"/>
      <c r="H2" s="22">
        <v>13.61</v>
      </c>
      <c r="I2" s="22">
        <v>11.91</v>
      </c>
      <c r="J2" s="22">
        <v>10.49</v>
      </c>
      <c r="K2" s="22">
        <v>9.57</v>
      </c>
      <c r="L2" s="22">
        <v>7.41</v>
      </c>
      <c r="M2" s="22">
        <v>6.7</v>
      </c>
      <c r="N2" s="22">
        <v>4.76</v>
      </c>
      <c r="O2" s="22">
        <v>3.57</v>
      </c>
      <c r="P2" s="22">
        <v>3.82</v>
      </c>
      <c r="Q2" s="22">
        <v>4.1399999999999997</v>
      </c>
      <c r="R2" s="22">
        <v>4.4800000000000004</v>
      </c>
      <c r="S2" s="22">
        <v>4.62</v>
      </c>
      <c r="T2" s="22">
        <v>4.51</v>
      </c>
      <c r="U2" s="22">
        <v>4.16</v>
      </c>
      <c r="V2" s="22">
        <v>3.65</v>
      </c>
      <c r="W2" s="22">
        <v>3.18</v>
      </c>
      <c r="X2" s="22">
        <v>0</v>
      </c>
      <c r="Y2" s="22">
        <f t="shared" ref="Y2:AJ2" si="0">X2</f>
        <v>0</v>
      </c>
      <c r="Z2" s="22">
        <f t="shared" si="0"/>
        <v>0</v>
      </c>
      <c r="AA2" s="22">
        <f t="shared" si="0"/>
        <v>0</v>
      </c>
      <c r="AB2" s="22">
        <f t="shared" si="0"/>
        <v>0</v>
      </c>
      <c r="AC2" s="22">
        <f t="shared" si="0"/>
        <v>0</v>
      </c>
      <c r="AD2" s="22">
        <f t="shared" si="0"/>
        <v>0</v>
      </c>
      <c r="AE2" s="22">
        <f t="shared" si="0"/>
        <v>0</v>
      </c>
      <c r="AF2" s="22">
        <f t="shared" si="0"/>
        <v>0</v>
      </c>
      <c r="AG2" s="22">
        <f t="shared" si="0"/>
        <v>0</v>
      </c>
      <c r="AH2" s="22">
        <f t="shared" si="0"/>
        <v>0</v>
      </c>
      <c r="AI2" s="22">
        <f t="shared" si="0"/>
        <v>0</v>
      </c>
      <c r="AJ2" s="22">
        <f t="shared" si="0"/>
        <v>0</v>
      </c>
      <c r="AK2" s="1" t="s">
        <v>577</v>
      </c>
      <c r="AL2" s="1"/>
      <c r="AM2" s="1"/>
      <c r="AN2" s="1"/>
      <c r="AO2" s="1"/>
      <c r="AP2" s="1"/>
      <c r="AQ2" s="1"/>
      <c r="AR2" s="1"/>
      <c r="AS2" s="1"/>
      <c r="AT2" s="1"/>
      <c r="AU2" s="1"/>
      <c r="AV2" s="1"/>
      <c r="AW2" s="1"/>
      <c r="AX2" s="1"/>
      <c r="AY2" s="1"/>
    </row>
    <row r="3" spans="1:51" ht="14.25" customHeight="1">
      <c r="A3" s="14"/>
      <c r="B3" s="14"/>
      <c r="C3" s="20" t="s">
        <v>263</v>
      </c>
      <c r="D3" s="1" t="s">
        <v>43</v>
      </c>
      <c r="E3" s="14"/>
      <c r="F3" s="1" t="s">
        <v>12</v>
      </c>
      <c r="G3" s="1"/>
      <c r="H3" s="14"/>
      <c r="I3" s="14"/>
      <c r="J3" s="14"/>
      <c r="K3" s="14"/>
      <c r="L3" s="14"/>
      <c r="M3" s="14"/>
      <c r="N3" s="14"/>
      <c r="O3" s="14"/>
      <c r="P3" s="14"/>
      <c r="Q3" s="14"/>
      <c r="R3" s="14"/>
      <c r="S3" s="14"/>
      <c r="T3" s="14"/>
      <c r="U3" s="14"/>
      <c r="V3" s="60">
        <f>113/(28*4)</f>
        <v>1.0089285714285714</v>
      </c>
      <c r="W3" s="14"/>
      <c r="X3" s="14"/>
      <c r="Y3" s="14"/>
      <c r="Z3" s="14"/>
      <c r="AA3" s="14"/>
      <c r="AB3" s="14"/>
      <c r="AC3" s="14"/>
      <c r="AD3" s="14"/>
      <c r="AE3" s="14"/>
      <c r="AF3" s="14"/>
      <c r="AG3" s="14"/>
      <c r="AH3" s="14"/>
      <c r="AI3" s="14"/>
      <c r="AJ3" s="14"/>
      <c r="AK3" s="1"/>
      <c r="AL3" s="1"/>
      <c r="AM3" s="1"/>
      <c r="AN3" s="1"/>
      <c r="AO3" s="1"/>
      <c r="AP3" s="1"/>
      <c r="AQ3" s="1"/>
      <c r="AR3" s="1"/>
      <c r="AS3" s="1"/>
      <c r="AT3" s="1"/>
      <c r="AU3" s="1"/>
      <c r="AV3" s="1"/>
      <c r="AW3" s="1"/>
      <c r="AX3" s="1"/>
      <c r="AY3" s="1"/>
    </row>
    <row r="4" spans="1:51" ht="14.25" customHeight="1">
      <c r="A4" s="348"/>
      <c r="B4" s="348"/>
      <c r="C4" s="349" t="s">
        <v>48</v>
      </c>
      <c r="D4" s="349" t="s">
        <v>49</v>
      </c>
      <c r="E4" s="348"/>
      <c r="F4" s="350" t="s">
        <v>267</v>
      </c>
      <c r="G4" s="61" t="s">
        <v>268</v>
      </c>
      <c r="H4" s="61" t="s">
        <v>578</v>
      </c>
      <c r="I4" s="61"/>
      <c r="J4" s="348"/>
      <c r="K4" s="348"/>
      <c r="L4" s="348"/>
      <c r="M4" s="351">
        <v>0.05</v>
      </c>
      <c r="N4" s="351"/>
      <c r="O4" s="351"/>
      <c r="P4" s="351"/>
      <c r="Q4" s="351"/>
      <c r="R4" s="351"/>
      <c r="S4" s="351"/>
      <c r="T4" s="351"/>
      <c r="U4" s="351"/>
      <c r="V4" s="351"/>
      <c r="W4" s="351"/>
      <c r="X4" s="351"/>
      <c r="Y4" s="351"/>
      <c r="Z4" s="351"/>
      <c r="AA4" s="351"/>
      <c r="AB4" s="351"/>
      <c r="AC4" s="351"/>
      <c r="AD4" s="351"/>
      <c r="AE4" s="351"/>
      <c r="AF4" s="351"/>
      <c r="AG4" s="351"/>
      <c r="AH4" s="351"/>
      <c r="AI4" s="351"/>
      <c r="AJ4" s="351"/>
      <c r="AK4" s="351"/>
      <c r="AL4" s="348"/>
      <c r="AM4" s="61"/>
      <c r="AN4" s="61"/>
      <c r="AO4" s="61"/>
      <c r="AP4" s="61"/>
      <c r="AQ4" s="61"/>
      <c r="AR4" s="61"/>
      <c r="AS4" s="61"/>
      <c r="AT4" s="61"/>
      <c r="AU4" s="61"/>
      <c r="AV4" s="61"/>
      <c r="AW4" s="61"/>
      <c r="AX4" s="61"/>
      <c r="AY4" s="61"/>
    </row>
    <row r="5" spans="1:51" ht="13.5" customHeight="1">
      <c r="A5" s="348"/>
      <c r="B5" s="348"/>
      <c r="C5" s="349" t="s">
        <v>52</v>
      </c>
      <c r="D5" s="350" t="s">
        <v>53</v>
      </c>
      <c r="E5" s="348"/>
      <c r="F5" s="350" t="s">
        <v>579</v>
      </c>
      <c r="G5" s="61" t="s">
        <v>55</v>
      </c>
      <c r="H5" s="348" t="s">
        <v>578</v>
      </c>
      <c r="I5" s="348"/>
      <c r="J5" s="348"/>
      <c r="K5" s="348"/>
      <c r="L5" s="348"/>
      <c r="M5" s="350">
        <v>75000</v>
      </c>
      <c r="N5" s="348"/>
      <c r="O5" s="348"/>
      <c r="P5" s="348"/>
      <c r="Q5" s="348"/>
      <c r="R5" s="348"/>
      <c r="S5" s="348"/>
      <c r="T5" s="348"/>
      <c r="U5" s="348"/>
      <c r="V5" s="348"/>
      <c r="W5" s="348"/>
      <c r="X5" s="348"/>
      <c r="Y5" s="348"/>
      <c r="Z5" s="348"/>
      <c r="AA5" s="348"/>
      <c r="AB5" s="348"/>
      <c r="AC5" s="348"/>
      <c r="AD5" s="348"/>
      <c r="AE5" s="348"/>
      <c r="AF5" s="348"/>
      <c r="AG5" s="348"/>
      <c r="AH5" s="348"/>
      <c r="AI5" s="348"/>
      <c r="AJ5" s="348"/>
      <c r="AK5" s="348"/>
      <c r="AL5" s="61" t="s">
        <v>273</v>
      </c>
      <c r="AM5" s="61"/>
      <c r="AN5" s="61"/>
      <c r="AO5" s="61"/>
      <c r="AP5" s="61"/>
      <c r="AQ5" s="61"/>
      <c r="AR5" s="61"/>
      <c r="AS5" s="61"/>
      <c r="AT5" s="61"/>
      <c r="AU5" s="61"/>
      <c r="AV5" s="61"/>
      <c r="AW5" s="61"/>
      <c r="AX5" s="61"/>
      <c r="AY5" s="61"/>
    </row>
    <row r="6" spans="1:51" ht="14.25" customHeight="1">
      <c r="A6" s="14"/>
      <c r="B6" s="14"/>
      <c r="C6" s="30" t="s">
        <v>64</v>
      </c>
      <c r="D6" s="19"/>
      <c r="E6" s="14"/>
      <c r="F6" s="19" t="s">
        <v>274</v>
      </c>
      <c r="G6" s="14"/>
      <c r="H6" s="42">
        <f t="shared" ref="H6:AJ6" si="1">H2*0.42</f>
        <v>5.7161999999999997</v>
      </c>
      <c r="I6" s="42">
        <f t="shared" si="1"/>
        <v>5.0022000000000002</v>
      </c>
      <c r="J6" s="42">
        <f t="shared" si="1"/>
        <v>4.4058000000000002</v>
      </c>
      <c r="K6" s="42">
        <f t="shared" si="1"/>
        <v>4.0194000000000001</v>
      </c>
      <c r="L6" s="42">
        <f t="shared" si="1"/>
        <v>3.1122000000000001</v>
      </c>
      <c r="M6" s="42">
        <f t="shared" si="1"/>
        <v>2.8140000000000001</v>
      </c>
      <c r="N6" s="42">
        <f t="shared" si="1"/>
        <v>1.9991999999999999</v>
      </c>
      <c r="O6" s="42">
        <f t="shared" si="1"/>
        <v>1.4993999999999998</v>
      </c>
      <c r="P6" s="42">
        <f t="shared" si="1"/>
        <v>1.6043999999999998</v>
      </c>
      <c r="Q6" s="42">
        <f t="shared" si="1"/>
        <v>1.7387999999999999</v>
      </c>
      <c r="R6" s="42">
        <f t="shared" si="1"/>
        <v>1.8816000000000002</v>
      </c>
      <c r="S6" s="42">
        <f t="shared" si="1"/>
        <v>1.9403999999999999</v>
      </c>
      <c r="T6" s="42">
        <f t="shared" si="1"/>
        <v>1.8941999999999999</v>
      </c>
      <c r="U6" s="42">
        <f t="shared" si="1"/>
        <v>1.7472000000000001</v>
      </c>
      <c r="V6" s="42">
        <f t="shared" si="1"/>
        <v>1.5329999999999999</v>
      </c>
      <c r="W6" s="42">
        <f t="shared" si="1"/>
        <v>1.3356000000000001</v>
      </c>
      <c r="X6" s="42">
        <f t="shared" si="1"/>
        <v>0</v>
      </c>
      <c r="Y6" s="42">
        <f t="shared" si="1"/>
        <v>0</v>
      </c>
      <c r="Z6" s="42">
        <f t="shared" si="1"/>
        <v>0</v>
      </c>
      <c r="AA6" s="42">
        <f t="shared" si="1"/>
        <v>0</v>
      </c>
      <c r="AB6" s="42">
        <f t="shared" si="1"/>
        <v>0</v>
      </c>
      <c r="AC6" s="42">
        <f t="shared" si="1"/>
        <v>0</v>
      </c>
      <c r="AD6" s="42">
        <f t="shared" si="1"/>
        <v>0</v>
      </c>
      <c r="AE6" s="42">
        <f t="shared" si="1"/>
        <v>0</v>
      </c>
      <c r="AF6" s="42">
        <f t="shared" si="1"/>
        <v>0</v>
      </c>
      <c r="AG6" s="42">
        <f t="shared" si="1"/>
        <v>0</v>
      </c>
      <c r="AH6" s="42">
        <f t="shared" si="1"/>
        <v>0</v>
      </c>
      <c r="AI6" s="42">
        <f t="shared" si="1"/>
        <v>0</v>
      </c>
      <c r="AJ6" s="42">
        <f t="shared" si="1"/>
        <v>0</v>
      </c>
      <c r="AK6" s="14"/>
      <c r="AL6" s="1"/>
      <c r="AM6" s="1"/>
      <c r="AN6" s="1"/>
      <c r="AO6" s="1"/>
      <c r="AP6" s="1"/>
      <c r="AQ6" s="1"/>
      <c r="AR6" s="1"/>
      <c r="AS6" s="1"/>
      <c r="AT6" s="1"/>
      <c r="AU6" s="1"/>
      <c r="AV6" s="1"/>
      <c r="AW6" s="1"/>
      <c r="AX6" s="1"/>
      <c r="AY6" s="1"/>
    </row>
    <row r="7" spans="1:51" ht="14.25" customHeight="1">
      <c r="A7" s="14"/>
      <c r="B7" s="14"/>
      <c r="C7" s="20" t="s">
        <v>67</v>
      </c>
      <c r="D7" s="14"/>
      <c r="E7" s="14"/>
      <c r="F7" s="19" t="s">
        <v>274</v>
      </c>
      <c r="G7" s="14"/>
      <c r="H7" s="42">
        <f t="shared" ref="H7:AJ7" si="2">H2*0.58</f>
        <v>7.8937999999999988</v>
      </c>
      <c r="I7" s="42">
        <f t="shared" si="2"/>
        <v>6.9077999999999999</v>
      </c>
      <c r="J7" s="42">
        <f t="shared" si="2"/>
        <v>6.0842000000000001</v>
      </c>
      <c r="K7" s="42">
        <f t="shared" si="2"/>
        <v>5.5506000000000002</v>
      </c>
      <c r="L7" s="42">
        <f t="shared" si="2"/>
        <v>4.2977999999999996</v>
      </c>
      <c r="M7" s="42">
        <f t="shared" si="2"/>
        <v>3.8859999999999997</v>
      </c>
      <c r="N7" s="42">
        <f t="shared" si="2"/>
        <v>2.7607999999999997</v>
      </c>
      <c r="O7" s="42">
        <f t="shared" si="2"/>
        <v>2.0705999999999998</v>
      </c>
      <c r="P7" s="42">
        <f t="shared" si="2"/>
        <v>2.2155999999999998</v>
      </c>
      <c r="Q7" s="42">
        <f t="shared" si="2"/>
        <v>2.4011999999999998</v>
      </c>
      <c r="R7" s="42">
        <f t="shared" si="2"/>
        <v>2.5984000000000003</v>
      </c>
      <c r="S7" s="42">
        <f t="shared" si="2"/>
        <v>2.6795999999999998</v>
      </c>
      <c r="T7" s="42">
        <f t="shared" si="2"/>
        <v>2.6157999999999997</v>
      </c>
      <c r="U7" s="42">
        <f t="shared" si="2"/>
        <v>2.4127999999999998</v>
      </c>
      <c r="V7" s="42">
        <f t="shared" si="2"/>
        <v>2.117</v>
      </c>
      <c r="W7" s="42">
        <f t="shared" si="2"/>
        <v>1.8444</v>
      </c>
      <c r="X7" s="42">
        <f t="shared" si="2"/>
        <v>0</v>
      </c>
      <c r="Y7" s="42">
        <f t="shared" si="2"/>
        <v>0</v>
      </c>
      <c r="Z7" s="42">
        <f t="shared" si="2"/>
        <v>0</v>
      </c>
      <c r="AA7" s="42">
        <f t="shared" si="2"/>
        <v>0</v>
      </c>
      <c r="AB7" s="42">
        <f t="shared" si="2"/>
        <v>0</v>
      </c>
      <c r="AC7" s="42">
        <f t="shared" si="2"/>
        <v>0</v>
      </c>
      <c r="AD7" s="42">
        <f t="shared" si="2"/>
        <v>0</v>
      </c>
      <c r="AE7" s="42">
        <f t="shared" si="2"/>
        <v>0</v>
      </c>
      <c r="AF7" s="42">
        <f t="shared" si="2"/>
        <v>0</v>
      </c>
      <c r="AG7" s="42">
        <f t="shared" si="2"/>
        <v>0</v>
      </c>
      <c r="AH7" s="42">
        <f t="shared" si="2"/>
        <v>0</v>
      </c>
      <c r="AI7" s="42">
        <f t="shared" si="2"/>
        <v>0</v>
      </c>
      <c r="AJ7" s="42">
        <f t="shared" si="2"/>
        <v>0</v>
      </c>
      <c r="AK7" s="14"/>
      <c r="AL7" s="1"/>
      <c r="AM7" s="1"/>
      <c r="AN7" s="1"/>
      <c r="AO7" s="1"/>
      <c r="AP7" s="1"/>
      <c r="AQ7" s="1"/>
      <c r="AR7" s="1"/>
      <c r="AS7" s="1"/>
      <c r="AT7" s="1"/>
      <c r="AU7" s="1"/>
      <c r="AV7" s="1"/>
      <c r="AW7" s="1"/>
      <c r="AX7" s="1"/>
      <c r="AY7" s="1"/>
    </row>
    <row r="8" spans="1:51" ht="14.25" customHeight="1">
      <c r="A8" s="44" t="s">
        <v>69</v>
      </c>
      <c r="B8" s="44"/>
      <c r="C8" s="44"/>
      <c r="D8" s="44"/>
      <c r="E8" s="44"/>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1"/>
      <c r="AL8" s="1"/>
      <c r="AM8" s="1"/>
      <c r="AN8" s="1"/>
      <c r="AO8" s="1"/>
      <c r="AP8" s="1"/>
      <c r="AQ8" s="1"/>
      <c r="AR8" s="1"/>
      <c r="AS8" s="1"/>
      <c r="AT8" s="1"/>
      <c r="AU8" s="1"/>
      <c r="AV8" s="1"/>
      <c r="AW8" s="1"/>
      <c r="AX8" s="1"/>
      <c r="AY8" s="1"/>
    </row>
    <row r="9" spans="1:51" ht="14.25" customHeight="1">
      <c r="A9" s="14"/>
      <c r="B9" s="19" t="s">
        <v>77</v>
      </c>
      <c r="C9" s="1" t="s">
        <v>78</v>
      </c>
      <c r="D9" s="19" t="s">
        <v>72</v>
      </c>
      <c r="E9" s="14"/>
      <c r="F9" s="19" t="s">
        <v>230</v>
      </c>
      <c r="G9" s="14"/>
      <c r="H9" s="14"/>
      <c r="I9" s="14"/>
      <c r="J9" s="14"/>
      <c r="K9" s="56">
        <v>25.58</v>
      </c>
      <c r="L9" s="14"/>
      <c r="M9" s="14"/>
      <c r="N9" s="14"/>
      <c r="O9" s="14"/>
      <c r="P9" s="14"/>
      <c r="Q9" s="14"/>
      <c r="R9" s="14"/>
      <c r="S9" s="14"/>
      <c r="T9" s="14"/>
      <c r="U9" s="14"/>
      <c r="V9" s="14"/>
      <c r="W9" s="14"/>
      <c r="X9" s="14"/>
      <c r="Y9" s="14"/>
      <c r="Z9" s="14"/>
      <c r="AA9" s="14"/>
      <c r="AB9" s="14"/>
      <c r="AC9" s="14"/>
      <c r="AD9" s="14"/>
      <c r="AE9" s="14"/>
      <c r="AF9" s="14"/>
      <c r="AG9" s="14"/>
      <c r="AH9" s="14"/>
      <c r="AI9" s="14"/>
      <c r="AJ9" s="14"/>
      <c r="AK9" s="1" t="s">
        <v>81</v>
      </c>
      <c r="AL9" s="59" t="s">
        <v>580</v>
      </c>
      <c r="AM9" s="1"/>
      <c r="AN9" s="1"/>
      <c r="AO9" s="1"/>
      <c r="AP9" s="1"/>
      <c r="AQ9" s="1"/>
      <c r="AR9" s="1"/>
      <c r="AS9" s="1"/>
      <c r="AT9" s="1"/>
      <c r="AU9" s="1"/>
      <c r="AV9" s="1"/>
      <c r="AW9" s="1"/>
      <c r="AX9" s="1"/>
      <c r="AY9" s="1"/>
    </row>
    <row r="10" spans="1:51" ht="14.25" customHeight="1">
      <c r="A10" s="14"/>
      <c r="B10" s="19" t="s">
        <v>77</v>
      </c>
      <c r="C10" s="1" t="s">
        <v>78</v>
      </c>
      <c r="D10" s="19" t="s">
        <v>84</v>
      </c>
      <c r="E10" s="14"/>
      <c r="F10" s="19" t="s">
        <v>230</v>
      </c>
      <c r="G10" s="14"/>
      <c r="H10" s="14"/>
      <c r="I10" s="14"/>
      <c r="J10" s="14"/>
      <c r="K10" s="56">
        <v>21.15</v>
      </c>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 t="s">
        <v>81</v>
      </c>
      <c r="AL10" s="59" t="s">
        <v>581</v>
      </c>
      <c r="AM10" s="1"/>
      <c r="AN10" s="1"/>
      <c r="AO10" s="1"/>
      <c r="AP10" s="1"/>
      <c r="AQ10" s="1"/>
      <c r="AR10" s="1"/>
      <c r="AS10" s="1"/>
      <c r="AT10" s="1"/>
      <c r="AU10" s="1"/>
      <c r="AV10" s="1"/>
      <c r="AW10" s="1"/>
      <c r="AX10" s="1"/>
      <c r="AY10" s="1"/>
    </row>
    <row r="11" spans="1:51" ht="13.5" customHeight="1">
      <c r="A11" s="14"/>
      <c r="B11" s="19" t="s">
        <v>77</v>
      </c>
      <c r="C11" s="1" t="s">
        <v>78</v>
      </c>
      <c r="D11" s="19" t="s">
        <v>86</v>
      </c>
      <c r="E11" s="14"/>
      <c r="F11" s="19" t="s">
        <v>230</v>
      </c>
      <c r="G11" s="14"/>
      <c r="H11" s="14"/>
      <c r="I11" s="14"/>
      <c r="J11" s="14"/>
      <c r="K11" s="56">
        <v>6.5</v>
      </c>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 t="s">
        <v>81</v>
      </c>
      <c r="AL11" s="59" t="s">
        <v>582</v>
      </c>
      <c r="AM11" s="1"/>
      <c r="AN11" s="1"/>
      <c r="AO11" s="1"/>
      <c r="AP11" s="1"/>
      <c r="AQ11" s="1"/>
      <c r="AR11" s="1"/>
      <c r="AS11" s="1"/>
      <c r="AT11" s="1"/>
      <c r="AU11" s="1"/>
      <c r="AV11" s="1"/>
      <c r="AW11" s="1"/>
      <c r="AX11" s="1"/>
      <c r="AY11" s="1"/>
    </row>
    <row r="12" spans="1:51" ht="14.25" customHeight="1">
      <c r="A12" s="14"/>
      <c r="B12" s="1" t="s">
        <v>70</v>
      </c>
      <c r="C12" s="1" t="s">
        <v>78</v>
      </c>
      <c r="D12" s="19" t="s">
        <v>583</v>
      </c>
      <c r="E12" s="14"/>
      <c r="F12" s="19" t="s">
        <v>230</v>
      </c>
      <c r="G12" s="14"/>
      <c r="H12" s="14"/>
      <c r="I12" s="14"/>
      <c r="J12" s="14"/>
      <c r="K12" s="56">
        <v>2273</v>
      </c>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 t="s">
        <v>81</v>
      </c>
      <c r="AL12" s="59" t="s">
        <v>584</v>
      </c>
      <c r="AM12" s="1"/>
      <c r="AN12" s="1"/>
      <c r="AO12" s="1"/>
      <c r="AP12" s="1"/>
      <c r="AQ12" s="1"/>
      <c r="AR12" s="1"/>
      <c r="AS12" s="1"/>
      <c r="AT12" s="1"/>
      <c r="AU12" s="1"/>
      <c r="AV12" s="1"/>
      <c r="AW12" s="1"/>
      <c r="AX12" s="1"/>
      <c r="AY12" s="1"/>
    </row>
    <row r="13" spans="1:51" ht="13.5" customHeight="1">
      <c r="A13" s="14"/>
      <c r="B13" s="1" t="s">
        <v>70</v>
      </c>
      <c r="C13" s="1" t="s">
        <v>93</v>
      </c>
      <c r="D13" s="19" t="s">
        <v>94</v>
      </c>
      <c r="E13" s="14"/>
      <c r="F13" s="19" t="s">
        <v>585</v>
      </c>
      <c r="G13" s="14"/>
      <c r="H13" s="14"/>
      <c r="I13" s="14"/>
      <c r="J13" s="14"/>
      <c r="K13" s="63">
        <v>200000</v>
      </c>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
      <c r="AL13" s="1"/>
      <c r="AM13" s="1"/>
      <c r="AN13" s="1"/>
      <c r="AO13" s="1"/>
      <c r="AP13" s="1"/>
      <c r="AQ13" s="1"/>
      <c r="AR13" s="1"/>
      <c r="AS13" s="1"/>
      <c r="AT13" s="1"/>
      <c r="AU13" s="1"/>
      <c r="AV13" s="1"/>
      <c r="AW13" s="1"/>
      <c r="AX13" s="1"/>
      <c r="AY13" s="1"/>
    </row>
    <row r="14" spans="1:51" ht="14.25" customHeight="1">
      <c r="A14" s="3"/>
      <c r="B14" s="3" t="s">
        <v>70</v>
      </c>
      <c r="C14" s="3" t="s">
        <v>98</v>
      </c>
      <c r="D14" s="3" t="s">
        <v>99</v>
      </c>
      <c r="E14" s="3" t="s">
        <v>100</v>
      </c>
      <c r="F14" s="352" t="s">
        <v>73</v>
      </c>
      <c r="G14" s="3"/>
      <c r="H14" s="353"/>
      <c r="I14" s="3"/>
      <c r="J14" s="3"/>
      <c r="K14" s="354"/>
      <c r="L14" s="3"/>
      <c r="M14" s="3"/>
      <c r="N14" s="3"/>
      <c r="O14" s="3"/>
      <c r="P14" s="353"/>
      <c r="Q14" s="3"/>
      <c r="R14" s="3"/>
      <c r="S14" s="3"/>
      <c r="T14" s="3"/>
      <c r="U14" s="353"/>
      <c r="V14" s="3"/>
      <c r="W14" s="3"/>
      <c r="X14" s="3"/>
      <c r="Y14" s="3"/>
      <c r="Z14" s="353"/>
      <c r="AA14" s="3"/>
      <c r="AB14" s="3"/>
      <c r="AC14" s="3"/>
      <c r="AD14" s="3"/>
      <c r="AE14" s="353"/>
      <c r="AF14" s="3"/>
      <c r="AG14" s="3"/>
      <c r="AH14" s="3"/>
      <c r="AI14" s="3"/>
      <c r="AJ14" s="353"/>
      <c r="AK14" s="3"/>
      <c r="AL14" s="3"/>
      <c r="AM14" s="3"/>
      <c r="AN14" s="3"/>
      <c r="AO14" s="3"/>
      <c r="AP14" s="3"/>
      <c r="AQ14" s="3"/>
      <c r="AR14" s="3"/>
      <c r="AS14" s="3"/>
      <c r="AT14" s="3"/>
      <c r="AU14" s="3"/>
      <c r="AV14" s="3"/>
      <c r="AW14" s="3"/>
      <c r="AX14" s="3"/>
      <c r="AY14" s="3"/>
    </row>
    <row r="15" spans="1:51" ht="14.25" customHeight="1">
      <c r="A15" s="1"/>
      <c r="B15" s="1" t="s">
        <v>70</v>
      </c>
      <c r="C15" s="1" t="s">
        <v>586</v>
      </c>
      <c r="D15" s="1" t="s">
        <v>102</v>
      </c>
      <c r="E15" s="1" t="s">
        <v>103</v>
      </c>
      <c r="F15" s="52" t="s">
        <v>73</v>
      </c>
      <c r="G15" s="1"/>
      <c r="H15" s="65"/>
      <c r="I15" s="1"/>
      <c r="J15" s="1"/>
      <c r="K15" s="56">
        <v>150</v>
      </c>
      <c r="L15" s="1"/>
      <c r="M15" s="1"/>
      <c r="N15" s="1"/>
      <c r="O15" s="1"/>
      <c r="P15" s="65"/>
      <c r="Q15" s="1"/>
      <c r="R15" s="1"/>
      <c r="S15" s="1"/>
      <c r="T15" s="1"/>
      <c r="U15" s="65"/>
      <c r="V15" s="1"/>
      <c r="W15" s="1"/>
      <c r="X15" s="1"/>
      <c r="Y15" s="1"/>
      <c r="Z15" s="65"/>
      <c r="AA15" s="1"/>
      <c r="AB15" s="1"/>
      <c r="AC15" s="1"/>
      <c r="AD15" s="1"/>
      <c r="AE15" s="65"/>
      <c r="AF15" s="1"/>
      <c r="AG15" s="1"/>
      <c r="AH15" s="1"/>
      <c r="AI15" s="1"/>
      <c r="AJ15" s="65"/>
      <c r="AK15" s="1"/>
      <c r="AL15" s="1"/>
      <c r="AM15" s="1"/>
      <c r="AN15" s="1"/>
      <c r="AO15" s="1"/>
      <c r="AP15" s="1"/>
      <c r="AQ15" s="1"/>
      <c r="AR15" s="1"/>
      <c r="AS15" s="1"/>
      <c r="AT15" s="1"/>
      <c r="AU15" s="1"/>
      <c r="AV15" s="1"/>
      <c r="AW15" s="1"/>
      <c r="AX15" s="1"/>
      <c r="AY15" s="1"/>
    </row>
    <row r="16" spans="1:51" ht="14.25" customHeight="1">
      <c r="A16" s="1"/>
      <c r="B16" s="1" t="s">
        <v>70</v>
      </c>
      <c r="C16" s="1" t="s">
        <v>105</v>
      </c>
      <c r="D16" s="1" t="s">
        <v>106</v>
      </c>
      <c r="E16" s="1" t="s">
        <v>107</v>
      </c>
      <c r="F16" s="43" t="s">
        <v>230</v>
      </c>
      <c r="G16" s="1"/>
      <c r="H16" s="56">
        <f>2.25+4.75</f>
        <v>7</v>
      </c>
      <c r="I16" s="1"/>
      <c r="J16" s="56">
        <f>2.25+4.75</f>
        <v>7</v>
      </c>
      <c r="K16" s="56">
        <v>26.07</v>
      </c>
      <c r="L16" s="1"/>
      <c r="M16" s="1"/>
      <c r="N16" s="1"/>
      <c r="O16" s="1"/>
      <c r="P16" s="65"/>
      <c r="Q16" s="1"/>
      <c r="R16" s="1"/>
      <c r="S16" s="1"/>
      <c r="T16" s="1"/>
      <c r="U16" s="65"/>
      <c r="V16" s="1"/>
      <c r="W16" s="1"/>
      <c r="X16" s="1"/>
      <c r="Y16" s="1"/>
      <c r="Z16" s="65"/>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37" ht="14.25" customHeight="1">
      <c r="A17" s="1"/>
      <c r="B17" s="1"/>
      <c r="C17" s="1" t="s">
        <v>105</v>
      </c>
      <c r="D17" s="1" t="s">
        <v>123</v>
      </c>
      <c r="E17" s="1"/>
      <c r="F17" s="43" t="s">
        <v>230</v>
      </c>
      <c r="G17" s="1"/>
      <c r="H17" s="56">
        <f>1.4+0.135+2.1+1.5</f>
        <v>5.1349999999999998</v>
      </c>
      <c r="I17" s="1"/>
      <c r="J17" s="1">
        <f>3.1+3.1+1.5+0.17</f>
        <v>7.87</v>
      </c>
      <c r="K17" s="14"/>
      <c r="L17" s="1"/>
      <c r="M17" s="1"/>
      <c r="N17" s="1"/>
      <c r="O17" s="1"/>
      <c r="P17" s="65"/>
      <c r="Q17" s="1"/>
      <c r="R17" s="1"/>
      <c r="S17" s="1"/>
      <c r="T17" s="1"/>
      <c r="U17" s="65"/>
      <c r="V17" s="1"/>
      <c r="W17" s="1"/>
      <c r="X17" s="1"/>
      <c r="Y17" s="1"/>
      <c r="Z17" s="65"/>
      <c r="AA17" s="1"/>
      <c r="AB17" s="1"/>
      <c r="AC17" s="1"/>
      <c r="AD17" s="1"/>
      <c r="AE17" s="1"/>
      <c r="AF17" s="1"/>
      <c r="AG17" s="1"/>
      <c r="AH17" s="1"/>
      <c r="AI17" s="1"/>
      <c r="AJ17" s="1"/>
      <c r="AK17" s="1"/>
    </row>
    <row r="18" spans="1:37" ht="14.25" customHeight="1">
      <c r="A18" s="1"/>
      <c r="B18" s="1"/>
      <c r="C18" s="1" t="s">
        <v>124</v>
      </c>
      <c r="D18" s="1" t="s">
        <v>125</v>
      </c>
      <c r="E18" s="1"/>
      <c r="F18" s="52" t="s">
        <v>73</v>
      </c>
      <c r="G18" s="1"/>
      <c r="H18" s="65"/>
      <c r="I18" s="1"/>
      <c r="J18" s="1"/>
      <c r="K18" s="65"/>
      <c r="L18" s="1"/>
      <c r="M18" s="1"/>
      <c r="N18" s="1"/>
      <c r="O18" s="1"/>
      <c r="P18" s="65"/>
      <c r="Q18" s="1"/>
      <c r="R18" s="1"/>
      <c r="S18" s="1"/>
      <c r="T18" s="1"/>
      <c r="U18" s="65"/>
      <c r="V18" s="1"/>
      <c r="W18" s="1"/>
      <c r="X18" s="1"/>
      <c r="Y18" s="1"/>
      <c r="Z18" s="65"/>
      <c r="AA18" s="1"/>
      <c r="AB18" s="1"/>
      <c r="AC18" s="1"/>
      <c r="AD18" s="1"/>
      <c r="AE18" s="65"/>
      <c r="AF18" s="1"/>
      <c r="AG18" s="1"/>
      <c r="AH18" s="1"/>
      <c r="AI18" s="1"/>
      <c r="AJ18" s="65"/>
      <c r="AK18" s="1" t="s">
        <v>126</v>
      </c>
    </row>
    <row r="19" spans="1:37" ht="14.25" customHeight="1">
      <c r="A19" s="1"/>
      <c r="B19" s="1"/>
      <c r="C19" s="1"/>
      <c r="D19" s="1"/>
      <c r="E19" s="1"/>
      <c r="F19" s="52"/>
      <c r="G19" s="1"/>
      <c r="H19" s="1"/>
      <c r="I19" s="1"/>
      <c r="J19" s="97"/>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row>
    <row r="20" spans="1:37" ht="14.25" customHeight="1">
      <c r="A20" s="1"/>
      <c r="B20" s="1" t="s">
        <v>129</v>
      </c>
      <c r="C20" s="1" t="s">
        <v>130</v>
      </c>
      <c r="D20" s="1" t="s">
        <v>131</v>
      </c>
      <c r="E20" s="1"/>
      <c r="F20" s="52" t="s">
        <v>132</v>
      </c>
      <c r="G20" s="1"/>
      <c r="H20" s="25">
        <v>0.37</v>
      </c>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t="s">
        <v>133</v>
      </c>
    </row>
    <row r="21" spans="1:37" ht="14.25" customHeight="1">
      <c r="A21" s="1"/>
      <c r="B21" s="1" t="s">
        <v>129</v>
      </c>
      <c r="C21" s="1" t="s">
        <v>135</v>
      </c>
      <c r="D21" s="1"/>
      <c r="E21" s="1"/>
      <c r="F21" s="52"/>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row>
    <row r="22" spans="1:37" ht="14.25" customHeight="1">
      <c r="A22" s="1"/>
      <c r="B22" s="1" t="s">
        <v>129</v>
      </c>
      <c r="C22" s="1" t="s">
        <v>137</v>
      </c>
      <c r="D22" s="1"/>
      <c r="E22" s="1"/>
      <c r="F22" s="52" t="s">
        <v>138</v>
      </c>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t="s">
        <v>139</v>
      </c>
    </row>
    <row r="23" spans="1:37" ht="14.25" customHeight="1">
      <c r="A23" s="1"/>
      <c r="B23" s="1" t="s">
        <v>129</v>
      </c>
      <c r="C23" s="1" t="s">
        <v>587</v>
      </c>
      <c r="D23" s="1"/>
      <c r="E23" s="1"/>
      <c r="F23" s="52"/>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row>
    <row r="24" spans="1:37" ht="14.25" customHeight="1">
      <c r="A24" s="1"/>
      <c r="B24" s="1"/>
      <c r="C24" s="1"/>
      <c r="D24" s="1"/>
      <c r="E24" s="1"/>
      <c r="F24" s="52"/>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row>
    <row r="25" spans="1:37" ht="14.25" customHeight="1">
      <c r="A25" s="44" t="s">
        <v>144</v>
      </c>
      <c r="B25" s="75" t="s">
        <v>145</v>
      </c>
      <c r="C25" s="75" t="s">
        <v>150</v>
      </c>
      <c r="D25" s="75" t="s">
        <v>297</v>
      </c>
      <c r="E25" s="75"/>
      <c r="F25" s="75" t="s">
        <v>416</v>
      </c>
      <c r="G25" s="75" t="s">
        <v>153</v>
      </c>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1"/>
    </row>
    <row r="26" spans="1:37" ht="14.25" customHeight="1">
      <c r="A26" s="1"/>
      <c r="B26" s="1" t="s">
        <v>145</v>
      </c>
      <c r="C26" s="1" t="s">
        <v>150</v>
      </c>
      <c r="D26" s="1" t="s">
        <v>151</v>
      </c>
      <c r="E26" s="1"/>
      <c r="F26" s="1" t="s">
        <v>152</v>
      </c>
      <c r="G26" s="1" t="s">
        <v>153</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row>
    <row r="27" spans="1:37" ht="14.25" customHeight="1">
      <c r="A27" s="1"/>
      <c r="B27" s="1" t="s">
        <v>145</v>
      </c>
      <c r="C27" s="1" t="s">
        <v>154</v>
      </c>
      <c r="D27" s="1" t="s">
        <v>155</v>
      </c>
      <c r="E27" s="1"/>
      <c r="F27" s="1" t="s">
        <v>156</v>
      </c>
      <c r="G27" s="1" t="s">
        <v>153</v>
      </c>
      <c r="H27" s="65"/>
      <c r="I27" s="65"/>
      <c r="J27" s="65"/>
      <c r="K27" s="65">
        <v>3.5000000000000001E-3</v>
      </c>
      <c r="L27" s="65">
        <f t="shared" ref="L27:O27" si="3">K27+($P27-$K27)/($P$1-$K$1)</f>
        <v>1.0799999999999999E-2</v>
      </c>
      <c r="M27" s="65">
        <f t="shared" si="3"/>
        <v>1.8099999999999998E-2</v>
      </c>
      <c r="N27" s="65">
        <f t="shared" si="3"/>
        <v>2.5399999999999999E-2</v>
      </c>
      <c r="O27" s="65">
        <f t="shared" si="3"/>
        <v>3.27E-2</v>
      </c>
      <c r="P27" s="65">
        <v>0.04</v>
      </c>
      <c r="Q27" s="65">
        <f t="shared" ref="Q27:Y27" si="4">P27+($Z27-$P27)/($Z$1-$P$1)</f>
        <v>5.8499999999999996E-2</v>
      </c>
      <c r="R27" s="65">
        <f t="shared" si="4"/>
        <v>7.6999999999999999E-2</v>
      </c>
      <c r="S27" s="65">
        <f t="shared" si="4"/>
        <v>9.5500000000000002E-2</v>
      </c>
      <c r="T27" s="65">
        <f t="shared" si="4"/>
        <v>0.114</v>
      </c>
      <c r="U27" s="65">
        <f t="shared" si="4"/>
        <v>0.13250000000000001</v>
      </c>
      <c r="V27" s="65">
        <f t="shared" si="4"/>
        <v>0.151</v>
      </c>
      <c r="W27" s="65">
        <f t="shared" si="4"/>
        <v>0.16949999999999998</v>
      </c>
      <c r="X27" s="65">
        <f t="shared" si="4"/>
        <v>0.18799999999999997</v>
      </c>
      <c r="Y27" s="65">
        <f t="shared" si="4"/>
        <v>0.20649999999999996</v>
      </c>
      <c r="Z27" s="65">
        <v>0.22500000000000001</v>
      </c>
      <c r="AA27" s="65">
        <f t="shared" ref="AA27:AJ27" si="5">Z27</f>
        <v>0.22500000000000001</v>
      </c>
      <c r="AB27" s="65">
        <f t="shared" si="5"/>
        <v>0.22500000000000001</v>
      </c>
      <c r="AC27" s="65">
        <f t="shared" si="5"/>
        <v>0.22500000000000001</v>
      </c>
      <c r="AD27" s="65">
        <f t="shared" si="5"/>
        <v>0.22500000000000001</v>
      </c>
      <c r="AE27" s="65">
        <f t="shared" si="5"/>
        <v>0.22500000000000001</v>
      </c>
      <c r="AF27" s="65">
        <f t="shared" si="5"/>
        <v>0.22500000000000001</v>
      </c>
      <c r="AG27" s="65">
        <f t="shared" si="5"/>
        <v>0.22500000000000001</v>
      </c>
      <c r="AH27" s="65">
        <f t="shared" si="5"/>
        <v>0.22500000000000001</v>
      </c>
      <c r="AI27" s="65">
        <f t="shared" si="5"/>
        <v>0.22500000000000001</v>
      </c>
      <c r="AJ27" s="65">
        <f t="shared" si="5"/>
        <v>0.22500000000000001</v>
      </c>
      <c r="AK27" s="1" t="s">
        <v>157</v>
      </c>
    </row>
    <row r="28" spans="1:37" ht="14.25" customHeight="1">
      <c r="A28" s="1"/>
      <c r="B28" s="1" t="s">
        <v>145</v>
      </c>
      <c r="C28" s="1" t="s">
        <v>154</v>
      </c>
      <c r="D28" s="1" t="s">
        <v>158</v>
      </c>
      <c r="E28" s="1"/>
      <c r="F28" s="1" t="s">
        <v>156</v>
      </c>
      <c r="G28" s="1" t="s">
        <v>153</v>
      </c>
      <c r="H28" s="65"/>
      <c r="I28" s="65"/>
      <c r="J28" s="65"/>
      <c r="K28" s="65">
        <f>K27</f>
        <v>3.5000000000000001E-3</v>
      </c>
      <c r="L28" s="65">
        <f t="shared" ref="L28:O28" si="6">K28+($P28-$K28)/($P$1-$K$1)</f>
        <v>1.0799999999999999E-2</v>
      </c>
      <c r="M28" s="65">
        <f t="shared" si="6"/>
        <v>1.8099999999999998E-2</v>
      </c>
      <c r="N28" s="65">
        <f t="shared" si="6"/>
        <v>2.5399999999999999E-2</v>
      </c>
      <c r="O28" s="65">
        <f t="shared" si="6"/>
        <v>3.27E-2</v>
      </c>
      <c r="P28" s="65">
        <f>P27</f>
        <v>0.04</v>
      </c>
      <c r="Q28" s="65">
        <f t="shared" ref="Q28:Y28" si="7">P28+($Z28-$P28)/($Z$1-$P$1)</f>
        <v>5.8499999999999996E-2</v>
      </c>
      <c r="R28" s="65">
        <f t="shared" si="7"/>
        <v>7.6999999999999999E-2</v>
      </c>
      <c r="S28" s="65">
        <f t="shared" si="7"/>
        <v>9.5500000000000002E-2</v>
      </c>
      <c r="T28" s="65">
        <f t="shared" si="7"/>
        <v>0.114</v>
      </c>
      <c r="U28" s="65">
        <f t="shared" si="7"/>
        <v>0.13250000000000001</v>
      </c>
      <c r="V28" s="65">
        <f t="shared" si="7"/>
        <v>0.151</v>
      </c>
      <c r="W28" s="65">
        <f t="shared" si="7"/>
        <v>0.16949999999999998</v>
      </c>
      <c r="X28" s="65">
        <f t="shared" si="7"/>
        <v>0.18799999999999997</v>
      </c>
      <c r="Y28" s="65">
        <f t="shared" si="7"/>
        <v>0.20649999999999996</v>
      </c>
      <c r="Z28" s="65">
        <f>Z27</f>
        <v>0.22500000000000001</v>
      </c>
      <c r="AA28" s="65">
        <f t="shared" ref="AA28:AJ28" si="8">Z28</f>
        <v>0.22500000000000001</v>
      </c>
      <c r="AB28" s="65">
        <f t="shared" si="8"/>
        <v>0.22500000000000001</v>
      </c>
      <c r="AC28" s="65">
        <f t="shared" si="8"/>
        <v>0.22500000000000001</v>
      </c>
      <c r="AD28" s="65">
        <f t="shared" si="8"/>
        <v>0.22500000000000001</v>
      </c>
      <c r="AE28" s="65">
        <f t="shared" si="8"/>
        <v>0.22500000000000001</v>
      </c>
      <c r="AF28" s="65">
        <f t="shared" si="8"/>
        <v>0.22500000000000001</v>
      </c>
      <c r="AG28" s="65">
        <f t="shared" si="8"/>
        <v>0.22500000000000001</v>
      </c>
      <c r="AH28" s="65">
        <f t="shared" si="8"/>
        <v>0.22500000000000001</v>
      </c>
      <c r="AI28" s="65">
        <f t="shared" si="8"/>
        <v>0.22500000000000001</v>
      </c>
      <c r="AJ28" s="65">
        <f t="shared" si="8"/>
        <v>0.22500000000000001</v>
      </c>
      <c r="AK28" s="1" t="s">
        <v>157</v>
      </c>
    </row>
    <row r="29" spans="1:37" ht="14.25" customHeight="1">
      <c r="A29" s="1"/>
      <c r="B29" s="1" t="s">
        <v>145</v>
      </c>
      <c r="C29" s="1" t="s">
        <v>154</v>
      </c>
      <c r="D29" s="1" t="s">
        <v>159</v>
      </c>
      <c r="E29" s="1"/>
      <c r="F29" s="1" t="s">
        <v>156</v>
      </c>
      <c r="G29" s="1" t="s">
        <v>153</v>
      </c>
      <c r="H29" s="65"/>
      <c r="I29" s="65"/>
      <c r="J29" s="65"/>
      <c r="K29" s="65">
        <v>0.02</v>
      </c>
      <c r="L29" s="65">
        <f t="shared" ref="L29:O29" si="9">K29+($P29-$K29)/($P$1-$K$1)</f>
        <v>3.1E-2</v>
      </c>
      <c r="M29" s="65">
        <f t="shared" si="9"/>
        <v>4.1999999999999996E-2</v>
      </c>
      <c r="N29" s="65">
        <f t="shared" si="9"/>
        <v>5.2999999999999992E-2</v>
      </c>
      <c r="O29" s="65">
        <f t="shared" si="9"/>
        <v>6.3999999999999987E-2</v>
      </c>
      <c r="P29" s="65">
        <v>7.4999999999999997E-2</v>
      </c>
      <c r="Q29" s="65">
        <f t="shared" ref="Q29:Y29" si="10">P29+($Z29-$P29)/($Z$1-$P$1)</f>
        <v>0.10249999999999999</v>
      </c>
      <c r="R29" s="65">
        <f t="shared" si="10"/>
        <v>0.13</v>
      </c>
      <c r="S29" s="65">
        <f t="shared" si="10"/>
        <v>0.1575</v>
      </c>
      <c r="T29" s="65">
        <f t="shared" si="10"/>
        <v>0.185</v>
      </c>
      <c r="U29" s="65">
        <f t="shared" si="10"/>
        <v>0.21249999999999999</v>
      </c>
      <c r="V29" s="65">
        <f t="shared" si="10"/>
        <v>0.24</v>
      </c>
      <c r="W29" s="65">
        <f t="shared" si="10"/>
        <v>0.26749999999999996</v>
      </c>
      <c r="X29" s="65">
        <f t="shared" si="10"/>
        <v>0.29499999999999993</v>
      </c>
      <c r="Y29" s="65">
        <f t="shared" si="10"/>
        <v>0.3224999999999999</v>
      </c>
      <c r="Z29" s="65">
        <v>0.35</v>
      </c>
      <c r="AA29" s="65">
        <f t="shared" ref="AA29:AJ29" si="11">Z29</f>
        <v>0.35</v>
      </c>
      <c r="AB29" s="65">
        <f t="shared" si="11"/>
        <v>0.35</v>
      </c>
      <c r="AC29" s="65">
        <f t="shared" si="11"/>
        <v>0.35</v>
      </c>
      <c r="AD29" s="65">
        <f t="shared" si="11"/>
        <v>0.35</v>
      </c>
      <c r="AE29" s="65">
        <f t="shared" si="11"/>
        <v>0.35</v>
      </c>
      <c r="AF29" s="65">
        <f t="shared" si="11"/>
        <v>0.35</v>
      </c>
      <c r="AG29" s="65">
        <f t="shared" si="11"/>
        <v>0.35</v>
      </c>
      <c r="AH29" s="65">
        <f t="shared" si="11"/>
        <v>0.35</v>
      </c>
      <c r="AI29" s="65">
        <f t="shared" si="11"/>
        <v>0.35</v>
      </c>
      <c r="AJ29" s="65">
        <f t="shared" si="11"/>
        <v>0.35</v>
      </c>
      <c r="AK29" s="1" t="s">
        <v>157</v>
      </c>
    </row>
    <row r="30" spans="1:37" ht="14.25" customHeight="1">
      <c r="A30" s="1"/>
      <c r="B30" s="1" t="s">
        <v>145</v>
      </c>
      <c r="C30" s="1" t="s">
        <v>154</v>
      </c>
      <c r="D30" s="1" t="s">
        <v>161</v>
      </c>
      <c r="E30" s="1"/>
      <c r="F30" s="1" t="s">
        <v>156</v>
      </c>
      <c r="G30" s="1" t="s">
        <v>153</v>
      </c>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1"/>
    </row>
    <row r="31" spans="1:37" ht="14.25" customHeight="1">
      <c r="A31" s="1"/>
      <c r="B31" s="1" t="s">
        <v>145</v>
      </c>
      <c r="C31" s="1" t="s">
        <v>154</v>
      </c>
      <c r="D31" s="1" t="s">
        <v>166</v>
      </c>
      <c r="E31" s="1"/>
      <c r="F31" s="1" t="s">
        <v>156</v>
      </c>
      <c r="G31" s="1" t="s">
        <v>153</v>
      </c>
      <c r="H31" s="65"/>
      <c r="I31" s="65"/>
      <c r="J31" s="65"/>
      <c r="K31" s="65">
        <v>0.04</v>
      </c>
      <c r="L31" s="65">
        <f t="shared" ref="L31:O31" si="12">K31+($P31-$K31)/($P$1-$K$1)</f>
        <v>8.199999999999999E-2</v>
      </c>
      <c r="M31" s="65">
        <f t="shared" si="12"/>
        <v>0.12399999999999999</v>
      </c>
      <c r="N31" s="65">
        <f t="shared" si="12"/>
        <v>0.16599999999999998</v>
      </c>
      <c r="O31" s="65">
        <f t="shared" si="12"/>
        <v>0.20799999999999996</v>
      </c>
      <c r="P31" s="65">
        <v>0.25</v>
      </c>
      <c r="Q31" s="65">
        <f t="shared" ref="Q31:Y31" si="13">P31+($Z31-$P31)/($Z$1-$P$1)</f>
        <v>0.28999999999999998</v>
      </c>
      <c r="R31" s="65">
        <f t="shared" si="13"/>
        <v>0.32999999999999996</v>
      </c>
      <c r="S31" s="65">
        <f t="shared" si="13"/>
        <v>0.36999999999999994</v>
      </c>
      <c r="T31" s="65">
        <f t="shared" si="13"/>
        <v>0.40999999999999992</v>
      </c>
      <c r="U31" s="65">
        <f t="shared" si="13"/>
        <v>0.4499999999999999</v>
      </c>
      <c r="V31" s="65">
        <f t="shared" si="13"/>
        <v>0.48999999999999988</v>
      </c>
      <c r="W31" s="65">
        <f t="shared" si="13"/>
        <v>0.52999999999999992</v>
      </c>
      <c r="X31" s="65">
        <f t="shared" si="13"/>
        <v>0.56999999999999995</v>
      </c>
      <c r="Y31" s="65">
        <f t="shared" si="13"/>
        <v>0.61</v>
      </c>
      <c r="Z31" s="65">
        <v>0.65</v>
      </c>
      <c r="AA31" s="65">
        <f t="shared" ref="AA31:AJ31" si="14">Z31</f>
        <v>0.65</v>
      </c>
      <c r="AB31" s="65">
        <f t="shared" si="14"/>
        <v>0.65</v>
      </c>
      <c r="AC31" s="65">
        <f t="shared" si="14"/>
        <v>0.65</v>
      </c>
      <c r="AD31" s="65">
        <f t="shared" si="14"/>
        <v>0.65</v>
      </c>
      <c r="AE31" s="65">
        <f t="shared" si="14"/>
        <v>0.65</v>
      </c>
      <c r="AF31" s="65">
        <f t="shared" si="14"/>
        <v>0.65</v>
      </c>
      <c r="AG31" s="65">
        <f t="shared" si="14"/>
        <v>0.65</v>
      </c>
      <c r="AH31" s="65">
        <f t="shared" si="14"/>
        <v>0.65</v>
      </c>
      <c r="AI31" s="65">
        <f t="shared" si="14"/>
        <v>0.65</v>
      </c>
      <c r="AJ31" s="65">
        <f t="shared" si="14"/>
        <v>0.65</v>
      </c>
      <c r="AK31" s="1" t="s">
        <v>157</v>
      </c>
    </row>
    <row r="32" spans="1:37" ht="14.25" customHeight="1">
      <c r="A32" s="1"/>
      <c r="B32" s="1" t="s">
        <v>145</v>
      </c>
      <c r="C32" s="1" t="s">
        <v>154</v>
      </c>
      <c r="D32" s="1" t="s">
        <v>167</v>
      </c>
      <c r="E32" s="1"/>
      <c r="F32" s="1" t="s">
        <v>156</v>
      </c>
      <c r="G32" s="1" t="s">
        <v>153</v>
      </c>
      <c r="H32" s="65"/>
      <c r="I32" s="65"/>
      <c r="J32" s="65"/>
      <c r="K32" s="65">
        <f>AVERAGE(K27,K31)</f>
        <v>2.1750000000000002E-2</v>
      </c>
      <c r="L32" s="65">
        <f t="shared" ref="L32:O32" si="15">K32+($P32-$K32)/($P$1-$K$1)</f>
        <v>4.6399999999999997E-2</v>
      </c>
      <c r="M32" s="65">
        <f t="shared" si="15"/>
        <v>7.1050000000000002E-2</v>
      </c>
      <c r="N32" s="65">
        <f t="shared" si="15"/>
        <v>9.5700000000000007E-2</v>
      </c>
      <c r="O32" s="65">
        <f t="shared" si="15"/>
        <v>0.12035000000000001</v>
      </c>
      <c r="P32" s="65">
        <f>AVERAGE(P27,P31)</f>
        <v>0.14499999999999999</v>
      </c>
      <c r="Q32" s="65">
        <f t="shared" ref="Q32:Y32" si="16">P32+($Z32-$P32)/($Z$1-$P$1)</f>
        <v>0.17424999999999999</v>
      </c>
      <c r="R32" s="65">
        <f t="shared" si="16"/>
        <v>0.20349999999999999</v>
      </c>
      <c r="S32" s="65">
        <f t="shared" si="16"/>
        <v>0.23274999999999998</v>
      </c>
      <c r="T32" s="65">
        <f t="shared" si="16"/>
        <v>0.26200000000000001</v>
      </c>
      <c r="U32" s="65">
        <f t="shared" si="16"/>
        <v>0.29125000000000001</v>
      </c>
      <c r="V32" s="65">
        <f t="shared" si="16"/>
        <v>0.32050000000000001</v>
      </c>
      <c r="W32" s="65">
        <f t="shared" si="16"/>
        <v>0.34975000000000001</v>
      </c>
      <c r="X32" s="65">
        <f t="shared" si="16"/>
        <v>0.379</v>
      </c>
      <c r="Y32" s="65">
        <f t="shared" si="16"/>
        <v>0.40825</v>
      </c>
      <c r="Z32" s="65">
        <f>AVERAGE(Z27,Z31)</f>
        <v>0.4375</v>
      </c>
      <c r="AA32" s="65">
        <f t="shared" ref="AA32:AJ32" si="17">Z32</f>
        <v>0.4375</v>
      </c>
      <c r="AB32" s="65">
        <f t="shared" si="17"/>
        <v>0.4375</v>
      </c>
      <c r="AC32" s="65">
        <f t="shared" si="17"/>
        <v>0.4375</v>
      </c>
      <c r="AD32" s="65">
        <f t="shared" si="17"/>
        <v>0.4375</v>
      </c>
      <c r="AE32" s="65">
        <f t="shared" si="17"/>
        <v>0.4375</v>
      </c>
      <c r="AF32" s="65">
        <f t="shared" si="17"/>
        <v>0.4375</v>
      </c>
      <c r="AG32" s="65">
        <f t="shared" si="17"/>
        <v>0.4375</v>
      </c>
      <c r="AH32" s="65">
        <f t="shared" si="17"/>
        <v>0.4375</v>
      </c>
      <c r="AI32" s="65">
        <f t="shared" si="17"/>
        <v>0.4375</v>
      </c>
      <c r="AJ32" s="65">
        <f t="shared" si="17"/>
        <v>0.4375</v>
      </c>
      <c r="AK32" s="1" t="s">
        <v>157</v>
      </c>
    </row>
    <row r="33" spans="2:44" ht="14.25" customHeight="1">
      <c r="B33" s="1" t="s">
        <v>145</v>
      </c>
      <c r="C33" s="1" t="s">
        <v>154</v>
      </c>
      <c r="D33" s="1" t="s">
        <v>172</v>
      </c>
      <c r="E33" s="1"/>
      <c r="F33" s="1" t="s">
        <v>156</v>
      </c>
      <c r="G33" s="1" t="s">
        <v>153</v>
      </c>
      <c r="H33" s="65"/>
      <c r="I33" s="65"/>
      <c r="J33" s="65"/>
      <c r="K33" s="65">
        <v>0.03</v>
      </c>
      <c r="L33" s="65">
        <f t="shared" ref="L33:O33" si="18">K33+($P33-$K33)/($P$1-$K$1)</f>
        <v>5.8999999999999997E-2</v>
      </c>
      <c r="M33" s="65">
        <f t="shared" si="18"/>
        <v>8.7999999999999995E-2</v>
      </c>
      <c r="N33" s="65">
        <f t="shared" si="18"/>
        <v>0.11699999999999999</v>
      </c>
      <c r="O33" s="65">
        <f t="shared" si="18"/>
        <v>0.14599999999999999</v>
      </c>
      <c r="P33" s="65">
        <v>0.17499999999999999</v>
      </c>
      <c r="Q33" s="65">
        <f t="shared" ref="Q33:Y33" si="19">P33+($Z33-$P33)/($Z$1-$P$1)</f>
        <v>0.21499999999999997</v>
      </c>
      <c r="R33" s="65">
        <f t="shared" si="19"/>
        <v>0.25499999999999995</v>
      </c>
      <c r="S33" s="65">
        <f t="shared" si="19"/>
        <v>0.29499999999999993</v>
      </c>
      <c r="T33" s="65">
        <f t="shared" si="19"/>
        <v>0.33499999999999991</v>
      </c>
      <c r="U33" s="65">
        <f t="shared" si="19"/>
        <v>0.37499999999999989</v>
      </c>
      <c r="V33" s="65">
        <f t="shared" si="19"/>
        <v>0.41499999999999987</v>
      </c>
      <c r="W33" s="65">
        <f t="shared" si="19"/>
        <v>0.45499999999999985</v>
      </c>
      <c r="X33" s="65">
        <f t="shared" si="19"/>
        <v>0.49499999999999983</v>
      </c>
      <c r="Y33" s="65">
        <f t="shared" si="19"/>
        <v>0.53499999999999981</v>
      </c>
      <c r="Z33" s="65">
        <v>0.57499999999999996</v>
      </c>
      <c r="AA33" s="65">
        <f t="shared" ref="AA33:AJ33" si="20">Z33</f>
        <v>0.57499999999999996</v>
      </c>
      <c r="AB33" s="65">
        <f t="shared" si="20"/>
        <v>0.57499999999999996</v>
      </c>
      <c r="AC33" s="65">
        <f t="shared" si="20"/>
        <v>0.57499999999999996</v>
      </c>
      <c r="AD33" s="65">
        <f t="shared" si="20"/>
        <v>0.57499999999999996</v>
      </c>
      <c r="AE33" s="65">
        <f t="shared" si="20"/>
        <v>0.57499999999999996</v>
      </c>
      <c r="AF33" s="65">
        <f t="shared" si="20"/>
        <v>0.57499999999999996</v>
      </c>
      <c r="AG33" s="65">
        <f t="shared" si="20"/>
        <v>0.57499999999999996</v>
      </c>
      <c r="AH33" s="65">
        <f t="shared" si="20"/>
        <v>0.57499999999999996</v>
      </c>
      <c r="AI33" s="65">
        <f t="shared" si="20"/>
        <v>0.57499999999999996</v>
      </c>
      <c r="AJ33" s="65">
        <f t="shared" si="20"/>
        <v>0.57499999999999996</v>
      </c>
      <c r="AK33" s="1" t="s">
        <v>173</v>
      </c>
      <c r="AL33" s="1"/>
      <c r="AM33" s="1"/>
      <c r="AN33" s="1"/>
      <c r="AO33" s="1"/>
      <c r="AP33" s="1"/>
      <c r="AQ33" s="1"/>
      <c r="AR33" s="1"/>
    </row>
    <row r="34" spans="2:44" ht="14.25" customHeight="1">
      <c r="B34" s="1"/>
      <c r="C34" s="1"/>
      <c r="D34" s="1" t="s">
        <v>183</v>
      </c>
      <c r="E34" s="1"/>
      <c r="F34" s="1" t="s">
        <v>184</v>
      </c>
      <c r="G34" s="1"/>
      <c r="H34" s="65">
        <f>0.04*0.1</f>
        <v>4.0000000000000001E-3</v>
      </c>
      <c r="I34" s="65">
        <f t="shared" ref="I34:AI34" si="21">H34+($AJ34-$H34)/($AJ$1-$H$1)</f>
        <v>4.0000000000000001E-3</v>
      </c>
      <c r="J34" s="65">
        <f t="shared" si="21"/>
        <v>4.0000000000000001E-3</v>
      </c>
      <c r="K34" s="65">
        <f t="shared" si="21"/>
        <v>4.0000000000000001E-3</v>
      </c>
      <c r="L34" s="65">
        <f t="shared" si="21"/>
        <v>4.0000000000000001E-3</v>
      </c>
      <c r="M34" s="65">
        <f t="shared" si="21"/>
        <v>4.0000000000000001E-3</v>
      </c>
      <c r="N34" s="65">
        <f t="shared" si="21"/>
        <v>4.0000000000000001E-3</v>
      </c>
      <c r="O34" s="65">
        <f t="shared" si="21"/>
        <v>4.0000000000000001E-3</v>
      </c>
      <c r="P34" s="65">
        <f t="shared" si="21"/>
        <v>4.0000000000000001E-3</v>
      </c>
      <c r="Q34" s="65">
        <f t="shared" si="21"/>
        <v>4.0000000000000001E-3</v>
      </c>
      <c r="R34" s="65">
        <f t="shared" si="21"/>
        <v>4.0000000000000001E-3</v>
      </c>
      <c r="S34" s="65">
        <f t="shared" si="21"/>
        <v>4.0000000000000001E-3</v>
      </c>
      <c r="T34" s="65">
        <f t="shared" si="21"/>
        <v>4.0000000000000001E-3</v>
      </c>
      <c r="U34" s="65">
        <f t="shared" si="21"/>
        <v>4.0000000000000001E-3</v>
      </c>
      <c r="V34" s="65">
        <f t="shared" si="21"/>
        <v>4.0000000000000001E-3</v>
      </c>
      <c r="W34" s="65">
        <f t="shared" si="21"/>
        <v>4.0000000000000001E-3</v>
      </c>
      <c r="X34" s="65">
        <f t="shared" si="21"/>
        <v>4.0000000000000001E-3</v>
      </c>
      <c r="Y34" s="65">
        <f t="shared" si="21"/>
        <v>4.0000000000000001E-3</v>
      </c>
      <c r="Z34" s="65">
        <f t="shared" si="21"/>
        <v>4.0000000000000001E-3</v>
      </c>
      <c r="AA34" s="65">
        <f t="shared" si="21"/>
        <v>4.0000000000000001E-3</v>
      </c>
      <c r="AB34" s="65">
        <f t="shared" si="21"/>
        <v>4.0000000000000001E-3</v>
      </c>
      <c r="AC34" s="65">
        <f t="shared" si="21"/>
        <v>4.0000000000000001E-3</v>
      </c>
      <c r="AD34" s="65">
        <f t="shared" si="21"/>
        <v>4.0000000000000001E-3</v>
      </c>
      <c r="AE34" s="65">
        <f t="shared" si="21"/>
        <v>4.0000000000000001E-3</v>
      </c>
      <c r="AF34" s="65">
        <f t="shared" si="21"/>
        <v>4.0000000000000001E-3</v>
      </c>
      <c r="AG34" s="65">
        <f t="shared" si="21"/>
        <v>4.0000000000000001E-3</v>
      </c>
      <c r="AH34" s="65">
        <f t="shared" si="21"/>
        <v>4.0000000000000001E-3</v>
      </c>
      <c r="AI34" s="65">
        <f t="shared" si="21"/>
        <v>4.0000000000000001E-3</v>
      </c>
      <c r="AJ34" s="65">
        <f>0.04*0.1</f>
        <v>4.0000000000000001E-3</v>
      </c>
      <c r="AK34" s="1" t="s">
        <v>186</v>
      </c>
      <c r="AL34" s="1"/>
      <c r="AM34" s="25"/>
      <c r="AN34" s="54"/>
      <c r="AO34" s="1"/>
      <c r="AP34" s="1"/>
      <c r="AQ34" s="1"/>
      <c r="AR34" s="1"/>
    </row>
    <row r="35" spans="2:44" ht="14.25" customHeight="1">
      <c r="B35" s="1"/>
      <c r="C35" s="1"/>
      <c r="D35" s="1" t="s">
        <v>189</v>
      </c>
      <c r="E35" s="1"/>
      <c r="F35" s="1" t="s">
        <v>184</v>
      </c>
      <c r="G35" s="1"/>
      <c r="H35" s="25">
        <v>0</v>
      </c>
      <c r="I35" s="65">
        <v>0</v>
      </c>
      <c r="J35" s="65">
        <f>AVERAGE(I35,K35)</f>
        <v>4.7999999999999996E-3</v>
      </c>
      <c r="K35" s="65">
        <f>0.12*0.08</f>
        <v>9.5999999999999992E-3</v>
      </c>
      <c r="L35" s="65">
        <f t="shared" ref="L35:AI35" si="22">K35+($AJ35-$K35)/($AJ$1-$K$1)</f>
        <v>9.5999999999999992E-3</v>
      </c>
      <c r="M35" s="65">
        <f t="shared" si="22"/>
        <v>9.5999999999999992E-3</v>
      </c>
      <c r="N35" s="65">
        <f t="shared" si="22"/>
        <v>9.5999999999999992E-3</v>
      </c>
      <c r="O35" s="65">
        <f t="shared" si="22"/>
        <v>9.5999999999999992E-3</v>
      </c>
      <c r="P35" s="65">
        <f t="shared" si="22"/>
        <v>9.5999999999999992E-3</v>
      </c>
      <c r="Q35" s="65">
        <f t="shared" si="22"/>
        <v>9.5999999999999992E-3</v>
      </c>
      <c r="R35" s="65">
        <f t="shared" si="22"/>
        <v>9.5999999999999992E-3</v>
      </c>
      <c r="S35" s="65">
        <f t="shared" si="22"/>
        <v>9.5999999999999992E-3</v>
      </c>
      <c r="T35" s="65">
        <f t="shared" si="22"/>
        <v>9.5999999999999992E-3</v>
      </c>
      <c r="U35" s="65">
        <f t="shared" si="22"/>
        <v>9.5999999999999992E-3</v>
      </c>
      <c r="V35" s="65">
        <f t="shared" si="22"/>
        <v>9.5999999999999992E-3</v>
      </c>
      <c r="W35" s="65">
        <f t="shared" si="22"/>
        <v>9.5999999999999992E-3</v>
      </c>
      <c r="X35" s="65">
        <f t="shared" si="22"/>
        <v>9.5999999999999992E-3</v>
      </c>
      <c r="Y35" s="65">
        <f t="shared" si="22"/>
        <v>9.5999999999999992E-3</v>
      </c>
      <c r="Z35" s="65">
        <f t="shared" si="22"/>
        <v>9.5999999999999992E-3</v>
      </c>
      <c r="AA35" s="65">
        <f t="shared" si="22"/>
        <v>9.5999999999999992E-3</v>
      </c>
      <c r="AB35" s="65">
        <f t="shared" si="22"/>
        <v>9.5999999999999992E-3</v>
      </c>
      <c r="AC35" s="65">
        <f t="shared" si="22"/>
        <v>9.5999999999999992E-3</v>
      </c>
      <c r="AD35" s="65">
        <f t="shared" si="22"/>
        <v>9.5999999999999992E-3</v>
      </c>
      <c r="AE35" s="65">
        <f t="shared" si="22"/>
        <v>9.5999999999999992E-3</v>
      </c>
      <c r="AF35" s="65">
        <f t="shared" si="22"/>
        <v>9.5999999999999992E-3</v>
      </c>
      <c r="AG35" s="65">
        <f t="shared" si="22"/>
        <v>9.5999999999999992E-3</v>
      </c>
      <c r="AH35" s="65">
        <f t="shared" si="22"/>
        <v>9.5999999999999992E-3</v>
      </c>
      <c r="AI35" s="65">
        <f t="shared" si="22"/>
        <v>9.5999999999999992E-3</v>
      </c>
      <c r="AJ35" s="65">
        <f>0.12*0.08</f>
        <v>9.5999999999999992E-3</v>
      </c>
      <c r="AK35" s="1" t="s">
        <v>190</v>
      </c>
      <c r="AL35" s="1"/>
      <c r="AM35" s="25"/>
      <c r="AN35" s="25"/>
      <c r="AO35" s="1"/>
      <c r="AP35" s="1"/>
      <c r="AQ35" s="1"/>
      <c r="AR35" s="1"/>
    </row>
    <row r="36" spans="2:44" ht="14.25" customHeight="1">
      <c r="B36" s="1"/>
      <c r="C36" s="1"/>
      <c r="D36" s="1" t="s">
        <v>191</v>
      </c>
      <c r="E36" s="1"/>
      <c r="F36" s="1" t="s">
        <v>184</v>
      </c>
      <c r="G36" s="1"/>
      <c r="H36" s="65">
        <f>0.11*0.12*0.5</f>
        <v>6.6E-3</v>
      </c>
      <c r="I36" s="65">
        <f t="shared" ref="I36:AI36" si="23">H36+($AJ$36-$H$36)/($AJ$1-$H$1)</f>
        <v>6.7214285714285718E-3</v>
      </c>
      <c r="J36" s="65">
        <f t="shared" si="23"/>
        <v>6.8428571428571436E-3</v>
      </c>
      <c r="K36" s="65">
        <f t="shared" si="23"/>
        <v>6.9642857142857154E-3</v>
      </c>
      <c r="L36" s="65">
        <f t="shared" si="23"/>
        <v>7.0857142857142872E-3</v>
      </c>
      <c r="M36" s="65">
        <f t="shared" si="23"/>
        <v>7.207142857142859E-3</v>
      </c>
      <c r="N36" s="65">
        <f t="shared" si="23"/>
        <v>7.3285714285714308E-3</v>
      </c>
      <c r="O36" s="65">
        <f t="shared" si="23"/>
        <v>7.4500000000000026E-3</v>
      </c>
      <c r="P36" s="65">
        <f t="shared" si="23"/>
        <v>7.5714285714285744E-3</v>
      </c>
      <c r="Q36" s="65">
        <f t="shared" si="23"/>
        <v>7.6928571428571462E-3</v>
      </c>
      <c r="R36" s="65">
        <f t="shared" si="23"/>
        <v>7.8142857142857181E-3</v>
      </c>
      <c r="S36" s="65">
        <f t="shared" si="23"/>
        <v>7.935714285714289E-3</v>
      </c>
      <c r="T36" s="65">
        <f t="shared" si="23"/>
        <v>8.0571428571428599E-3</v>
      </c>
      <c r="U36" s="65">
        <f t="shared" si="23"/>
        <v>8.1785714285714309E-3</v>
      </c>
      <c r="V36" s="65">
        <f t="shared" si="23"/>
        <v>8.3000000000000018E-3</v>
      </c>
      <c r="W36" s="65">
        <f t="shared" si="23"/>
        <v>8.4214285714285728E-3</v>
      </c>
      <c r="X36" s="65">
        <f t="shared" si="23"/>
        <v>8.5428571428571437E-3</v>
      </c>
      <c r="Y36" s="65">
        <f t="shared" si="23"/>
        <v>8.6642857142857146E-3</v>
      </c>
      <c r="Z36" s="65">
        <f t="shared" si="23"/>
        <v>8.7857142857142856E-3</v>
      </c>
      <c r="AA36" s="65">
        <f t="shared" si="23"/>
        <v>8.9071428571428565E-3</v>
      </c>
      <c r="AB36" s="65">
        <f t="shared" si="23"/>
        <v>9.0285714285714275E-3</v>
      </c>
      <c r="AC36" s="65">
        <f t="shared" si="23"/>
        <v>9.1499999999999984E-3</v>
      </c>
      <c r="AD36" s="65">
        <f t="shared" si="23"/>
        <v>9.2714285714285694E-3</v>
      </c>
      <c r="AE36" s="65">
        <f t="shared" si="23"/>
        <v>9.3928571428571403E-3</v>
      </c>
      <c r="AF36" s="65">
        <f t="shared" si="23"/>
        <v>9.5142857142857112E-3</v>
      </c>
      <c r="AG36" s="65">
        <f t="shared" si="23"/>
        <v>9.6357142857142822E-3</v>
      </c>
      <c r="AH36" s="65">
        <f t="shared" si="23"/>
        <v>9.7571428571428531E-3</v>
      </c>
      <c r="AI36" s="65">
        <f t="shared" si="23"/>
        <v>9.8785714285714241E-3</v>
      </c>
      <c r="AJ36" s="65">
        <v>0.01</v>
      </c>
      <c r="AK36" s="1" t="s">
        <v>192</v>
      </c>
      <c r="AL36" s="1"/>
      <c r="AM36" s="25"/>
      <c r="AN36" s="25"/>
      <c r="AO36" s="1"/>
      <c r="AP36" s="1"/>
      <c r="AQ36" s="1"/>
      <c r="AR36" s="1"/>
    </row>
    <row r="37" spans="2:44" ht="14.25" customHeight="1">
      <c r="B37" s="1" t="s">
        <v>194</v>
      </c>
      <c r="C37" s="1" t="s">
        <v>154</v>
      </c>
      <c r="D37" s="1"/>
      <c r="E37" s="1"/>
      <c r="F37" s="1" t="s">
        <v>156</v>
      </c>
      <c r="G37" s="1" t="s">
        <v>153</v>
      </c>
      <c r="H37" s="65"/>
      <c r="I37" s="65"/>
      <c r="J37" s="65"/>
      <c r="K37" s="275">
        <v>0</v>
      </c>
      <c r="L37" s="275">
        <v>1.4999999999999999E-2</v>
      </c>
      <c r="M37" s="275">
        <v>0.03</v>
      </c>
      <c r="N37" s="275">
        <v>4.4999999999999998E-2</v>
      </c>
      <c r="O37" s="275">
        <v>0.06</v>
      </c>
      <c r="P37" s="256">
        <v>7.4999999999999997E-2</v>
      </c>
      <c r="Q37" s="30"/>
      <c r="R37" s="30"/>
      <c r="S37" s="30"/>
      <c r="T37" s="30"/>
      <c r="U37" s="22">
        <v>0</v>
      </c>
      <c r="V37" s="30"/>
      <c r="W37" s="30"/>
      <c r="X37" s="30"/>
      <c r="Y37" s="30"/>
      <c r="Z37" s="355">
        <v>0.35</v>
      </c>
      <c r="AA37" s="30"/>
      <c r="AB37" s="30"/>
      <c r="AC37" s="30"/>
      <c r="AD37" s="30"/>
      <c r="AE37" s="355">
        <v>0</v>
      </c>
      <c r="AF37" s="30"/>
      <c r="AG37" s="30"/>
      <c r="AH37" s="30"/>
      <c r="AI37" s="30"/>
      <c r="AJ37" s="22">
        <v>0</v>
      </c>
      <c r="AK37" s="1"/>
      <c r="AL37" s="1"/>
      <c r="AM37" s="1"/>
      <c r="AN37" s="1"/>
      <c r="AO37" s="1"/>
      <c r="AP37" s="1"/>
      <c r="AQ37" s="1"/>
      <c r="AR37" s="1"/>
    </row>
    <row r="38" spans="2:44" ht="14.25" customHeight="1">
      <c r="B38" s="1" t="s">
        <v>199</v>
      </c>
      <c r="C38" s="1" t="s">
        <v>154</v>
      </c>
      <c r="D38" s="1"/>
      <c r="E38" s="1"/>
      <c r="F38" s="1" t="s">
        <v>156</v>
      </c>
      <c r="G38" s="1" t="s">
        <v>153</v>
      </c>
      <c r="H38" s="65"/>
      <c r="I38" s="65"/>
      <c r="J38" s="65"/>
      <c r="K38" s="275">
        <v>0</v>
      </c>
      <c r="L38" s="275">
        <v>8.0000000000000002E-3</v>
      </c>
      <c r="M38" s="275">
        <v>1.4999999999999999E-2</v>
      </c>
      <c r="N38" s="275">
        <v>2.3E-2</v>
      </c>
      <c r="O38" s="275">
        <v>0.03</v>
      </c>
      <c r="P38" s="355">
        <v>0.04</v>
      </c>
      <c r="Q38" s="30"/>
      <c r="R38" s="30"/>
      <c r="S38" s="30"/>
      <c r="T38" s="30"/>
      <c r="U38" s="22">
        <v>0</v>
      </c>
      <c r="V38" s="30"/>
      <c r="W38" s="30"/>
      <c r="X38" s="30"/>
      <c r="Y38" s="30"/>
      <c r="Z38" s="355">
        <v>0.18</v>
      </c>
      <c r="AA38" s="30"/>
      <c r="AB38" s="30"/>
      <c r="AC38" s="30"/>
      <c r="AD38" s="30"/>
      <c r="AE38" s="22">
        <v>0</v>
      </c>
      <c r="AF38" s="30"/>
      <c r="AG38" s="30"/>
      <c r="AH38" s="30"/>
      <c r="AI38" s="30"/>
      <c r="AJ38" s="22">
        <v>0</v>
      </c>
      <c r="AK38" s="1"/>
      <c r="AL38" s="1"/>
      <c r="AM38" s="1"/>
      <c r="AN38" s="1"/>
      <c r="AO38" s="1"/>
      <c r="AP38" s="1"/>
      <c r="AQ38" s="1"/>
      <c r="AR38" s="1"/>
    </row>
    <row r="39" spans="2:44" ht="14.25" customHeight="1">
      <c r="B39" s="1" t="s">
        <v>202</v>
      </c>
      <c r="C39" s="1" t="s">
        <v>154</v>
      </c>
      <c r="D39" s="1"/>
      <c r="E39" s="1"/>
      <c r="F39" s="1" t="s">
        <v>156</v>
      </c>
      <c r="G39" s="1" t="s">
        <v>153</v>
      </c>
      <c r="H39" s="65"/>
      <c r="I39" s="65"/>
      <c r="J39" s="65"/>
      <c r="K39" s="275">
        <v>0</v>
      </c>
      <c r="L39" s="275">
        <v>4.0000000000000001E-3</v>
      </c>
      <c r="M39" s="275">
        <v>8.0000000000000002E-3</v>
      </c>
      <c r="N39" s="275">
        <v>1.0999999999999999E-2</v>
      </c>
      <c r="O39" s="275">
        <v>1.4999999999999999E-2</v>
      </c>
      <c r="P39" s="355">
        <v>0.02</v>
      </c>
      <c r="Q39" s="30"/>
      <c r="R39" s="30"/>
      <c r="S39" s="30"/>
      <c r="T39" s="30"/>
      <c r="U39" s="22">
        <v>0</v>
      </c>
      <c r="V39" s="30"/>
      <c r="W39" s="30"/>
      <c r="X39" s="30"/>
      <c r="Y39" s="30"/>
      <c r="Z39" s="355">
        <v>0.09</v>
      </c>
      <c r="AA39" s="30"/>
      <c r="AB39" s="30"/>
      <c r="AC39" s="30"/>
      <c r="AD39" s="30"/>
      <c r="AE39" s="22">
        <v>0</v>
      </c>
      <c r="AF39" s="30"/>
      <c r="AG39" s="30"/>
      <c r="AH39" s="30"/>
      <c r="AI39" s="30"/>
      <c r="AJ39" s="22">
        <v>0</v>
      </c>
      <c r="AK39" s="1"/>
      <c r="AL39" s="1"/>
      <c r="AM39" s="1"/>
      <c r="AN39" s="1"/>
      <c r="AO39" s="1"/>
      <c r="AP39" s="1"/>
      <c r="AQ39" s="1"/>
      <c r="AR39" s="1"/>
    </row>
    <row r="40" spans="2:44" ht="14.25" customHeight="1">
      <c r="B40" s="1" t="s">
        <v>194</v>
      </c>
      <c r="C40" s="1" t="s">
        <v>588</v>
      </c>
      <c r="D40" s="1"/>
      <c r="E40" s="1"/>
      <c r="F40" s="1" t="s">
        <v>156</v>
      </c>
      <c r="G40" s="1" t="s">
        <v>153</v>
      </c>
      <c r="H40" s="65"/>
      <c r="I40" s="65"/>
      <c r="J40" s="65"/>
      <c r="K40" s="275">
        <v>0</v>
      </c>
      <c r="L40" s="275">
        <v>0</v>
      </c>
      <c r="M40" s="275">
        <v>0</v>
      </c>
      <c r="N40" s="275">
        <v>0</v>
      </c>
      <c r="O40" s="275">
        <v>0</v>
      </c>
      <c r="P40" s="275">
        <v>0</v>
      </c>
      <c r="Q40" s="30"/>
      <c r="R40" s="30"/>
      <c r="S40" s="30"/>
      <c r="T40" s="30"/>
      <c r="U40" s="275">
        <v>0</v>
      </c>
      <c r="V40" s="30"/>
      <c r="W40" s="30"/>
      <c r="X40" s="30"/>
      <c r="Y40" s="30"/>
      <c r="Z40" s="275">
        <v>0</v>
      </c>
      <c r="AA40" s="30"/>
      <c r="AB40" s="30"/>
      <c r="AC40" s="30"/>
      <c r="AD40" s="30"/>
      <c r="AE40" s="275">
        <v>0</v>
      </c>
      <c r="AF40" s="30"/>
      <c r="AG40" s="30"/>
      <c r="AH40" s="30"/>
      <c r="AI40" s="30"/>
      <c r="AJ40" s="275">
        <v>0</v>
      </c>
      <c r="AK40" s="1" t="s">
        <v>423</v>
      </c>
      <c r="AL40" s="1"/>
      <c r="AM40" s="1"/>
      <c r="AN40" s="1"/>
      <c r="AO40" s="1"/>
      <c r="AP40" s="1"/>
      <c r="AQ40" s="1"/>
      <c r="AR40" s="1"/>
    </row>
    <row r="41" spans="2:44" ht="14.25" customHeight="1">
      <c r="B41" s="1" t="s">
        <v>199</v>
      </c>
      <c r="C41" s="1" t="s">
        <v>588</v>
      </c>
      <c r="D41" s="1"/>
      <c r="E41" s="1"/>
      <c r="F41" s="1" t="s">
        <v>156</v>
      </c>
      <c r="G41" s="1" t="s">
        <v>153</v>
      </c>
      <c r="H41" s="65"/>
      <c r="I41" s="65"/>
      <c r="J41" s="65"/>
      <c r="K41" s="275">
        <v>0</v>
      </c>
      <c r="L41" s="275">
        <v>0</v>
      </c>
      <c r="M41" s="275">
        <v>0</v>
      </c>
      <c r="N41" s="275">
        <v>0</v>
      </c>
      <c r="O41" s="275">
        <v>0</v>
      </c>
      <c r="P41" s="275">
        <v>0</v>
      </c>
      <c r="Q41" s="30"/>
      <c r="R41" s="30"/>
      <c r="S41" s="30"/>
      <c r="T41" s="30"/>
      <c r="U41" s="275">
        <v>0</v>
      </c>
      <c r="V41" s="30"/>
      <c r="W41" s="30"/>
      <c r="X41" s="30"/>
      <c r="Y41" s="30"/>
      <c r="Z41" s="275">
        <v>0</v>
      </c>
      <c r="AA41" s="30"/>
      <c r="AB41" s="30"/>
      <c r="AC41" s="30"/>
      <c r="AD41" s="30"/>
      <c r="AE41" s="275">
        <v>0</v>
      </c>
      <c r="AF41" s="30"/>
      <c r="AG41" s="30"/>
      <c r="AH41" s="30"/>
      <c r="AI41" s="30"/>
      <c r="AJ41" s="275">
        <v>0</v>
      </c>
      <c r="AK41" s="1"/>
      <c r="AL41" s="1"/>
      <c r="AM41" s="1"/>
      <c r="AN41" s="1"/>
      <c r="AO41" s="1"/>
      <c r="AP41" s="1"/>
      <c r="AQ41" s="1"/>
      <c r="AR41" s="1"/>
    </row>
    <row r="42" spans="2:44" ht="14.25" customHeight="1">
      <c r="B42" s="1" t="s">
        <v>202</v>
      </c>
      <c r="C42" s="1" t="s">
        <v>588</v>
      </c>
      <c r="D42" s="1"/>
      <c r="E42" s="1"/>
      <c r="F42" s="1" t="s">
        <v>156</v>
      </c>
      <c r="G42" s="1" t="s">
        <v>153</v>
      </c>
      <c r="H42" s="65"/>
      <c r="I42" s="65"/>
      <c r="J42" s="65"/>
      <c r="K42" s="275">
        <v>0</v>
      </c>
      <c r="L42" s="275">
        <v>0</v>
      </c>
      <c r="M42" s="275">
        <v>0</v>
      </c>
      <c r="N42" s="275">
        <v>0</v>
      </c>
      <c r="O42" s="275">
        <v>0</v>
      </c>
      <c r="P42" s="275">
        <v>0</v>
      </c>
      <c r="Q42" s="30"/>
      <c r="R42" s="30"/>
      <c r="S42" s="30"/>
      <c r="T42" s="30"/>
      <c r="U42" s="275">
        <v>0</v>
      </c>
      <c r="V42" s="30"/>
      <c r="W42" s="30"/>
      <c r="X42" s="30"/>
      <c r="Y42" s="30"/>
      <c r="Z42" s="275">
        <v>0</v>
      </c>
      <c r="AA42" s="30"/>
      <c r="AB42" s="30"/>
      <c r="AC42" s="30"/>
      <c r="AD42" s="30"/>
      <c r="AE42" s="275">
        <v>0</v>
      </c>
      <c r="AF42" s="30"/>
      <c r="AG42" s="30"/>
      <c r="AH42" s="30"/>
      <c r="AI42" s="30"/>
      <c r="AJ42" s="275">
        <v>0</v>
      </c>
      <c r="AK42" s="1"/>
      <c r="AL42" s="1"/>
      <c r="AM42" s="1"/>
      <c r="AN42" s="1"/>
      <c r="AO42" s="1"/>
      <c r="AP42" s="1"/>
      <c r="AQ42" s="1"/>
      <c r="AR42" s="1"/>
    </row>
    <row r="43" spans="2:44" ht="14.25" customHeight="1">
      <c r="B43" s="1" t="s">
        <v>194</v>
      </c>
      <c r="C43" s="1" t="s">
        <v>589</v>
      </c>
      <c r="D43" s="1"/>
      <c r="E43" s="1"/>
      <c r="F43" s="1" t="s">
        <v>156</v>
      </c>
      <c r="G43" s="1" t="s">
        <v>153</v>
      </c>
      <c r="H43" s="65"/>
      <c r="I43" s="65"/>
      <c r="J43" s="65"/>
      <c r="K43" s="275">
        <v>8.9999999999999993E-3</v>
      </c>
      <c r="L43" s="275">
        <v>8.9999999999999993E-3</v>
      </c>
      <c r="M43" s="275">
        <v>0.01</v>
      </c>
      <c r="N43" s="275">
        <v>1.0999999999999999E-2</v>
      </c>
      <c r="O43" s="275">
        <v>1.2E-2</v>
      </c>
      <c r="P43" s="275">
        <v>1.2999999999999999E-2</v>
      </c>
      <c r="Q43" s="30"/>
      <c r="R43" s="30"/>
      <c r="S43" s="30"/>
      <c r="T43" s="30"/>
      <c r="U43" s="275">
        <v>1.7000000000000001E-2</v>
      </c>
      <c r="V43" s="30"/>
      <c r="W43" s="30"/>
      <c r="X43" s="30"/>
      <c r="Y43" s="30"/>
      <c r="Z43" s="275">
        <v>2.1000000000000001E-2</v>
      </c>
      <c r="AA43" s="30"/>
      <c r="AB43" s="30"/>
      <c r="AC43" s="30"/>
      <c r="AD43" s="30"/>
      <c r="AE43" s="275">
        <v>4.0000000000000001E-3</v>
      </c>
      <c r="AF43" s="30"/>
      <c r="AG43" s="30"/>
      <c r="AH43" s="30"/>
      <c r="AI43" s="30"/>
      <c r="AJ43" s="275">
        <v>4.0000000000000001E-3</v>
      </c>
      <c r="AK43" s="1" t="s">
        <v>425</v>
      </c>
      <c r="AL43" s="1"/>
      <c r="AM43" s="1"/>
      <c r="AN43" s="1"/>
      <c r="AO43" s="1"/>
      <c r="AP43" s="1"/>
      <c r="AQ43" s="1"/>
      <c r="AR43" s="1"/>
    </row>
    <row r="44" spans="2:44" ht="14.25" customHeight="1">
      <c r="B44" s="1" t="s">
        <v>199</v>
      </c>
      <c r="C44" s="1" t="s">
        <v>589</v>
      </c>
      <c r="D44" s="1"/>
      <c r="E44" s="1"/>
      <c r="F44" s="1" t="s">
        <v>156</v>
      </c>
      <c r="G44" s="1" t="s">
        <v>153</v>
      </c>
      <c r="H44" s="65"/>
      <c r="I44" s="65"/>
      <c r="J44" s="65"/>
      <c r="K44" s="275">
        <v>0</v>
      </c>
      <c r="L44" s="275">
        <v>0</v>
      </c>
      <c r="M44" s="275">
        <v>0</v>
      </c>
      <c r="N44" s="275">
        <v>0</v>
      </c>
      <c r="O44" s="275">
        <v>0</v>
      </c>
      <c r="P44" s="275">
        <v>0</v>
      </c>
      <c r="Q44" s="30"/>
      <c r="R44" s="30"/>
      <c r="S44" s="30"/>
      <c r="T44" s="30"/>
      <c r="U44" s="275">
        <v>0</v>
      </c>
      <c r="V44" s="30"/>
      <c r="W44" s="30"/>
      <c r="X44" s="30"/>
      <c r="Y44" s="30"/>
      <c r="Z44" s="275">
        <v>0</v>
      </c>
      <c r="AA44" s="30"/>
      <c r="AB44" s="30"/>
      <c r="AC44" s="30"/>
      <c r="AD44" s="30"/>
      <c r="AE44" s="275">
        <v>0</v>
      </c>
      <c r="AF44" s="30"/>
      <c r="AG44" s="30"/>
      <c r="AH44" s="30"/>
      <c r="AI44" s="30"/>
      <c r="AJ44" s="275">
        <v>0</v>
      </c>
      <c r="AK44" s="1"/>
      <c r="AL44" s="1"/>
      <c r="AM44" s="1"/>
      <c r="AN44" s="1"/>
      <c r="AO44" s="1"/>
      <c r="AP44" s="1"/>
      <c r="AQ44" s="1"/>
      <c r="AR44" s="1"/>
    </row>
    <row r="45" spans="2:44" ht="14.25" customHeight="1">
      <c r="B45" s="1" t="s">
        <v>202</v>
      </c>
      <c r="C45" s="1" t="s">
        <v>589</v>
      </c>
      <c r="D45" s="1"/>
      <c r="E45" s="1"/>
      <c r="F45" s="1" t="s">
        <v>156</v>
      </c>
      <c r="G45" s="1" t="s">
        <v>153</v>
      </c>
      <c r="H45" s="65"/>
      <c r="I45" s="65"/>
      <c r="J45" s="65"/>
      <c r="K45" s="275">
        <v>0</v>
      </c>
      <c r="L45" s="275">
        <v>0</v>
      </c>
      <c r="M45" s="275">
        <v>0</v>
      </c>
      <c r="N45" s="275">
        <v>0</v>
      </c>
      <c r="O45" s="275">
        <v>0</v>
      </c>
      <c r="P45" s="275">
        <v>0</v>
      </c>
      <c r="Q45" s="30"/>
      <c r="R45" s="30"/>
      <c r="S45" s="30"/>
      <c r="T45" s="30"/>
      <c r="U45" s="275">
        <v>0</v>
      </c>
      <c r="V45" s="30"/>
      <c r="W45" s="30"/>
      <c r="X45" s="30"/>
      <c r="Y45" s="30"/>
      <c r="Z45" s="275">
        <v>0</v>
      </c>
      <c r="AA45" s="30"/>
      <c r="AB45" s="30"/>
      <c r="AC45" s="30"/>
      <c r="AD45" s="30"/>
      <c r="AE45" s="275">
        <v>0</v>
      </c>
      <c r="AF45" s="30"/>
      <c r="AG45" s="30"/>
      <c r="AH45" s="30"/>
      <c r="AI45" s="30"/>
      <c r="AJ45" s="275">
        <v>0</v>
      </c>
      <c r="AK45" s="1"/>
      <c r="AL45" s="1"/>
      <c r="AM45" s="1"/>
      <c r="AN45" s="1"/>
      <c r="AO45" s="1"/>
      <c r="AP45" s="1"/>
      <c r="AQ45" s="1"/>
      <c r="AR45" s="1"/>
    </row>
    <row r="46" spans="2:44" ht="14.25" customHeight="1">
      <c r="B46" s="1" t="s">
        <v>145</v>
      </c>
      <c r="C46" s="1" t="s">
        <v>340</v>
      </c>
      <c r="D46" s="1" t="s">
        <v>341</v>
      </c>
      <c r="E46" s="1"/>
      <c r="F46" s="1" t="s">
        <v>590</v>
      </c>
      <c r="G46" s="1" t="s">
        <v>153</v>
      </c>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t="s">
        <v>591</v>
      </c>
      <c r="AL46" s="1"/>
      <c r="AM46" s="1"/>
      <c r="AN46" s="1"/>
      <c r="AO46" s="1"/>
      <c r="AP46" s="1"/>
      <c r="AQ46" s="1"/>
      <c r="AR46" s="1"/>
    </row>
    <row r="47" spans="2:44" ht="14.25" customHeight="1">
      <c r="B47" s="1" t="s">
        <v>194</v>
      </c>
      <c r="C47" s="1" t="s">
        <v>340</v>
      </c>
      <c r="D47" s="1" t="s">
        <v>344</v>
      </c>
      <c r="E47" s="1"/>
      <c r="F47" s="1" t="s">
        <v>590</v>
      </c>
      <c r="G47" s="1" t="s">
        <v>153</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row>
    <row r="48" spans="2:44" ht="14.25" customHeight="1">
      <c r="B48" s="1" t="s">
        <v>199</v>
      </c>
      <c r="C48" s="1" t="s">
        <v>340</v>
      </c>
      <c r="D48" s="1" t="s">
        <v>344</v>
      </c>
      <c r="E48" s="1"/>
      <c r="F48" s="1" t="s">
        <v>590</v>
      </c>
      <c r="G48" s="1" t="s">
        <v>153</v>
      </c>
      <c r="H48" s="1" t="e">
        <f ca="1">ARRAY_CONSTRAIN(ARRAYFORMULA(TRANSPOSE([1]transport!$V$39:$V$46)), 1, 8)</f>
        <v>#NAME?</v>
      </c>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row>
    <row r="49" spans="1:38" ht="14.25" customHeight="1">
      <c r="A49" s="1"/>
      <c r="B49" s="1" t="s">
        <v>202</v>
      </c>
      <c r="C49" s="1" t="s">
        <v>340</v>
      </c>
      <c r="D49" s="1" t="s">
        <v>344</v>
      </c>
      <c r="E49" s="1"/>
      <c r="F49" s="1" t="s">
        <v>590</v>
      </c>
      <c r="G49" s="1" t="s">
        <v>153</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row>
    <row r="50" spans="1:38" ht="14.25" customHeight="1">
      <c r="A50" s="1"/>
      <c r="B50" s="1"/>
      <c r="C50" s="1" t="s">
        <v>432</v>
      </c>
      <c r="D50" s="1"/>
      <c r="E50" s="1"/>
      <c r="F50" s="20" t="s">
        <v>147</v>
      </c>
      <c r="G50" s="1" t="s">
        <v>153</v>
      </c>
      <c r="H50" s="1"/>
      <c r="I50" s="1"/>
      <c r="J50" s="1"/>
      <c r="K50" s="1"/>
      <c r="L50" s="1"/>
      <c r="M50" s="1"/>
      <c r="N50" s="1"/>
      <c r="O50" s="1"/>
      <c r="P50" s="1"/>
      <c r="Q50" s="1" t="s">
        <v>592</v>
      </c>
      <c r="R50" s="1"/>
      <c r="S50" s="1"/>
      <c r="T50" s="1"/>
      <c r="U50" s="1"/>
      <c r="V50" s="1"/>
      <c r="W50" s="1"/>
      <c r="X50" s="1"/>
      <c r="Y50" s="1"/>
      <c r="Z50" s="1"/>
      <c r="AA50" s="1"/>
      <c r="AB50" s="1"/>
      <c r="AC50" s="1"/>
      <c r="AD50" s="1"/>
      <c r="AE50" s="1"/>
      <c r="AF50" s="1"/>
      <c r="AG50" s="1"/>
      <c r="AH50" s="1"/>
      <c r="AI50" s="1"/>
      <c r="AJ50" s="1"/>
      <c r="AK50" s="1"/>
      <c r="AL50" s="1"/>
    </row>
    <row r="51" spans="1:38" ht="14.25" customHeight="1">
      <c r="A51" s="1"/>
      <c r="B51" s="1"/>
      <c r="C51" s="1" t="s">
        <v>347</v>
      </c>
      <c r="D51" s="1"/>
      <c r="E51" s="1"/>
      <c r="F51" s="20" t="s">
        <v>205</v>
      </c>
      <c r="G51" s="1" t="s">
        <v>153</v>
      </c>
      <c r="H51" s="1"/>
      <c r="I51" s="1"/>
      <c r="J51" s="1"/>
      <c r="K51" s="1"/>
      <c r="L51" s="1"/>
      <c r="M51" s="1"/>
      <c r="N51" s="1"/>
      <c r="O51" s="1"/>
      <c r="P51" s="1"/>
      <c r="Q51" s="1" t="s">
        <v>593</v>
      </c>
      <c r="R51" s="1"/>
      <c r="S51" s="1"/>
      <c r="T51" s="1"/>
      <c r="U51" s="1"/>
      <c r="V51" s="1"/>
      <c r="W51" s="1"/>
      <c r="X51" s="1"/>
      <c r="Y51" s="1"/>
      <c r="Z51" s="1"/>
      <c r="AA51" s="1"/>
      <c r="AB51" s="1"/>
      <c r="AC51" s="1"/>
      <c r="AD51" s="1"/>
      <c r="AE51" s="1"/>
      <c r="AF51" s="1"/>
      <c r="AG51" s="1"/>
      <c r="AH51" s="1"/>
      <c r="AI51" s="1"/>
      <c r="AJ51" s="1"/>
      <c r="AK51" s="1"/>
      <c r="AL51" s="1"/>
    </row>
    <row r="52" spans="1:38" ht="14.25" customHeight="1">
      <c r="A52" s="1"/>
      <c r="B52" s="1"/>
      <c r="C52" s="1" t="s">
        <v>348</v>
      </c>
      <c r="D52" s="1" t="s">
        <v>208</v>
      </c>
      <c r="E52" s="1"/>
      <c r="F52" s="20"/>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spans="1:38"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row>
    <row r="54" spans="1:38" ht="14.25" customHeight="1">
      <c r="A54" s="44" t="s">
        <v>212</v>
      </c>
      <c r="B54" s="75"/>
      <c r="C54" s="75" t="s">
        <v>213</v>
      </c>
      <c r="D54" s="75" t="s">
        <v>214</v>
      </c>
      <c r="E54" s="75"/>
      <c r="F54" s="76" t="s">
        <v>215</v>
      </c>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1"/>
      <c r="AL54" s="1"/>
    </row>
    <row r="55" spans="1:38" ht="14.25" customHeight="1">
      <c r="A55" s="1"/>
      <c r="B55" s="1"/>
      <c r="C55" s="1" t="s">
        <v>216</v>
      </c>
      <c r="D55" s="1" t="s">
        <v>594</v>
      </c>
      <c r="E55" s="1"/>
      <c r="F55" s="1" t="s">
        <v>590</v>
      </c>
      <c r="G55" s="1"/>
      <c r="H55" s="54">
        <v>1E-3</v>
      </c>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spans="1:38" ht="14.25" customHeight="1">
      <c r="A56" s="1"/>
      <c r="B56" s="1"/>
      <c r="C56" s="1" t="s">
        <v>219</v>
      </c>
      <c r="D56" s="1" t="s">
        <v>214</v>
      </c>
      <c r="E56" s="1"/>
      <c r="F56" s="1" t="s">
        <v>595</v>
      </c>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row>
    <row r="57" spans="1:38" ht="14.25" customHeight="1">
      <c r="A57" s="1"/>
      <c r="B57" s="1"/>
      <c r="C57" s="1" t="s">
        <v>596</v>
      </c>
      <c r="D57" s="1" t="s">
        <v>214</v>
      </c>
      <c r="E57" s="1"/>
      <c r="F57" s="1" t="s">
        <v>597</v>
      </c>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row>
    <row r="58" spans="1:3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row>
    <row r="59" spans="1:38" ht="14.25" customHeight="1">
      <c r="A59" s="44" t="s">
        <v>225</v>
      </c>
      <c r="B59" s="75"/>
      <c r="C59" s="75" t="s">
        <v>226</v>
      </c>
      <c r="D59" s="75" t="s">
        <v>214</v>
      </c>
      <c r="E59" s="75"/>
      <c r="F59" s="75" t="s">
        <v>215</v>
      </c>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1"/>
      <c r="AL59" s="1"/>
    </row>
    <row r="60" spans="1:38" ht="14.25" customHeight="1">
      <c r="A60" s="14"/>
      <c r="B60" s="14"/>
      <c r="C60" s="1" t="s">
        <v>213</v>
      </c>
      <c r="D60" s="1" t="s">
        <v>214</v>
      </c>
      <c r="E60" s="1"/>
      <c r="F60" s="1" t="s">
        <v>215</v>
      </c>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row>
    <row r="61" spans="1:38" ht="14.25" customHeight="1">
      <c r="A61" s="1"/>
      <c r="B61" s="1"/>
      <c r="C61" s="1" t="s">
        <v>359</v>
      </c>
      <c r="D61" s="1"/>
      <c r="E61" s="1"/>
      <c r="F61" s="1" t="s">
        <v>229</v>
      </c>
      <c r="G61" s="1" t="s">
        <v>598</v>
      </c>
      <c r="H61" s="1">
        <v>140</v>
      </c>
      <c r="I61" s="1"/>
      <c r="J61" s="1"/>
      <c r="K61" s="1">
        <v>597.79999999999995</v>
      </c>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row>
    <row r="62" spans="1:38" ht="14.25" customHeight="1">
      <c r="A62" s="1"/>
      <c r="B62" s="1"/>
      <c r="C62" s="1" t="s">
        <v>362</v>
      </c>
      <c r="D62" s="1" t="s">
        <v>35</v>
      </c>
      <c r="E62" s="1"/>
      <c r="F62" s="1" t="s">
        <v>599</v>
      </c>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t="s">
        <v>241</v>
      </c>
      <c r="AL62" s="1" t="s">
        <v>242</v>
      </c>
    </row>
    <row r="63" spans="1:38"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row>
    <row r="64" spans="1:38" ht="14.25" customHeight="1">
      <c r="A64" s="1"/>
      <c r="B64" s="1"/>
      <c r="C64" s="1"/>
      <c r="D64" s="1" t="s">
        <v>208</v>
      </c>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row>
    <row r="65" spans="1:36" ht="14.25" customHeight="1">
      <c r="A65" s="44" t="s">
        <v>232</v>
      </c>
      <c r="B65" s="75"/>
      <c r="C65" s="75"/>
      <c r="D65" s="75"/>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row>
    <row r="66" spans="1:36" ht="14.25" customHeight="1">
      <c r="A66" s="1"/>
      <c r="B66" s="1"/>
      <c r="C66" s="1" t="s">
        <v>226</v>
      </c>
      <c r="D66" s="1" t="s">
        <v>214</v>
      </c>
      <c r="E66" s="1"/>
      <c r="F66" s="1" t="s">
        <v>215</v>
      </c>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14.25" customHeight="1">
      <c r="A67" s="1"/>
      <c r="B67" s="1"/>
      <c r="C67" s="97"/>
      <c r="D67" s="1"/>
      <c r="E67" s="1"/>
      <c r="F67" s="97"/>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14.25" customHeight="1">
      <c r="A68" s="44" t="s">
        <v>238</v>
      </c>
      <c r="B68" s="75"/>
      <c r="C68" s="75" t="s">
        <v>226</v>
      </c>
      <c r="D68" s="75" t="s">
        <v>214</v>
      </c>
      <c r="E68" s="75"/>
      <c r="F68" s="76" t="s">
        <v>215</v>
      </c>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row>
    <row r="69" spans="1:3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14.25" customHeight="1">
      <c r="A70" s="44" t="s">
        <v>240</v>
      </c>
      <c r="B70" s="75"/>
      <c r="C70" s="75" t="s">
        <v>226</v>
      </c>
      <c r="D70" s="75" t="s">
        <v>214</v>
      </c>
      <c r="E70" s="75"/>
      <c r="F70" s="75" t="s">
        <v>215</v>
      </c>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row>
    <row r="71" spans="1:36" ht="14.25" customHeight="1">
      <c r="A71" s="1"/>
      <c r="B71" s="1"/>
      <c r="C71" s="1" t="s">
        <v>219</v>
      </c>
      <c r="D71" s="1" t="s">
        <v>208</v>
      </c>
      <c r="E71" s="1"/>
      <c r="F71" s="1" t="s">
        <v>595</v>
      </c>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14.25" customHeight="1">
      <c r="A72" s="1"/>
      <c r="B72" s="1"/>
      <c r="C72" s="1"/>
      <c r="D72" s="1"/>
      <c r="E72" s="1"/>
      <c r="F72" s="97"/>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14.25" customHeight="1">
      <c r="A74" s="1" t="s">
        <v>243</v>
      </c>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14.25" customHeight="1">
      <c r="A75" s="97" t="s">
        <v>244</v>
      </c>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14.25" customHeight="1">
      <c r="A76" s="97" t="s">
        <v>245</v>
      </c>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14.25" customHeight="1">
      <c r="A77" s="97" t="s">
        <v>246</v>
      </c>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14.25" customHeight="1">
      <c r="A78" s="97" t="s">
        <v>247</v>
      </c>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14.25" customHeight="1">
      <c r="A79" s="97" t="s">
        <v>248</v>
      </c>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14.25" customHeight="1">
      <c r="A80" s="97" t="s">
        <v>249</v>
      </c>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 ht="14.25" customHeight="1">
      <c r="A81" s="97" t="s">
        <v>250</v>
      </c>
      <c r="B81" s="1"/>
      <c r="C81" s="97"/>
    </row>
    <row r="82" spans="1:3" ht="14.25" customHeight="1">
      <c r="A82" s="97" t="s">
        <v>251</v>
      </c>
      <c r="B82" s="1"/>
      <c r="C82" s="97"/>
    </row>
    <row r="83" spans="1:3" ht="14.25" customHeight="1">
      <c r="A83" s="97" t="s">
        <v>252</v>
      </c>
      <c r="B83" s="1"/>
      <c r="C83" s="97"/>
    </row>
    <row r="84" spans="1:3" ht="14.25" customHeight="1">
      <c r="A84" s="97" t="s">
        <v>253</v>
      </c>
      <c r="B84" s="1"/>
      <c r="C84" s="1"/>
    </row>
    <row r="85" spans="1:3" ht="14.25" customHeight="1">
      <c r="A85" s="97" t="s">
        <v>254</v>
      </c>
      <c r="B85" s="1"/>
      <c r="C85" s="97"/>
    </row>
    <row r="86" spans="1:3" ht="14.25" customHeight="1">
      <c r="A86" s="97" t="s">
        <v>255</v>
      </c>
      <c r="B86" s="1"/>
      <c r="C86" s="97"/>
    </row>
    <row r="87" spans="1:3" ht="14.25" customHeight="1">
      <c r="A87" s="97" t="s">
        <v>256</v>
      </c>
      <c r="B87" s="1"/>
      <c r="C87" s="1"/>
    </row>
    <row r="88" spans="1:3" ht="14.25" customHeight="1">
      <c r="A88" s="97" t="s">
        <v>257</v>
      </c>
      <c r="B88" s="1"/>
      <c r="C88" s="1"/>
    </row>
    <row r="89" spans="1:3" ht="14.25" customHeight="1">
      <c r="A89" s="1"/>
      <c r="B89" s="1"/>
      <c r="C89" s="1"/>
    </row>
    <row r="90" spans="1:3" ht="14.25" customHeight="1">
      <c r="A90" s="1"/>
      <c r="B90" s="1"/>
      <c r="C90" s="1"/>
    </row>
    <row r="91" spans="1:3" ht="14.25" customHeight="1">
      <c r="A91" s="1"/>
      <c r="B91" s="1"/>
      <c r="C91" s="1"/>
    </row>
    <row r="92" spans="1:3" ht="14.25" customHeight="1">
      <c r="A92" s="1"/>
      <c r="B92" s="1"/>
      <c r="C92" s="1"/>
    </row>
    <row r="93" spans="1:3" ht="14.25" customHeight="1">
      <c r="A93" s="1"/>
      <c r="B93" s="1"/>
      <c r="C93" s="1"/>
    </row>
    <row r="94" spans="1:3" ht="14.25" customHeight="1">
      <c r="A94" s="1"/>
      <c r="B94" s="1"/>
      <c r="C94" s="97"/>
    </row>
    <row r="95" spans="1:3" ht="14.25" customHeight="1">
      <c r="A95" s="1"/>
      <c r="B95" s="1"/>
      <c r="C95" s="1"/>
    </row>
    <row r="96" spans="1:3" ht="14.25" customHeight="1">
      <c r="A96" s="1"/>
      <c r="B96" s="1"/>
      <c r="C96" s="1"/>
    </row>
    <row r="97" spans="3:3" ht="14.25" customHeight="1">
      <c r="C97" s="97"/>
    </row>
    <row r="98" spans="3:3" ht="14.25" customHeight="1">
      <c r="C98" s="97"/>
    </row>
    <row r="99" spans="3:3" ht="14.25" customHeight="1">
      <c r="C99" s="97"/>
    </row>
    <row r="100" spans="3:3" ht="14.25" customHeight="1">
      <c r="C100" s="1"/>
    </row>
    <row r="101" spans="3:3" ht="14.25" customHeight="1">
      <c r="C101" s="1"/>
    </row>
    <row r="102" spans="3:3" ht="14.25" customHeight="1">
      <c r="C102" s="1"/>
    </row>
    <row r="103" spans="3:3" ht="14.25" customHeight="1">
      <c r="C103" s="1"/>
    </row>
    <row r="104" spans="3:3" ht="14.25" customHeight="1">
      <c r="C104" s="1"/>
    </row>
    <row r="105" spans="3:3" ht="14.25" customHeight="1">
      <c r="C105" s="1"/>
    </row>
    <row r="106" spans="3:3" ht="14.25" customHeight="1">
      <c r="C106" s="1"/>
    </row>
    <row r="107" spans="3:3" ht="14.25" customHeight="1">
      <c r="C107" s="1"/>
    </row>
    <row r="108" spans="3:3" ht="14.25" customHeight="1">
      <c r="C108" s="1"/>
    </row>
    <row r="109" spans="3:3" ht="14.25" customHeight="1">
      <c r="C109" s="1"/>
    </row>
    <row r="110" spans="3:3" ht="14.25" customHeight="1">
      <c r="C110" s="1"/>
    </row>
    <row r="111" spans="3:3" ht="14.25" customHeight="1">
      <c r="C111" s="1"/>
    </row>
    <row r="112" spans="3:3" ht="14.25" customHeight="1">
      <c r="C112" s="1"/>
    </row>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K1" r:id="rId1" xr:uid="{00000000-0004-0000-0900-000000000000}"/>
    <hyperlink ref="AL9" r:id="rId2" xr:uid="{00000000-0004-0000-0900-000001000000}"/>
    <hyperlink ref="AL10" r:id="rId3" xr:uid="{00000000-0004-0000-0900-000002000000}"/>
    <hyperlink ref="AL11" r:id="rId4" xr:uid="{00000000-0004-0000-0900-000003000000}"/>
    <hyperlink ref="AL12" r:id="rId5" xr:uid="{00000000-0004-0000-0900-000004000000}"/>
  </hyperlinks>
  <pageMargins left="0.7" right="0.7" top="0.75" bottom="0.75" header="0" footer="0"/>
  <pageSetup orientation="portrait"/>
  <drawing r:id="rId6"/>
  <legacyDrawing r:id="rId7"/>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F1000"/>
  <sheetViews>
    <sheetView topLeftCell="C1" workbookViewId="0">
      <selection activeCell="H22" sqref="H22"/>
    </sheetView>
  </sheetViews>
  <sheetFormatPr defaultColWidth="14.44140625" defaultRowHeight="15" customHeight="1"/>
  <cols>
    <col min="1" max="1" width="27.6640625" customWidth="1"/>
    <col min="2" max="2" width="24.5546875" customWidth="1"/>
    <col min="3" max="3" width="97.33203125" customWidth="1"/>
    <col min="4" max="4" width="45.44140625" customWidth="1"/>
    <col min="5" max="5" width="51.33203125" hidden="1" customWidth="1"/>
    <col min="6" max="6" width="68.33203125" customWidth="1"/>
    <col min="7" max="7" width="34.88671875" customWidth="1"/>
    <col min="8" max="8" width="8.33203125" customWidth="1"/>
    <col min="9" max="9" width="8.44140625" customWidth="1"/>
    <col min="10" max="31" width="8.88671875" customWidth="1"/>
    <col min="32" max="33" width="8" customWidth="1"/>
    <col min="34" max="36" width="9.44140625" customWidth="1"/>
    <col min="37" max="37" width="59.33203125" customWidth="1"/>
    <col min="38" max="38" width="244.88671875" customWidth="1"/>
  </cols>
  <sheetData>
    <row r="1" spans="1:58" ht="14.25" customHeight="1">
      <c r="A1" s="15" t="s">
        <v>25</v>
      </c>
      <c r="B1" s="15" t="s">
        <v>26</v>
      </c>
      <c r="C1" s="15" t="s">
        <v>27</v>
      </c>
      <c r="D1" s="15" t="s">
        <v>28</v>
      </c>
      <c r="E1" s="15" t="s">
        <v>29</v>
      </c>
      <c r="F1" s="15" t="s">
        <v>30</v>
      </c>
      <c r="G1" s="15" t="s">
        <v>31</v>
      </c>
      <c r="H1" s="15">
        <v>2022</v>
      </c>
      <c r="I1" s="15">
        <v>2023</v>
      </c>
      <c r="J1" s="15">
        <v>2024</v>
      </c>
      <c r="K1" s="15">
        <v>2025</v>
      </c>
      <c r="L1" s="15">
        <v>2026</v>
      </c>
      <c r="M1" s="15">
        <v>2027</v>
      </c>
      <c r="N1" s="15">
        <v>2028</v>
      </c>
      <c r="O1" s="15">
        <v>2029</v>
      </c>
      <c r="P1" s="15">
        <v>2030</v>
      </c>
      <c r="Q1" s="15">
        <v>2031</v>
      </c>
      <c r="R1" s="15">
        <v>2032</v>
      </c>
      <c r="S1" s="15">
        <v>2033</v>
      </c>
      <c r="T1" s="15">
        <v>2034</v>
      </c>
      <c r="U1" s="15">
        <v>2035</v>
      </c>
      <c r="V1" s="15">
        <v>2036</v>
      </c>
      <c r="W1" s="15">
        <v>2037</v>
      </c>
      <c r="X1" s="15">
        <v>2038</v>
      </c>
      <c r="Y1" s="15">
        <v>2039</v>
      </c>
      <c r="Z1" s="15">
        <v>2040</v>
      </c>
      <c r="AA1" s="15">
        <v>2041</v>
      </c>
      <c r="AB1" s="15">
        <v>2042</v>
      </c>
      <c r="AC1" s="15">
        <v>2043</v>
      </c>
      <c r="AD1" s="15">
        <v>2044</v>
      </c>
      <c r="AE1" s="15">
        <v>2045</v>
      </c>
      <c r="AF1" s="15">
        <v>2046</v>
      </c>
      <c r="AG1" s="15">
        <v>2047</v>
      </c>
      <c r="AH1" s="15">
        <v>2048</v>
      </c>
      <c r="AI1" s="15">
        <v>2049</v>
      </c>
      <c r="AJ1" s="15">
        <v>2050</v>
      </c>
      <c r="AK1" s="15" t="s">
        <v>259</v>
      </c>
      <c r="AL1" s="1" t="s">
        <v>260</v>
      </c>
      <c r="AM1" s="1"/>
      <c r="AN1" s="1"/>
      <c r="AO1" s="1"/>
      <c r="AP1" s="1"/>
      <c r="AQ1" s="1"/>
      <c r="AR1" s="1"/>
      <c r="AS1" s="1"/>
      <c r="AT1" s="1"/>
      <c r="AU1" s="1"/>
      <c r="AV1" s="1"/>
      <c r="AW1" s="1"/>
      <c r="AX1" s="1"/>
      <c r="AY1" s="1"/>
      <c r="AZ1" s="1"/>
      <c r="BA1" s="1"/>
      <c r="BB1" s="1"/>
      <c r="BC1" s="1"/>
      <c r="BD1" s="1"/>
      <c r="BE1" s="1"/>
      <c r="BF1" s="1"/>
    </row>
    <row r="2" spans="1:58" ht="14.25" customHeight="1">
      <c r="A2" s="14" t="s">
        <v>47</v>
      </c>
      <c r="B2" s="14"/>
      <c r="C2" s="20" t="s">
        <v>36</v>
      </c>
      <c r="D2" s="1" t="s">
        <v>37</v>
      </c>
      <c r="E2" s="14"/>
      <c r="F2" s="19" t="s">
        <v>38</v>
      </c>
      <c r="G2" s="1"/>
      <c r="H2" s="22">
        <v>13.61</v>
      </c>
      <c r="I2" s="22">
        <v>11.91</v>
      </c>
      <c r="J2" s="22">
        <v>10.49</v>
      </c>
      <c r="K2" s="22">
        <v>9.57</v>
      </c>
      <c r="L2" s="22">
        <v>7.41</v>
      </c>
      <c r="M2" s="22">
        <v>6.7</v>
      </c>
      <c r="N2" s="22">
        <v>5.84</v>
      </c>
      <c r="O2" s="22">
        <v>4.46</v>
      </c>
      <c r="P2" s="22">
        <v>4.7699999999999996</v>
      </c>
      <c r="Q2" s="22">
        <v>5.17</v>
      </c>
      <c r="R2" s="22">
        <v>5.6</v>
      </c>
      <c r="S2" s="22">
        <v>5.76</v>
      </c>
      <c r="T2" s="22">
        <v>5.63</v>
      </c>
      <c r="U2" s="22">
        <v>5.2</v>
      </c>
      <c r="V2" s="22">
        <v>4.55</v>
      </c>
      <c r="W2" s="22">
        <v>3.97</v>
      </c>
      <c r="X2" s="22">
        <v>0</v>
      </c>
      <c r="Y2" s="22">
        <f t="shared" ref="Y2:BD2" si="0">X2</f>
        <v>0</v>
      </c>
      <c r="Z2" s="22">
        <f t="shared" si="0"/>
        <v>0</v>
      </c>
      <c r="AA2" s="22">
        <f t="shared" si="0"/>
        <v>0</v>
      </c>
      <c r="AB2" s="22">
        <f t="shared" si="0"/>
        <v>0</v>
      </c>
      <c r="AC2" s="22">
        <f t="shared" si="0"/>
        <v>0</v>
      </c>
      <c r="AD2" s="22">
        <f t="shared" si="0"/>
        <v>0</v>
      </c>
      <c r="AE2" s="22">
        <f t="shared" si="0"/>
        <v>0</v>
      </c>
      <c r="AF2" s="22">
        <f t="shared" si="0"/>
        <v>0</v>
      </c>
      <c r="AG2" s="22">
        <f t="shared" si="0"/>
        <v>0</v>
      </c>
      <c r="AH2" s="22">
        <f t="shared" si="0"/>
        <v>0</v>
      </c>
      <c r="AI2" s="22">
        <f t="shared" si="0"/>
        <v>0</v>
      </c>
      <c r="AJ2" s="22">
        <f t="shared" si="0"/>
        <v>0</v>
      </c>
      <c r="AK2" s="22">
        <f t="shared" si="0"/>
        <v>0</v>
      </c>
      <c r="AL2" s="22">
        <f t="shared" si="0"/>
        <v>0</v>
      </c>
      <c r="AM2" s="22">
        <f t="shared" si="0"/>
        <v>0</v>
      </c>
      <c r="AN2" s="22">
        <f t="shared" si="0"/>
        <v>0</v>
      </c>
      <c r="AO2" s="22">
        <f t="shared" si="0"/>
        <v>0</v>
      </c>
      <c r="AP2" s="22">
        <f t="shared" si="0"/>
        <v>0</v>
      </c>
      <c r="AQ2" s="22">
        <f t="shared" si="0"/>
        <v>0</v>
      </c>
      <c r="AR2" s="22">
        <f t="shared" si="0"/>
        <v>0</v>
      </c>
      <c r="AS2" s="22">
        <f t="shared" si="0"/>
        <v>0</v>
      </c>
      <c r="AT2" s="22">
        <f t="shared" si="0"/>
        <v>0</v>
      </c>
      <c r="AU2" s="22">
        <f t="shared" si="0"/>
        <v>0</v>
      </c>
      <c r="AV2" s="22">
        <f t="shared" si="0"/>
        <v>0</v>
      </c>
      <c r="AW2" s="22">
        <f t="shared" si="0"/>
        <v>0</v>
      </c>
      <c r="AX2" s="22">
        <f t="shared" si="0"/>
        <v>0</v>
      </c>
      <c r="AY2" s="22">
        <f t="shared" si="0"/>
        <v>0</v>
      </c>
      <c r="AZ2" s="22">
        <f t="shared" si="0"/>
        <v>0</v>
      </c>
      <c r="BA2" s="22">
        <f t="shared" si="0"/>
        <v>0</v>
      </c>
      <c r="BB2" s="22">
        <f t="shared" si="0"/>
        <v>0</v>
      </c>
      <c r="BC2" s="22">
        <f t="shared" si="0"/>
        <v>0</v>
      </c>
      <c r="BD2" s="22">
        <f t="shared" si="0"/>
        <v>0</v>
      </c>
      <c r="BE2" s="25"/>
      <c r="BF2" s="1"/>
    </row>
    <row r="3" spans="1:58" ht="13.5" customHeight="1">
      <c r="A3" s="14"/>
      <c r="B3" s="14"/>
      <c r="C3" s="20" t="s">
        <v>263</v>
      </c>
      <c r="D3" s="1" t="s">
        <v>43</v>
      </c>
      <c r="E3" s="14"/>
      <c r="F3" s="1" t="s">
        <v>405</v>
      </c>
      <c r="G3" s="1"/>
      <c r="H3" s="1">
        <v>0.4</v>
      </c>
      <c r="I3" s="40">
        <f t="shared" ref="I3:Y3" si="1">H3+($Z$3-$H$3)/($Z$1-$H$1)</f>
        <v>0.37777777777777782</v>
      </c>
      <c r="J3" s="40">
        <f t="shared" si="1"/>
        <v>0.35555555555555562</v>
      </c>
      <c r="K3" s="40">
        <f t="shared" si="1"/>
        <v>0.33333333333333343</v>
      </c>
      <c r="L3" s="40">
        <f t="shared" si="1"/>
        <v>0.31111111111111123</v>
      </c>
      <c r="M3" s="40">
        <f t="shared" si="1"/>
        <v>0.28888888888888903</v>
      </c>
      <c r="N3" s="40">
        <f t="shared" si="1"/>
        <v>0.26666666666666683</v>
      </c>
      <c r="O3" s="40">
        <f t="shared" si="1"/>
        <v>0.2444444444444446</v>
      </c>
      <c r="P3" s="40">
        <f t="shared" si="1"/>
        <v>0.22222222222222238</v>
      </c>
      <c r="Q3" s="40">
        <f t="shared" si="1"/>
        <v>0.20000000000000015</v>
      </c>
      <c r="R3" s="40">
        <f t="shared" si="1"/>
        <v>0.17777777777777792</v>
      </c>
      <c r="S3" s="40">
        <f t="shared" si="1"/>
        <v>0.1555555555555557</v>
      </c>
      <c r="T3" s="40">
        <f t="shared" si="1"/>
        <v>0.13333333333333347</v>
      </c>
      <c r="U3" s="40">
        <f t="shared" si="1"/>
        <v>0.11111111111111124</v>
      </c>
      <c r="V3" s="40">
        <f t="shared" si="1"/>
        <v>8.8888888888889017E-2</v>
      </c>
      <c r="W3" s="40">
        <f t="shared" si="1"/>
        <v>6.6666666666666791E-2</v>
      </c>
      <c r="X3" s="40">
        <f t="shared" si="1"/>
        <v>4.4444444444444564E-2</v>
      </c>
      <c r="Y3" s="40">
        <f t="shared" si="1"/>
        <v>2.2222222222222341E-2</v>
      </c>
      <c r="Z3" s="1">
        <v>0</v>
      </c>
      <c r="AA3" s="1"/>
      <c r="AB3" s="1"/>
      <c r="AC3" s="1"/>
      <c r="AD3" s="1"/>
      <c r="AE3" s="1"/>
      <c r="AF3" s="1"/>
      <c r="AG3" s="1"/>
      <c r="AH3" s="1"/>
      <c r="AI3" s="1"/>
      <c r="AJ3" s="1"/>
      <c r="AK3" s="356" t="s">
        <v>264</v>
      </c>
      <c r="AL3" s="1" t="s">
        <v>265</v>
      </c>
      <c r="AM3" s="1"/>
      <c r="AN3" s="1"/>
      <c r="AO3" s="1"/>
      <c r="AP3" s="1"/>
      <c r="AQ3" s="1"/>
      <c r="AR3" s="1"/>
      <c r="AS3" s="1"/>
      <c r="AT3" s="25"/>
      <c r="AU3" s="54"/>
      <c r="AV3" s="54"/>
      <c r="AW3" s="54"/>
      <c r="AX3" s="54"/>
      <c r="AY3" s="54"/>
      <c r="AZ3" s="54"/>
      <c r="BA3" s="54"/>
      <c r="BB3" s="54"/>
      <c r="BC3" s="54"/>
      <c r="BD3" s="54"/>
      <c r="BE3" s="54"/>
      <c r="BF3" s="1"/>
    </row>
    <row r="4" spans="1:58" ht="14.25" customHeight="1">
      <c r="A4" s="348"/>
      <c r="B4" s="348"/>
      <c r="C4" s="349" t="s">
        <v>48</v>
      </c>
      <c r="D4" s="349" t="s">
        <v>49</v>
      </c>
      <c r="E4" s="348"/>
      <c r="F4" s="350" t="s">
        <v>267</v>
      </c>
      <c r="G4" s="61"/>
      <c r="H4" s="61"/>
      <c r="I4" s="348"/>
      <c r="J4" s="348"/>
      <c r="K4" s="348"/>
      <c r="L4" s="351">
        <v>0.05</v>
      </c>
      <c r="M4" s="351"/>
      <c r="N4" s="351"/>
      <c r="O4" s="351"/>
      <c r="P4" s="351"/>
      <c r="Q4" s="351"/>
      <c r="R4" s="351"/>
      <c r="S4" s="351"/>
      <c r="T4" s="351"/>
      <c r="U4" s="351"/>
      <c r="V4" s="351"/>
      <c r="W4" s="351"/>
      <c r="X4" s="351"/>
      <c r="Y4" s="351"/>
      <c r="Z4" s="351"/>
      <c r="AA4" s="351"/>
      <c r="AB4" s="351"/>
      <c r="AC4" s="351"/>
      <c r="AD4" s="351"/>
      <c r="AE4" s="351"/>
      <c r="AF4" s="351"/>
      <c r="AG4" s="351"/>
      <c r="AH4" s="351"/>
      <c r="AI4" s="351"/>
      <c r="AJ4" s="351"/>
      <c r="AK4" s="357" t="s">
        <v>268</v>
      </c>
      <c r="AL4" s="348"/>
      <c r="AM4" s="348"/>
      <c r="AN4" s="61"/>
      <c r="AO4" s="61"/>
      <c r="AP4" s="348"/>
      <c r="AQ4" s="348"/>
      <c r="AR4" s="348"/>
      <c r="AS4" s="348"/>
      <c r="AT4" s="348"/>
      <c r="AU4" s="348"/>
      <c r="AV4" s="348"/>
      <c r="AW4" s="348"/>
      <c r="AX4" s="348"/>
      <c r="AY4" s="348"/>
      <c r="AZ4" s="348"/>
      <c r="BA4" s="61"/>
      <c r="BB4" s="61"/>
      <c r="BC4" s="61"/>
      <c r="BD4" s="61"/>
      <c r="BE4" s="61"/>
      <c r="BF4" s="61"/>
    </row>
    <row r="5" spans="1:58" ht="14.25" customHeight="1">
      <c r="A5" s="348"/>
      <c r="B5" s="348"/>
      <c r="C5" s="349" t="s">
        <v>52</v>
      </c>
      <c r="D5" s="350" t="s">
        <v>53</v>
      </c>
      <c r="E5" s="348"/>
      <c r="F5" s="350" t="s">
        <v>579</v>
      </c>
      <c r="G5" s="348"/>
      <c r="H5" s="350"/>
      <c r="I5" s="350"/>
      <c r="J5" s="350"/>
      <c r="K5" s="350"/>
      <c r="L5" s="350">
        <v>75000</v>
      </c>
      <c r="M5" s="350"/>
      <c r="N5" s="350"/>
      <c r="O5" s="350"/>
      <c r="P5" s="350"/>
      <c r="Q5" s="348"/>
      <c r="R5" s="348"/>
      <c r="S5" s="348"/>
      <c r="T5" s="348"/>
      <c r="U5" s="348"/>
      <c r="V5" s="348"/>
      <c r="W5" s="348"/>
      <c r="X5" s="348"/>
      <c r="Y5" s="348"/>
      <c r="Z5" s="348"/>
      <c r="AA5" s="348"/>
      <c r="AB5" s="348"/>
      <c r="AC5" s="348"/>
      <c r="AD5" s="348"/>
      <c r="AE5" s="348"/>
      <c r="AF5" s="348"/>
      <c r="AG5" s="348"/>
      <c r="AH5" s="348"/>
      <c r="AI5" s="348"/>
      <c r="AJ5" s="348"/>
      <c r="AK5" s="357" t="s">
        <v>55</v>
      </c>
      <c r="AL5" s="61" t="s">
        <v>273</v>
      </c>
      <c r="AM5" s="61"/>
      <c r="AN5" s="61"/>
      <c r="AO5" s="61"/>
      <c r="AP5" s="61"/>
      <c r="AQ5" s="61"/>
      <c r="AR5" s="61"/>
      <c r="AS5" s="61"/>
      <c r="AT5" s="61"/>
      <c r="AU5" s="61"/>
      <c r="AV5" s="61"/>
      <c r="AW5" s="61"/>
      <c r="AX5" s="61"/>
      <c r="AY5" s="61"/>
      <c r="AZ5" s="61"/>
      <c r="BA5" s="61"/>
      <c r="BB5" s="61"/>
      <c r="BC5" s="61"/>
      <c r="BD5" s="61"/>
      <c r="BE5" s="61"/>
      <c r="BF5" s="61"/>
    </row>
    <row r="6" spans="1:58" ht="14.25" customHeight="1">
      <c r="A6" s="14"/>
      <c r="B6" s="14"/>
      <c r="C6" s="30" t="s">
        <v>64</v>
      </c>
      <c r="D6" s="19"/>
      <c r="E6" s="14"/>
      <c r="F6" s="19" t="s">
        <v>274</v>
      </c>
      <c r="G6" s="14"/>
      <c r="H6" s="42">
        <f t="shared" ref="H6:AJ6" si="2">H2*0.42</f>
        <v>5.7161999999999997</v>
      </c>
      <c r="I6" s="42">
        <f t="shared" si="2"/>
        <v>5.0022000000000002</v>
      </c>
      <c r="J6" s="42">
        <f t="shared" si="2"/>
        <v>4.4058000000000002</v>
      </c>
      <c r="K6" s="42">
        <f t="shared" si="2"/>
        <v>4.0194000000000001</v>
      </c>
      <c r="L6" s="42">
        <f t="shared" si="2"/>
        <v>3.1122000000000001</v>
      </c>
      <c r="M6" s="42">
        <f t="shared" si="2"/>
        <v>2.8140000000000001</v>
      </c>
      <c r="N6" s="42">
        <f t="shared" si="2"/>
        <v>2.4527999999999999</v>
      </c>
      <c r="O6" s="42">
        <f t="shared" si="2"/>
        <v>1.8732</v>
      </c>
      <c r="P6" s="42">
        <f t="shared" si="2"/>
        <v>2.0033999999999996</v>
      </c>
      <c r="Q6" s="42">
        <f t="shared" si="2"/>
        <v>2.1713999999999998</v>
      </c>
      <c r="R6" s="42">
        <f t="shared" si="2"/>
        <v>2.3519999999999999</v>
      </c>
      <c r="S6" s="42">
        <f t="shared" si="2"/>
        <v>2.4192</v>
      </c>
      <c r="T6" s="42">
        <f t="shared" si="2"/>
        <v>2.3645999999999998</v>
      </c>
      <c r="U6" s="42">
        <f t="shared" si="2"/>
        <v>2.1840000000000002</v>
      </c>
      <c r="V6" s="42">
        <f t="shared" si="2"/>
        <v>1.9109999999999998</v>
      </c>
      <c r="W6" s="42">
        <f t="shared" si="2"/>
        <v>1.6674</v>
      </c>
      <c r="X6" s="42">
        <f t="shared" si="2"/>
        <v>0</v>
      </c>
      <c r="Y6" s="42">
        <f t="shared" si="2"/>
        <v>0</v>
      </c>
      <c r="Z6" s="42">
        <f t="shared" si="2"/>
        <v>0</v>
      </c>
      <c r="AA6" s="42">
        <f t="shared" si="2"/>
        <v>0</v>
      </c>
      <c r="AB6" s="42">
        <f t="shared" si="2"/>
        <v>0</v>
      </c>
      <c r="AC6" s="42">
        <f t="shared" si="2"/>
        <v>0</v>
      </c>
      <c r="AD6" s="42">
        <f t="shared" si="2"/>
        <v>0</v>
      </c>
      <c r="AE6" s="42">
        <f t="shared" si="2"/>
        <v>0</v>
      </c>
      <c r="AF6" s="42">
        <f t="shared" si="2"/>
        <v>0</v>
      </c>
      <c r="AG6" s="42">
        <f t="shared" si="2"/>
        <v>0</v>
      </c>
      <c r="AH6" s="42">
        <f t="shared" si="2"/>
        <v>0</v>
      </c>
      <c r="AI6" s="42">
        <f t="shared" si="2"/>
        <v>0</v>
      </c>
      <c r="AJ6" s="42">
        <f t="shared" si="2"/>
        <v>0</v>
      </c>
      <c r="AK6" s="356"/>
      <c r="AL6" s="1"/>
      <c r="AM6" s="1"/>
      <c r="AN6" s="1"/>
      <c r="AO6" s="1"/>
      <c r="AP6" s="1"/>
      <c r="AQ6" s="1"/>
      <c r="AR6" s="1"/>
      <c r="AS6" s="1"/>
      <c r="AT6" s="1"/>
      <c r="AU6" s="1"/>
      <c r="AV6" s="1"/>
      <c r="AW6" s="1"/>
      <c r="AX6" s="1"/>
      <c r="AY6" s="1"/>
      <c r="AZ6" s="1"/>
      <c r="BA6" s="1"/>
      <c r="BB6" s="1"/>
      <c r="BC6" s="1"/>
      <c r="BD6" s="1"/>
      <c r="BE6" s="1"/>
      <c r="BF6" s="1"/>
    </row>
    <row r="7" spans="1:58" ht="14.25" customHeight="1">
      <c r="A7" s="14"/>
      <c r="B7" s="14"/>
      <c r="C7" s="20" t="s">
        <v>67</v>
      </c>
      <c r="D7" s="14"/>
      <c r="E7" s="14"/>
      <c r="F7" s="19" t="s">
        <v>274</v>
      </c>
      <c r="G7" s="14"/>
      <c r="H7" s="42">
        <f t="shared" ref="H7:AJ7" si="3">H2*0.58</f>
        <v>7.8937999999999988</v>
      </c>
      <c r="I7" s="42">
        <f t="shared" si="3"/>
        <v>6.9077999999999999</v>
      </c>
      <c r="J7" s="42">
        <f t="shared" si="3"/>
        <v>6.0842000000000001</v>
      </c>
      <c r="K7" s="42">
        <f t="shared" si="3"/>
        <v>5.5506000000000002</v>
      </c>
      <c r="L7" s="42">
        <f t="shared" si="3"/>
        <v>4.2977999999999996</v>
      </c>
      <c r="M7" s="42">
        <f t="shared" si="3"/>
        <v>3.8859999999999997</v>
      </c>
      <c r="N7" s="42">
        <f t="shared" si="3"/>
        <v>3.3871999999999995</v>
      </c>
      <c r="O7" s="42">
        <f t="shared" si="3"/>
        <v>2.5867999999999998</v>
      </c>
      <c r="P7" s="42">
        <f t="shared" si="3"/>
        <v>2.7665999999999995</v>
      </c>
      <c r="Q7" s="42">
        <f t="shared" si="3"/>
        <v>2.9985999999999997</v>
      </c>
      <c r="R7" s="42">
        <f t="shared" si="3"/>
        <v>3.2479999999999998</v>
      </c>
      <c r="S7" s="42">
        <f t="shared" si="3"/>
        <v>3.3407999999999998</v>
      </c>
      <c r="T7" s="42">
        <f t="shared" si="3"/>
        <v>3.2653999999999996</v>
      </c>
      <c r="U7" s="42">
        <f t="shared" si="3"/>
        <v>3.016</v>
      </c>
      <c r="V7" s="42">
        <f t="shared" si="3"/>
        <v>2.6389999999999998</v>
      </c>
      <c r="W7" s="42">
        <f t="shared" si="3"/>
        <v>2.3026</v>
      </c>
      <c r="X7" s="42">
        <f t="shared" si="3"/>
        <v>0</v>
      </c>
      <c r="Y7" s="42">
        <f t="shared" si="3"/>
        <v>0</v>
      </c>
      <c r="Z7" s="42">
        <f t="shared" si="3"/>
        <v>0</v>
      </c>
      <c r="AA7" s="42">
        <f t="shared" si="3"/>
        <v>0</v>
      </c>
      <c r="AB7" s="42">
        <f t="shared" si="3"/>
        <v>0</v>
      </c>
      <c r="AC7" s="42">
        <f t="shared" si="3"/>
        <v>0</v>
      </c>
      <c r="AD7" s="42">
        <f t="shared" si="3"/>
        <v>0</v>
      </c>
      <c r="AE7" s="42">
        <f t="shared" si="3"/>
        <v>0</v>
      </c>
      <c r="AF7" s="42">
        <f t="shared" si="3"/>
        <v>0</v>
      </c>
      <c r="AG7" s="42">
        <f t="shared" si="3"/>
        <v>0</v>
      </c>
      <c r="AH7" s="42">
        <f t="shared" si="3"/>
        <v>0</v>
      </c>
      <c r="AI7" s="42">
        <f t="shared" si="3"/>
        <v>0</v>
      </c>
      <c r="AJ7" s="42">
        <f t="shared" si="3"/>
        <v>0</v>
      </c>
      <c r="AK7" s="356" t="s">
        <v>275</v>
      </c>
      <c r="AL7" s="1"/>
      <c r="AM7" s="1"/>
      <c r="AN7" s="1"/>
      <c r="AO7" s="1"/>
      <c r="AP7" s="1"/>
      <c r="AQ7" s="1"/>
      <c r="AR7" s="1"/>
      <c r="AS7" s="1"/>
      <c r="AT7" s="1"/>
      <c r="AU7" s="1"/>
      <c r="AV7" s="1"/>
      <c r="AW7" s="1"/>
      <c r="AX7" s="1"/>
      <c r="AY7" s="1"/>
      <c r="AZ7" s="1"/>
      <c r="BA7" s="1"/>
      <c r="BB7" s="1"/>
      <c r="BC7" s="1"/>
      <c r="BD7" s="1"/>
      <c r="BE7" s="1"/>
      <c r="BF7" s="1"/>
    </row>
    <row r="8" spans="1:58" ht="14.25" customHeight="1">
      <c r="A8" s="44" t="s">
        <v>69</v>
      </c>
      <c r="B8" s="44"/>
      <c r="C8" s="44"/>
      <c r="D8" s="44"/>
      <c r="E8" s="44"/>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65"/>
      <c r="AL8" s="1"/>
      <c r="AM8" s="1"/>
      <c r="AN8" s="1"/>
      <c r="AO8" s="1"/>
      <c r="AP8" s="1"/>
      <c r="AQ8" s="1"/>
      <c r="AR8" s="1"/>
      <c r="AS8" s="1"/>
      <c r="AT8" s="1"/>
      <c r="AU8" s="1"/>
      <c r="AV8" s="1"/>
      <c r="AW8" s="1"/>
      <c r="AX8" s="1"/>
      <c r="AY8" s="1"/>
      <c r="AZ8" s="1"/>
      <c r="BA8" s="1"/>
      <c r="BB8" s="1"/>
      <c r="BC8" s="1"/>
      <c r="BD8" s="1"/>
      <c r="BE8" s="1"/>
      <c r="BF8" s="1"/>
    </row>
    <row r="9" spans="1:58" ht="14.25" customHeight="1">
      <c r="A9" s="1"/>
      <c r="B9" s="1" t="s">
        <v>70</v>
      </c>
      <c r="C9" s="1" t="s">
        <v>78</v>
      </c>
      <c r="D9" s="1" t="s">
        <v>276</v>
      </c>
      <c r="E9" s="1" t="s">
        <v>277</v>
      </c>
      <c r="F9" s="1" t="s">
        <v>73</v>
      </c>
      <c r="G9" s="1" t="s">
        <v>153</v>
      </c>
      <c r="H9" s="275">
        <v>1.0999999999999999E-2</v>
      </c>
      <c r="I9" s="275">
        <v>1.0999999999999999E-2</v>
      </c>
      <c r="J9" s="275">
        <v>1.0999999999999999E-2</v>
      </c>
      <c r="K9" s="275">
        <v>1.2E-2</v>
      </c>
      <c r="L9" s="275">
        <v>1.7000000000000001E-2</v>
      </c>
      <c r="M9" s="275">
        <v>2.1000000000000001E-2</v>
      </c>
      <c r="N9" s="275">
        <v>2.5999999999999999E-2</v>
      </c>
      <c r="O9" s="275">
        <v>3.1E-2</v>
      </c>
      <c r="P9" s="275">
        <v>3.5999999999999997E-2</v>
      </c>
      <c r="Q9" s="275">
        <v>4.9000000000000002E-2</v>
      </c>
      <c r="R9" s="275">
        <v>6.0999999999999999E-2</v>
      </c>
      <c r="S9" s="275">
        <v>7.3999999999999996E-2</v>
      </c>
      <c r="T9" s="275">
        <v>8.5999999999999993E-2</v>
      </c>
      <c r="U9" s="275">
        <v>9.8000000000000004E-2</v>
      </c>
      <c r="V9" s="275">
        <v>0.11</v>
      </c>
      <c r="W9" s="275">
        <v>0.122</v>
      </c>
      <c r="X9" s="275">
        <v>0.13400000000000001</v>
      </c>
      <c r="Y9" s="275">
        <v>0.14599999999999999</v>
      </c>
      <c r="Z9" s="275">
        <v>0.158</v>
      </c>
      <c r="AA9" s="275">
        <v>0.16400000000000001</v>
      </c>
      <c r="AB9" s="275">
        <v>0.17</v>
      </c>
      <c r="AC9" s="275">
        <v>0.17599999999999999</v>
      </c>
      <c r="AD9" s="275">
        <v>0.18099999999999999</v>
      </c>
      <c r="AE9" s="275">
        <v>0.187</v>
      </c>
      <c r="AF9" s="275">
        <v>0.19400000000000001</v>
      </c>
      <c r="AG9" s="275">
        <v>0.2</v>
      </c>
      <c r="AH9" s="275">
        <v>0.20599999999999999</v>
      </c>
      <c r="AI9" s="275">
        <v>0.21299999999999999</v>
      </c>
      <c r="AJ9" s="275">
        <v>0.219</v>
      </c>
      <c r="AK9" s="65"/>
      <c r="AL9" s="1" t="s">
        <v>278</v>
      </c>
      <c r="AM9" s="1"/>
      <c r="AN9" s="1"/>
      <c r="AO9" s="1" t="s">
        <v>276</v>
      </c>
      <c r="AP9" s="1"/>
      <c r="AQ9" s="1"/>
      <c r="AR9" s="1"/>
      <c r="AS9" s="1"/>
      <c r="AT9" s="1"/>
      <c r="AU9" s="1"/>
      <c r="AV9" s="1"/>
      <c r="AW9" s="1"/>
      <c r="AX9" s="1"/>
      <c r="AY9" s="1"/>
      <c r="AZ9" s="1"/>
      <c r="BA9" s="1"/>
      <c r="BB9" s="1"/>
      <c r="BC9" s="1"/>
      <c r="BD9" s="1"/>
      <c r="BE9" s="1"/>
      <c r="BF9" s="1"/>
    </row>
    <row r="10" spans="1:58" ht="13.5" customHeight="1">
      <c r="A10" s="1"/>
      <c r="B10" s="1" t="s">
        <v>70</v>
      </c>
      <c r="C10" s="1" t="s">
        <v>78</v>
      </c>
      <c r="D10" s="1" t="s">
        <v>279</v>
      </c>
      <c r="E10" s="1" t="s">
        <v>280</v>
      </c>
      <c r="F10" s="1" t="s">
        <v>73</v>
      </c>
      <c r="G10" s="1" t="s">
        <v>281</v>
      </c>
      <c r="H10" s="275">
        <v>8.0000000000000002E-3</v>
      </c>
      <c r="I10" s="275">
        <v>8.0000000000000002E-3</v>
      </c>
      <c r="J10" s="275">
        <v>8.9999999999999993E-3</v>
      </c>
      <c r="K10" s="275">
        <v>8.9999999999999993E-3</v>
      </c>
      <c r="L10" s="275">
        <v>1.0999999999999999E-2</v>
      </c>
      <c r="M10" s="275">
        <v>1.2E-2</v>
      </c>
      <c r="N10" s="275">
        <v>1.4E-2</v>
      </c>
      <c r="O10" s="275">
        <v>1.4999999999999999E-2</v>
      </c>
      <c r="P10" s="275">
        <v>1.7000000000000001E-2</v>
      </c>
      <c r="Q10" s="275">
        <v>1.7999999999999999E-2</v>
      </c>
      <c r="R10" s="275">
        <v>0.02</v>
      </c>
      <c r="S10" s="275">
        <v>2.1999999999999999E-2</v>
      </c>
      <c r="T10" s="275">
        <v>2.3E-2</v>
      </c>
      <c r="U10" s="275">
        <v>2.5000000000000001E-2</v>
      </c>
      <c r="V10" s="275">
        <v>2.5999999999999999E-2</v>
      </c>
      <c r="W10" s="275">
        <v>2.7E-2</v>
      </c>
      <c r="X10" s="275">
        <v>2.8000000000000001E-2</v>
      </c>
      <c r="Y10" s="275">
        <v>2.8000000000000001E-2</v>
      </c>
      <c r="Z10" s="275">
        <v>2.9000000000000001E-2</v>
      </c>
      <c r="AA10" s="275">
        <v>2.9000000000000001E-2</v>
      </c>
      <c r="AB10" s="275">
        <v>2.9000000000000001E-2</v>
      </c>
      <c r="AC10" s="275">
        <v>2.9000000000000001E-2</v>
      </c>
      <c r="AD10" s="275">
        <v>2.9000000000000001E-2</v>
      </c>
      <c r="AE10" s="275">
        <v>2.9000000000000001E-2</v>
      </c>
      <c r="AF10" s="275">
        <v>2.9000000000000001E-2</v>
      </c>
      <c r="AG10" s="275">
        <v>0.03</v>
      </c>
      <c r="AH10" s="275">
        <v>0.03</v>
      </c>
      <c r="AI10" s="275">
        <v>0.03</v>
      </c>
      <c r="AJ10" s="275">
        <v>0.03</v>
      </c>
      <c r="AK10" s="65"/>
      <c r="AL10" s="1" t="s">
        <v>407</v>
      </c>
      <c r="AM10" s="1"/>
      <c r="AN10" s="1"/>
      <c r="AO10" s="1" t="s">
        <v>279</v>
      </c>
      <c r="AP10" s="1"/>
      <c r="AQ10" s="1"/>
      <c r="AR10" s="1"/>
      <c r="AS10" s="1"/>
      <c r="AT10" s="1"/>
      <c r="AU10" s="1"/>
      <c r="AV10" s="1"/>
      <c r="AW10" s="1"/>
      <c r="AX10" s="1"/>
      <c r="AY10" s="1"/>
      <c r="AZ10" s="1"/>
      <c r="BA10" s="1"/>
      <c r="BB10" s="1"/>
      <c r="BC10" s="1"/>
      <c r="BD10" s="1"/>
      <c r="BE10" s="1"/>
      <c r="BF10" s="1"/>
    </row>
    <row r="11" spans="1:58" ht="14.25" customHeight="1">
      <c r="A11" s="358"/>
      <c r="B11" s="358" t="s">
        <v>70</v>
      </c>
      <c r="C11" s="358" t="s">
        <v>600</v>
      </c>
      <c r="D11" s="358" t="s">
        <v>601</v>
      </c>
      <c r="E11" s="358"/>
      <c r="F11" s="358"/>
      <c r="G11" s="358"/>
      <c r="H11" s="359"/>
      <c r="I11" s="359"/>
      <c r="J11" s="359"/>
      <c r="K11" s="359"/>
      <c r="L11" s="359"/>
      <c r="M11" s="359"/>
      <c r="N11" s="359"/>
      <c r="O11" s="359"/>
      <c r="P11" s="359"/>
      <c r="Q11" s="359"/>
      <c r="R11" s="359"/>
      <c r="S11" s="359"/>
      <c r="T11" s="359"/>
      <c r="U11" s="359"/>
      <c r="V11" s="359"/>
      <c r="W11" s="359"/>
      <c r="X11" s="359"/>
      <c r="Y11" s="359"/>
      <c r="Z11" s="359"/>
      <c r="AA11" s="359"/>
      <c r="AB11" s="359"/>
      <c r="AC11" s="359"/>
      <c r="AD11" s="359"/>
      <c r="AE11" s="359"/>
      <c r="AF11" s="359"/>
      <c r="AG11" s="359"/>
      <c r="AH11" s="359"/>
      <c r="AI11" s="359"/>
      <c r="AJ11" s="359"/>
      <c r="AK11" s="360"/>
      <c r="AL11" s="358"/>
      <c r="AM11" s="358"/>
      <c r="AN11" s="358"/>
      <c r="AO11" s="358"/>
      <c r="AP11" s="358"/>
      <c r="AQ11" s="358"/>
      <c r="AR11" s="358"/>
      <c r="AS11" s="358"/>
      <c r="AT11" s="358"/>
      <c r="AU11" s="358"/>
      <c r="AV11" s="358"/>
      <c r="AW11" s="358"/>
      <c r="AX11" s="358"/>
      <c r="AY11" s="358"/>
      <c r="AZ11" s="358"/>
      <c r="BA11" s="358"/>
      <c r="BB11" s="358"/>
      <c r="BC11" s="358"/>
      <c r="BD11" s="358"/>
      <c r="BE11" s="358"/>
      <c r="BF11" s="358"/>
    </row>
    <row r="12" spans="1:58" ht="14.25" customHeight="1">
      <c r="A12" s="1"/>
      <c r="B12" s="1" t="s">
        <v>70</v>
      </c>
      <c r="C12" s="1" t="s">
        <v>98</v>
      </c>
      <c r="D12" s="1" t="s">
        <v>99</v>
      </c>
      <c r="E12" s="1" t="s">
        <v>100</v>
      </c>
      <c r="F12" s="1" t="s">
        <v>73</v>
      </c>
      <c r="G12" s="1"/>
      <c r="H12" s="275">
        <v>0.03</v>
      </c>
      <c r="I12" s="275">
        <v>2.5000000000000001E-2</v>
      </c>
      <c r="J12" s="275">
        <v>0.02</v>
      </c>
      <c r="K12" s="275">
        <v>1.4E-2</v>
      </c>
      <c r="L12" s="275">
        <v>1.2999999999999999E-2</v>
      </c>
      <c r="M12" s="275">
        <v>1.2E-2</v>
      </c>
      <c r="N12" s="275">
        <v>1.0999999999999999E-2</v>
      </c>
      <c r="O12" s="275">
        <v>0.01</v>
      </c>
      <c r="P12" s="275">
        <v>8.0000000000000002E-3</v>
      </c>
      <c r="Q12" s="275">
        <v>8.0000000000000002E-3</v>
      </c>
      <c r="R12" s="275">
        <v>8.0000000000000002E-3</v>
      </c>
      <c r="S12" s="275">
        <v>8.0000000000000002E-3</v>
      </c>
      <c r="T12" s="275">
        <v>8.0000000000000002E-3</v>
      </c>
      <c r="U12" s="275">
        <v>7.0000000000000001E-3</v>
      </c>
      <c r="V12" s="275">
        <v>7.0000000000000001E-3</v>
      </c>
      <c r="W12" s="275">
        <v>7.0000000000000001E-3</v>
      </c>
      <c r="X12" s="275">
        <v>7.0000000000000001E-3</v>
      </c>
      <c r="Y12" s="275">
        <v>7.0000000000000001E-3</v>
      </c>
      <c r="Z12" s="275">
        <v>6.0000000000000001E-3</v>
      </c>
      <c r="AA12" s="275">
        <v>6.0000000000000001E-3</v>
      </c>
      <c r="AB12" s="275">
        <v>6.0000000000000001E-3</v>
      </c>
      <c r="AC12" s="275">
        <v>5.0000000000000001E-3</v>
      </c>
      <c r="AD12" s="275">
        <v>5.0000000000000001E-3</v>
      </c>
      <c r="AE12" s="275">
        <v>5.0000000000000001E-3</v>
      </c>
      <c r="AF12" s="275">
        <v>5.0000000000000001E-3</v>
      </c>
      <c r="AG12" s="275">
        <v>4.0000000000000001E-3</v>
      </c>
      <c r="AH12" s="275">
        <v>4.0000000000000001E-3</v>
      </c>
      <c r="AI12" s="275">
        <v>4.0000000000000001E-3</v>
      </c>
      <c r="AJ12" s="275">
        <v>4.0000000000000001E-3</v>
      </c>
      <c r="AK12" s="65"/>
      <c r="AL12" s="1" t="s">
        <v>408</v>
      </c>
      <c r="AM12" s="1"/>
      <c r="AN12" s="1"/>
      <c r="AO12" s="1" t="s">
        <v>99</v>
      </c>
      <c r="AP12" s="1"/>
      <c r="AQ12" s="1"/>
      <c r="AR12" s="1"/>
      <c r="AS12" s="1"/>
      <c r="AT12" s="1"/>
      <c r="AU12" s="1"/>
      <c r="AV12" s="1"/>
      <c r="AW12" s="1"/>
      <c r="AX12" s="1"/>
      <c r="AY12" s="1"/>
      <c r="AZ12" s="1"/>
      <c r="BA12" s="1"/>
      <c r="BB12" s="1"/>
      <c r="BC12" s="1"/>
      <c r="BD12" s="1"/>
      <c r="BE12" s="1"/>
      <c r="BF12" s="1"/>
    </row>
    <row r="13" spans="1:58" ht="14.25" customHeight="1">
      <c r="A13" s="1"/>
      <c r="B13" s="1" t="s">
        <v>70</v>
      </c>
      <c r="C13" s="1" t="s">
        <v>78</v>
      </c>
      <c r="D13" s="1" t="s">
        <v>102</v>
      </c>
      <c r="E13" s="1" t="s">
        <v>103</v>
      </c>
      <c r="F13" s="1" t="s">
        <v>73</v>
      </c>
      <c r="G13" s="1"/>
      <c r="H13" s="275">
        <v>0</v>
      </c>
      <c r="I13" s="275">
        <v>1E-3</v>
      </c>
      <c r="J13" s="275">
        <v>2E-3</v>
      </c>
      <c r="K13" s="275">
        <v>3.0000000000000001E-3</v>
      </c>
      <c r="L13" s="275">
        <v>4.0000000000000001E-3</v>
      </c>
      <c r="M13" s="275">
        <v>4.0000000000000001E-3</v>
      </c>
      <c r="N13" s="275">
        <v>5.0000000000000001E-3</v>
      </c>
      <c r="O13" s="275">
        <v>5.0000000000000001E-3</v>
      </c>
      <c r="P13" s="275">
        <v>5.0000000000000001E-3</v>
      </c>
      <c r="Q13" s="275">
        <v>6.0000000000000001E-3</v>
      </c>
      <c r="R13" s="275">
        <v>7.0000000000000001E-3</v>
      </c>
      <c r="S13" s="275">
        <v>8.0000000000000002E-3</v>
      </c>
      <c r="T13" s="275">
        <v>8.9999999999999993E-3</v>
      </c>
      <c r="U13" s="275">
        <v>0.01</v>
      </c>
      <c r="V13" s="275">
        <v>1.0999999999999999E-2</v>
      </c>
      <c r="W13" s="275">
        <v>1.2E-2</v>
      </c>
      <c r="X13" s="275">
        <v>1.2E-2</v>
      </c>
      <c r="Y13" s="275">
        <v>1.2999999999999999E-2</v>
      </c>
      <c r="Z13" s="275">
        <v>1.4E-2</v>
      </c>
      <c r="AA13" s="275">
        <v>1.4E-2</v>
      </c>
      <c r="AB13" s="275">
        <v>1.4E-2</v>
      </c>
      <c r="AC13" s="275">
        <v>1.4E-2</v>
      </c>
      <c r="AD13" s="275">
        <v>1.4999999999999999E-2</v>
      </c>
      <c r="AE13" s="275">
        <v>1.4999999999999999E-2</v>
      </c>
      <c r="AF13" s="275">
        <v>1.4999999999999999E-2</v>
      </c>
      <c r="AG13" s="275">
        <v>1.6E-2</v>
      </c>
      <c r="AH13" s="275">
        <v>1.7000000000000001E-2</v>
      </c>
      <c r="AI13" s="275">
        <v>1.7000000000000001E-2</v>
      </c>
      <c r="AJ13" s="275">
        <v>1.7999999999999999E-2</v>
      </c>
      <c r="AK13" s="65"/>
      <c r="AL13" s="1" t="s">
        <v>409</v>
      </c>
      <c r="AM13" s="1"/>
      <c r="AN13" s="1"/>
      <c r="AO13" s="1" t="s">
        <v>102</v>
      </c>
      <c r="AP13" s="1"/>
      <c r="AQ13" s="1"/>
      <c r="AR13" s="1"/>
      <c r="AS13" s="1"/>
      <c r="AT13" s="1"/>
      <c r="AU13" s="1"/>
      <c r="AV13" s="1"/>
      <c r="AW13" s="1"/>
      <c r="AX13" s="1"/>
      <c r="AY13" s="1"/>
      <c r="AZ13" s="1"/>
      <c r="BA13" s="1"/>
      <c r="BB13" s="1"/>
      <c r="BC13" s="1"/>
      <c r="BD13" s="1"/>
      <c r="BE13" s="1"/>
      <c r="BF13" s="1"/>
    </row>
    <row r="14" spans="1:58" ht="14.25" customHeight="1">
      <c r="A14" s="1"/>
      <c r="B14" s="1" t="s">
        <v>70</v>
      </c>
      <c r="C14" s="1" t="s">
        <v>78</v>
      </c>
      <c r="D14" s="1" t="s">
        <v>123</v>
      </c>
      <c r="E14" s="1" t="s">
        <v>107</v>
      </c>
      <c r="F14" s="1" t="s">
        <v>73</v>
      </c>
      <c r="G14" s="1"/>
      <c r="H14" s="233"/>
      <c r="I14" s="233"/>
      <c r="J14" s="233"/>
      <c r="K14" s="233"/>
      <c r="L14" s="233"/>
      <c r="M14" s="233"/>
      <c r="N14" s="233"/>
      <c r="O14" s="233"/>
      <c r="P14" s="233"/>
      <c r="Q14" s="30"/>
      <c r="R14" s="30"/>
      <c r="S14" s="30"/>
      <c r="T14" s="30"/>
      <c r="U14" s="233"/>
      <c r="V14" s="30"/>
      <c r="W14" s="30"/>
      <c r="X14" s="30"/>
      <c r="Y14" s="30"/>
      <c r="Z14" s="233"/>
      <c r="AA14" s="30"/>
      <c r="AB14" s="30"/>
      <c r="AC14" s="30"/>
      <c r="AD14" s="30"/>
      <c r="AE14" s="30"/>
      <c r="AF14" s="30"/>
      <c r="AG14" s="30"/>
      <c r="AH14" s="30"/>
      <c r="AI14" s="30"/>
      <c r="AJ14" s="30"/>
      <c r="AK14" s="1"/>
      <c r="AL14" s="1"/>
      <c r="AM14" s="1"/>
      <c r="AN14" s="1"/>
      <c r="AO14" s="1" t="s">
        <v>123</v>
      </c>
      <c r="AP14" s="1"/>
      <c r="AQ14" s="1"/>
      <c r="AR14" s="1"/>
      <c r="AS14" s="1"/>
      <c r="AT14" s="1"/>
      <c r="AU14" s="1"/>
      <c r="AV14" s="1"/>
      <c r="AW14" s="1"/>
      <c r="AX14" s="1"/>
      <c r="AY14" s="1"/>
      <c r="AZ14" s="1"/>
      <c r="BA14" s="1"/>
      <c r="BB14" s="1"/>
      <c r="BC14" s="1"/>
      <c r="BD14" s="1"/>
      <c r="BE14" s="1"/>
      <c r="BF14" s="1"/>
    </row>
    <row r="15" spans="1:58" ht="14.25" customHeight="1">
      <c r="A15" s="1"/>
      <c r="B15" s="1"/>
      <c r="C15" s="1" t="s">
        <v>124</v>
      </c>
      <c r="D15" s="1" t="s">
        <v>125</v>
      </c>
      <c r="E15" s="1"/>
      <c r="F15" s="1" t="s">
        <v>73</v>
      </c>
      <c r="G15" s="1"/>
      <c r="H15" s="275">
        <v>1E-3</v>
      </c>
      <c r="I15" s="275">
        <v>5.0000000000000001E-3</v>
      </c>
      <c r="J15" s="275">
        <v>8.0000000000000002E-3</v>
      </c>
      <c r="K15" s="275">
        <v>1.2E-2</v>
      </c>
      <c r="L15" s="275">
        <v>1.2E-2</v>
      </c>
      <c r="M15" s="275">
        <v>1.2E-2</v>
      </c>
      <c r="N15" s="275">
        <v>1.0999999999999999E-2</v>
      </c>
      <c r="O15" s="275">
        <v>1.0999999999999999E-2</v>
      </c>
      <c r="P15" s="275">
        <v>1.0999999999999999E-2</v>
      </c>
      <c r="Q15" s="275">
        <v>1.0999999999999999E-2</v>
      </c>
      <c r="R15" s="275">
        <v>1.0999999999999999E-2</v>
      </c>
      <c r="S15" s="275">
        <v>1.0999999999999999E-2</v>
      </c>
      <c r="T15" s="275">
        <v>0.01</v>
      </c>
      <c r="U15" s="275">
        <v>0.01</v>
      </c>
      <c r="V15" s="275">
        <v>0.01</v>
      </c>
      <c r="W15" s="275">
        <v>0.01</v>
      </c>
      <c r="X15" s="275">
        <v>0.01</v>
      </c>
      <c r="Y15" s="275">
        <v>8.9999999999999993E-3</v>
      </c>
      <c r="Z15" s="275">
        <v>8.9999999999999993E-3</v>
      </c>
      <c r="AA15" s="275">
        <v>8.9999999999999993E-3</v>
      </c>
      <c r="AB15" s="275">
        <v>8.0000000000000002E-3</v>
      </c>
      <c r="AC15" s="275">
        <v>8.0000000000000002E-3</v>
      </c>
      <c r="AD15" s="275">
        <v>8.0000000000000002E-3</v>
      </c>
      <c r="AE15" s="275">
        <v>7.0000000000000001E-3</v>
      </c>
      <c r="AF15" s="275">
        <v>7.0000000000000001E-3</v>
      </c>
      <c r="AG15" s="275">
        <v>7.0000000000000001E-3</v>
      </c>
      <c r="AH15" s="275">
        <v>7.0000000000000001E-3</v>
      </c>
      <c r="AI15" s="275">
        <v>7.0000000000000001E-3</v>
      </c>
      <c r="AJ15" s="275">
        <v>7.0000000000000001E-3</v>
      </c>
      <c r="AK15" s="65"/>
      <c r="AL15" s="1" t="s">
        <v>409</v>
      </c>
      <c r="AM15" s="1"/>
      <c r="AN15" s="1"/>
      <c r="AO15" s="1" t="s">
        <v>125</v>
      </c>
      <c r="AP15" s="1"/>
      <c r="AQ15" s="1"/>
      <c r="AR15" s="1"/>
      <c r="AS15" s="1"/>
      <c r="AT15" s="1"/>
      <c r="AU15" s="1"/>
      <c r="AV15" s="1"/>
      <c r="AW15" s="1"/>
      <c r="AX15" s="1"/>
      <c r="AY15" s="1"/>
      <c r="AZ15" s="1"/>
      <c r="BA15" s="1"/>
      <c r="BB15" s="1"/>
      <c r="BC15" s="1"/>
      <c r="BD15" s="1"/>
      <c r="BE15" s="1"/>
      <c r="BF15" s="1"/>
    </row>
    <row r="16" spans="1:58" ht="14.25" customHeight="1">
      <c r="A16" s="1"/>
      <c r="B16" s="1"/>
      <c r="C16" s="1"/>
      <c r="D16" s="1"/>
      <c r="E16" s="1"/>
      <c r="F16" s="1"/>
      <c r="G16" s="1"/>
      <c r="H16" s="1"/>
      <c r="I16" s="1"/>
      <c r="J16" s="97"/>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row>
    <row r="17" spans="1:44" ht="14.25" customHeight="1">
      <c r="A17" s="1"/>
      <c r="B17" s="1" t="s">
        <v>129</v>
      </c>
      <c r="C17" s="1" t="s">
        <v>130</v>
      </c>
      <c r="D17" s="1" t="s">
        <v>131</v>
      </c>
      <c r="E17" s="1"/>
      <c r="F17" s="1" t="s">
        <v>132</v>
      </c>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t="s">
        <v>131</v>
      </c>
      <c r="AP17" s="1"/>
      <c r="AQ17" s="1"/>
      <c r="AR17" s="1"/>
    </row>
    <row r="18" spans="1:44" ht="14.25" customHeight="1">
      <c r="A18" s="1"/>
      <c r="B18" s="1" t="s">
        <v>129</v>
      </c>
      <c r="C18" s="1" t="s">
        <v>135</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row>
    <row r="19" spans="1:44" ht="14.25" customHeight="1">
      <c r="A19" s="1"/>
      <c r="B19" s="1" t="s">
        <v>129</v>
      </c>
      <c r="C19" s="1" t="s">
        <v>137</v>
      </c>
      <c r="D19" s="1"/>
      <c r="E19" s="1"/>
      <c r="F19" s="1" t="s">
        <v>138</v>
      </c>
      <c r="G19" s="1"/>
      <c r="H19" s="54">
        <v>9.3100000000000002E-2</v>
      </c>
      <c r="I19" s="54">
        <v>9.0899999999999995E-2</v>
      </c>
      <c r="J19" s="54">
        <v>8.9099999999999999E-2</v>
      </c>
      <c r="K19" s="54">
        <v>8.7899999999999992E-2</v>
      </c>
      <c r="L19" s="54">
        <v>8.7038405077241976E-2</v>
      </c>
      <c r="M19" s="54">
        <v>8.6176810154483974E-2</v>
      </c>
      <c r="N19" s="54">
        <v>8.5315215231725972E-2</v>
      </c>
      <c r="O19" s="54">
        <v>8.4453620308967955E-2</v>
      </c>
      <c r="P19" s="54">
        <v>8.3592025386209981E-2</v>
      </c>
      <c r="Q19" s="54">
        <v>8.3178224014734681E-2</v>
      </c>
      <c r="R19" s="54">
        <v>8.2764422643259367E-2</v>
      </c>
      <c r="S19" s="54">
        <v>8.2350621271784052E-2</v>
      </c>
      <c r="T19" s="54">
        <v>8.1936819900308752E-2</v>
      </c>
      <c r="U19" s="54">
        <v>8.1523018528833424E-2</v>
      </c>
      <c r="V19" s="54">
        <v>8.1360623372859528E-2</v>
      </c>
      <c r="W19" s="54">
        <v>8.1198228216885632E-2</v>
      </c>
      <c r="X19" s="54">
        <v>8.1035833060911736E-2</v>
      </c>
      <c r="Y19" s="54">
        <v>8.0873437904937853E-2</v>
      </c>
      <c r="Z19" s="54">
        <v>8.0711042748963985E-2</v>
      </c>
      <c r="AA19" s="54">
        <v>8.0630492966959136E-2</v>
      </c>
      <c r="AB19" s="54">
        <v>8.0549943184954287E-2</v>
      </c>
      <c r="AC19" s="54">
        <v>8.0469393402949424E-2</v>
      </c>
      <c r="AD19" s="54">
        <v>8.0388843620944575E-2</v>
      </c>
      <c r="AE19" s="54">
        <v>8.0308293838939712E-2</v>
      </c>
      <c r="AF19" s="54">
        <v>8.0292232180171924E-2</v>
      </c>
      <c r="AG19" s="54">
        <v>8.0276170521404122E-2</v>
      </c>
      <c r="AH19" s="54">
        <v>8.026010886263632E-2</v>
      </c>
      <c r="AI19" s="54">
        <v>8.0244047203868532E-2</v>
      </c>
      <c r="AJ19" s="54">
        <v>8.0227985545100772E-2</v>
      </c>
      <c r="AK19" s="1" t="s">
        <v>290</v>
      </c>
      <c r="AL19" s="1"/>
      <c r="AM19" s="1"/>
      <c r="AN19" s="1"/>
      <c r="AO19" s="1"/>
      <c r="AP19" s="1"/>
      <c r="AQ19" s="1"/>
      <c r="AR19" s="1"/>
    </row>
    <row r="20" spans="1:44" ht="14.25" customHeight="1">
      <c r="A20" s="1"/>
      <c r="B20" s="1" t="s">
        <v>129</v>
      </c>
      <c r="C20" s="1" t="s">
        <v>587</v>
      </c>
      <c r="D20" s="1" t="s">
        <v>602</v>
      </c>
      <c r="E20" s="1"/>
      <c r="F20" s="1"/>
      <c r="G20" s="1"/>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1" t="s">
        <v>603</v>
      </c>
      <c r="AL20" s="1"/>
      <c r="AM20" s="1"/>
      <c r="AN20" s="1"/>
      <c r="AO20" s="1"/>
      <c r="AP20" s="1"/>
      <c r="AQ20" s="1"/>
      <c r="AR20" s="1"/>
    </row>
    <row r="21" spans="1:44"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361"/>
      <c r="AK21" s="1"/>
      <c r="AL21" s="1"/>
      <c r="AM21" s="1"/>
      <c r="AN21" s="1"/>
      <c r="AO21" s="1"/>
      <c r="AP21" s="1"/>
      <c r="AQ21" s="1"/>
      <c r="AR21" s="1"/>
    </row>
    <row r="22" spans="1:44" ht="14.25" customHeight="1">
      <c r="A22" s="44" t="s">
        <v>144</v>
      </c>
      <c r="B22" s="75" t="s">
        <v>145</v>
      </c>
      <c r="C22" s="75" t="s">
        <v>150</v>
      </c>
      <c r="D22" s="75" t="s">
        <v>297</v>
      </c>
      <c r="E22" s="75"/>
      <c r="F22" s="75" t="s">
        <v>416</v>
      </c>
      <c r="G22" s="75" t="s">
        <v>153</v>
      </c>
      <c r="H22" s="362">
        <v>0.22800000000000001</v>
      </c>
      <c r="I22" s="362">
        <f t="shared" ref="I22:AI22" si="4">H22+($AJ22-$H22)/($AJ$1-$H$1)</f>
        <v>0.22596428571428573</v>
      </c>
      <c r="J22" s="362">
        <f t="shared" si="4"/>
        <v>0.22392857142857145</v>
      </c>
      <c r="K22" s="362">
        <f t="shared" si="4"/>
        <v>0.22189285714285717</v>
      </c>
      <c r="L22" s="362">
        <f t="shared" si="4"/>
        <v>0.21985714285714289</v>
      </c>
      <c r="M22" s="362">
        <f t="shared" si="4"/>
        <v>0.21782142857142861</v>
      </c>
      <c r="N22" s="362">
        <f t="shared" si="4"/>
        <v>0.21578571428571433</v>
      </c>
      <c r="O22" s="362">
        <f t="shared" si="4"/>
        <v>0.21375000000000005</v>
      </c>
      <c r="P22" s="362">
        <f t="shared" si="4"/>
        <v>0.21171428571428577</v>
      </c>
      <c r="Q22" s="362">
        <f t="shared" si="4"/>
        <v>0.20967857142857149</v>
      </c>
      <c r="R22" s="362">
        <f t="shared" si="4"/>
        <v>0.20764285714285721</v>
      </c>
      <c r="S22" s="362">
        <f t="shared" si="4"/>
        <v>0.20560714285714293</v>
      </c>
      <c r="T22" s="362">
        <f t="shared" si="4"/>
        <v>0.20357142857142865</v>
      </c>
      <c r="U22" s="362">
        <f t="shared" si="4"/>
        <v>0.20153571428571437</v>
      </c>
      <c r="V22" s="362">
        <f t="shared" si="4"/>
        <v>0.19950000000000009</v>
      </c>
      <c r="W22" s="362">
        <f t="shared" si="4"/>
        <v>0.19746428571428581</v>
      </c>
      <c r="X22" s="362">
        <f t="shared" si="4"/>
        <v>0.19542857142857153</v>
      </c>
      <c r="Y22" s="362">
        <f t="shared" si="4"/>
        <v>0.19339285714285726</v>
      </c>
      <c r="Z22" s="362">
        <f t="shared" si="4"/>
        <v>0.19135714285714298</v>
      </c>
      <c r="AA22" s="362">
        <f t="shared" si="4"/>
        <v>0.1893214285714287</v>
      </c>
      <c r="AB22" s="362">
        <f t="shared" si="4"/>
        <v>0.18728571428571442</v>
      </c>
      <c r="AC22" s="362">
        <f t="shared" si="4"/>
        <v>0.18525000000000014</v>
      </c>
      <c r="AD22" s="362">
        <f t="shared" si="4"/>
        <v>0.18321428571428586</v>
      </c>
      <c r="AE22" s="362">
        <f t="shared" si="4"/>
        <v>0.18117857142857158</v>
      </c>
      <c r="AF22" s="362">
        <f t="shared" si="4"/>
        <v>0.1791428571428573</v>
      </c>
      <c r="AG22" s="362">
        <f t="shared" si="4"/>
        <v>0.17710714285714302</v>
      </c>
      <c r="AH22" s="362">
        <f t="shared" si="4"/>
        <v>0.17507142857142874</v>
      </c>
      <c r="AI22" s="362">
        <f t="shared" si="4"/>
        <v>0.17303571428571446</v>
      </c>
      <c r="AJ22" s="50">
        <f>-0.25*H22+H22</f>
        <v>0.17100000000000001</v>
      </c>
      <c r="AK22" s="363"/>
      <c r="AL22" s="20" t="s">
        <v>292</v>
      </c>
      <c r="AM22" s="1"/>
      <c r="AN22" s="1"/>
      <c r="AO22" s="75"/>
      <c r="AP22" s="75"/>
      <c r="AQ22" s="75"/>
      <c r="AR22" s="75"/>
    </row>
    <row r="23" spans="1:44" ht="14.25" customHeight="1">
      <c r="A23" s="1"/>
      <c r="B23" s="1" t="s">
        <v>145</v>
      </c>
      <c r="C23" s="1" t="s">
        <v>150</v>
      </c>
      <c r="D23" s="1" t="s">
        <v>151</v>
      </c>
      <c r="E23" s="1"/>
      <c r="F23" s="1" t="s">
        <v>152</v>
      </c>
      <c r="G23" s="1" t="s">
        <v>153</v>
      </c>
      <c r="H23" s="54">
        <v>0.156</v>
      </c>
      <c r="I23" s="54">
        <f t="shared" ref="I23:AI23" si="5">H23+($AJ23-$H23)/($AJ$1-$H$1)</f>
        <v>0.15739285714285714</v>
      </c>
      <c r="J23" s="54">
        <f t="shared" si="5"/>
        <v>0.15878571428571428</v>
      </c>
      <c r="K23" s="54">
        <f t="shared" si="5"/>
        <v>0.16017857142857142</v>
      </c>
      <c r="L23" s="54">
        <f t="shared" si="5"/>
        <v>0.16157142857142856</v>
      </c>
      <c r="M23" s="54">
        <f t="shared" si="5"/>
        <v>0.1629642857142857</v>
      </c>
      <c r="N23" s="54">
        <f t="shared" si="5"/>
        <v>0.16435714285714284</v>
      </c>
      <c r="O23" s="54">
        <f t="shared" si="5"/>
        <v>0.16574999999999998</v>
      </c>
      <c r="P23" s="54">
        <f t="shared" si="5"/>
        <v>0.16714285714285712</v>
      </c>
      <c r="Q23" s="54">
        <f t="shared" si="5"/>
        <v>0.16853571428571426</v>
      </c>
      <c r="R23" s="54">
        <f t="shared" si="5"/>
        <v>0.1699285714285714</v>
      </c>
      <c r="S23" s="54">
        <f t="shared" si="5"/>
        <v>0.17132142857142854</v>
      </c>
      <c r="T23" s="54">
        <f t="shared" si="5"/>
        <v>0.17271428571428568</v>
      </c>
      <c r="U23" s="54">
        <f t="shared" si="5"/>
        <v>0.17410714285714282</v>
      </c>
      <c r="V23" s="54">
        <f t="shared" si="5"/>
        <v>0.17549999999999996</v>
      </c>
      <c r="W23" s="54">
        <f t="shared" si="5"/>
        <v>0.1768928571428571</v>
      </c>
      <c r="X23" s="54">
        <f t="shared" si="5"/>
        <v>0.17828571428571424</v>
      </c>
      <c r="Y23" s="54">
        <f t="shared" si="5"/>
        <v>0.17967857142857138</v>
      </c>
      <c r="Z23" s="54">
        <f t="shared" si="5"/>
        <v>0.18107142857142852</v>
      </c>
      <c r="AA23" s="54">
        <f t="shared" si="5"/>
        <v>0.18246428571428566</v>
      </c>
      <c r="AB23" s="54">
        <f t="shared" si="5"/>
        <v>0.1838571428571428</v>
      </c>
      <c r="AC23" s="54">
        <f t="shared" si="5"/>
        <v>0.18524999999999994</v>
      </c>
      <c r="AD23" s="54">
        <f t="shared" si="5"/>
        <v>0.18664285714285708</v>
      </c>
      <c r="AE23" s="54">
        <f t="shared" si="5"/>
        <v>0.18803571428571422</v>
      </c>
      <c r="AF23" s="54">
        <f t="shared" si="5"/>
        <v>0.18942857142857136</v>
      </c>
      <c r="AG23" s="54">
        <f t="shared" si="5"/>
        <v>0.1908214285714285</v>
      </c>
      <c r="AH23" s="54">
        <f t="shared" si="5"/>
        <v>0.19221428571428564</v>
      </c>
      <c r="AI23" s="54">
        <f t="shared" si="5"/>
        <v>0.19360714285714278</v>
      </c>
      <c r="AJ23" s="65">
        <f>0.25*H23+H23</f>
        <v>0.19500000000000001</v>
      </c>
      <c r="AK23" s="364"/>
      <c r="AL23" s="20" t="s">
        <v>300</v>
      </c>
      <c r="AM23" s="1"/>
      <c r="AN23" s="1"/>
      <c r="AO23" s="1"/>
      <c r="AP23" s="1"/>
      <c r="AQ23" s="1"/>
      <c r="AR23" s="1"/>
    </row>
    <row r="24" spans="1:44" ht="14.25" customHeight="1">
      <c r="A24" s="1"/>
      <c r="B24" s="365"/>
      <c r="C24" s="365"/>
      <c r="D24" s="365"/>
      <c r="E24" s="365"/>
      <c r="F24" s="365"/>
      <c r="G24" s="365"/>
      <c r="H24" s="366">
        <f t="shared" ref="H24:AJ24" si="6">$H$22-H22</f>
        <v>0</v>
      </c>
      <c r="I24" s="366">
        <f t="shared" si="6"/>
        <v>2.0357142857142796E-3</v>
      </c>
      <c r="J24" s="366">
        <f t="shared" si="6"/>
        <v>4.0714285714285592E-3</v>
      </c>
      <c r="K24" s="366">
        <f t="shared" si="6"/>
        <v>6.1071428571428388E-3</v>
      </c>
      <c r="L24" s="366">
        <f t="shared" si="6"/>
        <v>8.1428571428571184E-3</v>
      </c>
      <c r="M24" s="366">
        <f t="shared" si="6"/>
        <v>1.0178571428571398E-2</v>
      </c>
      <c r="N24" s="366">
        <f t="shared" si="6"/>
        <v>1.2214285714285678E-2</v>
      </c>
      <c r="O24" s="366">
        <f t="shared" si="6"/>
        <v>1.4249999999999957E-2</v>
      </c>
      <c r="P24" s="366">
        <f t="shared" si="6"/>
        <v>1.6285714285714237E-2</v>
      </c>
      <c r="Q24" s="366">
        <f t="shared" si="6"/>
        <v>1.8321428571428516E-2</v>
      </c>
      <c r="R24" s="366">
        <f t="shared" si="6"/>
        <v>2.0357142857142796E-2</v>
      </c>
      <c r="S24" s="366">
        <f t="shared" si="6"/>
        <v>2.2392857142857076E-2</v>
      </c>
      <c r="T24" s="366">
        <f t="shared" si="6"/>
        <v>2.4428571428571355E-2</v>
      </c>
      <c r="U24" s="366">
        <f t="shared" si="6"/>
        <v>2.6464285714285635E-2</v>
      </c>
      <c r="V24" s="366">
        <f t="shared" si="6"/>
        <v>2.8499999999999914E-2</v>
      </c>
      <c r="W24" s="366">
        <f t="shared" si="6"/>
        <v>3.0535714285714194E-2</v>
      </c>
      <c r="X24" s="366">
        <f t="shared" si="6"/>
        <v>3.2571428571428473E-2</v>
      </c>
      <c r="Y24" s="366">
        <f t="shared" si="6"/>
        <v>3.4607142857142753E-2</v>
      </c>
      <c r="Z24" s="366">
        <f t="shared" si="6"/>
        <v>3.6642857142857033E-2</v>
      </c>
      <c r="AA24" s="366">
        <f t="shared" si="6"/>
        <v>3.8678571428571312E-2</v>
      </c>
      <c r="AB24" s="366">
        <f t="shared" si="6"/>
        <v>4.0714285714285592E-2</v>
      </c>
      <c r="AC24" s="366">
        <f t="shared" si="6"/>
        <v>4.2749999999999871E-2</v>
      </c>
      <c r="AD24" s="366">
        <f t="shared" si="6"/>
        <v>4.4785714285714151E-2</v>
      </c>
      <c r="AE24" s="366">
        <f t="shared" si="6"/>
        <v>4.6821428571428431E-2</v>
      </c>
      <c r="AF24" s="366">
        <f t="shared" si="6"/>
        <v>4.885714285714271E-2</v>
      </c>
      <c r="AG24" s="366">
        <f t="shared" si="6"/>
        <v>5.089285714285699E-2</v>
      </c>
      <c r="AH24" s="366">
        <f t="shared" si="6"/>
        <v>5.2928571428571269E-2</v>
      </c>
      <c r="AI24" s="366">
        <f t="shared" si="6"/>
        <v>5.4964285714285549E-2</v>
      </c>
      <c r="AJ24" s="366">
        <f t="shared" si="6"/>
        <v>5.6999999999999995E-2</v>
      </c>
      <c r="AK24" s="364"/>
      <c r="AL24" s="20"/>
      <c r="AM24" s="1"/>
      <c r="AN24" s="1"/>
      <c r="AO24" s="1"/>
      <c r="AP24" s="1"/>
      <c r="AQ24" s="1"/>
      <c r="AR24" s="1"/>
    </row>
    <row r="25" spans="1:44" ht="14.25" customHeight="1">
      <c r="A25" s="1"/>
      <c r="B25" s="365"/>
      <c r="C25" s="365"/>
      <c r="D25" s="365"/>
      <c r="E25" s="365"/>
      <c r="F25" s="365"/>
      <c r="G25" s="365"/>
      <c r="H25" s="366">
        <f t="shared" ref="H25:AJ25" si="7">H23-$H$23</f>
        <v>0</v>
      </c>
      <c r="I25" s="366">
        <f t="shared" si="7"/>
        <v>1.3928571428571401E-3</v>
      </c>
      <c r="J25" s="366">
        <f t="shared" si="7"/>
        <v>2.7857142857142803E-3</v>
      </c>
      <c r="K25" s="366">
        <f t="shared" si="7"/>
        <v>4.1785714285714204E-3</v>
      </c>
      <c r="L25" s="366">
        <f t="shared" si="7"/>
        <v>5.5714285714285605E-3</v>
      </c>
      <c r="M25" s="366">
        <f t="shared" si="7"/>
        <v>6.9642857142857006E-3</v>
      </c>
      <c r="N25" s="366">
        <f t="shared" si="7"/>
        <v>8.3571428571428408E-3</v>
      </c>
      <c r="O25" s="366">
        <f t="shared" si="7"/>
        <v>9.7499999999999809E-3</v>
      </c>
      <c r="P25" s="366">
        <f t="shared" si="7"/>
        <v>1.1142857142857121E-2</v>
      </c>
      <c r="Q25" s="366">
        <f t="shared" si="7"/>
        <v>1.2535714285714261E-2</v>
      </c>
      <c r="R25" s="366">
        <f t="shared" si="7"/>
        <v>1.3928571428571401E-2</v>
      </c>
      <c r="S25" s="366">
        <f t="shared" si="7"/>
        <v>1.5321428571428541E-2</v>
      </c>
      <c r="T25" s="366">
        <f t="shared" si="7"/>
        <v>1.6714285714285682E-2</v>
      </c>
      <c r="U25" s="366">
        <f t="shared" si="7"/>
        <v>1.8107142857142822E-2</v>
      </c>
      <c r="V25" s="366">
        <f t="shared" si="7"/>
        <v>1.9499999999999962E-2</v>
      </c>
      <c r="W25" s="366">
        <f t="shared" si="7"/>
        <v>2.0892857142857102E-2</v>
      </c>
      <c r="X25" s="366">
        <f t="shared" si="7"/>
        <v>2.2285714285714242E-2</v>
      </c>
      <c r="Y25" s="366">
        <f t="shared" si="7"/>
        <v>2.3678571428571382E-2</v>
      </c>
      <c r="Z25" s="366">
        <f t="shared" si="7"/>
        <v>2.5071428571428522E-2</v>
      </c>
      <c r="AA25" s="366">
        <f t="shared" si="7"/>
        <v>2.6464285714285662E-2</v>
      </c>
      <c r="AB25" s="366">
        <f t="shared" si="7"/>
        <v>2.7857142857142803E-2</v>
      </c>
      <c r="AC25" s="366">
        <f t="shared" si="7"/>
        <v>2.9249999999999943E-2</v>
      </c>
      <c r="AD25" s="366">
        <f t="shared" si="7"/>
        <v>3.0642857142857083E-2</v>
      </c>
      <c r="AE25" s="366">
        <f t="shared" si="7"/>
        <v>3.2035714285714223E-2</v>
      </c>
      <c r="AF25" s="366">
        <f t="shared" si="7"/>
        <v>3.3428571428571363E-2</v>
      </c>
      <c r="AG25" s="366">
        <f t="shared" si="7"/>
        <v>3.4821428571428503E-2</v>
      </c>
      <c r="AH25" s="366">
        <f t="shared" si="7"/>
        <v>3.6214285714285643E-2</v>
      </c>
      <c r="AI25" s="366">
        <f t="shared" si="7"/>
        <v>3.7607142857142783E-2</v>
      </c>
      <c r="AJ25" s="366">
        <f t="shared" si="7"/>
        <v>3.9000000000000007E-2</v>
      </c>
      <c r="AK25" s="364"/>
      <c r="AL25" s="20"/>
      <c r="AM25" s="1"/>
      <c r="AN25" s="1"/>
      <c r="AO25" s="1"/>
      <c r="AP25" s="1"/>
      <c r="AQ25" s="1"/>
      <c r="AR25" s="1"/>
    </row>
    <row r="26" spans="1:44" ht="14.25" customHeight="1">
      <c r="A26" s="1"/>
      <c r="B26" s="1" t="s">
        <v>145</v>
      </c>
      <c r="C26" s="1" t="s">
        <v>154</v>
      </c>
      <c r="D26" s="1" t="s">
        <v>155</v>
      </c>
      <c r="E26" s="1"/>
      <c r="F26" s="1" t="s">
        <v>156</v>
      </c>
      <c r="G26" s="1" t="s">
        <v>153</v>
      </c>
      <c r="H26" s="275">
        <v>1E-3</v>
      </c>
      <c r="I26" s="275">
        <v>5.0000000000000001E-3</v>
      </c>
      <c r="J26" s="275">
        <v>0.01</v>
      </c>
      <c r="K26" s="275">
        <v>1.4E-2</v>
      </c>
      <c r="L26" s="275">
        <v>2.9000000000000001E-2</v>
      </c>
      <c r="M26" s="275">
        <v>4.2999999999999997E-2</v>
      </c>
      <c r="N26" s="275">
        <v>5.7000000000000002E-2</v>
      </c>
      <c r="O26" s="275">
        <v>7.0999999999999994E-2</v>
      </c>
      <c r="P26" s="275">
        <v>8.5000000000000006E-2</v>
      </c>
      <c r="Q26" s="275">
        <v>0.105</v>
      </c>
      <c r="R26" s="275">
        <v>0.126</v>
      </c>
      <c r="S26" s="275">
        <v>0.14599999999999999</v>
      </c>
      <c r="T26" s="275">
        <v>0.16600000000000001</v>
      </c>
      <c r="U26" s="275">
        <v>0.186</v>
      </c>
      <c r="V26" s="275">
        <v>0.20799999999999999</v>
      </c>
      <c r="W26" s="275">
        <v>0.23</v>
      </c>
      <c r="X26" s="275">
        <v>0.252</v>
      </c>
      <c r="Y26" s="275">
        <v>0.27500000000000002</v>
      </c>
      <c r="Z26" s="275">
        <v>0.29699999999999999</v>
      </c>
      <c r="AA26" s="275">
        <v>0.31900000000000001</v>
      </c>
      <c r="AB26" s="275">
        <v>0.34200000000000003</v>
      </c>
      <c r="AC26" s="275">
        <v>0.36499999999999999</v>
      </c>
      <c r="AD26" s="275">
        <v>0.38700000000000001</v>
      </c>
      <c r="AE26" s="275">
        <v>0.41</v>
      </c>
      <c r="AF26" s="275">
        <v>0.42199999999999999</v>
      </c>
      <c r="AG26" s="275">
        <v>0.434</v>
      </c>
      <c r="AH26" s="275">
        <v>0.44600000000000001</v>
      </c>
      <c r="AI26" s="275">
        <v>0.45800000000000002</v>
      </c>
      <c r="AJ26" s="275">
        <v>0.46899999999999997</v>
      </c>
      <c r="AK26" s="364"/>
      <c r="AL26" s="1" t="s">
        <v>278</v>
      </c>
      <c r="AM26" s="25"/>
      <c r="AN26" s="25"/>
      <c r="AO26" s="1"/>
      <c r="AP26" s="1"/>
      <c r="AQ26" s="1"/>
      <c r="AR26" s="1"/>
    </row>
    <row r="27" spans="1:44" ht="14.25" customHeight="1">
      <c r="A27" s="1"/>
      <c r="B27" s="1" t="s">
        <v>145</v>
      </c>
      <c r="C27" s="1" t="s">
        <v>154</v>
      </c>
      <c r="D27" s="1" t="s">
        <v>158</v>
      </c>
      <c r="E27" s="1"/>
      <c r="F27" s="1" t="s">
        <v>156</v>
      </c>
      <c r="G27" s="1" t="s">
        <v>153</v>
      </c>
      <c r="H27" s="275">
        <v>1E-3</v>
      </c>
      <c r="I27" s="275">
        <v>5.0000000000000001E-3</v>
      </c>
      <c r="J27" s="275">
        <v>0.01</v>
      </c>
      <c r="K27" s="275">
        <v>1.4E-2</v>
      </c>
      <c r="L27" s="275">
        <v>2.9000000000000001E-2</v>
      </c>
      <c r="M27" s="275">
        <v>4.2999999999999997E-2</v>
      </c>
      <c r="N27" s="275">
        <v>5.7000000000000002E-2</v>
      </c>
      <c r="O27" s="275">
        <v>7.0999999999999994E-2</v>
      </c>
      <c r="P27" s="275">
        <v>8.5000000000000006E-2</v>
      </c>
      <c r="Q27" s="275">
        <v>0.105</v>
      </c>
      <c r="R27" s="275">
        <v>0.126</v>
      </c>
      <c r="S27" s="275">
        <v>0.14599999999999999</v>
      </c>
      <c r="T27" s="275">
        <v>0.16600000000000001</v>
      </c>
      <c r="U27" s="275">
        <v>0.186</v>
      </c>
      <c r="V27" s="275">
        <v>0.20799999999999999</v>
      </c>
      <c r="W27" s="275">
        <v>0.23</v>
      </c>
      <c r="X27" s="275">
        <v>0.252</v>
      </c>
      <c r="Y27" s="275">
        <v>0.27500000000000002</v>
      </c>
      <c r="Z27" s="275">
        <v>0.29699999999999999</v>
      </c>
      <c r="AA27" s="275">
        <v>0.31900000000000001</v>
      </c>
      <c r="AB27" s="275">
        <v>0.34200000000000003</v>
      </c>
      <c r="AC27" s="275">
        <v>0.36499999999999999</v>
      </c>
      <c r="AD27" s="275">
        <v>0.38700000000000001</v>
      </c>
      <c r="AE27" s="275">
        <v>0.41</v>
      </c>
      <c r="AF27" s="275">
        <v>0.42199999999999999</v>
      </c>
      <c r="AG27" s="275">
        <v>0.434</v>
      </c>
      <c r="AH27" s="275">
        <v>0.44600000000000001</v>
      </c>
      <c r="AI27" s="275">
        <v>0.45800000000000002</v>
      </c>
      <c r="AJ27" s="275">
        <v>0.46899999999999997</v>
      </c>
      <c r="AK27" s="364"/>
      <c r="AL27" s="1" t="s">
        <v>301</v>
      </c>
      <c r="AM27" s="25"/>
      <c r="AN27" s="25"/>
      <c r="AO27" s="1"/>
      <c r="AP27" s="1"/>
      <c r="AQ27" s="1"/>
      <c r="AR27" s="1"/>
    </row>
    <row r="28" spans="1:44" ht="14.25" customHeight="1">
      <c r="A28" s="1"/>
      <c r="B28" s="1" t="s">
        <v>145</v>
      </c>
      <c r="C28" s="1" t="s">
        <v>154</v>
      </c>
      <c r="D28" s="1" t="s">
        <v>159</v>
      </c>
      <c r="E28" s="1"/>
      <c r="F28" s="1" t="s">
        <v>156</v>
      </c>
      <c r="G28" s="1" t="s">
        <v>153</v>
      </c>
      <c r="H28" s="275">
        <v>2E-3</v>
      </c>
      <c r="I28" s="275">
        <v>6.0000000000000001E-3</v>
      </c>
      <c r="J28" s="275">
        <v>8.9999999999999993E-3</v>
      </c>
      <c r="K28" s="275">
        <v>1.2E-2</v>
      </c>
      <c r="L28" s="275">
        <v>2.1000000000000001E-2</v>
      </c>
      <c r="M28" s="275">
        <v>0.03</v>
      </c>
      <c r="N28" s="275">
        <v>3.9E-2</v>
      </c>
      <c r="O28" s="275">
        <v>4.9000000000000002E-2</v>
      </c>
      <c r="P28" s="275">
        <v>5.8000000000000003E-2</v>
      </c>
      <c r="Q28" s="275">
        <v>7.0000000000000007E-2</v>
      </c>
      <c r="R28" s="275">
        <v>8.2000000000000003E-2</v>
      </c>
      <c r="S28" s="275">
        <v>9.4E-2</v>
      </c>
      <c r="T28" s="275">
        <v>0.106</v>
      </c>
      <c r="U28" s="275">
        <v>0.11799999999999999</v>
      </c>
      <c r="V28" s="275">
        <v>0.13400000000000001</v>
      </c>
      <c r="W28" s="275">
        <v>0.15</v>
      </c>
      <c r="X28" s="275">
        <v>0.16600000000000001</v>
      </c>
      <c r="Y28" s="275">
        <v>0.182</v>
      </c>
      <c r="Z28" s="275">
        <v>0.19800000000000001</v>
      </c>
      <c r="AA28" s="275">
        <v>0.23400000000000001</v>
      </c>
      <c r="AB28" s="275">
        <v>0.27</v>
      </c>
      <c r="AC28" s="275">
        <v>0.30599999999999999</v>
      </c>
      <c r="AD28" s="275">
        <v>0.34200000000000003</v>
      </c>
      <c r="AE28" s="275">
        <v>0.377</v>
      </c>
      <c r="AF28" s="275">
        <v>0.38900000000000001</v>
      </c>
      <c r="AG28" s="275">
        <v>0.4</v>
      </c>
      <c r="AH28" s="275">
        <v>0.41199999999999998</v>
      </c>
      <c r="AI28" s="275">
        <v>0.42299999999999999</v>
      </c>
      <c r="AJ28" s="275">
        <v>0.435</v>
      </c>
      <c r="AK28" s="364"/>
      <c r="AL28" s="1" t="s">
        <v>278</v>
      </c>
      <c r="AM28" s="25"/>
      <c r="AN28" s="25"/>
      <c r="AO28" s="1"/>
      <c r="AP28" s="1"/>
      <c r="AQ28" s="1"/>
      <c r="AR28" s="1"/>
    </row>
    <row r="29" spans="1:44" ht="14.25" customHeight="1">
      <c r="A29" s="1"/>
      <c r="B29" s="1" t="s">
        <v>145</v>
      </c>
      <c r="C29" s="1" t="s">
        <v>154</v>
      </c>
      <c r="D29" s="1" t="s">
        <v>161</v>
      </c>
      <c r="E29" s="1"/>
      <c r="F29" s="1" t="s">
        <v>156</v>
      </c>
      <c r="G29" s="1" t="s">
        <v>153</v>
      </c>
      <c r="H29" s="275">
        <v>0</v>
      </c>
      <c r="I29" s="275">
        <v>0</v>
      </c>
      <c r="J29" s="275">
        <v>0</v>
      </c>
      <c r="K29" s="275">
        <v>0</v>
      </c>
      <c r="L29" s="275">
        <v>9.9000000000000005E-2</v>
      </c>
      <c r="M29" s="275">
        <v>0.19800000000000001</v>
      </c>
      <c r="N29" s="275">
        <v>0.29799999999999999</v>
      </c>
      <c r="O29" s="275">
        <v>0.39700000000000002</v>
      </c>
      <c r="P29" s="275">
        <v>0.496</v>
      </c>
      <c r="Q29" s="275">
        <v>0.59699999999999998</v>
      </c>
      <c r="R29" s="275">
        <v>0.69799999999999995</v>
      </c>
      <c r="S29" s="275">
        <v>0.79800000000000004</v>
      </c>
      <c r="T29" s="275">
        <v>0.89900000000000002</v>
      </c>
      <c r="U29" s="275">
        <v>1</v>
      </c>
      <c r="V29" s="275">
        <v>1</v>
      </c>
      <c r="W29" s="275">
        <v>1</v>
      </c>
      <c r="X29" s="275">
        <v>1</v>
      </c>
      <c r="Y29" s="275">
        <v>1</v>
      </c>
      <c r="Z29" s="275">
        <v>1</v>
      </c>
      <c r="AA29" s="275">
        <v>1</v>
      </c>
      <c r="AB29" s="275">
        <v>1</v>
      </c>
      <c r="AC29" s="275">
        <v>1</v>
      </c>
      <c r="AD29" s="275">
        <v>1</v>
      </c>
      <c r="AE29" s="275">
        <v>1</v>
      </c>
      <c r="AF29" s="275">
        <v>1</v>
      </c>
      <c r="AG29" s="275">
        <v>1</v>
      </c>
      <c r="AH29" s="275">
        <v>1</v>
      </c>
      <c r="AI29" s="275">
        <v>1</v>
      </c>
      <c r="AJ29" s="275">
        <v>1</v>
      </c>
      <c r="AK29" s="364"/>
      <c r="AL29" s="1" t="s">
        <v>278</v>
      </c>
      <c r="AM29" s="25"/>
      <c r="AN29" s="25"/>
      <c r="AO29" s="1"/>
      <c r="AP29" s="1"/>
      <c r="AQ29" s="1"/>
      <c r="AR29" s="1"/>
    </row>
    <row r="30" spans="1:44" ht="14.25" customHeight="1">
      <c r="A30" s="1"/>
      <c r="B30" s="1" t="s">
        <v>145</v>
      </c>
      <c r="C30" s="1" t="s">
        <v>154</v>
      </c>
      <c r="D30" s="1" t="s">
        <v>166</v>
      </c>
      <c r="E30" s="1"/>
      <c r="F30" s="1" t="s">
        <v>156</v>
      </c>
      <c r="G30" s="1" t="s">
        <v>153</v>
      </c>
      <c r="H30" s="275">
        <v>0.01</v>
      </c>
      <c r="I30" s="275">
        <v>2.3E-2</v>
      </c>
      <c r="J30" s="275">
        <v>3.6999999999999998E-2</v>
      </c>
      <c r="K30" s="275">
        <v>0.05</v>
      </c>
      <c r="L30" s="275">
        <v>0.1</v>
      </c>
      <c r="M30" s="275">
        <v>0.15</v>
      </c>
      <c r="N30" s="275">
        <v>0.2</v>
      </c>
      <c r="O30" s="275">
        <v>0.25</v>
      </c>
      <c r="P30" s="275">
        <v>0.3</v>
      </c>
      <c r="Q30" s="275">
        <v>0.34</v>
      </c>
      <c r="R30" s="275">
        <v>0.38</v>
      </c>
      <c r="S30" s="275">
        <v>0.42</v>
      </c>
      <c r="T30" s="275">
        <v>0.46</v>
      </c>
      <c r="U30" s="275">
        <v>0.5</v>
      </c>
      <c r="V30" s="275">
        <v>0.54</v>
      </c>
      <c r="W30" s="275">
        <v>0.57999999999999996</v>
      </c>
      <c r="X30" s="275">
        <v>0.62</v>
      </c>
      <c r="Y30" s="275">
        <v>0.65900000000000003</v>
      </c>
      <c r="Z30" s="275">
        <v>0.69899999999999995</v>
      </c>
      <c r="AA30" s="275">
        <v>0.74</v>
      </c>
      <c r="AB30" s="275">
        <v>0.78</v>
      </c>
      <c r="AC30" s="275">
        <v>0.82</v>
      </c>
      <c r="AD30" s="275">
        <v>0.86099999999999999</v>
      </c>
      <c r="AE30" s="275">
        <v>0.90100000000000002</v>
      </c>
      <c r="AF30" s="275">
        <v>0.90900000000000003</v>
      </c>
      <c r="AG30" s="275">
        <v>0.91800000000000004</v>
      </c>
      <c r="AH30" s="275">
        <v>0.92600000000000005</v>
      </c>
      <c r="AI30" s="275">
        <v>0.93500000000000005</v>
      </c>
      <c r="AJ30" s="275">
        <v>0.94299999999999995</v>
      </c>
      <c r="AK30" s="364"/>
      <c r="AL30" s="1" t="s">
        <v>278</v>
      </c>
      <c r="AM30" s="25"/>
      <c r="AN30" s="25"/>
      <c r="AO30" s="1"/>
      <c r="AP30" s="1"/>
      <c r="AQ30" s="1"/>
      <c r="AR30" s="1"/>
    </row>
    <row r="31" spans="1:44" ht="14.25" customHeight="1">
      <c r="A31" s="1"/>
      <c r="B31" s="1" t="s">
        <v>145</v>
      </c>
      <c r="C31" s="1" t="s">
        <v>154</v>
      </c>
      <c r="D31" s="1" t="s">
        <v>167</v>
      </c>
      <c r="E31" s="1"/>
      <c r="F31" s="1" t="s">
        <v>156</v>
      </c>
      <c r="G31" s="1" t="s">
        <v>153</v>
      </c>
      <c r="H31" s="275">
        <v>5.0000000000000001E-3</v>
      </c>
      <c r="I31" s="275">
        <v>1.4E-2</v>
      </c>
      <c r="J31" s="275">
        <v>2.3E-2</v>
      </c>
      <c r="K31" s="275">
        <v>3.2000000000000001E-2</v>
      </c>
      <c r="L31" s="275">
        <v>6.4000000000000001E-2</v>
      </c>
      <c r="M31" s="275">
        <v>9.6000000000000002E-2</v>
      </c>
      <c r="N31" s="275">
        <v>0.129</v>
      </c>
      <c r="O31" s="275">
        <v>0.161</v>
      </c>
      <c r="P31" s="275">
        <v>0.193</v>
      </c>
      <c r="Q31" s="275">
        <v>0.223</v>
      </c>
      <c r="R31" s="275">
        <v>0.253</v>
      </c>
      <c r="S31" s="275">
        <v>0.28299999999999997</v>
      </c>
      <c r="T31" s="275">
        <v>0.313</v>
      </c>
      <c r="U31" s="275">
        <v>0.34300000000000003</v>
      </c>
      <c r="V31" s="275">
        <v>0.374</v>
      </c>
      <c r="W31" s="275">
        <v>0.40500000000000003</v>
      </c>
      <c r="X31" s="275">
        <v>0.436</v>
      </c>
      <c r="Y31" s="275">
        <v>0.46700000000000003</v>
      </c>
      <c r="Z31" s="275">
        <v>0.498</v>
      </c>
      <c r="AA31" s="275">
        <v>0.52900000000000003</v>
      </c>
      <c r="AB31" s="275">
        <v>0.56100000000000005</v>
      </c>
      <c r="AC31" s="275">
        <v>0.59199999999999997</v>
      </c>
      <c r="AD31" s="275">
        <v>0.624</v>
      </c>
      <c r="AE31" s="275">
        <v>0.65500000000000003</v>
      </c>
      <c r="AF31" s="275">
        <v>0.66600000000000004</v>
      </c>
      <c r="AG31" s="275">
        <v>0.67600000000000005</v>
      </c>
      <c r="AH31" s="275">
        <v>0.68600000000000005</v>
      </c>
      <c r="AI31" s="275">
        <v>0.69599999999999995</v>
      </c>
      <c r="AJ31" s="275">
        <v>0.70599999999999996</v>
      </c>
      <c r="AK31" s="364"/>
      <c r="AL31" s="1" t="s">
        <v>304</v>
      </c>
      <c r="AM31" s="25"/>
      <c r="AN31" s="25"/>
      <c r="AO31" s="1"/>
      <c r="AP31" s="1"/>
      <c r="AQ31" s="1"/>
      <c r="AR31" s="1"/>
    </row>
    <row r="32" spans="1:44" ht="14.25" customHeight="1">
      <c r="A32" s="1"/>
      <c r="B32" s="1" t="s">
        <v>145</v>
      </c>
      <c r="C32" s="1" t="s">
        <v>154</v>
      </c>
      <c r="D32" s="1" t="s">
        <v>172</v>
      </c>
      <c r="E32" s="1"/>
      <c r="F32" s="1" t="s">
        <v>156</v>
      </c>
      <c r="G32" s="1" t="s">
        <v>153</v>
      </c>
      <c r="H32" s="275">
        <v>1E-3</v>
      </c>
      <c r="I32" s="275">
        <v>0.01</v>
      </c>
      <c r="J32" s="275">
        <v>1.9E-2</v>
      </c>
      <c r="K32" s="275">
        <v>2.9000000000000001E-2</v>
      </c>
      <c r="L32" s="275">
        <v>5.7000000000000002E-2</v>
      </c>
      <c r="M32" s="275">
        <v>8.5000000000000006E-2</v>
      </c>
      <c r="N32" s="275">
        <v>0.114</v>
      </c>
      <c r="O32" s="275">
        <v>0.14199999999999999</v>
      </c>
      <c r="P32" s="275">
        <v>0.17100000000000001</v>
      </c>
      <c r="Q32" s="275">
        <v>0.21099999999999999</v>
      </c>
      <c r="R32" s="275">
        <v>0.251</v>
      </c>
      <c r="S32" s="275">
        <v>0.29099999999999998</v>
      </c>
      <c r="T32" s="275">
        <v>0.33200000000000002</v>
      </c>
      <c r="U32" s="275">
        <v>0.372</v>
      </c>
      <c r="V32" s="275">
        <v>0.41599999999999998</v>
      </c>
      <c r="W32" s="275">
        <v>0.46</v>
      </c>
      <c r="X32" s="275">
        <v>0.505</v>
      </c>
      <c r="Y32" s="275">
        <v>0.54900000000000004</v>
      </c>
      <c r="Z32" s="275">
        <v>0.59299999999999997</v>
      </c>
      <c r="AA32" s="275">
        <v>0.63900000000000001</v>
      </c>
      <c r="AB32" s="275">
        <v>0.68400000000000005</v>
      </c>
      <c r="AC32" s="275">
        <v>0.72899999999999998</v>
      </c>
      <c r="AD32" s="275">
        <v>0.77400000000000002</v>
      </c>
      <c r="AE32" s="275">
        <v>0.82</v>
      </c>
      <c r="AF32" s="275">
        <v>0.84399999999999997</v>
      </c>
      <c r="AG32" s="275">
        <v>0.86699999999999999</v>
      </c>
      <c r="AH32" s="275">
        <v>0.89100000000000001</v>
      </c>
      <c r="AI32" s="275">
        <v>0.91500000000000004</v>
      </c>
      <c r="AJ32" s="275">
        <v>0.93899999999999995</v>
      </c>
      <c r="AK32" s="364"/>
      <c r="AL32" s="1" t="s">
        <v>173</v>
      </c>
      <c r="AM32" s="25"/>
      <c r="AN32" s="25"/>
      <c r="AO32" s="1"/>
      <c r="AP32" s="1"/>
      <c r="AQ32" s="1"/>
      <c r="AR32" s="1"/>
    </row>
    <row r="33" spans="2:58" ht="14.25" customHeight="1">
      <c r="B33" s="1"/>
      <c r="C33" s="1"/>
      <c r="D33" s="1" t="s">
        <v>308</v>
      </c>
      <c r="E33" s="1"/>
      <c r="F33" s="1" t="s">
        <v>184</v>
      </c>
      <c r="G33" s="1"/>
      <c r="H33" s="275">
        <v>4.0000000000000001E-3</v>
      </c>
      <c r="I33" s="275">
        <v>7.0000000000000001E-3</v>
      </c>
      <c r="J33" s="275">
        <v>1.0999999999999999E-2</v>
      </c>
      <c r="K33" s="275">
        <v>1.4E-2</v>
      </c>
      <c r="L33" s="275">
        <v>1.7999999999999999E-2</v>
      </c>
      <c r="M33" s="275">
        <v>2.1000000000000001E-2</v>
      </c>
      <c r="N33" s="275">
        <v>2.5000000000000001E-2</v>
      </c>
      <c r="O33" s="275">
        <v>2.8000000000000001E-2</v>
      </c>
      <c r="P33" s="275">
        <v>3.1E-2</v>
      </c>
      <c r="Q33" s="275">
        <v>3.5000000000000003E-2</v>
      </c>
      <c r="R33" s="275">
        <v>3.7999999999999999E-2</v>
      </c>
      <c r="S33" s="275">
        <v>4.2000000000000003E-2</v>
      </c>
      <c r="T33" s="275">
        <v>4.4999999999999998E-2</v>
      </c>
      <c r="U33" s="275">
        <v>4.9000000000000002E-2</v>
      </c>
      <c r="V33" s="275">
        <v>5.1999999999999998E-2</v>
      </c>
      <c r="W33" s="275">
        <v>5.5E-2</v>
      </c>
      <c r="X33" s="275">
        <v>5.8999999999999997E-2</v>
      </c>
      <c r="Y33" s="275">
        <v>6.2E-2</v>
      </c>
      <c r="Z33" s="275">
        <v>6.6000000000000003E-2</v>
      </c>
      <c r="AA33" s="275">
        <v>6.9000000000000006E-2</v>
      </c>
      <c r="AB33" s="275">
        <v>7.2999999999999995E-2</v>
      </c>
      <c r="AC33" s="275">
        <v>7.5999999999999998E-2</v>
      </c>
      <c r="AD33" s="275">
        <v>7.9000000000000001E-2</v>
      </c>
      <c r="AE33" s="275">
        <v>8.3000000000000004E-2</v>
      </c>
      <c r="AF33" s="275">
        <v>8.5999999999999993E-2</v>
      </c>
      <c r="AG33" s="275">
        <v>0.09</v>
      </c>
      <c r="AH33" s="275">
        <v>9.2999999999999999E-2</v>
      </c>
      <c r="AI33" s="275">
        <v>9.7000000000000003E-2</v>
      </c>
      <c r="AJ33" s="275">
        <v>0.1</v>
      </c>
      <c r="AK33" s="364"/>
      <c r="AL33" s="1" t="s">
        <v>186</v>
      </c>
      <c r="AM33" s="25"/>
      <c r="AN33" s="25"/>
      <c r="AO33" s="1"/>
      <c r="AP33" s="1"/>
      <c r="AQ33" s="1"/>
      <c r="AR33" s="1"/>
      <c r="AS33" s="1"/>
      <c r="AT33" s="1"/>
      <c r="AU33" s="1"/>
      <c r="AV33" s="1"/>
      <c r="AW33" s="1"/>
      <c r="AX33" s="1"/>
      <c r="AY33" s="1"/>
      <c r="AZ33" s="1"/>
      <c r="BA33" s="1"/>
      <c r="BB33" s="1"/>
      <c r="BC33" s="1"/>
      <c r="BD33" s="1"/>
      <c r="BE33" s="1"/>
      <c r="BF33" s="1"/>
    </row>
    <row r="34" spans="2:58" ht="14.25" customHeight="1">
      <c r="B34" s="1"/>
      <c r="C34" s="1"/>
      <c r="D34" s="1" t="s">
        <v>312</v>
      </c>
      <c r="E34" s="1"/>
      <c r="F34" s="1" t="s">
        <v>184</v>
      </c>
      <c r="G34" s="1"/>
      <c r="H34" s="355">
        <v>0</v>
      </c>
      <c r="I34" s="275">
        <v>0.01</v>
      </c>
      <c r="J34" s="275">
        <v>1.0999999999999999E-2</v>
      </c>
      <c r="K34" s="275">
        <v>1.2E-2</v>
      </c>
      <c r="L34" s="275">
        <v>1.4E-2</v>
      </c>
      <c r="M34" s="275">
        <v>1.4999999999999999E-2</v>
      </c>
      <c r="N34" s="275">
        <v>1.7000000000000001E-2</v>
      </c>
      <c r="O34" s="275">
        <v>1.7999999999999999E-2</v>
      </c>
      <c r="P34" s="275">
        <v>0.02</v>
      </c>
      <c r="Q34" s="275">
        <v>2.1000000000000001E-2</v>
      </c>
      <c r="R34" s="275">
        <v>2.3E-2</v>
      </c>
      <c r="S34" s="275">
        <v>2.4E-2</v>
      </c>
      <c r="T34" s="275">
        <v>2.5999999999999999E-2</v>
      </c>
      <c r="U34" s="275">
        <v>2.7E-2</v>
      </c>
      <c r="V34" s="275">
        <v>2.9000000000000001E-2</v>
      </c>
      <c r="W34" s="275">
        <v>0.03</v>
      </c>
      <c r="X34" s="275">
        <v>3.2000000000000001E-2</v>
      </c>
      <c r="Y34" s="275">
        <v>3.3000000000000002E-2</v>
      </c>
      <c r="Z34" s="275">
        <v>3.5000000000000003E-2</v>
      </c>
      <c r="AA34" s="275">
        <v>3.5999999999999997E-2</v>
      </c>
      <c r="AB34" s="275">
        <v>3.7999999999999999E-2</v>
      </c>
      <c r="AC34" s="275">
        <v>3.9E-2</v>
      </c>
      <c r="AD34" s="275">
        <v>4.1000000000000002E-2</v>
      </c>
      <c r="AE34" s="275">
        <v>4.2000000000000003E-2</v>
      </c>
      <c r="AF34" s="275">
        <v>4.3999999999999997E-2</v>
      </c>
      <c r="AG34" s="275">
        <v>4.4999999999999998E-2</v>
      </c>
      <c r="AH34" s="275">
        <v>4.7E-2</v>
      </c>
      <c r="AI34" s="275">
        <v>4.8000000000000001E-2</v>
      </c>
      <c r="AJ34" s="275">
        <v>0.05</v>
      </c>
      <c r="AK34" s="364"/>
      <c r="AL34" s="1" t="s">
        <v>313</v>
      </c>
      <c r="AM34" s="25"/>
      <c r="AN34" s="25"/>
      <c r="AO34" s="1"/>
      <c r="AP34" s="1"/>
      <c r="AQ34" s="1"/>
      <c r="AR34" s="1"/>
      <c r="AS34" s="1"/>
      <c r="AT34" s="1"/>
      <c r="AU34" s="1"/>
      <c r="AV34" s="1"/>
      <c r="AW34" s="1"/>
      <c r="AX34" s="1"/>
      <c r="AY34" s="1"/>
      <c r="AZ34" s="1"/>
      <c r="BA34" s="1"/>
      <c r="BB34" s="1"/>
      <c r="BC34" s="1"/>
      <c r="BD34" s="1"/>
      <c r="BE34" s="1"/>
      <c r="BF34" s="1"/>
    </row>
    <row r="35" spans="2:58" ht="14.25" customHeight="1">
      <c r="B35" s="1"/>
      <c r="C35" s="1"/>
      <c r="D35" s="1" t="s">
        <v>191</v>
      </c>
      <c r="E35" s="1"/>
      <c r="F35" s="1" t="s">
        <v>184</v>
      </c>
      <c r="G35" s="1"/>
      <c r="H35" s="275">
        <v>7.0000000000000001E-3</v>
      </c>
      <c r="I35" s="275">
        <v>0.01</v>
      </c>
      <c r="J35" s="275">
        <v>1.4E-2</v>
      </c>
      <c r="K35" s="275">
        <v>1.7999999999999999E-2</v>
      </c>
      <c r="L35" s="275">
        <v>2.1000000000000001E-2</v>
      </c>
      <c r="M35" s="275">
        <v>2.5000000000000001E-2</v>
      </c>
      <c r="N35" s="275">
        <v>2.9000000000000001E-2</v>
      </c>
      <c r="O35" s="275">
        <v>3.2000000000000001E-2</v>
      </c>
      <c r="P35" s="275">
        <v>3.5999999999999997E-2</v>
      </c>
      <c r="Q35" s="275">
        <v>0.04</v>
      </c>
      <c r="R35" s="275">
        <v>4.3999999999999997E-2</v>
      </c>
      <c r="S35" s="275">
        <v>4.7E-2</v>
      </c>
      <c r="T35" s="275">
        <v>5.0999999999999997E-2</v>
      </c>
      <c r="U35" s="275">
        <v>5.5E-2</v>
      </c>
      <c r="V35" s="275">
        <v>5.8000000000000003E-2</v>
      </c>
      <c r="W35" s="275">
        <v>6.2E-2</v>
      </c>
      <c r="X35" s="275">
        <v>6.6000000000000003E-2</v>
      </c>
      <c r="Y35" s="275">
        <v>6.9000000000000006E-2</v>
      </c>
      <c r="Z35" s="275">
        <v>7.2999999999999995E-2</v>
      </c>
      <c r="AA35" s="275">
        <v>7.6999999999999999E-2</v>
      </c>
      <c r="AB35" s="275">
        <v>0.08</v>
      </c>
      <c r="AC35" s="275">
        <v>8.4000000000000005E-2</v>
      </c>
      <c r="AD35" s="275">
        <v>8.7999999999999995E-2</v>
      </c>
      <c r="AE35" s="275">
        <v>9.1999999999999998E-2</v>
      </c>
      <c r="AF35" s="275">
        <v>9.5000000000000001E-2</v>
      </c>
      <c r="AG35" s="275">
        <v>9.9000000000000005E-2</v>
      </c>
      <c r="AH35" s="275">
        <v>0.10299999999999999</v>
      </c>
      <c r="AI35" s="275">
        <v>0.106</v>
      </c>
      <c r="AJ35" s="275">
        <v>0.11</v>
      </c>
      <c r="AK35" s="364"/>
      <c r="AL35" s="1" t="s">
        <v>192</v>
      </c>
      <c r="AM35" s="25"/>
      <c r="AN35" s="25"/>
      <c r="AO35" s="1"/>
      <c r="AP35" s="1"/>
      <c r="AQ35" s="1"/>
      <c r="AR35" s="1"/>
      <c r="AS35" s="1"/>
      <c r="AT35" s="1"/>
      <c r="AU35" s="1"/>
      <c r="AV35" s="1"/>
      <c r="AW35" s="1"/>
      <c r="AX35" s="1"/>
      <c r="AY35" s="1"/>
      <c r="AZ35" s="1"/>
      <c r="BA35" s="1"/>
      <c r="BB35" s="1"/>
      <c r="BC35" s="1"/>
      <c r="BD35" s="1"/>
      <c r="BE35" s="1"/>
      <c r="BF35" s="1"/>
    </row>
    <row r="36" spans="2:58" ht="14.25" customHeight="1">
      <c r="B36" s="1" t="s">
        <v>194</v>
      </c>
      <c r="C36" s="1" t="s">
        <v>154</v>
      </c>
      <c r="D36" s="1"/>
      <c r="E36" s="1"/>
      <c r="F36" s="1" t="s">
        <v>156</v>
      </c>
      <c r="G36" s="1" t="s">
        <v>153</v>
      </c>
      <c r="H36" s="275">
        <v>4.0000000000000001E-3</v>
      </c>
      <c r="I36" s="275">
        <v>6.0000000000000001E-3</v>
      </c>
      <c r="J36" s="275">
        <v>8.0000000000000002E-3</v>
      </c>
      <c r="K36" s="275">
        <v>0.01</v>
      </c>
      <c r="L36" s="275">
        <v>1.4E-2</v>
      </c>
      <c r="M36" s="275">
        <v>1.7999999999999999E-2</v>
      </c>
      <c r="N36" s="275">
        <v>2.1999999999999999E-2</v>
      </c>
      <c r="O36" s="275">
        <v>2.5999999999999999E-2</v>
      </c>
      <c r="P36" s="275">
        <v>0.03</v>
      </c>
      <c r="Q36" s="275">
        <v>3.4000000000000002E-2</v>
      </c>
      <c r="R36" s="275">
        <v>3.7999999999999999E-2</v>
      </c>
      <c r="S36" s="275">
        <v>4.2000000000000003E-2</v>
      </c>
      <c r="T36" s="275">
        <v>4.5999999999999999E-2</v>
      </c>
      <c r="U36" s="275">
        <v>0.05</v>
      </c>
      <c r="V36" s="275">
        <v>0.06</v>
      </c>
      <c r="W36" s="275">
        <v>7.0000000000000007E-2</v>
      </c>
      <c r="X36" s="275">
        <v>0.08</v>
      </c>
      <c r="Y36" s="275">
        <v>0.09</v>
      </c>
      <c r="Z36" s="275">
        <v>0.1</v>
      </c>
      <c r="AA36" s="275">
        <v>0.14899999999999999</v>
      </c>
      <c r="AB36" s="275">
        <v>0.19800000000000001</v>
      </c>
      <c r="AC36" s="275">
        <v>0.247</v>
      </c>
      <c r="AD36" s="275">
        <v>0.29599999999999999</v>
      </c>
      <c r="AE36" s="275">
        <v>0.34499999999999997</v>
      </c>
      <c r="AF36" s="275">
        <v>0.35599999999999998</v>
      </c>
      <c r="AG36" s="275">
        <v>0.36699999999999999</v>
      </c>
      <c r="AH36" s="275">
        <v>0.378</v>
      </c>
      <c r="AI36" s="275">
        <v>0.38900000000000001</v>
      </c>
      <c r="AJ36" s="275">
        <v>0.4</v>
      </c>
      <c r="AK36" s="364"/>
      <c r="AL36" s="1" t="s">
        <v>278</v>
      </c>
      <c r="AM36" s="25"/>
      <c r="AN36" s="1"/>
      <c r="AO36" s="1"/>
      <c r="AP36" s="1"/>
      <c r="AQ36" s="1"/>
      <c r="AR36" s="1"/>
      <c r="AS36" s="1"/>
      <c r="AT36" s="1" t="s">
        <v>194</v>
      </c>
      <c r="AU36" s="1"/>
      <c r="AV36" s="1"/>
      <c r="AW36" s="1"/>
      <c r="AX36" s="1"/>
      <c r="AY36" s="1"/>
      <c r="AZ36" s="1"/>
      <c r="BA36" s="1"/>
      <c r="BB36" s="1"/>
      <c r="BC36" s="1"/>
      <c r="BD36" s="1"/>
      <c r="BE36" s="1"/>
      <c r="BF36" s="1"/>
    </row>
    <row r="37" spans="2:58" ht="14.25" customHeight="1">
      <c r="B37" s="1" t="s">
        <v>199</v>
      </c>
      <c r="C37" s="1" t="s">
        <v>154</v>
      </c>
      <c r="D37" s="1"/>
      <c r="E37" s="1"/>
      <c r="F37" s="1" t="s">
        <v>156</v>
      </c>
      <c r="G37" s="1" t="s">
        <v>153</v>
      </c>
      <c r="H37" s="275">
        <v>0</v>
      </c>
      <c r="I37" s="275">
        <v>0</v>
      </c>
      <c r="J37" s="275">
        <v>1E-3</v>
      </c>
      <c r="K37" s="275">
        <v>1E-3</v>
      </c>
      <c r="L37" s="275">
        <v>2E-3</v>
      </c>
      <c r="M37" s="275">
        <v>4.0000000000000001E-3</v>
      </c>
      <c r="N37" s="275">
        <v>5.0000000000000001E-3</v>
      </c>
      <c r="O37" s="275">
        <v>7.0000000000000001E-3</v>
      </c>
      <c r="P37" s="275">
        <v>8.0000000000000002E-3</v>
      </c>
      <c r="Q37" s="275">
        <v>1.2E-2</v>
      </c>
      <c r="R37" s="275">
        <v>1.6E-2</v>
      </c>
      <c r="S37" s="275">
        <v>0.02</v>
      </c>
      <c r="T37" s="275">
        <v>2.4E-2</v>
      </c>
      <c r="U37" s="275">
        <v>2.8000000000000001E-2</v>
      </c>
      <c r="V37" s="275">
        <v>3.9E-2</v>
      </c>
      <c r="W37" s="275">
        <v>4.9000000000000002E-2</v>
      </c>
      <c r="X37" s="275">
        <v>0.06</v>
      </c>
      <c r="Y37" s="275">
        <v>7.0999999999999994E-2</v>
      </c>
      <c r="Z37" s="275">
        <v>8.2000000000000003E-2</v>
      </c>
      <c r="AA37" s="275">
        <v>9.1999999999999998E-2</v>
      </c>
      <c r="AB37" s="275">
        <v>0.10299999999999999</v>
      </c>
      <c r="AC37" s="275">
        <v>0.113</v>
      </c>
      <c r="AD37" s="275">
        <v>0.123</v>
      </c>
      <c r="AE37" s="275">
        <v>0.13300000000000001</v>
      </c>
      <c r="AF37" s="275">
        <v>0.14499999999999999</v>
      </c>
      <c r="AG37" s="275">
        <v>0.157</v>
      </c>
      <c r="AH37" s="275">
        <v>0.16900000000000001</v>
      </c>
      <c r="AI37" s="275">
        <v>0.18099999999999999</v>
      </c>
      <c r="AJ37" s="275">
        <v>0.192</v>
      </c>
      <c r="AK37" s="364"/>
      <c r="AL37" s="1" t="s">
        <v>278</v>
      </c>
      <c r="AM37" s="25"/>
      <c r="AN37" s="1"/>
      <c r="AO37" s="1"/>
      <c r="AP37" s="1"/>
      <c r="AQ37" s="1"/>
      <c r="AR37" s="1"/>
      <c r="AS37" s="1"/>
      <c r="AT37" s="1" t="s">
        <v>199</v>
      </c>
      <c r="AU37" s="1"/>
      <c r="AV37" s="1"/>
      <c r="AW37" s="1"/>
      <c r="AX37" s="1"/>
      <c r="AY37" s="1"/>
      <c r="AZ37" s="1"/>
      <c r="BA37" s="1"/>
      <c r="BB37" s="1"/>
      <c r="BC37" s="1"/>
      <c r="BD37" s="1"/>
      <c r="BE37" s="1"/>
      <c r="BF37" s="1"/>
    </row>
    <row r="38" spans="2:58" ht="14.25" customHeight="1">
      <c r="B38" s="1" t="s">
        <v>202</v>
      </c>
      <c r="C38" s="1" t="s">
        <v>154</v>
      </c>
      <c r="D38" s="1"/>
      <c r="E38" s="1"/>
      <c r="F38" s="1" t="s">
        <v>156</v>
      </c>
      <c r="G38" s="1" t="s">
        <v>153</v>
      </c>
      <c r="H38" s="275">
        <v>0</v>
      </c>
      <c r="I38" s="275">
        <v>0</v>
      </c>
      <c r="J38" s="275">
        <v>0</v>
      </c>
      <c r="K38" s="275">
        <v>1E-3</v>
      </c>
      <c r="L38" s="275">
        <v>2E-3</v>
      </c>
      <c r="M38" s="275">
        <v>3.0000000000000001E-3</v>
      </c>
      <c r="N38" s="275">
        <v>4.0000000000000001E-3</v>
      </c>
      <c r="O38" s="275">
        <v>6.0000000000000001E-3</v>
      </c>
      <c r="P38" s="275">
        <v>7.0000000000000001E-3</v>
      </c>
      <c r="Q38" s="275">
        <v>8.0000000000000002E-3</v>
      </c>
      <c r="R38" s="275">
        <v>0.01</v>
      </c>
      <c r="S38" s="275">
        <v>1.0999999999999999E-2</v>
      </c>
      <c r="T38" s="275">
        <v>1.2E-2</v>
      </c>
      <c r="U38" s="275">
        <v>1.4E-2</v>
      </c>
      <c r="V38" s="275">
        <v>2.3E-2</v>
      </c>
      <c r="W38" s="275">
        <v>3.3000000000000002E-2</v>
      </c>
      <c r="X38" s="275">
        <v>4.2000000000000003E-2</v>
      </c>
      <c r="Y38" s="275">
        <v>5.1999999999999998E-2</v>
      </c>
      <c r="Z38" s="275">
        <v>6.0999999999999999E-2</v>
      </c>
      <c r="AA38" s="275">
        <v>6.4000000000000001E-2</v>
      </c>
      <c r="AB38" s="275">
        <v>6.8000000000000005E-2</v>
      </c>
      <c r="AC38" s="275">
        <v>7.0999999999999994E-2</v>
      </c>
      <c r="AD38" s="275">
        <v>7.4999999999999997E-2</v>
      </c>
      <c r="AE38" s="275">
        <v>7.8E-2</v>
      </c>
      <c r="AF38" s="275">
        <v>8.2000000000000003E-2</v>
      </c>
      <c r="AG38" s="275">
        <v>8.5000000000000006E-2</v>
      </c>
      <c r="AH38" s="275">
        <v>8.7999999999999995E-2</v>
      </c>
      <c r="AI38" s="275">
        <v>9.1999999999999998E-2</v>
      </c>
      <c r="AJ38" s="275">
        <v>9.5000000000000001E-2</v>
      </c>
      <c r="AK38" s="364"/>
      <c r="AL38" s="1" t="s">
        <v>278</v>
      </c>
      <c r="AM38" s="25"/>
      <c r="AN38" s="1"/>
      <c r="AO38" s="1"/>
      <c r="AP38" s="1"/>
      <c r="AQ38" s="1"/>
      <c r="AR38" s="1"/>
      <c r="AS38" s="1"/>
      <c r="AT38" s="1" t="s">
        <v>202</v>
      </c>
      <c r="AU38" s="1" t="s">
        <v>422</v>
      </c>
      <c r="AV38" s="1"/>
      <c r="AW38" s="1"/>
      <c r="AX38" s="1"/>
      <c r="AY38" s="1"/>
      <c r="AZ38" s="1"/>
      <c r="BA38" s="1"/>
      <c r="BB38" s="1"/>
      <c r="BC38" s="1"/>
      <c r="BD38" s="1"/>
      <c r="BE38" s="1"/>
      <c r="BF38" s="1"/>
    </row>
    <row r="39" spans="2:58" ht="14.25" customHeight="1">
      <c r="B39" s="1" t="s">
        <v>194</v>
      </c>
      <c r="C39" s="1" t="s">
        <v>328</v>
      </c>
      <c r="D39" s="1"/>
      <c r="E39" s="1"/>
      <c r="F39" s="1" t="s">
        <v>156</v>
      </c>
      <c r="G39" s="1" t="s">
        <v>153</v>
      </c>
      <c r="H39" s="275">
        <v>0</v>
      </c>
      <c r="I39" s="275">
        <v>0</v>
      </c>
      <c r="J39" s="275">
        <v>0</v>
      </c>
      <c r="K39" s="275">
        <v>0</v>
      </c>
      <c r="L39" s="275">
        <v>0</v>
      </c>
      <c r="M39" s="275">
        <v>0</v>
      </c>
      <c r="N39" s="275">
        <v>0</v>
      </c>
      <c r="O39" s="275">
        <v>0</v>
      </c>
      <c r="P39" s="275">
        <v>0</v>
      </c>
      <c r="Q39" s="275">
        <v>0</v>
      </c>
      <c r="R39" s="275">
        <v>0</v>
      </c>
      <c r="S39" s="275">
        <v>0</v>
      </c>
      <c r="T39" s="275">
        <v>0</v>
      </c>
      <c r="U39" s="275">
        <v>0</v>
      </c>
      <c r="V39" s="275">
        <v>0</v>
      </c>
      <c r="W39" s="275">
        <v>0</v>
      </c>
      <c r="X39" s="275">
        <v>0</v>
      </c>
      <c r="Y39" s="275">
        <v>0</v>
      </c>
      <c r="Z39" s="275">
        <v>0</v>
      </c>
      <c r="AA39" s="275">
        <v>0</v>
      </c>
      <c r="AB39" s="275">
        <v>0</v>
      </c>
      <c r="AC39" s="275">
        <v>0</v>
      </c>
      <c r="AD39" s="275">
        <v>0</v>
      </c>
      <c r="AE39" s="275">
        <v>0</v>
      </c>
      <c r="AF39" s="275">
        <v>0</v>
      </c>
      <c r="AG39" s="275">
        <v>0</v>
      </c>
      <c r="AH39" s="275">
        <v>0</v>
      </c>
      <c r="AI39" s="275">
        <v>0</v>
      </c>
      <c r="AJ39" s="275">
        <v>0</v>
      </c>
      <c r="AK39" s="364"/>
      <c r="AL39" s="1" t="s">
        <v>278</v>
      </c>
      <c r="AM39" s="54"/>
      <c r="AN39" s="1"/>
      <c r="AO39" s="1"/>
      <c r="AP39" s="1"/>
      <c r="AQ39" s="1"/>
      <c r="AR39" s="1"/>
      <c r="AS39" s="1"/>
      <c r="AT39" s="1" t="s">
        <v>194</v>
      </c>
      <c r="AU39" s="1"/>
      <c r="AV39" s="1"/>
      <c r="AW39" s="1"/>
      <c r="AX39" s="1"/>
      <c r="AY39" s="1"/>
      <c r="AZ39" s="1"/>
      <c r="BA39" s="1"/>
      <c r="BB39" s="1"/>
      <c r="BC39" s="1"/>
      <c r="BD39" s="1"/>
      <c r="BE39" s="1"/>
      <c r="BF39" s="1"/>
    </row>
    <row r="40" spans="2:58" ht="14.25" customHeight="1">
      <c r="B40" s="1" t="s">
        <v>199</v>
      </c>
      <c r="C40" s="1" t="s">
        <v>328</v>
      </c>
      <c r="D40" s="1"/>
      <c r="E40" s="1"/>
      <c r="F40" s="1" t="s">
        <v>156</v>
      </c>
      <c r="G40" s="1" t="s">
        <v>153</v>
      </c>
      <c r="H40" s="275">
        <v>0</v>
      </c>
      <c r="I40" s="275">
        <v>0</v>
      </c>
      <c r="J40" s="275">
        <v>0</v>
      </c>
      <c r="K40" s="275">
        <v>0</v>
      </c>
      <c r="L40" s="275">
        <v>0</v>
      </c>
      <c r="M40" s="275">
        <v>0</v>
      </c>
      <c r="N40" s="275">
        <v>0</v>
      </c>
      <c r="O40" s="275">
        <v>0</v>
      </c>
      <c r="P40" s="275">
        <v>0</v>
      </c>
      <c r="Q40" s="275">
        <v>0</v>
      </c>
      <c r="R40" s="275">
        <v>0</v>
      </c>
      <c r="S40" s="275">
        <v>0</v>
      </c>
      <c r="T40" s="275">
        <v>0</v>
      </c>
      <c r="U40" s="275">
        <v>0</v>
      </c>
      <c r="V40" s="275">
        <v>0</v>
      </c>
      <c r="W40" s="275">
        <v>0</v>
      </c>
      <c r="X40" s="275">
        <v>0</v>
      </c>
      <c r="Y40" s="275">
        <v>0</v>
      </c>
      <c r="Z40" s="275">
        <v>0</v>
      </c>
      <c r="AA40" s="275">
        <v>0</v>
      </c>
      <c r="AB40" s="275">
        <v>0</v>
      </c>
      <c r="AC40" s="275">
        <v>0</v>
      </c>
      <c r="AD40" s="275">
        <v>0</v>
      </c>
      <c r="AE40" s="275">
        <v>0</v>
      </c>
      <c r="AF40" s="275">
        <v>0</v>
      </c>
      <c r="AG40" s="275">
        <v>0</v>
      </c>
      <c r="AH40" s="275">
        <v>0</v>
      </c>
      <c r="AI40" s="275">
        <v>0</v>
      </c>
      <c r="AJ40" s="275">
        <v>0</v>
      </c>
      <c r="AK40" s="364"/>
      <c r="AL40" s="1" t="s">
        <v>278</v>
      </c>
      <c r="AM40" s="25"/>
      <c r="AN40" s="1"/>
      <c r="AO40" s="1"/>
      <c r="AP40" s="1"/>
      <c r="AQ40" s="1"/>
      <c r="AR40" s="1"/>
      <c r="AS40" s="1"/>
      <c r="AT40" s="1" t="s">
        <v>199</v>
      </c>
      <c r="AU40" s="1"/>
      <c r="AV40" s="1"/>
      <c r="AW40" s="1"/>
      <c r="AX40" s="1"/>
      <c r="AY40" s="1"/>
      <c r="AZ40" s="1"/>
      <c r="BA40" s="1"/>
      <c r="BB40" s="1"/>
      <c r="BC40" s="1"/>
      <c r="BD40" s="1"/>
      <c r="BE40" s="1"/>
      <c r="BF40" s="1"/>
    </row>
    <row r="41" spans="2:58" ht="14.25" customHeight="1">
      <c r="B41" s="367" t="s">
        <v>202</v>
      </c>
      <c r="C41" s="367" t="s">
        <v>328</v>
      </c>
      <c r="D41" s="367"/>
      <c r="E41" s="367"/>
      <c r="F41" s="367" t="s">
        <v>156</v>
      </c>
      <c r="G41" s="367" t="s">
        <v>153</v>
      </c>
      <c r="H41" s="368">
        <v>0</v>
      </c>
      <c r="I41" s="368">
        <v>0</v>
      </c>
      <c r="J41" s="368">
        <v>0</v>
      </c>
      <c r="K41" s="368">
        <v>0</v>
      </c>
      <c r="L41" s="368">
        <v>0</v>
      </c>
      <c r="M41" s="368">
        <v>0</v>
      </c>
      <c r="N41" s="368">
        <v>0</v>
      </c>
      <c r="O41" s="368">
        <v>0</v>
      </c>
      <c r="P41" s="368">
        <v>0</v>
      </c>
      <c r="Q41" s="368">
        <v>2E-3</v>
      </c>
      <c r="R41" s="368">
        <v>4.0000000000000001E-3</v>
      </c>
      <c r="S41" s="368">
        <v>6.0000000000000001E-3</v>
      </c>
      <c r="T41" s="368">
        <v>8.0000000000000002E-3</v>
      </c>
      <c r="U41" s="368">
        <v>0.01</v>
      </c>
      <c r="V41" s="368">
        <v>1.4E-2</v>
      </c>
      <c r="W41" s="368">
        <v>1.7999999999999999E-2</v>
      </c>
      <c r="X41" s="368">
        <v>2.3E-2</v>
      </c>
      <c r="Y41" s="368">
        <v>2.7E-2</v>
      </c>
      <c r="Z41" s="368">
        <v>3.1E-2</v>
      </c>
      <c r="AA41" s="368">
        <v>3.5000000000000003E-2</v>
      </c>
      <c r="AB41" s="368">
        <v>3.9E-2</v>
      </c>
      <c r="AC41" s="368">
        <v>4.2999999999999997E-2</v>
      </c>
      <c r="AD41" s="368">
        <v>4.7E-2</v>
      </c>
      <c r="AE41" s="368">
        <v>5.0999999999999997E-2</v>
      </c>
      <c r="AF41" s="368">
        <v>5.5E-2</v>
      </c>
      <c r="AG41" s="368">
        <v>5.8999999999999997E-2</v>
      </c>
      <c r="AH41" s="368">
        <v>6.3E-2</v>
      </c>
      <c r="AI41" s="368">
        <v>6.7000000000000004E-2</v>
      </c>
      <c r="AJ41" s="368">
        <v>7.0999999999999994E-2</v>
      </c>
      <c r="AK41" s="364"/>
      <c r="AL41" s="1" t="s">
        <v>278</v>
      </c>
      <c r="AM41" s="25"/>
      <c r="AN41" s="1"/>
      <c r="AO41" s="1"/>
      <c r="AP41" s="1"/>
      <c r="AQ41" s="1">
        <v>2021</v>
      </c>
      <c r="AR41" s="1" t="s">
        <v>322</v>
      </c>
      <c r="AS41" s="1"/>
      <c r="AT41" s="1" t="s">
        <v>202</v>
      </c>
      <c r="AU41" s="1" t="s">
        <v>323</v>
      </c>
      <c r="AV41" s="253" t="s">
        <v>324</v>
      </c>
      <c r="AW41" s="1"/>
      <c r="AX41" s="1"/>
      <c r="AY41" s="1"/>
      <c r="AZ41" s="1"/>
      <c r="BA41" s="1"/>
      <c r="BB41" s="1"/>
      <c r="BC41" s="1"/>
      <c r="BD41" s="1"/>
      <c r="BE41" s="1"/>
      <c r="BF41" s="1"/>
    </row>
    <row r="42" spans="2:58" ht="14.25" customHeight="1">
      <c r="B42" s="1" t="s">
        <v>194</v>
      </c>
      <c r="C42" s="1" t="s">
        <v>128</v>
      </c>
      <c r="D42" s="1"/>
      <c r="E42" s="1"/>
      <c r="F42" s="1" t="s">
        <v>156</v>
      </c>
      <c r="G42" s="1" t="s">
        <v>153</v>
      </c>
      <c r="H42" s="275">
        <v>0</v>
      </c>
      <c r="I42" s="275">
        <v>0</v>
      </c>
      <c r="J42" s="275">
        <v>0</v>
      </c>
      <c r="K42" s="275">
        <v>0</v>
      </c>
      <c r="L42" s="275">
        <v>0</v>
      </c>
      <c r="M42" s="275">
        <v>0</v>
      </c>
      <c r="N42" s="275">
        <v>0</v>
      </c>
      <c r="O42" s="275">
        <v>0</v>
      </c>
      <c r="P42" s="275">
        <v>0</v>
      </c>
      <c r="Q42" s="275">
        <v>0</v>
      </c>
      <c r="R42" s="275">
        <v>0</v>
      </c>
      <c r="S42" s="275">
        <v>0</v>
      </c>
      <c r="T42" s="275">
        <v>0</v>
      </c>
      <c r="U42" s="275">
        <v>0</v>
      </c>
      <c r="V42" s="275">
        <v>0</v>
      </c>
      <c r="W42" s="275">
        <v>0</v>
      </c>
      <c r="X42" s="275">
        <v>0</v>
      </c>
      <c r="Y42" s="275">
        <v>0</v>
      </c>
      <c r="Z42" s="275">
        <v>0</v>
      </c>
      <c r="AA42" s="275">
        <v>0</v>
      </c>
      <c r="AB42" s="275">
        <v>0</v>
      </c>
      <c r="AC42" s="275">
        <v>0</v>
      </c>
      <c r="AD42" s="275">
        <v>0</v>
      </c>
      <c r="AE42" s="275">
        <v>0</v>
      </c>
      <c r="AF42" s="275">
        <v>0</v>
      </c>
      <c r="AG42" s="275">
        <v>0</v>
      </c>
      <c r="AH42" s="275">
        <v>0</v>
      </c>
      <c r="AI42" s="275">
        <v>0</v>
      </c>
      <c r="AJ42" s="275">
        <v>0</v>
      </c>
      <c r="AK42" s="364"/>
      <c r="AL42" s="1"/>
      <c r="AM42" s="54"/>
      <c r="AN42" s="1"/>
      <c r="AO42" s="1"/>
      <c r="AP42" s="1"/>
      <c r="AQ42" s="1">
        <v>2488939</v>
      </c>
      <c r="AR42" s="25">
        <f>AQ42/SUM(AQ42:AQ44)</f>
        <v>8.7480717480372686E-2</v>
      </c>
      <c r="AS42" s="1"/>
      <c r="AT42" s="1"/>
      <c r="AU42" s="1"/>
      <c r="AV42" s="1"/>
      <c r="AW42" s="1"/>
      <c r="AX42" s="1"/>
      <c r="AY42" s="1"/>
      <c r="AZ42" s="1"/>
      <c r="BA42" s="1"/>
      <c r="BB42" s="1"/>
      <c r="BC42" s="1"/>
      <c r="BD42" s="1"/>
      <c r="BE42" s="1"/>
      <c r="BF42" s="1"/>
    </row>
    <row r="43" spans="2:58" ht="14.25" customHeight="1">
      <c r="B43" s="1" t="s">
        <v>199</v>
      </c>
      <c r="C43" s="1" t="s">
        <v>128</v>
      </c>
      <c r="D43" s="1"/>
      <c r="E43" s="1"/>
      <c r="F43" s="1" t="s">
        <v>156</v>
      </c>
      <c r="G43" s="1" t="s">
        <v>153</v>
      </c>
      <c r="H43" s="275">
        <v>0</v>
      </c>
      <c r="I43" s="275">
        <v>0</v>
      </c>
      <c r="J43" s="275">
        <v>0</v>
      </c>
      <c r="K43" s="275">
        <v>0</v>
      </c>
      <c r="L43" s="275">
        <v>0</v>
      </c>
      <c r="M43" s="275">
        <v>0</v>
      </c>
      <c r="N43" s="275">
        <v>0</v>
      </c>
      <c r="O43" s="275">
        <v>0</v>
      </c>
      <c r="P43" s="275">
        <v>0</v>
      </c>
      <c r="Q43" s="275">
        <v>0</v>
      </c>
      <c r="R43" s="275">
        <v>0</v>
      </c>
      <c r="S43" s="275">
        <v>0</v>
      </c>
      <c r="T43" s="275">
        <v>0</v>
      </c>
      <c r="U43" s="275">
        <v>0</v>
      </c>
      <c r="V43" s="275">
        <v>0</v>
      </c>
      <c r="W43" s="275">
        <v>0</v>
      </c>
      <c r="X43" s="275">
        <v>0</v>
      </c>
      <c r="Y43" s="275">
        <v>0</v>
      </c>
      <c r="Z43" s="275">
        <v>0</v>
      </c>
      <c r="AA43" s="275">
        <v>0</v>
      </c>
      <c r="AB43" s="275">
        <v>0</v>
      </c>
      <c r="AC43" s="275">
        <v>0</v>
      </c>
      <c r="AD43" s="275">
        <v>0</v>
      </c>
      <c r="AE43" s="275">
        <v>0</v>
      </c>
      <c r="AF43" s="275">
        <v>0</v>
      </c>
      <c r="AG43" s="275">
        <v>0</v>
      </c>
      <c r="AH43" s="275">
        <v>0</v>
      </c>
      <c r="AI43" s="275">
        <v>0</v>
      </c>
      <c r="AJ43" s="275">
        <v>0</v>
      </c>
      <c r="AK43" s="364"/>
      <c r="AL43" s="1"/>
      <c r="AM43" s="25"/>
      <c r="AN43" s="1"/>
      <c r="AO43" s="1"/>
      <c r="AP43" s="1"/>
      <c r="AQ43" s="1">
        <v>12480067</v>
      </c>
      <c r="AR43" s="25">
        <f>AQ43/SUM(AQ42:AQ44)</f>
        <v>0.43864683520292069</v>
      </c>
      <c r="AS43" s="1"/>
      <c r="AT43" s="1"/>
      <c r="AU43" s="1"/>
      <c r="AV43" s="1"/>
      <c r="AW43" s="1"/>
      <c r="AX43" s="1"/>
      <c r="AY43" s="1"/>
      <c r="AZ43" s="1" t="s">
        <v>59</v>
      </c>
      <c r="BA43" s="1" t="s">
        <v>325</v>
      </c>
      <c r="BB43" s="1"/>
      <c r="BC43" s="1" t="s">
        <v>326</v>
      </c>
      <c r="BD43" s="1"/>
      <c r="BE43" s="1"/>
      <c r="BF43" s="1"/>
    </row>
    <row r="44" spans="2:58" ht="14.25" customHeight="1">
      <c r="B44" s="1" t="s">
        <v>202</v>
      </c>
      <c r="C44" s="1" t="s">
        <v>128</v>
      </c>
      <c r="D44" s="1"/>
      <c r="E44" s="1"/>
      <c r="F44" s="1" t="s">
        <v>156</v>
      </c>
      <c r="G44" s="1" t="s">
        <v>153</v>
      </c>
      <c r="H44" s="275">
        <v>0</v>
      </c>
      <c r="I44" s="275">
        <v>0</v>
      </c>
      <c r="J44" s="275">
        <v>0</v>
      </c>
      <c r="K44" s="275">
        <v>0</v>
      </c>
      <c r="L44" s="275">
        <v>0</v>
      </c>
      <c r="M44" s="275">
        <v>0</v>
      </c>
      <c r="N44" s="275">
        <v>0</v>
      </c>
      <c r="O44" s="275">
        <v>0</v>
      </c>
      <c r="P44" s="275">
        <v>0</v>
      </c>
      <c r="Q44" s="275">
        <v>0</v>
      </c>
      <c r="R44" s="275">
        <v>0</v>
      </c>
      <c r="S44" s="275">
        <v>0</v>
      </c>
      <c r="T44" s="275">
        <v>0</v>
      </c>
      <c r="U44" s="275">
        <v>0</v>
      </c>
      <c r="V44" s="275">
        <v>0</v>
      </c>
      <c r="W44" s="275">
        <v>0</v>
      </c>
      <c r="X44" s="275">
        <v>0</v>
      </c>
      <c r="Y44" s="275">
        <v>0</v>
      </c>
      <c r="Z44" s="275">
        <v>0</v>
      </c>
      <c r="AA44" s="275">
        <v>0</v>
      </c>
      <c r="AB44" s="275">
        <v>0</v>
      </c>
      <c r="AC44" s="275">
        <v>0</v>
      </c>
      <c r="AD44" s="275">
        <v>0</v>
      </c>
      <c r="AE44" s="275">
        <v>0</v>
      </c>
      <c r="AF44" s="275">
        <v>0</v>
      </c>
      <c r="AG44" s="275">
        <v>0</v>
      </c>
      <c r="AH44" s="275">
        <v>0</v>
      </c>
      <c r="AI44" s="275">
        <v>0</v>
      </c>
      <c r="AJ44" s="275">
        <v>0</v>
      </c>
      <c r="AK44" s="364"/>
      <c r="AL44" s="1"/>
      <c r="AM44" s="25"/>
      <c r="AN44" s="1"/>
      <c r="AO44" s="1"/>
      <c r="AP44" s="1"/>
      <c r="AQ44" s="1">
        <v>13482281</v>
      </c>
      <c r="AR44" s="25">
        <f>AQ44/SUM(AQ42:AQ44)</f>
        <v>0.47387244731670664</v>
      </c>
      <c r="AS44" s="1"/>
      <c r="AT44" s="1"/>
      <c r="AU44" s="1"/>
      <c r="AV44" s="1"/>
      <c r="AW44" s="1"/>
      <c r="AX44" s="1"/>
      <c r="AY44" s="1"/>
      <c r="AZ44" s="1" t="s">
        <v>327</v>
      </c>
      <c r="BA44" s="1">
        <v>0</v>
      </c>
      <c r="BB44" s="54">
        <f t="shared" ref="BB44:BB49" si="8">BA44/BA$49</f>
        <v>0</v>
      </c>
      <c r="BC44" s="1">
        <v>0</v>
      </c>
      <c r="BD44" s="54">
        <f t="shared" ref="BD44:BD49" si="9">BC44/BC$49</f>
        <v>0</v>
      </c>
      <c r="BE44" s="1"/>
      <c r="BF44" s="1"/>
    </row>
    <row r="45" spans="2:58" ht="14.25" customHeight="1">
      <c r="B45" s="1" t="s">
        <v>145</v>
      </c>
      <c r="C45" s="1" t="s">
        <v>340</v>
      </c>
      <c r="D45" s="1" t="s">
        <v>341</v>
      </c>
      <c r="E45" s="1"/>
      <c r="F45" s="1" t="s">
        <v>342</v>
      </c>
      <c r="G45" s="1" t="s">
        <v>153</v>
      </c>
      <c r="H45" s="275">
        <v>2.5000000000000001E-2</v>
      </c>
      <c r="I45" s="275">
        <v>4.4999999999999998E-2</v>
      </c>
      <c r="J45" s="275">
        <v>6.5000000000000002E-2</v>
      </c>
      <c r="K45" s="275">
        <v>8.5000000000000006E-2</v>
      </c>
      <c r="L45" s="275">
        <v>0.105</v>
      </c>
      <c r="M45" s="275">
        <v>0.125</v>
      </c>
      <c r="N45" s="275">
        <v>0.14499999999999999</v>
      </c>
      <c r="O45" s="275">
        <v>0.16500000000000001</v>
      </c>
      <c r="P45" s="275">
        <v>0.185</v>
      </c>
      <c r="Q45" s="275">
        <v>0.20499999999999999</v>
      </c>
      <c r="R45" s="275">
        <v>0.22500000000000001</v>
      </c>
      <c r="S45" s="275">
        <v>0.245</v>
      </c>
      <c r="T45" s="275">
        <v>0.26600000000000001</v>
      </c>
      <c r="U45" s="275">
        <v>0.28599999999999998</v>
      </c>
      <c r="V45" s="275">
        <v>0.30599999999999999</v>
      </c>
      <c r="W45" s="275">
        <v>0.32600000000000001</v>
      </c>
      <c r="X45" s="275">
        <v>0.34599999999999997</v>
      </c>
      <c r="Y45" s="275">
        <v>0.36599999999999999</v>
      </c>
      <c r="Z45" s="275">
        <v>0.38600000000000001</v>
      </c>
      <c r="AA45" s="275">
        <v>0.40600000000000003</v>
      </c>
      <c r="AB45" s="275">
        <v>0.42599999999999999</v>
      </c>
      <c r="AC45" s="275">
        <v>0.44600000000000001</v>
      </c>
      <c r="AD45" s="275">
        <v>0.46600000000000003</v>
      </c>
      <c r="AE45" s="275">
        <v>0.48599999999999999</v>
      </c>
      <c r="AF45" s="275">
        <v>0.50600000000000001</v>
      </c>
      <c r="AG45" s="275">
        <v>0.52700000000000002</v>
      </c>
      <c r="AH45" s="275">
        <v>0.54700000000000004</v>
      </c>
      <c r="AI45" s="275">
        <v>0.56699999999999995</v>
      </c>
      <c r="AJ45" s="275">
        <v>0.58699999999999997</v>
      </c>
      <c r="AK45" s="364"/>
      <c r="AL45" s="1" t="s">
        <v>343</v>
      </c>
      <c r="AM45" s="1" t="s">
        <v>329</v>
      </c>
      <c r="AN45" s="1" t="s">
        <v>330</v>
      </c>
      <c r="AO45" s="1"/>
      <c r="AP45" s="1"/>
      <c r="AQ45" s="1"/>
      <c r="AR45" s="1"/>
      <c r="AS45" s="1"/>
      <c r="AT45" s="1" t="s">
        <v>145</v>
      </c>
      <c r="AU45" s="1"/>
      <c r="AV45" s="1"/>
      <c r="AW45" s="1"/>
      <c r="AX45" s="1"/>
      <c r="AY45" s="1"/>
      <c r="AZ45" s="1" t="s">
        <v>331</v>
      </c>
      <c r="BA45" s="1">
        <v>1136540</v>
      </c>
      <c r="BB45" s="54">
        <f t="shared" si="8"/>
        <v>0.45894791760468712</v>
      </c>
      <c r="BC45" s="1">
        <v>1236025</v>
      </c>
      <c r="BD45" s="54">
        <f t="shared" si="9"/>
        <v>0.45151185833919327</v>
      </c>
      <c r="BE45" s="1"/>
      <c r="BF45" s="1">
        <v>46</v>
      </c>
    </row>
    <row r="46" spans="2:58" ht="14.25" customHeight="1">
      <c r="B46" s="1" t="s">
        <v>194</v>
      </c>
      <c r="C46" s="1" t="s">
        <v>340</v>
      </c>
      <c r="D46" s="1" t="s">
        <v>344</v>
      </c>
      <c r="E46" s="1"/>
      <c r="F46" s="1" t="s">
        <v>345</v>
      </c>
      <c r="G46" s="1" t="s">
        <v>153</v>
      </c>
      <c r="H46" s="275">
        <v>0.05</v>
      </c>
      <c r="I46" s="275">
        <v>5.8000000000000003E-2</v>
      </c>
      <c r="J46" s="275">
        <v>6.5000000000000002E-2</v>
      </c>
      <c r="K46" s="275">
        <v>7.2999999999999995E-2</v>
      </c>
      <c r="L46" s="275">
        <v>8.1000000000000003E-2</v>
      </c>
      <c r="M46" s="275">
        <v>8.8999999999999996E-2</v>
      </c>
      <c r="N46" s="275">
        <v>9.6000000000000002E-2</v>
      </c>
      <c r="O46" s="275">
        <v>0.104</v>
      </c>
      <c r="P46" s="275">
        <v>0.112</v>
      </c>
      <c r="Q46" s="275">
        <v>0.11899999999999999</v>
      </c>
      <c r="R46" s="275">
        <v>0.127</v>
      </c>
      <c r="S46" s="275">
        <v>0.13500000000000001</v>
      </c>
      <c r="T46" s="275">
        <v>0.14199999999999999</v>
      </c>
      <c r="U46" s="275">
        <v>0.15</v>
      </c>
      <c r="V46" s="275">
        <v>0.158</v>
      </c>
      <c r="W46" s="275">
        <v>0.16600000000000001</v>
      </c>
      <c r="X46" s="275">
        <v>0.17299999999999999</v>
      </c>
      <c r="Y46" s="275">
        <v>0.18099999999999999</v>
      </c>
      <c r="Z46" s="275">
        <v>0.189</v>
      </c>
      <c r="AA46" s="275">
        <v>0.19600000000000001</v>
      </c>
      <c r="AB46" s="275">
        <v>0.20399999999999999</v>
      </c>
      <c r="AC46" s="275">
        <v>0.21199999999999999</v>
      </c>
      <c r="AD46" s="275">
        <v>0.219</v>
      </c>
      <c r="AE46" s="275">
        <v>0.22700000000000001</v>
      </c>
      <c r="AF46" s="275">
        <v>0.23499999999999999</v>
      </c>
      <c r="AG46" s="275">
        <v>0.24299999999999999</v>
      </c>
      <c r="AH46" s="275">
        <v>0.25</v>
      </c>
      <c r="AI46" s="275">
        <v>0.25800000000000001</v>
      </c>
      <c r="AJ46" s="355">
        <v>0.27</v>
      </c>
      <c r="AK46" s="364"/>
      <c r="AL46" s="1" t="s">
        <v>346</v>
      </c>
      <c r="AM46" s="1" t="s">
        <v>332</v>
      </c>
      <c r="AN46" s="1"/>
      <c r="AO46" s="1"/>
      <c r="AP46" s="1"/>
      <c r="AQ46" s="1"/>
      <c r="AR46" s="1"/>
      <c r="AS46" s="1"/>
      <c r="AT46" s="1" t="s">
        <v>194</v>
      </c>
      <c r="AU46" s="1"/>
      <c r="AV46" s="1"/>
      <c r="AW46" s="1"/>
      <c r="AX46" s="1"/>
      <c r="AY46" s="1"/>
      <c r="AZ46" s="1" t="s">
        <v>333</v>
      </c>
      <c r="BA46" s="1">
        <v>1214864</v>
      </c>
      <c r="BB46" s="54">
        <f t="shared" si="8"/>
        <v>0.49057604921331466</v>
      </c>
      <c r="BC46" s="1">
        <v>1366016</v>
      </c>
      <c r="BD46" s="54">
        <f t="shared" si="9"/>
        <v>0.49899672149112795</v>
      </c>
      <c r="BE46" s="1"/>
      <c r="BF46" s="1">
        <v>49</v>
      </c>
    </row>
    <row r="47" spans="2:58" ht="14.25" customHeight="1">
      <c r="B47" s="1" t="s">
        <v>199</v>
      </c>
      <c r="C47" s="1" t="s">
        <v>340</v>
      </c>
      <c r="D47" s="1" t="s">
        <v>344</v>
      </c>
      <c r="E47" s="1"/>
      <c r="F47" s="1" t="s">
        <v>345</v>
      </c>
      <c r="G47" s="1" t="s">
        <v>153</v>
      </c>
      <c r="H47" s="275">
        <v>0.05</v>
      </c>
      <c r="I47" s="275">
        <v>5.8000000000000003E-2</v>
      </c>
      <c r="J47" s="275">
        <v>6.5000000000000002E-2</v>
      </c>
      <c r="K47" s="275">
        <v>7.2999999999999995E-2</v>
      </c>
      <c r="L47" s="275">
        <v>8.1000000000000003E-2</v>
      </c>
      <c r="M47" s="275">
        <v>8.8999999999999996E-2</v>
      </c>
      <c r="N47" s="275">
        <v>9.6000000000000002E-2</v>
      </c>
      <c r="O47" s="275">
        <v>0.104</v>
      </c>
      <c r="P47" s="275">
        <v>0.112</v>
      </c>
      <c r="Q47" s="275">
        <v>0.11899999999999999</v>
      </c>
      <c r="R47" s="275">
        <v>0.127</v>
      </c>
      <c r="S47" s="275">
        <v>0.13500000000000001</v>
      </c>
      <c r="T47" s="275">
        <v>0.14199999999999999</v>
      </c>
      <c r="U47" s="275">
        <v>0.15</v>
      </c>
      <c r="V47" s="275">
        <v>0.158</v>
      </c>
      <c r="W47" s="275">
        <v>0.16600000000000001</v>
      </c>
      <c r="X47" s="275">
        <v>0.17299999999999999</v>
      </c>
      <c r="Y47" s="275">
        <v>0.18099999999999999</v>
      </c>
      <c r="Z47" s="275">
        <v>0.189</v>
      </c>
      <c r="AA47" s="275">
        <v>0.19600000000000001</v>
      </c>
      <c r="AB47" s="275">
        <v>0.20399999999999999</v>
      </c>
      <c r="AC47" s="275">
        <v>0.21199999999999999</v>
      </c>
      <c r="AD47" s="275">
        <v>0.219</v>
      </c>
      <c r="AE47" s="275">
        <v>0.22700000000000001</v>
      </c>
      <c r="AF47" s="275">
        <v>0.23499999999999999</v>
      </c>
      <c r="AG47" s="275">
        <v>0.24299999999999999</v>
      </c>
      <c r="AH47" s="275">
        <v>0.25</v>
      </c>
      <c r="AI47" s="275">
        <v>0.25800000000000001</v>
      </c>
      <c r="AJ47" s="355">
        <v>0.27</v>
      </c>
      <c r="AK47" s="364"/>
      <c r="AL47" s="1"/>
      <c r="AM47" s="25"/>
      <c r="AN47" s="1"/>
      <c r="AO47" s="1"/>
      <c r="AP47" s="1"/>
      <c r="AQ47" s="1"/>
      <c r="AR47" s="1"/>
      <c r="AS47" s="1"/>
      <c r="AT47" s="1" t="s">
        <v>199</v>
      </c>
      <c r="AU47" s="1"/>
      <c r="AV47" s="1"/>
      <c r="AW47" s="1"/>
      <c r="AX47" s="1"/>
      <c r="AY47" s="1"/>
      <c r="AZ47" s="1" t="s">
        <v>334</v>
      </c>
      <c r="BA47" s="1">
        <v>5876</v>
      </c>
      <c r="BB47" s="54">
        <f t="shared" si="8"/>
        <v>2.372796350190175E-3</v>
      </c>
      <c r="BC47" s="1">
        <v>5462</v>
      </c>
      <c r="BD47" s="54">
        <f t="shared" si="9"/>
        <v>1.9952329202473037E-3</v>
      </c>
      <c r="BE47" s="1"/>
      <c r="BF47" s="1">
        <v>0.25</v>
      </c>
    </row>
    <row r="48" spans="2:58" ht="14.25" customHeight="1">
      <c r="B48" s="1" t="s">
        <v>202</v>
      </c>
      <c r="C48" s="1" t="s">
        <v>340</v>
      </c>
      <c r="D48" s="1" t="s">
        <v>344</v>
      </c>
      <c r="E48" s="1"/>
      <c r="F48" s="1" t="s">
        <v>345</v>
      </c>
      <c r="G48" s="1" t="s">
        <v>153</v>
      </c>
      <c r="H48" s="275">
        <v>0.05</v>
      </c>
      <c r="I48" s="275">
        <v>5.8000000000000003E-2</v>
      </c>
      <c r="J48" s="275">
        <v>6.5000000000000002E-2</v>
      </c>
      <c r="K48" s="275">
        <v>7.2999999999999995E-2</v>
      </c>
      <c r="L48" s="275">
        <v>8.1000000000000003E-2</v>
      </c>
      <c r="M48" s="275">
        <v>8.8999999999999996E-2</v>
      </c>
      <c r="N48" s="275">
        <v>9.6000000000000002E-2</v>
      </c>
      <c r="O48" s="275">
        <v>0.104</v>
      </c>
      <c r="P48" s="275">
        <v>0.112</v>
      </c>
      <c r="Q48" s="275">
        <v>0.11899999999999999</v>
      </c>
      <c r="R48" s="275">
        <v>0.127</v>
      </c>
      <c r="S48" s="275">
        <v>0.13500000000000001</v>
      </c>
      <c r="T48" s="275">
        <v>0.14199999999999999</v>
      </c>
      <c r="U48" s="275">
        <v>0.15</v>
      </c>
      <c r="V48" s="275">
        <v>0.158</v>
      </c>
      <c r="W48" s="275">
        <v>0.16600000000000001</v>
      </c>
      <c r="X48" s="275">
        <v>0.17299999999999999</v>
      </c>
      <c r="Y48" s="275">
        <v>0.18099999999999999</v>
      </c>
      <c r="Z48" s="275">
        <v>0.189</v>
      </c>
      <c r="AA48" s="275">
        <v>0.19600000000000001</v>
      </c>
      <c r="AB48" s="275">
        <v>0.20399999999999999</v>
      </c>
      <c r="AC48" s="275">
        <v>0.21199999999999999</v>
      </c>
      <c r="AD48" s="275">
        <v>0.219</v>
      </c>
      <c r="AE48" s="275">
        <v>0.22700000000000001</v>
      </c>
      <c r="AF48" s="275">
        <v>0.23499999999999999</v>
      </c>
      <c r="AG48" s="275">
        <v>0.24299999999999999</v>
      </c>
      <c r="AH48" s="275">
        <v>0.25</v>
      </c>
      <c r="AI48" s="275">
        <v>0.25800000000000001</v>
      </c>
      <c r="AJ48" s="355">
        <v>0.27</v>
      </c>
      <c r="AK48" s="364"/>
      <c r="AL48" s="1"/>
      <c r="AM48" s="25"/>
      <c r="AN48" s="1"/>
      <c r="AO48" s="1"/>
      <c r="AP48" s="1"/>
      <c r="AQ48" s="1"/>
      <c r="AR48" s="1"/>
      <c r="AS48" s="1"/>
      <c r="AT48" s="1" t="s">
        <v>202</v>
      </c>
      <c r="AU48" s="1" t="s">
        <v>335</v>
      </c>
      <c r="AV48" s="1"/>
      <c r="AW48" s="1"/>
      <c r="AX48" s="1"/>
      <c r="AY48" s="1"/>
      <c r="AZ48" s="1" t="s">
        <v>336</v>
      </c>
      <c r="BA48" s="1">
        <v>119123</v>
      </c>
      <c r="BB48" s="54">
        <f t="shared" si="8"/>
        <v>4.8103236831808067E-2</v>
      </c>
      <c r="BC48" s="1">
        <v>130022</v>
      </c>
      <c r="BD48" s="54">
        <f t="shared" si="9"/>
        <v>4.7496187249431512E-2</v>
      </c>
      <c r="BE48" s="1"/>
      <c r="BF48" s="1">
        <v>4.75</v>
      </c>
    </row>
    <row r="49" spans="1:58" ht="14.25" customHeight="1">
      <c r="A49" s="1"/>
      <c r="B49" s="1"/>
      <c r="C49" s="1" t="s">
        <v>432</v>
      </c>
      <c r="D49" s="1"/>
      <c r="E49" s="1"/>
      <c r="F49" s="20" t="s">
        <v>147</v>
      </c>
      <c r="G49" s="1" t="s">
        <v>153</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20"/>
      <c r="AL49" s="1"/>
      <c r="AM49" s="1"/>
      <c r="AN49" s="1"/>
      <c r="AO49" s="1"/>
      <c r="AP49" s="1"/>
      <c r="AQ49" s="1"/>
      <c r="AR49" s="20"/>
      <c r="AS49" s="1"/>
      <c r="AT49" s="1"/>
      <c r="AU49" s="1"/>
      <c r="AV49" s="1"/>
      <c r="AW49" s="1"/>
      <c r="AX49" s="1"/>
      <c r="AY49" s="1"/>
      <c r="AZ49" s="58" t="s">
        <v>337</v>
      </c>
      <c r="BA49" s="58">
        <v>2476403</v>
      </c>
      <c r="BB49" s="25">
        <f t="shared" si="8"/>
        <v>1</v>
      </c>
      <c r="BC49" s="58">
        <v>2737525</v>
      </c>
      <c r="BD49" s="25">
        <f t="shared" si="9"/>
        <v>1</v>
      </c>
      <c r="BE49" s="1"/>
      <c r="BF49" s="1"/>
    </row>
    <row r="50" spans="1:58" ht="14.25" customHeight="1">
      <c r="A50" s="1"/>
      <c r="B50" s="1"/>
      <c r="C50" s="1" t="s">
        <v>347</v>
      </c>
      <c r="D50" s="1"/>
      <c r="E50" s="1"/>
      <c r="F50" s="20" t="s">
        <v>205</v>
      </c>
      <c r="G50" s="1" t="s">
        <v>153</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20"/>
      <c r="AL50" s="1"/>
      <c r="AM50" s="1"/>
      <c r="AN50" s="1"/>
      <c r="AO50" s="1"/>
      <c r="AP50" s="1"/>
      <c r="AQ50" s="1"/>
      <c r="AR50" s="20"/>
      <c r="AS50" s="1"/>
      <c r="AT50" s="1"/>
      <c r="AU50" s="1"/>
      <c r="AV50" s="1"/>
      <c r="AW50" s="1"/>
      <c r="AX50" s="1"/>
      <c r="AY50" s="1"/>
      <c r="AZ50" s="1"/>
      <c r="BA50" s="1"/>
      <c r="BB50" s="1"/>
      <c r="BC50" s="1"/>
      <c r="BD50" s="1"/>
      <c r="BE50" s="1"/>
      <c r="BF50" s="1"/>
    </row>
    <row r="51" spans="1:58" ht="14.25" customHeight="1">
      <c r="A51" s="1"/>
      <c r="B51" s="1"/>
      <c r="C51" s="1" t="s">
        <v>348</v>
      </c>
      <c r="D51" s="1" t="s">
        <v>208</v>
      </c>
      <c r="E51" s="1"/>
      <c r="F51" s="20"/>
      <c r="G51" s="1"/>
      <c r="H51" s="65"/>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20"/>
      <c r="AL51" s="1"/>
      <c r="AM51" s="1"/>
      <c r="AN51" s="1"/>
      <c r="AO51" s="1"/>
      <c r="AP51" s="1"/>
      <c r="AQ51" s="1"/>
      <c r="AR51" s="1"/>
      <c r="AS51" s="1"/>
      <c r="AT51" s="1"/>
      <c r="AU51" s="1"/>
      <c r="AV51" s="1"/>
      <c r="AW51" s="1"/>
      <c r="AX51" s="1"/>
      <c r="AY51" s="1"/>
      <c r="AZ51" s="1"/>
      <c r="BA51" s="1"/>
      <c r="BB51" s="1"/>
      <c r="BC51" s="1"/>
      <c r="BD51" s="1"/>
      <c r="BE51" s="1"/>
      <c r="BF51" s="1"/>
    </row>
    <row r="52" spans="1:58"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row>
    <row r="53" spans="1:58" ht="14.25" customHeight="1">
      <c r="A53" s="44" t="s">
        <v>212</v>
      </c>
      <c r="B53" s="75"/>
      <c r="C53" s="75" t="s">
        <v>213</v>
      </c>
      <c r="D53" s="75" t="s">
        <v>214</v>
      </c>
      <c r="E53" s="75"/>
      <c r="F53" s="76" t="s">
        <v>215</v>
      </c>
      <c r="G53" s="75"/>
      <c r="H53" s="50">
        <v>0.14000000000000001</v>
      </c>
      <c r="I53" s="50">
        <f t="shared" ref="I53:J53" si="10">H53+($K53-$H53)/($K$1-$H$1)</f>
        <v>0.16333333333333333</v>
      </c>
      <c r="J53" s="50">
        <f t="shared" si="10"/>
        <v>0.18666666666666665</v>
      </c>
      <c r="K53" s="50">
        <v>0.21</v>
      </c>
      <c r="L53" s="50">
        <f t="shared" ref="L53:O53" si="11">K53+($P53-$K53)/($P$1-$K$1)</f>
        <v>0.21199999999999999</v>
      </c>
      <c r="M53" s="50">
        <f t="shared" si="11"/>
        <v>0.214</v>
      </c>
      <c r="N53" s="50">
        <f t="shared" si="11"/>
        <v>0.216</v>
      </c>
      <c r="O53" s="50">
        <f t="shared" si="11"/>
        <v>0.218</v>
      </c>
      <c r="P53" s="50">
        <v>0.22</v>
      </c>
      <c r="Q53" s="50">
        <f t="shared" ref="Q53:T53" si="12">P53+($U53-$P53)/($U$1-$P$1)</f>
        <v>0.224</v>
      </c>
      <c r="R53" s="50">
        <f t="shared" si="12"/>
        <v>0.22800000000000001</v>
      </c>
      <c r="S53" s="50">
        <f t="shared" si="12"/>
        <v>0.23200000000000001</v>
      </c>
      <c r="T53" s="50">
        <f t="shared" si="12"/>
        <v>0.23600000000000002</v>
      </c>
      <c r="U53" s="50">
        <v>0.24</v>
      </c>
      <c r="V53" s="75"/>
      <c r="W53" s="75"/>
      <c r="X53" s="75"/>
      <c r="Y53" s="75"/>
      <c r="Z53" s="75"/>
      <c r="AA53" s="75"/>
      <c r="AB53" s="75"/>
      <c r="AC53" s="75"/>
      <c r="AD53" s="75"/>
      <c r="AE53" s="75"/>
      <c r="AF53" s="75"/>
      <c r="AG53" s="75"/>
      <c r="AH53" s="75"/>
      <c r="AI53" s="75"/>
      <c r="AJ53" s="75"/>
      <c r="AK53" s="356" t="s">
        <v>350</v>
      </c>
      <c r="AL53" s="1"/>
      <c r="AM53" s="1"/>
      <c r="AN53" s="1"/>
      <c r="AO53" s="1"/>
      <c r="AP53" s="1"/>
      <c r="AQ53" s="1"/>
      <c r="AR53" s="1"/>
      <c r="AS53" s="1"/>
      <c r="AT53" s="1"/>
      <c r="AU53" s="1"/>
      <c r="AV53" s="1"/>
      <c r="AW53" s="1"/>
      <c r="AX53" s="1"/>
      <c r="AY53" s="1"/>
      <c r="AZ53" s="1"/>
      <c r="BA53" s="1"/>
      <c r="BB53" s="1"/>
      <c r="BC53" s="1"/>
      <c r="BD53" s="1"/>
      <c r="BE53" s="1"/>
      <c r="BF53" s="1"/>
    </row>
    <row r="54" spans="1:58" ht="14.25" customHeight="1">
      <c r="A54" s="1"/>
      <c r="B54" s="1"/>
      <c r="C54" s="1" t="s">
        <v>216</v>
      </c>
      <c r="D54" s="1" t="s">
        <v>594</v>
      </c>
      <c r="E54" s="1"/>
      <c r="F54" s="1" t="s">
        <v>604</v>
      </c>
      <c r="G54" s="1"/>
      <c r="H54" s="355">
        <v>0</v>
      </c>
      <c r="I54" s="256">
        <v>2.0000000000000001E-4</v>
      </c>
      <c r="J54" s="256">
        <v>2.9999999999999997E-4</v>
      </c>
      <c r="K54" s="256">
        <v>5.0000000000000001E-4</v>
      </c>
      <c r="L54" s="256">
        <v>1.5E-3</v>
      </c>
      <c r="M54" s="256">
        <v>3.0000000000000001E-3</v>
      </c>
      <c r="N54" s="256">
        <v>5.0000000000000001E-3</v>
      </c>
      <c r="O54" s="256">
        <v>7.0000000000000001E-3</v>
      </c>
      <c r="P54" s="355">
        <v>8.9999999999999993E-3</v>
      </c>
      <c r="Q54" s="256">
        <v>1.2E-2</v>
      </c>
      <c r="R54" s="256">
        <v>1.4999999999999999E-2</v>
      </c>
      <c r="S54" s="256">
        <v>1.9E-2</v>
      </c>
      <c r="T54" s="256">
        <v>2.4E-2</v>
      </c>
      <c r="U54" s="256">
        <v>3.2000000000000001E-2</v>
      </c>
      <c r="V54" s="256">
        <v>4.2000000000000003E-2</v>
      </c>
      <c r="W54" s="256">
        <v>4.8000000000000001E-2</v>
      </c>
      <c r="X54" s="256">
        <v>5.3999999999999999E-2</v>
      </c>
      <c r="Y54" s="256">
        <v>5.8000000000000003E-2</v>
      </c>
      <c r="Z54" s="355">
        <v>6.0999999999999999E-2</v>
      </c>
      <c r="AA54" s="256">
        <v>6.4000000000000001E-2</v>
      </c>
      <c r="AB54" s="256">
        <v>6.6000000000000003E-2</v>
      </c>
      <c r="AC54" s="256">
        <v>6.9000000000000006E-2</v>
      </c>
      <c r="AD54" s="256">
        <v>7.0999999999999994E-2</v>
      </c>
      <c r="AE54" s="256">
        <v>7.2999999999999995E-2</v>
      </c>
      <c r="AF54" s="256">
        <v>7.4999999999999997E-2</v>
      </c>
      <c r="AG54" s="256">
        <v>7.6999999999999999E-2</v>
      </c>
      <c r="AH54" s="256">
        <v>7.8E-2</v>
      </c>
      <c r="AI54" s="256">
        <v>7.9000000000000001E-2</v>
      </c>
      <c r="AJ54" s="355">
        <v>0.08</v>
      </c>
      <c r="AK54" s="356" t="s">
        <v>352</v>
      </c>
      <c r="AL54" s="1" t="s">
        <v>605</v>
      </c>
      <c r="AM54" s="1"/>
      <c r="AN54" s="1"/>
      <c r="AO54" s="1"/>
      <c r="AP54" s="1"/>
      <c r="AQ54" s="1"/>
      <c r="AR54" s="1"/>
      <c r="AS54" s="1"/>
      <c r="AT54" s="1"/>
      <c r="AU54" s="1"/>
      <c r="AV54" s="1"/>
      <c r="AW54" s="1"/>
      <c r="AX54" s="1"/>
      <c r="AY54" s="1"/>
      <c r="AZ54" s="1"/>
      <c r="BA54" s="1"/>
      <c r="BB54" s="1"/>
      <c r="BC54" s="1"/>
      <c r="BD54" s="1"/>
      <c r="BE54" s="1"/>
      <c r="BF54" s="1"/>
    </row>
    <row r="55" spans="1:58" ht="14.25" customHeight="1">
      <c r="A55" s="1"/>
      <c r="B55" s="1"/>
      <c r="C55" s="1" t="s">
        <v>219</v>
      </c>
      <c r="D55" s="1" t="s">
        <v>214</v>
      </c>
      <c r="E55" s="1"/>
      <c r="F55" s="1" t="s">
        <v>606</v>
      </c>
      <c r="G55" s="1"/>
      <c r="H55" s="54">
        <v>9.0399999999999994E-2</v>
      </c>
      <c r="I55" s="54">
        <f t="shared" ref="I55:J55" si="13">H55+($K55-$H55)/($K$1-$H$1)</f>
        <v>8.7099999999999997E-2</v>
      </c>
      <c r="J55" s="54">
        <f t="shared" si="13"/>
        <v>8.3799999999999999E-2</v>
      </c>
      <c r="K55" s="65">
        <f>8.05%</f>
        <v>8.0500000000000002E-2</v>
      </c>
      <c r="L55" s="54">
        <f t="shared" ref="L55:O55" si="14">K55+($P55-$K55)/($P$1-$K$1)</f>
        <v>7.8E-2</v>
      </c>
      <c r="M55" s="54">
        <f t="shared" si="14"/>
        <v>7.5499999999999998E-2</v>
      </c>
      <c r="N55" s="54">
        <f t="shared" si="14"/>
        <v>7.2999999999999995E-2</v>
      </c>
      <c r="O55" s="54">
        <f t="shared" si="14"/>
        <v>7.0499999999999993E-2</v>
      </c>
      <c r="P55" s="54">
        <v>6.8000000000000005E-2</v>
      </c>
      <c r="Q55" s="54">
        <f t="shared" ref="Q55:T55" si="15">P55+($U55-$P55)/($U$1-$P$1)</f>
        <v>6.6439999999999999E-2</v>
      </c>
      <c r="R55" s="54">
        <f t="shared" si="15"/>
        <v>6.4879999999999993E-2</v>
      </c>
      <c r="S55" s="54">
        <f t="shared" si="15"/>
        <v>6.3319999999999987E-2</v>
      </c>
      <c r="T55" s="54">
        <f t="shared" si="15"/>
        <v>6.1759999999999989E-2</v>
      </c>
      <c r="U55" s="54">
        <v>6.0199999999999997E-2</v>
      </c>
      <c r="V55" s="54">
        <f t="shared" ref="V55:Y55" si="16">U55+($Z$55-$U$55)/($Z$1-$U$1)</f>
        <v>5.8959999999999999E-2</v>
      </c>
      <c r="W55" s="54">
        <f t="shared" si="16"/>
        <v>5.772E-2</v>
      </c>
      <c r="X55" s="54">
        <f t="shared" si="16"/>
        <v>5.6480000000000002E-2</v>
      </c>
      <c r="Y55" s="54">
        <f t="shared" si="16"/>
        <v>5.5240000000000004E-2</v>
      </c>
      <c r="Z55" s="54">
        <v>5.3999999999999999E-2</v>
      </c>
      <c r="AA55" s="54">
        <f t="shared" ref="AA55:AD55" si="17">Z55+($AE$55-$Z$55)/($AE$1-$Z$1)</f>
        <v>5.3600000000000002E-2</v>
      </c>
      <c r="AB55" s="54">
        <f t="shared" si="17"/>
        <v>5.3200000000000004E-2</v>
      </c>
      <c r="AC55" s="54">
        <f t="shared" si="17"/>
        <v>5.2800000000000007E-2</v>
      </c>
      <c r="AD55" s="54">
        <f t="shared" si="17"/>
        <v>5.2400000000000009E-2</v>
      </c>
      <c r="AE55" s="54">
        <v>5.1999999999999998E-2</v>
      </c>
      <c r="AF55" s="54">
        <f t="shared" ref="AF55:AI55" si="18">AE55+($AJ$55-$AE$55)/($AJ$1-$AE$1)</f>
        <v>5.1799999999999999E-2</v>
      </c>
      <c r="AG55" s="54">
        <f t="shared" si="18"/>
        <v>5.16E-2</v>
      </c>
      <c r="AH55" s="54">
        <f t="shared" si="18"/>
        <v>5.1400000000000001E-2</v>
      </c>
      <c r="AI55" s="54">
        <f t="shared" si="18"/>
        <v>5.1200000000000002E-2</v>
      </c>
      <c r="AJ55" s="54">
        <v>5.0999999999999997E-2</v>
      </c>
      <c r="AK55" s="356" t="s">
        <v>355</v>
      </c>
      <c r="AL55" s="1" t="s">
        <v>356</v>
      </c>
      <c r="AM55" s="1"/>
      <c r="AN55" s="1"/>
      <c r="AO55" s="1"/>
      <c r="AP55" s="1"/>
      <c r="AQ55" s="1"/>
      <c r="AR55" s="1"/>
      <c r="AS55" s="1"/>
      <c r="AT55" s="1"/>
      <c r="AU55" s="1"/>
      <c r="AV55" s="1"/>
      <c r="AW55" s="1"/>
      <c r="AX55" s="1"/>
      <c r="AY55" s="1"/>
      <c r="AZ55" s="1"/>
      <c r="BA55" s="1"/>
      <c r="BB55" s="1"/>
      <c r="BC55" s="1"/>
      <c r="BD55" s="1"/>
      <c r="BE55" s="1"/>
      <c r="BF55" s="1"/>
    </row>
    <row r="56" spans="1:58" ht="14.25" customHeight="1">
      <c r="A56" s="369"/>
      <c r="B56" s="179"/>
      <c r="C56" s="179" t="s">
        <v>607</v>
      </c>
      <c r="D56" s="179" t="s">
        <v>608</v>
      </c>
      <c r="E56" s="179"/>
      <c r="F56" s="370" t="s">
        <v>609</v>
      </c>
      <c r="G56" s="179"/>
      <c r="H56" s="371"/>
      <c r="I56" s="371"/>
      <c r="J56" s="371"/>
      <c r="K56" s="371"/>
      <c r="L56" s="371"/>
      <c r="M56" s="371"/>
      <c r="N56" s="371"/>
      <c r="O56" s="371"/>
      <c r="P56" s="371"/>
      <c r="Q56" s="371"/>
      <c r="R56" s="371"/>
      <c r="S56" s="371"/>
      <c r="T56" s="371"/>
      <c r="U56" s="371"/>
      <c r="V56" s="179"/>
      <c r="W56" s="179"/>
      <c r="X56" s="179"/>
      <c r="Y56" s="179"/>
      <c r="Z56" s="179"/>
      <c r="AA56" s="179"/>
      <c r="AB56" s="179"/>
      <c r="AC56" s="179"/>
      <c r="AD56" s="179"/>
      <c r="AE56" s="179"/>
      <c r="AF56" s="179"/>
      <c r="AG56" s="179"/>
      <c r="AH56" s="179"/>
      <c r="AI56" s="179"/>
      <c r="AJ56" s="179"/>
      <c r="AK56" s="370" t="s">
        <v>610</v>
      </c>
      <c r="AL56" s="179"/>
      <c r="AM56" s="179"/>
      <c r="AN56" s="179"/>
      <c r="AO56" s="179"/>
      <c r="AP56" s="179"/>
      <c r="AQ56" s="179"/>
      <c r="AR56" s="179"/>
      <c r="AS56" s="179"/>
      <c r="AT56" s="179"/>
      <c r="AU56" s="179"/>
      <c r="AV56" s="179"/>
      <c r="AW56" s="179"/>
      <c r="AX56" s="179"/>
      <c r="AY56" s="179"/>
      <c r="AZ56" s="179"/>
      <c r="BA56" s="179"/>
      <c r="BB56" s="179"/>
      <c r="BC56" s="179"/>
      <c r="BD56" s="179"/>
      <c r="BE56" s="179"/>
      <c r="BF56" s="179"/>
    </row>
    <row r="57" spans="1:58" ht="14.25" customHeight="1">
      <c r="A57" s="369"/>
      <c r="B57" s="179"/>
      <c r="C57" s="179" t="s">
        <v>611</v>
      </c>
      <c r="D57" s="179" t="s">
        <v>58</v>
      </c>
      <c r="E57" s="179"/>
      <c r="F57" s="370" t="s">
        <v>609</v>
      </c>
      <c r="G57" s="179"/>
      <c r="H57" s="371"/>
      <c r="I57" s="371"/>
      <c r="J57" s="371"/>
      <c r="K57" s="371"/>
      <c r="L57" s="371"/>
      <c r="M57" s="371"/>
      <c r="N57" s="371"/>
      <c r="O57" s="371"/>
      <c r="P57" s="371"/>
      <c r="Q57" s="371"/>
      <c r="R57" s="371"/>
      <c r="S57" s="371"/>
      <c r="T57" s="371"/>
      <c r="U57" s="371"/>
      <c r="V57" s="179"/>
      <c r="W57" s="179"/>
      <c r="X57" s="179"/>
      <c r="Y57" s="179"/>
      <c r="Z57" s="179"/>
      <c r="AA57" s="179"/>
      <c r="AB57" s="179"/>
      <c r="AC57" s="179"/>
      <c r="AD57" s="179"/>
      <c r="AE57" s="179"/>
      <c r="AF57" s="179"/>
      <c r="AG57" s="179"/>
      <c r="AH57" s="179"/>
      <c r="AI57" s="179"/>
      <c r="AJ57" s="372">
        <v>0.6</v>
      </c>
      <c r="AK57" s="370"/>
      <c r="AL57" s="179"/>
      <c r="AM57" s="179"/>
      <c r="AN57" s="179"/>
      <c r="AO57" s="179"/>
      <c r="AP57" s="179"/>
      <c r="AQ57" s="179"/>
      <c r="AR57" s="179"/>
      <c r="AS57" s="179"/>
      <c r="AT57" s="179"/>
      <c r="AU57" s="179"/>
      <c r="AV57" s="179"/>
      <c r="AW57" s="179"/>
      <c r="AX57" s="179"/>
      <c r="AY57" s="179"/>
      <c r="AZ57" s="179"/>
      <c r="BA57" s="179"/>
      <c r="BB57" s="179"/>
      <c r="BC57" s="179"/>
      <c r="BD57" s="179"/>
      <c r="BE57" s="179"/>
      <c r="BF57" s="179"/>
    </row>
    <row r="58" spans="1:58" ht="14.25" customHeight="1">
      <c r="A58" s="1"/>
      <c r="B58" s="1"/>
      <c r="C58" s="1"/>
      <c r="D58" s="1"/>
      <c r="E58" s="1"/>
      <c r="F58" s="1"/>
      <c r="G58" s="1"/>
      <c r="H58" s="1"/>
      <c r="I58" s="1"/>
      <c r="J58" s="1"/>
      <c r="K58" s="1"/>
      <c r="L58" s="1"/>
      <c r="M58" s="1"/>
      <c r="N58" s="1"/>
      <c r="O58" s="1"/>
      <c r="P58" s="373"/>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row>
    <row r="59" spans="1:58" ht="14.25" customHeight="1">
      <c r="A59" s="44" t="s">
        <v>225</v>
      </c>
      <c r="B59" s="75"/>
      <c r="C59" s="75" t="s">
        <v>226</v>
      </c>
      <c r="D59" s="75" t="s">
        <v>214</v>
      </c>
      <c r="E59" s="75"/>
      <c r="F59" s="75" t="s">
        <v>215</v>
      </c>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356" t="s">
        <v>231</v>
      </c>
      <c r="AL59" s="1"/>
      <c r="AM59" s="1"/>
      <c r="AN59" s="1"/>
      <c r="AO59" s="1"/>
      <c r="AP59" s="1"/>
      <c r="AQ59" s="1"/>
      <c r="AR59" s="1"/>
      <c r="AS59" s="1"/>
      <c r="AT59" s="1"/>
      <c r="AU59" s="1"/>
      <c r="AV59" s="1"/>
      <c r="AW59" s="1"/>
      <c r="AX59" s="1"/>
      <c r="AY59" s="1"/>
      <c r="AZ59" s="1"/>
      <c r="BA59" s="1"/>
      <c r="BB59" s="1"/>
      <c r="BC59" s="1"/>
      <c r="BD59" s="1"/>
      <c r="BE59" s="1"/>
      <c r="BF59" s="1"/>
    </row>
    <row r="60" spans="1:58" ht="14.25" customHeight="1">
      <c r="A60" s="14"/>
      <c r="B60" s="14"/>
      <c r="C60" s="1" t="s">
        <v>213</v>
      </c>
      <c r="D60" s="1" t="s">
        <v>214</v>
      </c>
      <c r="E60" s="1"/>
      <c r="F60" s="1" t="s">
        <v>215</v>
      </c>
      <c r="G60" s="1"/>
      <c r="H60" s="25">
        <v>0.01</v>
      </c>
      <c r="I60" s="54">
        <f t="shared" ref="I60:J60" si="19">H60+($K60-$H60)/($K$1-$H$1)</f>
        <v>2.3333333333333334E-2</v>
      </c>
      <c r="J60" s="54">
        <f t="shared" si="19"/>
        <v>3.6666666666666667E-2</v>
      </c>
      <c r="K60" s="25">
        <v>0.05</v>
      </c>
      <c r="L60" s="54">
        <f t="shared" ref="L60:O60" si="20">K60+($P60-$K60)/($P$1-$K$1)</f>
        <v>5.2000000000000005E-2</v>
      </c>
      <c r="M60" s="54">
        <f t="shared" si="20"/>
        <v>5.4000000000000006E-2</v>
      </c>
      <c r="N60" s="54">
        <f t="shared" si="20"/>
        <v>5.6000000000000008E-2</v>
      </c>
      <c r="O60" s="54">
        <f t="shared" si="20"/>
        <v>5.800000000000001E-2</v>
      </c>
      <c r="P60" s="25">
        <v>0.06</v>
      </c>
      <c r="Q60" s="54">
        <f t="shared" ref="Q60:T60" si="21">P60+($U60-$P60)/($U$1-$P$1)</f>
        <v>6.2E-2</v>
      </c>
      <c r="R60" s="54">
        <f t="shared" si="21"/>
        <v>6.4000000000000001E-2</v>
      </c>
      <c r="S60" s="54">
        <f t="shared" si="21"/>
        <v>6.6000000000000003E-2</v>
      </c>
      <c r="T60" s="54">
        <f t="shared" si="21"/>
        <v>6.8000000000000005E-2</v>
      </c>
      <c r="U60" s="25">
        <v>7.0000000000000007E-2</v>
      </c>
      <c r="V60" s="1"/>
      <c r="W60" s="1"/>
      <c r="X60" s="1"/>
      <c r="Y60" s="1"/>
      <c r="Z60" s="1"/>
      <c r="AA60" s="1"/>
      <c r="AB60" s="1"/>
      <c r="AC60" s="1"/>
      <c r="AD60" s="1"/>
      <c r="AE60" s="1"/>
      <c r="AF60" s="1"/>
      <c r="AG60" s="1"/>
      <c r="AH60" s="1"/>
      <c r="AI60" s="1"/>
      <c r="AJ60" s="1"/>
      <c r="AK60" s="356" t="s">
        <v>360</v>
      </c>
      <c r="AL60" s="1" t="s">
        <v>361</v>
      </c>
      <c r="AM60" s="1"/>
      <c r="AN60" s="1"/>
      <c r="AO60" s="1"/>
      <c r="AP60" s="1"/>
      <c r="AQ60" s="1"/>
      <c r="AR60" s="1"/>
      <c r="AS60" s="1"/>
      <c r="AT60" s="1"/>
      <c r="AU60" s="1"/>
      <c r="AV60" s="1"/>
      <c r="AW60" s="1"/>
      <c r="AX60" s="1"/>
      <c r="AY60" s="1"/>
      <c r="AZ60" s="1"/>
      <c r="BA60" s="1"/>
      <c r="BB60" s="1"/>
      <c r="BC60" s="1"/>
      <c r="BD60" s="1"/>
      <c r="BE60" s="1"/>
      <c r="BF60" s="1"/>
    </row>
    <row r="61" spans="1:58" ht="14.25" customHeight="1">
      <c r="A61" s="1"/>
      <c r="B61" s="1"/>
      <c r="C61" s="1" t="s">
        <v>359</v>
      </c>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356" t="s">
        <v>364</v>
      </c>
      <c r="AL61" s="1"/>
      <c r="AM61" s="1"/>
      <c r="AN61" s="1"/>
      <c r="AO61" s="1"/>
      <c r="AP61" s="1"/>
      <c r="AQ61" s="1"/>
      <c r="AR61" s="1"/>
      <c r="AS61" s="1"/>
      <c r="AT61" s="1"/>
      <c r="AU61" s="1"/>
      <c r="AV61" s="1"/>
      <c r="AW61" s="1"/>
      <c r="AX61" s="1"/>
      <c r="AY61" s="1"/>
      <c r="AZ61" s="1"/>
      <c r="BA61" s="1"/>
      <c r="BB61" s="1"/>
      <c r="BC61" s="1"/>
      <c r="BD61" s="1"/>
      <c r="BE61" s="1"/>
      <c r="BF61" s="1"/>
    </row>
    <row r="62" spans="1:58" ht="14.25" customHeight="1">
      <c r="A62" s="1"/>
      <c r="B62" s="1"/>
      <c r="C62" s="1" t="s">
        <v>362</v>
      </c>
      <c r="D62" s="1" t="s">
        <v>35</v>
      </c>
      <c r="E62" s="1"/>
      <c r="F62" s="1" t="s">
        <v>599</v>
      </c>
      <c r="G62" s="1"/>
      <c r="H62" s="1">
        <v>0</v>
      </c>
      <c r="I62" s="1">
        <v>0</v>
      </c>
      <c r="J62" s="1">
        <v>0</v>
      </c>
      <c r="K62" s="1">
        <v>0</v>
      </c>
      <c r="L62" s="1">
        <v>0</v>
      </c>
      <c r="M62" s="1">
        <v>0</v>
      </c>
      <c r="N62" s="1">
        <v>0</v>
      </c>
      <c r="O62" s="1">
        <v>0</v>
      </c>
      <c r="P62" s="1">
        <v>50</v>
      </c>
      <c r="Q62" s="1">
        <v>50</v>
      </c>
      <c r="R62" s="1">
        <v>50</v>
      </c>
      <c r="S62" s="1">
        <v>50</v>
      </c>
      <c r="T62" s="1">
        <v>50</v>
      </c>
      <c r="U62" s="1">
        <v>100</v>
      </c>
      <c r="V62" s="1">
        <f t="shared" ref="V62:Y62" si="22">U62</f>
        <v>100</v>
      </c>
      <c r="W62" s="1">
        <f t="shared" si="22"/>
        <v>100</v>
      </c>
      <c r="X62" s="1">
        <f t="shared" si="22"/>
        <v>100</v>
      </c>
      <c r="Y62" s="1">
        <f t="shared" si="22"/>
        <v>100</v>
      </c>
      <c r="Z62" s="1">
        <v>200</v>
      </c>
      <c r="AA62" s="1">
        <f t="shared" ref="AA62:AD62" si="23">Z62</f>
        <v>200</v>
      </c>
      <c r="AB62" s="1">
        <f t="shared" si="23"/>
        <v>200</v>
      </c>
      <c r="AC62" s="1">
        <f t="shared" si="23"/>
        <v>200</v>
      </c>
      <c r="AD62" s="1">
        <f t="shared" si="23"/>
        <v>200</v>
      </c>
      <c r="AE62" s="1">
        <v>500</v>
      </c>
      <c r="AF62" s="1">
        <f t="shared" ref="AF62:AI62" si="24">AE62</f>
        <v>500</v>
      </c>
      <c r="AG62" s="1">
        <f t="shared" si="24"/>
        <v>500</v>
      </c>
      <c r="AH62" s="1">
        <f t="shared" si="24"/>
        <v>500</v>
      </c>
      <c r="AI62" s="1">
        <f t="shared" si="24"/>
        <v>500</v>
      </c>
      <c r="AJ62" s="1">
        <v>1500</v>
      </c>
      <c r="AK62" s="356" t="s">
        <v>367</v>
      </c>
      <c r="AL62" s="1" t="s">
        <v>241</v>
      </c>
      <c r="AM62" s="1" t="s">
        <v>242</v>
      </c>
      <c r="AN62" s="20" t="s">
        <v>357</v>
      </c>
      <c r="AO62" s="1"/>
      <c r="AP62" s="1"/>
      <c r="AQ62" s="1"/>
      <c r="AR62" s="1"/>
      <c r="AS62" s="1"/>
      <c r="AT62" s="1"/>
      <c r="AU62" s="1"/>
      <c r="AV62" s="1"/>
      <c r="AW62" s="1"/>
      <c r="AX62" s="1"/>
      <c r="AY62" s="1"/>
      <c r="AZ62" s="1"/>
      <c r="BA62" s="1"/>
      <c r="BB62" s="1"/>
      <c r="BC62" s="1"/>
      <c r="BD62" s="1"/>
      <c r="BE62" s="1"/>
      <c r="BF62" s="1"/>
    </row>
    <row r="63" spans="1:58" ht="14.25" customHeight="1">
      <c r="A63" s="1"/>
      <c r="B63" s="1"/>
      <c r="C63" s="1" t="s">
        <v>219</v>
      </c>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65"/>
      <c r="AO63" s="1"/>
      <c r="AP63" s="1"/>
      <c r="AQ63" s="1"/>
      <c r="AR63" s="1"/>
      <c r="AS63" s="1"/>
      <c r="AT63" s="1"/>
      <c r="AU63" s="1"/>
      <c r="AV63" s="1"/>
      <c r="AW63" s="1"/>
      <c r="AX63" s="1"/>
      <c r="AY63" s="1"/>
      <c r="AZ63" s="1"/>
      <c r="BA63" s="1"/>
      <c r="BB63" s="1"/>
      <c r="BC63" s="1"/>
      <c r="BD63" s="1"/>
      <c r="BE63" s="1"/>
      <c r="BF63" s="1"/>
    </row>
    <row r="64" spans="1:58" ht="14.25" customHeight="1">
      <c r="A64" s="369"/>
      <c r="B64" s="179"/>
      <c r="C64" s="179" t="s">
        <v>612</v>
      </c>
      <c r="D64" s="179" t="s">
        <v>372</v>
      </c>
      <c r="E64" s="179"/>
      <c r="F64" s="370" t="s">
        <v>609</v>
      </c>
      <c r="G64" s="179"/>
      <c r="H64" s="371"/>
      <c r="I64" s="371"/>
      <c r="J64" s="371"/>
      <c r="K64" s="371"/>
      <c r="L64" s="371"/>
      <c r="M64" s="371"/>
      <c r="N64" s="371"/>
      <c r="O64" s="371"/>
      <c r="P64" s="371"/>
      <c r="Q64" s="371"/>
      <c r="R64" s="371"/>
      <c r="S64" s="371"/>
      <c r="T64" s="371"/>
      <c r="U64" s="371"/>
      <c r="V64" s="179"/>
      <c r="W64" s="179"/>
      <c r="X64" s="179"/>
      <c r="Y64" s="179"/>
      <c r="Z64" s="179"/>
      <c r="AA64" s="179"/>
      <c r="AB64" s="179"/>
      <c r="AC64" s="179"/>
      <c r="AD64" s="179"/>
      <c r="AE64" s="179"/>
      <c r="AF64" s="179"/>
      <c r="AG64" s="179"/>
      <c r="AH64" s="179"/>
      <c r="AI64" s="179"/>
      <c r="AJ64" s="179"/>
      <c r="AK64" s="370"/>
      <c r="AL64" s="179"/>
      <c r="AM64" s="179"/>
      <c r="AN64" s="179"/>
      <c r="AO64" s="179"/>
      <c r="AP64" s="179"/>
      <c r="AQ64" s="179"/>
      <c r="AR64" s="179"/>
      <c r="AS64" s="179"/>
      <c r="AT64" s="179"/>
      <c r="AU64" s="179"/>
      <c r="AV64" s="179"/>
      <c r="AW64" s="179"/>
      <c r="AX64" s="179"/>
      <c r="AY64" s="179"/>
      <c r="AZ64" s="179"/>
      <c r="BA64" s="179"/>
      <c r="BB64" s="179"/>
      <c r="BC64" s="179"/>
      <c r="BD64" s="179"/>
      <c r="BE64" s="179"/>
      <c r="BF64" s="179"/>
    </row>
    <row r="65" spans="1:58" ht="14.25" customHeight="1">
      <c r="A65" s="369"/>
      <c r="B65" s="179"/>
      <c r="C65" s="179" t="s">
        <v>613</v>
      </c>
      <c r="D65" s="179" t="s">
        <v>61</v>
      </c>
      <c r="E65" s="179"/>
      <c r="F65" s="370" t="s">
        <v>609</v>
      </c>
      <c r="G65" s="179"/>
      <c r="H65" s="371"/>
      <c r="I65" s="371"/>
      <c r="J65" s="371"/>
      <c r="K65" s="371"/>
      <c r="L65" s="371"/>
      <c r="M65" s="371"/>
      <c r="N65" s="371"/>
      <c r="O65" s="371"/>
      <c r="P65" s="371"/>
      <c r="Q65" s="371"/>
      <c r="R65" s="371"/>
      <c r="S65" s="371"/>
      <c r="T65" s="371"/>
      <c r="U65" s="371"/>
      <c r="V65" s="179"/>
      <c r="W65" s="179"/>
      <c r="X65" s="179"/>
      <c r="Y65" s="179"/>
      <c r="Z65" s="179"/>
      <c r="AA65" s="179"/>
      <c r="AB65" s="179"/>
      <c r="AC65" s="179"/>
      <c r="AD65" s="179"/>
      <c r="AE65" s="179"/>
      <c r="AF65" s="179"/>
      <c r="AG65" s="179"/>
      <c r="AH65" s="179"/>
      <c r="AI65" s="179"/>
      <c r="AJ65" s="179"/>
      <c r="AK65" s="370"/>
      <c r="AL65" s="179"/>
      <c r="AM65" s="179"/>
      <c r="AN65" s="179"/>
      <c r="AO65" s="179"/>
      <c r="AP65" s="179"/>
      <c r="AQ65" s="179"/>
      <c r="AR65" s="179"/>
      <c r="AS65" s="179"/>
      <c r="AT65" s="179"/>
      <c r="AU65" s="179"/>
      <c r="AV65" s="179"/>
      <c r="AW65" s="179"/>
      <c r="AX65" s="179"/>
      <c r="AY65" s="179"/>
      <c r="AZ65" s="179"/>
      <c r="BA65" s="179"/>
      <c r="BB65" s="179"/>
      <c r="BC65" s="179"/>
      <c r="BD65" s="179"/>
      <c r="BE65" s="179"/>
      <c r="BF65" s="179"/>
    </row>
    <row r="66" spans="1:58" ht="14.25" customHeight="1">
      <c r="A66" s="369"/>
      <c r="B66" s="179"/>
      <c r="C66" s="179" t="s">
        <v>611</v>
      </c>
      <c r="D66" s="179" t="s">
        <v>58</v>
      </c>
      <c r="E66" s="179"/>
      <c r="F66" s="370" t="s">
        <v>609</v>
      </c>
      <c r="G66" s="179"/>
      <c r="H66" s="371"/>
      <c r="I66" s="371"/>
      <c r="J66" s="371"/>
      <c r="K66" s="371"/>
      <c r="L66" s="371"/>
      <c r="M66" s="371"/>
      <c r="N66" s="371"/>
      <c r="O66" s="371"/>
      <c r="P66" s="371"/>
      <c r="Q66" s="371"/>
      <c r="R66" s="371"/>
      <c r="S66" s="371"/>
      <c r="T66" s="371"/>
      <c r="U66" s="371"/>
      <c r="V66" s="179"/>
      <c r="W66" s="179"/>
      <c r="X66" s="179"/>
      <c r="Y66" s="179"/>
      <c r="Z66" s="179"/>
      <c r="AA66" s="179"/>
      <c r="AB66" s="179"/>
      <c r="AC66" s="179"/>
      <c r="AD66" s="179"/>
      <c r="AE66" s="179"/>
      <c r="AF66" s="179"/>
      <c r="AG66" s="179"/>
      <c r="AH66" s="179"/>
      <c r="AI66" s="179"/>
      <c r="AJ66" s="179"/>
      <c r="AK66" s="370"/>
      <c r="AL66" s="179"/>
      <c r="AM66" s="179"/>
      <c r="AN66" s="179"/>
      <c r="AO66" s="179"/>
      <c r="AP66" s="179"/>
      <c r="AQ66" s="179"/>
      <c r="AR66" s="179"/>
      <c r="AS66" s="179"/>
      <c r="AT66" s="179"/>
      <c r="AU66" s="179"/>
      <c r="AV66" s="179"/>
      <c r="AW66" s="179"/>
      <c r="AX66" s="179"/>
      <c r="AY66" s="179"/>
      <c r="AZ66" s="179"/>
      <c r="BA66" s="179"/>
      <c r="BB66" s="179"/>
      <c r="BC66" s="179"/>
      <c r="BD66" s="179"/>
      <c r="BE66" s="179"/>
      <c r="BF66" s="179"/>
    </row>
    <row r="67" spans="1:58" ht="14.25" customHeight="1">
      <c r="A67" s="369"/>
      <c r="B67" s="179"/>
      <c r="C67" s="179" t="s">
        <v>614</v>
      </c>
      <c r="D67" s="179" t="s">
        <v>377</v>
      </c>
      <c r="E67" s="179"/>
      <c r="F67" s="370" t="s">
        <v>609</v>
      </c>
      <c r="G67" s="179"/>
      <c r="H67" s="371"/>
      <c r="I67" s="371"/>
      <c r="J67" s="371"/>
      <c r="K67" s="371"/>
      <c r="L67" s="371"/>
      <c r="M67" s="371"/>
      <c r="N67" s="371"/>
      <c r="O67" s="371"/>
      <c r="P67" s="371"/>
      <c r="Q67" s="371"/>
      <c r="R67" s="371"/>
      <c r="S67" s="371"/>
      <c r="T67" s="371"/>
      <c r="U67" s="371"/>
      <c r="V67" s="179"/>
      <c r="W67" s="179"/>
      <c r="X67" s="179"/>
      <c r="Y67" s="179"/>
      <c r="Z67" s="179"/>
      <c r="AA67" s="179"/>
      <c r="AB67" s="179"/>
      <c r="AC67" s="179"/>
      <c r="AD67" s="179"/>
      <c r="AE67" s="179"/>
      <c r="AF67" s="179"/>
      <c r="AG67" s="179"/>
      <c r="AH67" s="179"/>
      <c r="AI67" s="179"/>
      <c r="AJ67" s="179"/>
      <c r="AK67" s="370"/>
      <c r="AL67" s="179"/>
      <c r="AM67" s="179"/>
      <c r="AN67" s="179"/>
      <c r="AO67" s="179"/>
      <c r="AP67" s="179"/>
      <c r="AQ67" s="179"/>
      <c r="AR67" s="179"/>
      <c r="AS67" s="179"/>
      <c r="AT67" s="179"/>
      <c r="AU67" s="179"/>
      <c r="AV67" s="179"/>
      <c r="AW67" s="179"/>
      <c r="AX67" s="179"/>
      <c r="AY67" s="179"/>
      <c r="AZ67" s="179"/>
      <c r="BA67" s="179"/>
      <c r="BB67" s="179"/>
      <c r="BC67" s="179"/>
      <c r="BD67" s="179"/>
      <c r="BE67" s="179"/>
      <c r="BF67" s="179"/>
    </row>
    <row r="68" spans="1:58" ht="14.25" customHeight="1">
      <c r="A68" s="369"/>
      <c r="B68" s="179"/>
      <c r="C68" s="179" t="s">
        <v>615</v>
      </c>
      <c r="D68" s="179" t="s">
        <v>128</v>
      </c>
      <c r="E68" s="179"/>
      <c r="F68" s="370" t="s">
        <v>609</v>
      </c>
      <c r="G68" s="179"/>
      <c r="H68" s="371"/>
      <c r="I68" s="371"/>
      <c r="J68" s="371"/>
      <c r="K68" s="371"/>
      <c r="L68" s="371"/>
      <c r="M68" s="371"/>
      <c r="N68" s="371"/>
      <c r="O68" s="371"/>
      <c r="P68" s="371"/>
      <c r="Q68" s="371"/>
      <c r="R68" s="371"/>
      <c r="S68" s="371"/>
      <c r="T68" s="371"/>
      <c r="U68" s="371"/>
      <c r="V68" s="179"/>
      <c r="W68" s="179"/>
      <c r="X68" s="179"/>
      <c r="Y68" s="179"/>
      <c r="Z68" s="179"/>
      <c r="AA68" s="179"/>
      <c r="AB68" s="179"/>
      <c r="AC68" s="179"/>
      <c r="AD68" s="179"/>
      <c r="AE68" s="179"/>
      <c r="AF68" s="179"/>
      <c r="AG68" s="179"/>
      <c r="AH68" s="179"/>
      <c r="AI68" s="179"/>
      <c r="AJ68" s="179"/>
      <c r="AK68" s="370"/>
      <c r="AL68" s="179"/>
      <c r="AM68" s="179"/>
      <c r="AN68" s="179"/>
      <c r="AO68" s="179"/>
      <c r="AP68" s="179"/>
      <c r="AQ68" s="179"/>
      <c r="AR68" s="179"/>
      <c r="AS68" s="179"/>
      <c r="AT68" s="179"/>
      <c r="AU68" s="179"/>
      <c r="AV68" s="179"/>
      <c r="AW68" s="179"/>
      <c r="AX68" s="179"/>
      <c r="AY68" s="179"/>
      <c r="AZ68" s="179"/>
      <c r="BA68" s="179"/>
      <c r="BB68" s="179"/>
      <c r="BC68" s="179"/>
      <c r="BD68" s="179"/>
      <c r="BE68" s="179"/>
      <c r="BF68" s="179"/>
    </row>
    <row r="69" spans="1:58"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row>
    <row r="70" spans="1:58" ht="14.25" customHeight="1">
      <c r="A70" s="44" t="s">
        <v>232</v>
      </c>
      <c r="B70" s="75"/>
      <c r="C70" s="75"/>
      <c r="D70" s="75"/>
      <c r="E70" s="75"/>
      <c r="F70" s="75"/>
      <c r="G70" s="75"/>
      <c r="H70" s="78"/>
      <c r="I70" s="75"/>
      <c r="J70" s="75"/>
      <c r="K70" s="78"/>
      <c r="L70" s="75"/>
      <c r="M70" s="75"/>
      <c r="N70" s="75"/>
      <c r="O70" s="75"/>
      <c r="P70" s="78"/>
      <c r="Q70" s="75"/>
      <c r="R70" s="75"/>
      <c r="S70" s="75"/>
      <c r="T70" s="75"/>
      <c r="U70" s="78"/>
      <c r="V70" s="75"/>
      <c r="W70" s="75"/>
      <c r="X70" s="75"/>
      <c r="Y70" s="75"/>
      <c r="Z70" s="75"/>
      <c r="AA70" s="75"/>
      <c r="AB70" s="75"/>
      <c r="AC70" s="75"/>
      <c r="AD70" s="75"/>
      <c r="AE70" s="75"/>
      <c r="AF70" s="75"/>
      <c r="AG70" s="75"/>
      <c r="AH70" s="75"/>
      <c r="AI70" s="75"/>
      <c r="AJ70" s="75"/>
      <c r="AK70" s="75"/>
      <c r="AL70" s="1"/>
      <c r="AM70" s="1"/>
      <c r="AN70" s="1"/>
      <c r="AO70" s="1"/>
      <c r="AP70" s="1"/>
      <c r="AQ70" s="1"/>
      <c r="AR70" s="1"/>
      <c r="AS70" s="1"/>
      <c r="AT70" s="1"/>
      <c r="AU70" s="1"/>
      <c r="AV70" s="1"/>
      <c r="AW70" s="1"/>
      <c r="AX70" s="1"/>
      <c r="AY70" s="1"/>
      <c r="AZ70" s="1"/>
      <c r="BA70" s="1"/>
      <c r="BB70" s="1"/>
      <c r="BC70" s="1"/>
      <c r="BD70" s="1"/>
      <c r="BE70" s="1"/>
      <c r="BF70" s="1"/>
    </row>
    <row r="71" spans="1:58" ht="14.25" customHeight="1">
      <c r="A71" s="1"/>
      <c r="B71" s="1"/>
      <c r="C71" s="1" t="s">
        <v>226</v>
      </c>
      <c r="D71" s="1" t="s">
        <v>214</v>
      </c>
      <c r="E71" s="1"/>
      <c r="F71" s="1" t="s">
        <v>215</v>
      </c>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356" t="s">
        <v>386</v>
      </c>
      <c r="AL71" s="1"/>
      <c r="AM71" s="1"/>
      <c r="AN71" s="1"/>
      <c r="AO71" s="1"/>
      <c r="AP71" s="1"/>
      <c r="AQ71" s="1"/>
      <c r="AR71" s="1"/>
      <c r="AS71" s="1"/>
      <c r="AT71" s="1"/>
      <c r="AU71" s="1"/>
      <c r="AV71" s="1"/>
      <c r="AW71" s="1"/>
      <c r="AX71" s="1"/>
      <c r="AY71" s="1"/>
      <c r="AZ71" s="1"/>
      <c r="BA71" s="1"/>
      <c r="BB71" s="1"/>
      <c r="BC71" s="1"/>
      <c r="BD71" s="1"/>
      <c r="BE71" s="1"/>
      <c r="BF71" s="1"/>
    </row>
    <row r="72" spans="1:58" ht="14.25" customHeight="1">
      <c r="A72" s="369"/>
      <c r="B72" s="179"/>
      <c r="C72" s="179" t="s">
        <v>612</v>
      </c>
      <c r="D72" s="179" t="s">
        <v>372</v>
      </c>
      <c r="E72" s="179"/>
      <c r="F72" s="370" t="s">
        <v>609</v>
      </c>
      <c r="G72" s="179"/>
      <c r="H72" s="371"/>
      <c r="I72" s="371"/>
      <c r="J72" s="371"/>
      <c r="K72" s="371"/>
      <c r="L72" s="371"/>
      <c r="M72" s="371"/>
      <c r="N72" s="371"/>
      <c r="O72" s="371"/>
      <c r="P72" s="371"/>
      <c r="Q72" s="371"/>
      <c r="R72" s="371"/>
      <c r="S72" s="371"/>
      <c r="T72" s="371"/>
      <c r="U72" s="371"/>
      <c r="V72" s="179"/>
      <c r="W72" s="179"/>
      <c r="X72" s="179"/>
      <c r="Y72" s="179"/>
      <c r="Z72" s="179"/>
      <c r="AA72" s="179"/>
      <c r="AB72" s="179"/>
      <c r="AC72" s="179"/>
      <c r="AD72" s="179"/>
      <c r="AE72" s="179"/>
      <c r="AF72" s="179"/>
      <c r="AG72" s="179"/>
      <c r="AH72" s="179"/>
      <c r="AI72" s="179"/>
      <c r="AJ72" s="179"/>
      <c r="AK72" s="370"/>
      <c r="AL72" s="179"/>
      <c r="AM72" s="179"/>
      <c r="AN72" s="179"/>
      <c r="AO72" s="179"/>
      <c r="AP72" s="179"/>
      <c r="AQ72" s="179"/>
      <c r="AR72" s="179"/>
      <c r="AS72" s="179"/>
      <c r="AT72" s="179"/>
      <c r="AU72" s="179"/>
      <c r="AV72" s="179"/>
      <c r="AW72" s="179"/>
      <c r="AX72" s="179"/>
      <c r="AY72" s="179"/>
      <c r="AZ72" s="179"/>
      <c r="BA72" s="179"/>
      <c r="BB72" s="179"/>
      <c r="BC72" s="179"/>
      <c r="BD72" s="179"/>
      <c r="BE72" s="179"/>
      <c r="BF72" s="179"/>
    </row>
    <row r="73" spans="1:58" ht="14.25" customHeight="1">
      <c r="A73" s="369"/>
      <c r="B73" s="179"/>
      <c r="C73" s="179" t="s">
        <v>613</v>
      </c>
      <c r="D73" s="179" t="s">
        <v>61</v>
      </c>
      <c r="E73" s="179"/>
      <c r="F73" s="370" t="s">
        <v>609</v>
      </c>
      <c r="G73" s="179"/>
      <c r="H73" s="371"/>
      <c r="I73" s="371"/>
      <c r="J73" s="371"/>
      <c r="K73" s="371"/>
      <c r="L73" s="371"/>
      <c r="M73" s="371"/>
      <c r="N73" s="371"/>
      <c r="O73" s="371"/>
      <c r="P73" s="371"/>
      <c r="Q73" s="371"/>
      <c r="R73" s="371"/>
      <c r="S73" s="371"/>
      <c r="T73" s="371"/>
      <c r="U73" s="371"/>
      <c r="V73" s="179"/>
      <c r="W73" s="179"/>
      <c r="X73" s="179"/>
      <c r="Y73" s="179"/>
      <c r="Z73" s="179"/>
      <c r="AA73" s="179"/>
      <c r="AB73" s="179"/>
      <c r="AC73" s="179"/>
      <c r="AD73" s="179"/>
      <c r="AE73" s="179"/>
      <c r="AF73" s="179"/>
      <c r="AG73" s="179"/>
      <c r="AH73" s="179"/>
      <c r="AI73" s="179"/>
      <c r="AJ73" s="179"/>
      <c r="AK73" s="370"/>
      <c r="AL73" s="179"/>
      <c r="AM73" s="179"/>
      <c r="AN73" s="179"/>
      <c r="AO73" s="179"/>
      <c r="AP73" s="179"/>
      <c r="AQ73" s="179"/>
      <c r="AR73" s="179"/>
      <c r="AS73" s="179"/>
      <c r="AT73" s="179"/>
      <c r="AU73" s="179"/>
      <c r="AV73" s="179"/>
      <c r="AW73" s="179"/>
      <c r="AX73" s="179"/>
      <c r="AY73" s="179"/>
      <c r="AZ73" s="179"/>
      <c r="BA73" s="179"/>
      <c r="BB73" s="179"/>
      <c r="BC73" s="179"/>
      <c r="BD73" s="179"/>
      <c r="BE73" s="179"/>
      <c r="BF73" s="179"/>
    </row>
    <row r="74" spans="1:58" ht="14.25" customHeight="1">
      <c r="A74" s="369"/>
      <c r="B74" s="179"/>
      <c r="C74" s="179" t="s">
        <v>611</v>
      </c>
      <c r="D74" s="179" t="s">
        <v>58</v>
      </c>
      <c r="E74" s="179"/>
      <c r="F74" s="370" t="s">
        <v>609</v>
      </c>
      <c r="G74" s="179"/>
      <c r="H74" s="371"/>
      <c r="I74" s="371"/>
      <c r="J74" s="371"/>
      <c r="K74" s="371"/>
      <c r="L74" s="371"/>
      <c r="M74" s="371"/>
      <c r="N74" s="371"/>
      <c r="O74" s="371"/>
      <c r="P74" s="371"/>
      <c r="Q74" s="371"/>
      <c r="R74" s="371"/>
      <c r="S74" s="371"/>
      <c r="T74" s="371"/>
      <c r="U74" s="371"/>
      <c r="V74" s="179"/>
      <c r="W74" s="179"/>
      <c r="X74" s="179"/>
      <c r="Y74" s="179"/>
      <c r="Z74" s="179"/>
      <c r="AA74" s="179"/>
      <c r="AB74" s="179"/>
      <c r="AC74" s="179"/>
      <c r="AD74" s="179"/>
      <c r="AE74" s="179"/>
      <c r="AF74" s="179"/>
      <c r="AG74" s="179"/>
      <c r="AH74" s="179"/>
      <c r="AI74" s="179"/>
      <c r="AJ74" s="179"/>
      <c r="AK74" s="370"/>
      <c r="AL74" s="179"/>
      <c r="AM74" s="179"/>
      <c r="AN74" s="179"/>
      <c r="AO74" s="179"/>
      <c r="AP74" s="179"/>
      <c r="AQ74" s="179"/>
      <c r="AR74" s="179"/>
      <c r="AS74" s="179"/>
      <c r="AT74" s="179"/>
      <c r="AU74" s="179"/>
      <c r="AV74" s="179"/>
      <c r="AW74" s="179"/>
      <c r="AX74" s="179"/>
      <c r="AY74" s="179"/>
      <c r="AZ74" s="179"/>
      <c r="BA74" s="179"/>
      <c r="BB74" s="179"/>
      <c r="BC74" s="179"/>
      <c r="BD74" s="179"/>
      <c r="BE74" s="179"/>
      <c r="BF74" s="179"/>
    </row>
    <row r="75" spans="1:58" ht="14.25" customHeight="1">
      <c r="A75" s="369"/>
      <c r="B75" s="179"/>
      <c r="C75" s="179" t="s">
        <v>616</v>
      </c>
      <c r="D75" s="179" t="s">
        <v>389</v>
      </c>
      <c r="E75" s="179"/>
      <c r="F75" s="370" t="s">
        <v>609</v>
      </c>
      <c r="G75" s="179"/>
      <c r="H75" s="371"/>
      <c r="I75" s="371"/>
      <c r="J75" s="371"/>
      <c r="K75" s="371"/>
      <c r="L75" s="371"/>
      <c r="M75" s="371"/>
      <c r="N75" s="371"/>
      <c r="O75" s="371"/>
      <c r="P75" s="371"/>
      <c r="Q75" s="371"/>
      <c r="R75" s="371"/>
      <c r="S75" s="371"/>
      <c r="T75" s="371"/>
      <c r="U75" s="371"/>
      <c r="V75" s="179"/>
      <c r="W75" s="179"/>
      <c r="X75" s="179"/>
      <c r="Y75" s="179"/>
      <c r="Z75" s="179"/>
      <c r="AA75" s="179"/>
      <c r="AB75" s="179"/>
      <c r="AC75" s="179"/>
      <c r="AD75" s="179"/>
      <c r="AE75" s="179"/>
      <c r="AF75" s="179"/>
      <c r="AG75" s="179"/>
      <c r="AH75" s="179"/>
      <c r="AI75" s="179"/>
      <c r="AJ75" s="179"/>
      <c r="AK75" s="370"/>
      <c r="AL75" s="179"/>
      <c r="AM75" s="179"/>
      <c r="AN75" s="179"/>
      <c r="AO75" s="179"/>
      <c r="AP75" s="179"/>
      <c r="AQ75" s="179"/>
      <c r="AR75" s="179"/>
      <c r="AS75" s="179"/>
      <c r="AT75" s="179"/>
      <c r="AU75" s="179"/>
      <c r="AV75" s="179"/>
      <c r="AW75" s="179"/>
      <c r="AX75" s="179"/>
      <c r="AY75" s="179"/>
      <c r="AZ75" s="179"/>
      <c r="BA75" s="179"/>
      <c r="BB75" s="179"/>
      <c r="BC75" s="179"/>
      <c r="BD75" s="179"/>
      <c r="BE75" s="179"/>
      <c r="BF75" s="179"/>
    </row>
    <row r="76" spans="1:58" ht="14.25" customHeight="1">
      <c r="A76" s="1"/>
      <c r="B76" s="1"/>
      <c r="C76" s="97"/>
      <c r="D76" s="1"/>
      <c r="E76" s="1"/>
      <c r="F76" s="97"/>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356"/>
      <c r="AL76" s="1"/>
      <c r="AM76" s="1"/>
      <c r="AN76" s="1"/>
      <c r="AO76" s="1"/>
      <c r="AP76" s="1"/>
      <c r="AQ76" s="1"/>
      <c r="AR76" s="1"/>
      <c r="AS76" s="1"/>
      <c r="AT76" s="1"/>
      <c r="AU76" s="1"/>
      <c r="AV76" s="1"/>
      <c r="AW76" s="1"/>
      <c r="AX76" s="1"/>
      <c r="AY76" s="1"/>
      <c r="AZ76" s="1"/>
      <c r="BA76" s="1"/>
      <c r="BB76" s="1"/>
      <c r="BC76" s="1"/>
      <c r="BD76" s="1"/>
      <c r="BE76" s="1"/>
      <c r="BF76" s="1"/>
    </row>
    <row r="77" spans="1:58" ht="14.25" customHeight="1">
      <c r="A77" s="44" t="s">
        <v>238</v>
      </c>
      <c r="B77" s="75"/>
      <c r="C77" s="75" t="s">
        <v>226</v>
      </c>
      <c r="D77" s="75" t="s">
        <v>214</v>
      </c>
      <c r="E77" s="75"/>
      <c r="F77" s="76" t="s">
        <v>215</v>
      </c>
      <c r="G77" s="75"/>
      <c r="H77" s="50">
        <v>0.14000000000000001</v>
      </c>
      <c r="I77" s="50">
        <f t="shared" ref="I77:J77" si="25">H77+($K77-$H77)/($K$1-$H$1)</f>
        <v>0.16333333333333333</v>
      </c>
      <c r="J77" s="50">
        <f t="shared" si="25"/>
        <v>0.18666666666666665</v>
      </c>
      <c r="K77" s="50">
        <v>0.21</v>
      </c>
      <c r="L77" s="50">
        <f t="shared" ref="L77:O77" si="26">K77+($P77-$K77)/($P$1-$K$1)</f>
        <v>0.21199999999999999</v>
      </c>
      <c r="M77" s="50">
        <f t="shared" si="26"/>
        <v>0.214</v>
      </c>
      <c r="N77" s="50">
        <f t="shared" si="26"/>
        <v>0.216</v>
      </c>
      <c r="O77" s="50">
        <f t="shared" si="26"/>
        <v>0.218</v>
      </c>
      <c r="P77" s="50">
        <v>0.22</v>
      </c>
      <c r="Q77" s="50">
        <f t="shared" ref="Q77:T77" si="27">P77+($U77-$P77)/($U$1-$P$1)</f>
        <v>0.224</v>
      </c>
      <c r="R77" s="50">
        <f t="shared" si="27"/>
        <v>0.22800000000000001</v>
      </c>
      <c r="S77" s="50">
        <f t="shared" si="27"/>
        <v>0.23200000000000001</v>
      </c>
      <c r="T77" s="50">
        <f t="shared" si="27"/>
        <v>0.23600000000000002</v>
      </c>
      <c r="U77" s="50">
        <v>0.24</v>
      </c>
      <c r="V77" s="75"/>
      <c r="W77" s="75"/>
      <c r="X77" s="75"/>
      <c r="Y77" s="75"/>
      <c r="Z77" s="75"/>
      <c r="AA77" s="75"/>
      <c r="AB77" s="75"/>
      <c r="AC77" s="75"/>
      <c r="AD77" s="75"/>
      <c r="AE77" s="75"/>
      <c r="AF77" s="75"/>
      <c r="AG77" s="75"/>
      <c r="AH77" s="75"/>
      <c r="AI77" s="75"/>
      <c r="AJ77" s="75"/>
      <c r="AK77" s="374" t="s">
        <v>391</v>
      </c>
      <c r="AL77" s="1"/>
      <c r="AM77" s="1"/>
      <c r="AN77" s="1"/>
      <c r="AO77" s="1"/>
      <c r="AP77" s="1"/>
      <c r="AQ77" s="1"/>
      <c r="AR77" s="1"/>
      <c r="AS77" s="1"/>
      <c r="AT77" s="1"/>
      <c r="AU77" s="1"/>
      <c r="AV77" s="1"/>
      <c r="AW77" s="1"/>
      <c r="AX77" s="1"/>
      <c r="AY77" s="1"/>
      <c r="AZ77" s="1"/>
      <c r="BA77" s="1"/>
      <c r="BB77" s="1"/>
      <c r="BC77" s="1"/>
      <c r="BD77" s="1"/>
      <c r="BE77" s="1"/>
      <c r="BF77" s="1"/>
    </row>
    <row r="78" spans="1:58" ht="14.25" customHeight="1">
      <c r="A78" s="369"/>
      <c r="B78" s="179"/>
      <c r="C78" s="179" t="s">
        <v>612</v>
      </c>
      <c r="D78" s="179" t="s">
        <v>372</v>
      </c>
      <c r="E78" s="179"/>
      <c r="F78" s="370" t="s">
        <v>609</v>
      </c>
      <c r="G78" s="179"/>
      <c r="H78" s="371"/>
      <c r="I78" s="371"/>
      <c r="J78" s="371"/>
      <c r="K78" s="371"/>
      <c r="L78" s="371"/>
      <c r="M78" s="371"/>
      <c r="N78" s="371"/>
      <c r="O78" s="371"/>
      <c r="P78" s="371"/>
      <c r="Q78" s="371"/>
      <c r="R78" s="371"/>
      <c r="S78" s="371"/>
      <c r="T78" s="371"/>
      <c r="U78" s="371"/>
      <c r="V78" s="179"/>
      <c r="W78" s="179"/>
      <c r="X78" s="179"/>
      <c r="Y78" s="179"/>
      <c r="Z78" s="179"/>
      <c r="AA78" s="179"/>
      <c r="AB78" s="179"/>
      <c r="AC78" s="179"/>
      <c r="AD78" s="179"/>
      <c r="AE78" s="179"/>
      <c r="AF78" s="179"/>
      <c r="AG78" s="179"/>
      <c r="AH78" s="179"/>
      <c r="AI78" s="179"/>
      <c r="AJ78" s="179"/>
      <c r="AK78" s="370"/>
      <c r="AL78" s="179"/>
      <c r="AM78" s="179"/>
      <c r="AN78" s="179"/>
      <c r="AO78" s="179"/>
      <c r="AP78" s="179"/>
      <c r="AQ78" s="179"/>
      <c r="AR78" s="179"/>
      <c r="AS78" s="179"/>
      <c r="AT78" s="179"/>
      <c r="AU78" s="179"/>
      <c r="AV78" s="179"/>
      <c r="AW78" s="179"/>
      <c r="AX78" s="179"/>
      <c r="AY78" s="179"/>
      <c r="AZ78" s="179"/>
      <c r="BA78" s="179"/>
      <c r="BB78" s="179"/>
      <c r="BC78" s="179"/>
      <c r="BD78" s="179"/>
      <c r="BE78" s="179"/>
      <c r="BF78" s="179"/>
    </row>
    <row r="79" spans="1:58" ht="14.25" customHeight="1">
      <c r="A79" s="369"/>
      <c r="B79" s="179"/>
      <c r="C79" s="179" t="s">
        <v>613</v>
      </c>
      <c r="D79" s="179" t="s">
        <v>61</v>
      </c>
      <c r="E79" s="179"/>
      <c r="F79" s="370" t="s">
        <v>609</v>
      </c>
      <c r="G79" s="179"/>
      <c r="H79" s="371"/>
      <c r="I79" s="371"/>
      <c r="J79" s="371"/>
      <c r="K79" s="371"/>
      <c r="L79" s="371"/>
      <c r="M79" s="371"/>
      <c r="N79" s="371"/>
      <c r="O79" s="371"/>
      <c r="P79" s="371"/>
      <c r="Q79" s="371"/>
      <c r="R79" s="371"/>
      <c r="S79" s="371"/>
      <c r="T79" s="371"/>
      <c r="U79" s="371"/>
      <c r="V79" s="179"/>
      <c r="W79" s="179"/>
      <c r="X79" s="179"/>
      <c r="Y79" s="179"/>
      <c r="Z79" s="179"/>
      <c r="AA79" s="179"/>
      <c r="AB79" s="179"/>
      <c r="AC79" s="179"/>
      <c r="AD79" s="179"/>
      <c r="AE79" s="179"/>
      <c r="AF79" s="179"/>
      <c r="AG79" s="179"/>
      <c r="AH79" s="179"/>
      <c r="AI79" s="179"/>
      <c r="AJ79" s="179"/>
      <c r="AK79" s="370"/>
      <c r="AL79" s="179"/>
      <c r="AM79" s="179"/>
      <c r="AN79" s="179"/>
      <c r="AO79" s="179"/>
      <c r="AP79" s="179"/>
      <c r="AQ79" s="179"/>
      <c r="AR79" s="179"/>
      <c r="AS79" s="179"/>
      <c r="AT79" s="179"/>
      <c r="AU79" s="179"/>
      <c r="AV79" s="179"/>
      <c r="AW79" s="179"/>
      <c r="AX79" s="179"/>
      <c r="AY79" s="179"/>
      <c r="AZ79" s="179"/>
      <c r="BA79" s="179"/>
      <c r="BB79" s="179"/>
      <c r="BC79" s="179"/>
      <c r="BD79" s="179"/>
      <c r="BE79" s="179"/>
      <c r="BF79" s="179"/>
    </row>
    <row r="80" spans="1:58" ht="14.25" customHeight="1">
      <c r="A80" s="369"/>
      <c r="B80" s="179"/>
      <c r="C80" s="179" t="s">
        <v>611</v>
      </c>
      <c r="D80" s="179" t="s">
        <v>58</v>
      </c>
      <c r="E80" s="179"/>
      <c r="F80" s="370" t="s">
        <v>609</v>
      </c>
      <c r="G80" s="179"/>
      <c r="H80" s="371"/>
      <c r="I80" s="371"/>
      <c r="J80" s="371"/>
      <c r="K80" s="371"/>
      <c r="L80" s="371"/>
      <c r="M80" s="371"/>
      <c r="N80" s="371"/>
      <c r="O80" s="371"/>
      <c r="P80" s="371"/>
      <c r="Q80" s="371"/>
      <c r="R80" s="371"/>
      <c r="S80" s="371"/>
      <c r="T80" s="371"/>
      <c r="U80" s="371"/>
      <c r="V80" s="179"/>
      <c r="W80" s="179"/>
      <c r="X80" s="179"/>
      <c r="Y80" s="179"/>
      <c r="Z80" s="179"/>
      <c r="AA80" s="179"/>
      <c r="AB80" s="179"/>
      <c r="AC80" s="179"/>
      <c r="AD80" s="179"/>
      <c r="AE80" s="179"/>
      <c r="AF80" s="179"/>
      <c r="AG80" s="179"/>
      <c r="AH80" s="179"/>
      <c r="AI80" s="179"/>
      <c r="AJ80" s="179"/>
      <c r="AK80" s="370"/>
      <c r="AL80" s="179"/>
      <c r="AM80" s="179"/>
      <c r="AN80" s="179"/>
      <c r="AO80" s="179"/>
      <c r="AP80" s="179"/>
      <c r="AQ80" s="179"/>
      <c r="AR80" s="179"/>
      <c r="AS80" s="179"/>
      <c r="AT80" s="179"/>
      <c r="AU80" s="179"/>
      <c r="AV80" s="179"/>
      <c r="AW80" s="179"/>
      <c r="AX80" s="179"/>
      <c r="AY80" s="179"/>
      <c r="AZ80" s="179"/>
      <c r="BA80" s="179"/>
      <c r="BB80" s="179"/>
      <c r="BC80" s="179"/>
      <c r="BD80" s="179"/>
      <c r="BE80" s="179"/>
      <c r="BF80" s="179"/>
    </row>
    <row r="81" spans="1:58"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row>
    <row r="82" spans="1:58" ht="14.25" customHeight="1">
      <c r="A82" s="44" t="s">
        <v>240</v>
      </c>
      <c r="B82" s="75"/>
      <c r="C82" s="75" t="s">
        <v>226</v>
      </c>
      <c r="D82" s="75" t="s">
        <v>214</v>
      </c>
      <c r="E82" s="75"/>
      <c r="F82" s="75" t="s">
        <v>215</v>
      </c>
      <c r="G82" s="75"/>
      <c r="H82" s="50">
        <v>0.14000000000000001</v>
      </c>
      <c r="I82" s="50">
        <f t="shared" ref="I82:J82" si="28">H82+($K82-$H82)/($K$1-$H$1)</f>
        <v>0.16333333333333333</v>
      </c>
      <c r="J82" s="50">
        <f t="shared" si="28"/>
        <v>0.18666666666666665</v>
      </c>
      <c r="K82" s="50">
        <v>0.21</v>
      </c>
      <c r="L82" s="50">
        <f t="shared" ref="L82:O82" si="29">K82+($P82-$K82)/($P$1-$K$1)</f>
        <v>0.21199999999999999</v>
      </c>
      <c r="M82" s="50">
        <f t="shared" si="29"/>
        <v>0.214</v>
      </c>
      <c r="N82" s="50">
        <f t="shared" si="29"/>
        <v>0.216</v>
      </c>
      <c r="O82" s="50">
        <f t="shared" si="29"/>
        <v>0.218</v>
      </c>
      <c r="P82" s="50">
        <v>0.22</v>
      </c>
      <c r="Q82" s="50">
        <f t="shared" ref="Q82:T82" si="30">P82+($U82-$P82)/($U$1-$P$1)</f>
        <v>0.224</v>
      </c>
      <c r="R82" s="50">
        <f t="shared" si="30"/>
        <v>0.22800000000000001</v>
      </c>
      <c r="S82" s="50">
        <f t="shared" si="30"/>
        <v>0.23200000000000001</v>
      </c>
      <c r="T82" s="50">
        <f t="shared" si="30"/>
        <v>0.23600000000000002</v>
      </c>
      <c r="U82" s="50">
        <v>0.24</v>
      </c>
      <c r="V82" s="75"/>
      <c r="W82" s="75"/>
      <c r="X82" s="75"/>
      <c r="Y82" s="75"/>
      <c r="Z82" s="75"/>
      <c r="AA82" s="75"/>
      <c r="AB82" s="75"/>
      <c r="AC82" s="75"/>
      <c r="AD82" s="75"/>
      <c r="AE82" s="75"/>
      <c r="AF82" s="75"/>
      <c r="AG82" s="75"/>
      <c r="AH82" s="75"/>
      <c r="AI82" s="75"/>
      <c r="AJ82" s="75"/>
      <c r="AK82" s="75"/>
      <c r="AL82" s="1"/>
      <c r="AM82" s="1"/>
      <c r="AN82" s="1"/>
      <c r="AO82" s="1"/>
      <c r="AP82" s="1"/>
      <c r="AQ82" s="1"/>
      <c r="AR82" s="1"/>
      <c r="AS82" s="1"/>
      <c r="AT82" s="1"/>
      <c r="AU82" s="1"/>
      <c r="AV82" s="1"/>
      <c r="AW82" s="1"/>
      <c r="AX82" s="1"/>
      <c r="AY82" s="1"/>
      <c r="AZ82" s="1"/>
      <c r="BA82" s="1"/>
      <c r="BB82" s="1"/>
      <c r="BC82" s="1"/>
      <c r="BD82" s="1"/>
      <c r="BE82" s="1"/>
      <c r="BF82" s="1"/>
    </row>
    <row r="83" spans="1:58" ht="14.25" customHeight="1">
      <c r="A83" s="369"/>
      <c r="B83" s="179"/>
      <c r="C83" s="179" t="s">
        <v>612</v>
      </c>
      <c r="D83" s="179" t="s">
        <v>372</v>
      </c>
      <c r="E83" s="179"/>
      <c r="F83" s="370" t="s">
        <v>609</v>
      </c>
      <c r="G83" s="179"/>
      <c r="H83" s="371"/>
      <c r="I83" s="371"/>
      <c r="J83" s="371"/>
      <c r="K83" s="371"/>
      <c r="L83" s="371"/>
      <c r="M83" s="371"/>
      <c r="N83" s="371"/>
      <c r="O83" s="371"/>
      <c r="P83" s="371"/>
      <c r="Q83" s="371"/>
      <c r="R83" s="371"/>
      <c r="S83" s="371"/>
      <c r="T83" s="371"/>
      <c r="U83" s="371"/>
      <c r="V83" s="179"/>
      <c r="W83" s="179"/>
      <c r="X83" s="179"/>
      <c r="Y83" s="179"/>
      <c r="Z83" s="179"/>
      <c r="AA83" s="179"/>
      <c r="AB83" s="179"/>
      <c r="AC83" s="179"/>
      <c r="AD83" s="179"/>
      <c r="AE83" s="179"/>
      <c r="AF83" s="179"/>
      <c r="AG83" s="179"/>
      <c r="AH83" s="179"/>
      <c r="AI83" s="179"/>
      <c r="AJ83" s="179"/>
      <c r="AK83" s="370"/>
      <c r="AL83" s="179"/>
      <c r="AM83" s="179"/>
      <c r="AN83" s="179"/>
      <c r="AO83" s="179"/>
      <c r="AP83" s="179"/>
      <c r="AQ83" s="179"/>
      <c r="AR83" s="179"/>
      <c r="AS83" s="179"/>
      <c r="AT83" s="179"/>
      <c r="AU83" s="179"/>
      <c r="AV83" s="179"/>
      <c r="AW83" s="179"/>
      <c r="AX83" s="179"/>
      <c r="AY83" s="179"/>
      <c r="AZ83" s="179"/>
      <c r="BA83" s="179"/>
      <c r="BB83" s="179"/>
      <c r="BC83" s="179"/>
      <c r="BD83" s="179"/>
      <c r="BE83" s="179"/>
      <c r="BF83" s="179"/>
    </row>
    <row r="84" spans="1:58" ht="14.25" customHeight="1">
      <c r="A84" s="369"/>
      <c r="B84" s="179"/>
      <c r="C84" s="179" t="s">
        <v>613</v>
      </c>
      <c r="D84" s="179" t="s">
        <v>61</v>
      </c>
      <c r="E84" s="179"/>
      <c r="F84" s="370" t="s">
        <v>609</v>
      </c>
      <c r="G84" s="179"/>
      <c r="H84" s="371"/>
      <c r="I84" s="371"/>
      <c r="J84" s="371"/>
      <c r="K84" s="371"/>
      <c r="L84" s="371"/>
      <c r="M84" s="371"/>
      <c r="N84" s="371"/>
      <c r="O84" s="371"/>
      <c r="P84" s="371"/>
      <c r="Q84" s="371"/>
      <c r="R84" s="371"/>
      <c r="S84" s="371"/>
      <c r="T84" s="371"/>
      <c r="U84" s="371"/>
      <c r="V84" s="179"/>
      <c r="W84" s="179"/>
      <c r="X84" s="179"/>
      <c r="Y84" s="179"/>
      <c r="Z84" s="179"/>
      <c r="AA84" s="179"/>
      <c r="AB84" s="179"/>
      <c r="AC84" s="179"/>
      <c r="AD84" s="179"/>
      <c r="AE84" s="179"/>
      <c r="AF84" s="179"/>
      <c r="AG84" s="179"/>
      <c r="AH84" s="179"/>
      <c r="AI84" s="179"/>
      <c r="AJ84" s="179"/>
      <c r="AK84" s="370"/>
      <c r="AL84" s="179"/>
      <c r="AM84" s="179"/>
      <c r="AN84" s="179"/>
      <c r="AO84" s="179"/>
      <c r="AP84" s="179"/>
      <c r="AQ84" s="179"/>
      <c r="AR84" s="179"/>
      <c r="AS84" s="179"/>
      <c r="AT84" s="179"/>
      <c r="AU84" s="179"/>
      <c r="AV84" s="179"/>
      <c r="AW84" s="179"/>
      <c r="AX84" s="179"/>
      <c r="AY84" s="179"/>
      <c r="AZ84" s="179"/>
      <c r="BA84" s="179"/>
      <c r="BB84" s="179"/>
      <c r="BC84" s="179"/>
      <c r="BD84" s="179"/>
      <c r="BE84" s="179"/>
      <c r="BF84" s="179"/>
    </row>
    <row r="85" spans="1:58" ht="14.25" customHeight="1">
      <c r="A85" s="369"/>
      <c r="B85" s="179"/>
      <c r="C85" s="179" t="s">
        <v>611</v>
      </c>
      <c r="D85" s="179" t="s">
        <v>58</v>
      </c>
      <c r="E85" s="179"/>
      <c r="F85" s="370" t="s">
        <v>609</v>
      </c>
      <c r="G85" s="179"/>
      <c r="H85" s="371"/>
      <c r="I85" s="371"/>
      <c r="J85" s="371"/>
      <c r="K85" s="371"/>
      <c r="L85" s="371"/>
      <c r="M85" s="371"/>
      <c r="N85" s="371"/>
      <c r="O85" s="371"/>
      <c r="P85" s="371"/>
      <c r="Q85" s="371"/>
      <c r="R85" s="371"/>
      <c r="S85" s="371"/>
      <c r="T85" s="371"/>
      <c r="U85" s="371"/>
      <c r="V85" s="179"/>
      <c r="W85" s="179"/>
      <c r="X85" s="179"/>
      <c r="Y85" s="179"/>
      <c r="Z85" s="179"/>
      <c r="AA85" s="179"/>
      <c r="AB85" s="179"/>
      <c r="AC85" s="179"/>
      <c r="AD85" s="179"/>
      <c r="AE85" s="179"/>
      <c r="AF85" s="179"/>
      <c r="AG85" s="179"/>
      <c r="AH85" s="179"/>
      <c r="AI85" s="179"/>
      <c r="AJ85" s="179"/>
      <c r="AK85" s="370"/>
      <c r="AL85" s="179"/>
      <c r="AM85" s="179"/>
      <c r="AN85" s="179"/>
      <c r="AO85" s="179"/>
      <c r="AP85" s="179"/>
      <c r="AQ85" s="179"/>
      <c r="AR85" s="179"/>
      <c r="AS85" s="179"/>
      <c r="AT85" s="179"/>
      <c r="AU85" s="179"/>
      <c r="AV85" s="179"/>
      <c r="AW85" s="179"/>
      <c r="AX85" s="179"/>
      <c r="AY85" s="179"/>
      <c r="AZ85" s="179"/>
      <c r="BA85" s="179"/>
      <c r="BB85" s="179"/>
      <c r="BC85" s="179"/>
      <c r="BD85" s="179"/>
      <c r="BE85" s="179"/>
      <c r="BF85" s="179"/>
    </row>
    <row r="86" spans="1:58" ht="15.75" customHeight="1">
      <c r="A86" s="369"/>
      <c r="B86" s="179"/>
      <c r="C86" s="179" t="s">
        <v>614</v>
      </c>
      <c r="D86" s="179" t="s">
        <v>377</v>
      </c>
      <c r="E86" s="179"/>
      <c r="F86" s="370" t="s">
        <v>609</v>
      </c>
      <c r="G86" s="179"/>
      <c r="H86" s="371"/>
      <c r="I86" s="371"/>
      <c r="J86" s="371"/>
      <c r="K86" s="371"/>
      <c r="L86" s="371"/>
      <c r="M86" s="371"/>
      <c r="N86" s="371"/>
      <c r="O86" s="371"/>
      <c r="P86" s="371"/>
      <c r="Q86" s="371"/>
      <c r="R86" s="371"/>
      <c r="S86" s="371"/>
      <c r="T86" s="371"/>
      <c r="U86" s="371"/>
      <c r="V86" s="179"/>
      <c r="W86" s="179"/>
      <c r="X86" s="179"/>
      <c r="Y86" s="179"/>
      <c r="Z86" s="179"/>
      <c r="AA86" s="179"/>
      <c r="AB86" s="179"/>
      <c r="AC86" s="179"/>
      <c r="AD86" s="179"/>
      <c r="AE86" s="179"/>
      <c r="AF86" s="179"/>
      <c r="AG86" s="179"/>
      <c r="AH86" s="179"/>
      <c r="AI86" s="179"/>
      <c r="AJ86" s="179"/>
      <c r="AK86" s="370"/>
      <c r="AL86" s="179"/>
      <c r="AM86" s="179"/>
      <c r="AN86" s="179"/>
      <c r="AO86" s="179"/>
      <c r="AP86" s="179"/>
      <c r="AQ86" s="179"/>
      <c r="AR86" s="179"/>
      <c r="AS86" s="179"/>
      <c r="AT86" s="179"/>
      <c r="AU86" s="179"/>
      <c r="AV86" s="179"/>
      <c r="AW86" s="179"/>
      <c r="AX86" s="179"/>
      <c r="AY86" s="179"/>
      <c r="AZ86" s="179"/>
      <c r="BA86" s="179"/>
      <c r="BB86" s="179"/>
      <c r="BC86" s="179"/>
      <c r="BD86" s="179"/>
      <c r="BE86" s="179"/>
      <c r="BF86" s="179"/>
    </row>
    <row r="87" spans="1:58" ht="14.25" customHeight="1">
      <c r="A87" s="1"/>
      <c r="B87" s="1"/>
      <c r="C87" s="1"/>
      <c r="D87" s="1" t="s">
        <v>208</v>
      </c>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row>
    <row r="88" spans="1:5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row>
    <row r="89" spans="1:58" ht="14.25" customHeight="1">
      <c r="A89" s="375" t="s">
        <v>393</v>
      </c>
      <c r="B89" s="376"/>
      <c r="C89" s="376" t="s">
        <v>226</v>
      </c>
      <c r="D89" s="376" t="s">
        <v>214</v>
      </c>
      <c r="E89" s="376"/>
      <c r="F89" s="376" t="s">
        <v>215</v>
      </c>
      <c r="G89" s="376"/>
      <c r="H89" s="377"/>
      <c r="I89" s="377"/>
      <c r="J89" s="377"/>
      <c r="K89" s="377"/>
      <c r="L89" s="377"/>
      <c r="M89" s="377"/>
      <c r="N89" s="377"/>
      <c r="O89" s="377"/>
      <c r="P89" s="377"/>
      <c r="Q89" s="377"/>
      <c r="R89" s="377"/>
      <c r="S89" s="377"/>
      <c r="T89" s="377"/>
      <c r="U89" s="377"/>
      <c r="V89" s="376"/>
      <c r="W89" s="376"/>
      <c r="X89" s="376"/>
      <c r="Y89" s="376"/>
      <c r="Z89" s="376"/>
      <c r="AA89" s="376"/>
      <c r="AB89" s="376"/>
      <c r="AC89" s="376"/>
      <c r="AD89" s="376"/>
      <c r="AE89" s="376"/>
      <c r="AF89" s="376"/>
      <c r="AG89" s="376"/>
      <c r="AH89" s="376"/>
      <c r="AI89" s="376"/>
      <c r="AJ89" s="376"/>
      <c r="AK89" s="376"/>
      <c r="AL89" s="179"/>
      <c r="AM89" s="179"/>
      <c r="AN89" s="179"/>
      <c r="AO89" s="179"/>
      <c r="AP89" s="179"/>
      <c r="AQ89" s="179"/>
      <c r="AR89" s="179"/>
      <c r="AS89" s="179"/>
      <c r="AT89" s="179"/>
      <c r="AU89" s="179"/>
      <c r="AV89" s="179"/>
      <c r="AW89" s="179"/>
      <c r="AX89" s="179"/>
      <c r="AY89" s="179"/>
      <c r="AZ89" s="179"/>
      <c r="BA89" s="179"/>
      <c r="BB89" s="179"/>
      <c r="BC89" s="179"/>
      <c r="BD89" s="179"/>
      <c r="BE89" s="179"/>
      <c r="BF89" s="179"/>
    </row>
    <row r="90" spans="1:58" ht="14.25" customHeight="1">
      <c r="A90" s="369"/>
      <c r="B90" s="179"/>
      <c r="C90" s="179" t="s">
        <v>612</v>
      </c>
      <c r="D90" s="179" t="s">
        <v>372</v>
      </c>
      <c r="E90" s="179"/>
      <c r="F90" s="370" t="s">
        <v>609</v>
      </c>
      <c r="G90" s="179"/>
      <c r="H90" s="371"/>
      <c r="I90" s="371"/>
      <c r="J90" s="371"/>
      <c r="K90" s="371"/>
      <c r="L90" s="371"/>
      <c r="M90" s="371"/>
      <c r="N90" s="371"/>
      <c r="O90" s="371"/>
      <c r="P90" s="371"/>
      <c r="Q90" s="371"/>
      <c r="R90" s="371"/>
      <c r="S90" s="371"/>
      <c r="T90" s="371"/>
      <c r="U90" s="371"/>
      <c r="V90" s="179"/>
      <c r="W90" s="179"/>
      <c r="X90" s="179"/>
      <c r="Y90" s="179"/>
      <c r="Z90" s="179"/>
      <c r="AA90" s="179"/>
      <c r="AB90" s="179"/>
      <c r="AC90" s="179"/>
      <c r="AD90" s="179"/>
      <c r="AE90" s="179"/>
      <c r="AF90" s="179"/>
      <c r="AG90" s="179"/>
      <c r="AH90" s="179"/>
      <c r="AI90" s="179"/>
      <c r="AJ90" s="179"/>
      <c r="AK90" s="370"/>
      <c r="AL90" s="179"/>
      <c r="AM90" s="179"/>
      <c r="AN90" s="179"/>
      <c r="AO90" s="179"/>
      <c r="AP90" s="179"/>
      <c r="AQ90" s="179"/>
      <c r="AR90" s="179"/>
      <c r="AS90" s="179"/>
      <c r="AT90" s="179"/>
      <c r="AU90" s="179"/>
      <c r="AV90" s="179"/>
      <c r="AW90" s="179"/>
      <c r="AX90" s="179"/>
      <c r="AY90" s="179"/>
      <c r="AZ90" s="179"/>
      <c r="BA90" s="179"/>
      <c r="BB90" s="179"/>
      <c r="BC90" s="179"/>
      <c r="BD90" s="179"/>
      <c r="BE90" s="179"/>
      <c r="BF90" s="179"/>
    </row>
    <row r="91" spans="1:58" ht="14.25" customHeight="1">
      <c r="A91" s="369"/>
      <c r="B91" s="179"/>
      <c r="C91" s="179" t="s">
        <v>611</v>
      </c>
      <c r="D91" s="179" t="s">
        <v>58</v>
      </c>
      <c r="E91" s="179"/>
      <c r="F91" s="370" t="s">
        <v>609</v>
      </c>
      <c r="G91" s="179"/>
      <c r="H91" s="371"/>
      <c r="I91" s="371"/>
      <c r="J91" s="371"/>
      <c r="K91" s="371"/>
      <c r="L91" s="371"/>
      <c r="M91" s="371"/>
      <c r="N91" s="371"/>
      <c r="O91" s="371"/>
      <c r="P91" s="371"/>
      <c r="Q91" s="371"/>
      <c r="R91" s="371"/>
      <c r="S91" s="371"/>
      <c r="T91" s="371"/>
      <c r="U91" s="371"/>
      <c r="V91" s="179"/>
      <c r="W91" s="179"/>
      <c r="X91" s="179"/>
      <c r="Y91" s="179"/>
      <c r="Z91" s="179"/>
      <c r="AA91" s="179"/>
      <c r="AB91" s="179"/>
      <c r="AC91" s="179"/>
      <c r="AD91" s="179"/>
      <c r="AE91" s="179"/>
      <c r="AF91" s="179"/>
      <c r="AG91" s="179"/>
      <c r="AH91" s="179"/>
      <c r="AI91" s="179"/>
      <c r="AJ91" s="179"/>
      <c r="AK91" s="370"/>
      <c r="AL91" s="179"/>
      <c r="AM91" s="179"/>
      <c r="AN91" s="179"/>
      <c r="AO91" s="179"/>
      <c r="AP91" s="179"/>
      <c r="AQ91" s="179"/>
      <c r="AR91" s="179"/>
      <c r="AS91" s="179"/>
      <c r="AT91" s="179"/>
      <c r="AU91" s="179"/>
      <c r="AV91" s="179"/>
      <c r="AW91" s="179"/>
      <c r="AX91" s="179"/>
      <c r="AY91" s="179"/>
      <c r="AZ91" s="179"/>
      <c r="BA91" s="179"/>
      <c r="BB91" s="179"/>
      <c r="BC91" s="179"/>
      <c r="BD91" s="179"/>
      <c r="BE91" s="179"/>
      <c r="BF91" s="179"/>
    </row>
    <row r="92" spans="1:58" ht="14.25" customHeight="1">
      <c r="A92" s="1"/>
      <c r="B92" s="1"/>
      <c r="C92" s="1"/>
      <c r="D92" s="1"/>
      <c r="E92" s="1"/>
      <c r="F92" s="1"/>
      <c r="G92" s="1"/>
      <c r="H92" s="1"/>
      <c r="I92" s="1"/>
      <c r="J92" s="1"/>
      <c r="K92" s="1"/>
      <c r="L92" s="1"/>
      <c r="M92" s="1"/>
      <c r="N92" s="1"/>
      <c r="O92" s="1"/>
      <c r="P92" s="1"/>
      <c r="Q92" s="1"/>
      <c r="R92" s="1"/>
      <c r="S92" s="1"/>
      <c r="T92" s="1"/>
      <c r="U92" s="1"/>
      <c r="V92" s="65"/>
      <c r="W92" s="65"/>
      <c r="X92" s="65"/>
      <c r="Y92" s="65"/>
      <c r="Z92" s="65"/>
      <c r="AA92" s="65"/>
      <c r="AB92" s="65"/>
      <c r="AC92" s="65"/>
      <c r="AD92" s="65"/>
      <c r="AE92" s="65"/>
      <c r="AF92" s="65"/>
      <c r="AG92" s="65"/>
      <c r="AH92" s="65"/>
      <c r="AI92" s="65"/>
      <c r="AJ92" s="65"/>
      <c r="AK92" s="1"/>
      <c r="AL92" s="1"/>
      <c r="AM92" s="1"/>
      <c r="AN92" s="1"/>
      <c r="AO92" s="1"/>
      <c r="AP92" s="1"/>
      <c r="AQ92" s="1"/>
      <c r="AR92" s="1"/>
      <c r="AS92" s="1"/>
      <c r="AT92" s="1"/>
      <c r="AU92" s="1"/>
      <c r="AV92" s="1"/>
      <c r="AW92" s="1"/>
      <c r="AX92" s="1"/>
      <c r="AY92" s="1"/>
      <c r="AZ92" s="1"/>
      <c r="BA92" s="1"/>
      <c r="BB92" s="1"/>
      <c r="BC92" s="1"/>
      <c r="BD92" s="1"/>
      <c r="BE92" s="1"/>
      <c r="BF92" s="1"/>
    </row>
    <row r="93" spans="1:58" ht="14.25" customHeight="1">
      <c r="A93" s="1"/>
      <c r="B93" s="1"/>
      <c r="C93" s="1"/>
      <c r="D93" s="1"/>
      <c r="E93" s="1"/>
      <c r="F93" s="1"/>
      <c r="G93" s="1"/>
      <c r="H93" s="1"/>
      <c r="I93" s="1"/>
      <c r="J93" s="1"/>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1"/>
      <c r="AL93" s="1"/>
      <c r="AM93" s="1"/>
      <c r="AN93" s="1"/>
      <c r="AO93" s="1"/>
      <c r="AP93" s="1"/>
      <c r="AQ93" s="1"/>
      <c r="AR93" s="1"/>
      <c r="AS93" s="1"/>
      <c r="AT93" s="1"/>
      <c r="AU93" s="1"/>
      <c r="AV93" s="1"/>
      <c r="AW93" s="1"/>
      <c r="AX93" s="1"/>
      <c r="AY93" s="1"/>
      <c r="AZ93" s="1"/>
      <c r="BA93" s="1"/>
      <c r="BB93" s="1"/>
      <c r="BC93" s="1"/>
      <c r="BD93" s="1"/>
      <c r="BE93" s="1"/>
      <c r="BF93" s="1"/>
    </row>
    <row r="94" spans="1:58"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row>
    <row r="95" spans="1:58"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row>
    <row r="96" spans="1:58"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row>
    <row r="97" spans="1:37" ht="14.25" customHeight="1">
      <c r="A97" s="1"/>
      <c r="B97" s="1"/>
      <c r="C97" s="1"/>
      <c r="D97" s="1"/>
      <c r="E97" s="1"/>
      <c r="F97" s="97"/>
      <c r="G97" s="1"/>
      <c r="H97" s="1"/>
      <c r="I97" s="1"/>
      <c r="J97" s="1"/>
      <c r="K97" s="1"/>
      <c r="L97" s="1"/>
      <c r="M97" s="1"/>
      <c r="N97" s="1"/>
      <c r="O97" s="1"/>
      <c r="P97" s="1"/>
      <c r="Q97" s="1"/>
      <c r="R97" s="1"/>
      <c r="S97" s="1"/>
      <c r="T97" s="1"/>
      <c r="U97" s="1"/>
      <c r="V97" s="1"/>
      <c r="W97" s="378"/>
      <c r="X97" s="1"/>
      <c r="Y97" s="54"/>
      <c r="Z97" s="1"/>
      <c r="AA97" s="1"/>
      <c r="AB97" s="1"/>
      <c r="AC97" s="1"/>
      <c r="AD97" s="1"/>
      <c r="AE97" s="1"/>
      <c r="AF97" s="1"/>
      <c r="AG97" s="1"/>
      <c r="AH97" s="1"/>
      <c r="AI97" s="1"/>
      <c r="AJ97" s="1"/>
      <c r="AK97" s="97"/>
    </row>
    <row r="98" spans="1:37" ht="14.25" customHeight="1">
      <c r="A98" s="1"/>
      <c r="B98" s="1"/>
      <c r="C98" s="1"/>
      <c r="D98" s="1"/>
      <c r="E98" s="1"/>
      <c r="F98" s="1"/>
      <c r="G98" s="1"/>
      <c r="H98" s="1"/>
      <c r="I98" s="1"/>
      <c r="J98" s="1"/>
      <c r="K98" s="1"/>
      <c r="L98" s="1"/>
      <c r="M98" s="1"/>
      <c r="N98" s="1"/>
      <c r="O98" s="1"/>
      <c r="P98" s="1"/>
      <c r="Q98" s="1"/>
      <c r="R98" s="1"/>
      <c r="S98" s="1"/>
      <c r="T98" s="1"/>
      <c r="U98" s="1"/>
      <c r="V98" s="1"/>
      <c r="W98" s="1"/>
      <c r="X98" s="1"/>
      <c r="Y98" s="54"/>
      <c r="Z98" s="1"/>
      <c r="AA98" s="1"/>
      <c r="AB98" s="1"/>
      <c r="AC98" s="1"/>
      <c r="AD98" s="1"/>
      <c r="AE98" s="1"/>
      <c r="AF98" s="1"/>
      <c r="AG98" s="1"/>
      <c r="AH98" s="1"/>
      <c r="AI98" s="1"/>
      <c r="AJ98" s="1"/>
      <c r="AK98" s="1"/>
    </row>
    <row r="99" spans="1:37" ht="14.25" customHeight="1">
      <c r="A99" s="1" t="s">
        <v>243</v>
      </c>
      <c r="B99" s="1"/>
      <c r="C99" s="1"/>
      <c r="D99" s="1"/>
      <c r="E99" s="1"/>
      <c r="F99" s="1"/>
      <c r="G99" s="1"/>
      <c r="H99" s="1"/>
      <c r="I99" s="1"/>
      <c r="J99" s="1"/>
      <c r="K99" s="1"/>
      <c r="L99" s="1"/>
      <c r="M99" s="1"/>
      <c r="N99" s="1"/>
      <c r="O99" s="1"/>
      <c r="P99" s="1"/>
      <c r="Q99" s="1"/>
      <c r="R99" s="1"/>
      <c r="S99" s="1"/>
      <c r="T99" s="1"/>
      <c r="U99" s="1"/>
      <c r="V99" s="1"/>
      <c r="W99" s="1"/>
      <c r="X99" s="1"/>
      <c r="Y99" s="54"/>
      <c r="Z99" s="1"/>
      <c r="AA99" s="1"/>
      <c r="AB99" s="1"/>
      <c r="AC99" s="1"/>
      <c r="AD99" s="1"/>
      <c r="AE99" s="1"/>
      <c r="AF99" s="1"/>
      <c r="AG99" s="1"/>
      <c r="AH99" s="1"/>
      <c r="AI99" s="1"/>
      <c r="AJ99" s="1"/>
      <c r="AK99" s="1"/>
    </row>
    <row r="100" spans="1:37" ht="14.25" customHeight="1">
      <c r="A100" s="97" t="s">
        <v>244</v>
      </c>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4.25" customHeight="1">
      <c r="A101" s="97" t="s">
        <v>245</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4.25" customHeight="1">
      <c r="A102" s="97" t="s">
        <v>246</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4.25" customHeight="1">
      <c r="A103" s="97" t="s">
        <v>247</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4.25" customHeight="1">
      <c r="A104" s="97" t="s">
        <v>248</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4.25" customHeight="1">
      <c r="A105" s="97" t="s">
        <v>249</v>
      </c>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4.25" customHeight="1">
      <c r="A106" s="97" t="s">
        <v>250</v>
      </c>
      <c r="B106" s="1"/>
      <c r="C106" s="97"/>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ht="14.25" customHeight="1">
      <c r="A107" s="97" t="s">
        <v>251</v>
      </c>
      <c r="B107" s="1"/>
      <c r="C107" s="97"/>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ht="14.25" customHeight="1">
      <c r="A108" s="97" t="s">
        <v>252</v>
      </c>
      <c r="B108" s="1"/>
      <c r="C108" s="97"/>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4.25" customHeight="1">
      <c r="A109" s="97" t="s">
        <v>253</v>
      </c>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4.25" customHeight="1">
      <c r="A110" s="97" t="s">
        <v>254</v>
      </c>
      <c r="B110" s="1"/>
      <c r="C110" s="97"/>
      <c r="D110" s="1"/>
      <c r="E110" s="1"/>
      <c r="F110" s="1"/>
      <c r="G110" s="1"/>
      <c r="H110" s="1">
        <v>2020</v>
      </c>
      <c r="I110" s="1"/>
      <c r="J110" s="1"/>
      <c r="K110" s="1"/>
      <c r="L110" s="1"/>
      <c r="M110" s="1"/>
      <c r="N110" s="1"/>
      <c r="O110" s="1">
        <v>2050</v>
      </c>
      <c r="P110" s="1"/>
      <c r="Q110" s="1"/>
      <c r="R110" s="1"/>
      <c r="S110" s="1"/>
      <c r="T110" s="1"/>
      <c r="U110" s="1"/>
      <c r="V110" s="1"/>
      <c r="W110" s="1"/>
      <c r="X110" s="1"/>
      <c r="Y110" s="1"/>
      <c r="Z110" s="1"/>
      <c r="AA110" s="1"/>
      <c r="AB110" s="1"/>
      <c r="AC110" s="1"/>
      <c r="AD110" s="1"/>
      <c r="AE110" s="1"/>
      <c r="AF110" s="1"/>
      <c r="AG110" s="1"/>
      <c r="AH110" s="1"/>
      <c r="AI110" s="1"/>
      <c r="AJ110" s="1"/>
      <c r="AK110" s="1"/>
    </row>
    <row r="111" spans="1:37" ht="14.25" customHeight="1">
      <c r="A111" s="97" t="s">
        <v>255</v>
      </c>
      <c r="B111" s="1"/>
      <c r="C111" s="97"/>
      <c r="D111" s="1"/>
      <c r="E111" s="1"/>
      <c r="F111" s="1"/>
      <c r="G111" s="1" t="s">
        <v>395</v>
      </c>
      <c r="H111" s="54">
        <v>0.156</v>
      </c>
      <c r="I111" s="1"/>
      <c r="J111" s="1"/>
      <c r="K111" s="1"/>
      <c r="L111" s="1"/>
      <c r="M111" s="1"/>
      <c r="N111" s="1"/>
      <c r="O111" s="25">
        <v>0.2</v>
      </c>
      <c r="P111" s="1"/>
      <c r="Q111" s="1"/>
      <c r="R111" s="1"/>
      <c r="S111" s="1"/>
      <c r="T111" s="1"/>
      <c r="U111" s="1"/>
      <c r="V111" s="1"/>
      <c r="W111" s="1"/>
      <c r="X111" s="1"/>
      <c r="Y111" s="1"/>
      <c r="Z111" s="1"/>
      <c r="AA111" s="1"/>
      <c r="AB111" s="1"/>
      <c r="AC111" s="1"/>
      <c r="AD111" s="1"/>
      <c r="AE111" s="1"/>
      <c r="AF111" s="1"/>
      <c r="AG111" s="1"/>
      <c r="AH111" s="1"/>
      <c r="AI111" s="1"/>
      <c r="AJ111" s="1"/>
      <c r="AK111" s="1"/>
    </row>
    <row r="112" spans="1:37" ht="14.25" customHeight="1">
      <c r="A112" s="97" t="s">
        <v>256</v>
      </c>
      <c r="B112" s="1"/>
      <c r="C112" s="1"/>
      <c r="D112" s="1"/>
      <c r="E112" s="1"/>
      <c r="F112" s="1"/>
      <c r="G112" s="1" t="s">
        <v>396</v>
      </c>
      <c r="H112" s="54">
        <v>0.22700000000000001</v>
      </c>
      <c r="I112" s="1"/>
      <c r="J112" s="1"/>
      <c r="K112" s="1"/>
      <c r="L112" s="1"/>
      <c r="M112" s="1"/>
      <c r="N112" s="1"/>
      <c r="O112" s="25">
        <v>0.15</v>
      </c>
      <c r="P112" s="1"/>
      <c r="Q112" s="1"/>
      <c r="R112" s="1"/>
      <c r="S112" s="1"/>
      <c r="T112" s="1"/>
      <c r="U112" s="1"/>
      <c r="V112" s="1"/>
      <c r="W112" s="1"/>
      <c r="X112" s="1"/>
      <c r="Y112" s="1"/>
      <c r="Z112" s="1"/>
      <c r="AA112" s="1"/>
      <c r="AB112" s="1"/>
      <c r="AC112" s="1"/>
      <c r="AD112" s="1"/>
      <c r="AE112" s="1"/>
      <c r="AF112" s="1"/>
      <c r="AG112" s="1"/>
      <c r="AH112" s="1"/>
      <c r="AI112" s="1"/>
      <c r="AJ112" s="1"/>
      <c r="AK112" s="1"/>
    </row>
    <row r="113" spans="1:50" ht="14.25" customHeight="1">
      <c r="A113" s="97" t="s">
        <v>257</v>
      </c>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4.25" customHeight="1">
      <c r="A116" s="1"/>
      <c r="B116" s="1"/>
      <c r="C116" s="1"/>
      <c r="D116" s="1"/>
      <c r="E116" s="1"/>
      <c r="F116" s="1"/>
      <c r="G116" s="1" t="s">
        <v>397</v>
      </c>
      <c r="H116" s="1" t="s">
        <v>398</v>
      </c>
      <c r="I116" s="1">
        <v>754</v>
      </c>
      <c r="J116" s="1">
        <v>738</v>
      </c>
      <c r="K116" s="1">
        <v>696</v>
      </c>
      <c r="L116" s="1">
        <v>662</v>
      </c>
      <c r="M116" s="1">
        <v>653</v>
      </c>
      <c r="N116" s="1">
        <v>591</v>
      </c>
      <c r="O116" s="1">
        <v>573</v>
      </c>
      <c r="P116" s="1">
        <v>556</v>
      </c>
      <c r="Q116" s="1">
        <v>537</v>
      </c>
      <c r="R116" s="1">
        <v>513</v>
      </c>
      <c r="S116" s="1">
        <v>487</v>
      </c>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4.25" customHeight="1">
      <c r="A117" s="1"/>
      <c r="B117" s="1"/>
      <c r="C117" s="1"/>
      <c r="D117" s="1"/>
      <c r="E117" s="1"/>
      <c r="F117" s="1"/>
      <c r="G117" s="1"/>
      <c r="H117" s="297"/>
      <c r="I117" s="1">
        <v>861</v>
      </c>
      <c r="J117" s="1">
        <v>847</v>
      </c>
      <c r="K117" s="1">
        <v>808</v>
      </c>
      <c r="L117" s="1">
        <v>776</v>
      </c>
      <c r="M117" s="1">
        <v>778</v>
      </c>
      <c r="N117" s="1">
        <v>719</v>
      </c>
      <c r="O117" s="1">
        <v>703</v>
      </c>
      <c r="P117" s="1">
        <v>689</v>
      </c>
      <c r="Q117" s="1">
        <v>672</v>
      </c>
      <c r="R117" s="1">
        <v>651</v>
      </c>
      <c r="S117" s="1">
        <v>628</v>
      </c>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4.25" customHeight="1">
      <c r="A118" s="1"/>
      <c r="B118" s="1"/>
      <c r="C118" s="1"/>
      <c r="D118" s="1"/>
      <c r="E118" s="1"/>
      <c r="F118" s="1"/>
      <c r="G118" s="1"/>
      <c r="H118" s="1"/>
      <c r="I118" s="1">
        <f t="shared" ref="I118:S118" si="31">I117-I116</f>
        <v>107</v>
      </c>
      <c r="J118" s="1">
        <f t="shared" si="31"/>
        <v>109</v>
      </c>
      <c r="K118" s="1">
        <f t="shared" si="31"/>
        <v>112</v>
      </c>
      <c r="L118" s="1">
        <f t="shared" si="31"/>
        <v>114</v>
      </c>
      <c r="M118" s="1">
        <f t="shared" si="31"/>
        <v>125</v>
      </c>
      <c r="N118" s="1">
        <f t="shared" si="31"/>
        <v>128</v>
      </c>
      <c r="O118" s="1">
        <f t="shared" si="31"/>
        <v>130</v>
      </c>
      <c r="P118" s="1">
        <f t="shared" si="31"/>
        <v>133</v>
      </c>
      <c r="Q118" s="1">
        <f t="shared" si="31"/>
        <v>135</v>
      </c>
      <c r="R118" s="1">
        <f t="shared" si="31"/>
        <v>138</v>
      </c>
      <c r="S118" s="1">
        <f t="shared" si="31"/>
        <v>141</v>
      </c>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4.25" customHeight="1">
      <c r="A119" s="1"/>
      <c r="B119" s="1"/>
      <c r="C119" s="97"/>
      <c r="D119" s="1"/>
      <c r="E119" s="1"/>
      <c r="F119" s="1"/>
      <c r="G119" s="1"/>
      <c r="H119" s="1"/>
      <c r="I119" s="25">
        <f t="shared" ref="I119:S119" si="32">I116/I117</f>
        <v>0.87572590011614404</v>
      </c>
      <c r="J119" s="25">
        <f t="shared" si="32"/>
        <v>0.87131050767414409</v>
      </c>
      <c r="K119" s="25">
        <f t="shared" si="32"/>
        <v>0.86138613861386137</v>
      </c>
      <c r="L119" s="25">
        <f t="shared" si="32"/>
        <v>0.85309278350515461</v>
      </c>
      <c r="M119" s="25">
        <f t="shared" si="32"/>
        <v>0.83933161953727509</v>
      </c>
      <c r="N119" s="25">
        <f t="shared" si="32"/>
        <v>0.82197496522948543</v>
      </c>
      <c r="O119" s="25">
        <f t="shared" si="32"/>
        <v>0.81507823613086772</v>
      </c>
      <c r="P119" s="25">
        <f t="shared" si="32"/>
        <v>0.80696661828737304</v>
      </c>
      <c r="Q119" s="25">
        <f t="shared" si="32"/>
        <v>0.7991071428571429</v>
      </c>
      <c r="R119" s="25">
        <f t="shared" si="32"/>
        <v>0.78801843317972353</v>
      </c>
      <c r="S119" s="25">
        <f t="shared" si="32"/>
        <v>0.77547770700636942</v>
      </c>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4.25" customHeight="1">
      <c r="A121" s="1"/>
      <c r="B121" s="1"/>
      <c r="C121" s="1"/>
      <c r="D121" s="1"/>
      <c r="E121" s="1"/>
      <c r="F121" s="1"/>
      <c r="G121" s="1"/>
      <c r="H121" s="1"/>
      <c r="I121" s="1">
        <v>107</v>
      </c>
      <c r="J121" s="1">
        <v>109</v>
      </c>
      <c r="K121" s="1">
        <v>112</v>
      </c>
      <c r="L121" s="1">
        <v>114</v>
      </c>
      <c r="M121" s="1">
        <v>125</v>
      </c>
      <c r="N121" s="1">
        <v>128</v>
      </c>
      <c r="O121" s="1">
        <v>130</v>
      </c>
      <c r="P121" s="1">
        <v>133</v>
      </c>
      <c r="Q121" s="1">
        <v>135</v>
      </c>
      <c r="R121" s="1">
        <v>138</v>
      </c>
      <c r="S121" s="1">
        <v>141</v>
      </c>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4.25" customHeight="1">
      <c r="A122" s="1"/>
      <c r="B122" s="1"/>
      <c r="C122" s="97"/>
      <c r="D122" s="1"/>
      <c r="E122" s="1"/>
      <c r="F122" s="1"/>
      <c r="G122" s="1"/>
      <c r="H122" s="1"/>
      <c r="I122" s="1">
        <v>2010</v>
      </c>
      <c r="J122" s="1">
        <v>2011</v>
      </c>
      <c r="K122" s="1">
        <v>2012</v>
      </c>
      <c r="L122" s="1">
        <v>2013</v>
      </c>
      <c r="M122" s="1">
        <v>2014</v>
      </c>
      <c r="N122" s="1">
        <v>2015</v>
      </c>
      <c r="O122" s="1">
        <v>2016</v>
      </c>
      <c r="P122" s="1">
        <v>2017</v>
      </c>
      <c r="Q122" s="1">
        <v>2018</v>
      </c>
      <c r="R122" s="1">
        <v>2019</v>
      </c>
      <c r="S122" s="1">
        <v>2020</v>
      </c>
      <c r="T122" s="1">
        <v>2021</v>
      </c>
      <c r="U122" s="1">
        <v>2022</v>
      </c>
      <c r="V122" s="1">
        <v>2023</v>
      </c>
      <c r="W122" s="1">
        <v>2024</v>
      </c>
      <c r="X122" s="1">
        <v>2025</v>
      </c>
      <c r="Y122" s="1">
        <v>2026</v>
      </c>
      <c r="Z122" s="1">
        <v>2027</v>
      </c>
      <c r="AA122" s="1">
        <v>2028</v>
      </c>
      <c r="AB122" s="1">
        <v>2029</v>
      </c>
      <c r="AC122" s="1">
        <v>2030</v>
      </c>
      <c r="AD122" s="1">
        <v>2031</v>
      </c>
      <c r="AE122" s="1">
        <v>2032</v>
      </c>
      <c r="AF122" s="1">
        <v>2033</v>
      </c>
      <c r="AG122" s="1">
        <v>2034</v>
      </c>
      <c r="AH122" s="1">
        <v>2035</v>
      </c>
      <c r="AI122" s="1">
        <v>2036</v>
      </c>
      <c r="AJ122" s="1">
        <v>2037</v>
      </c>
      <c r="AK122" s="1"/>
      <c r="AL122" s="1">
        <v>2038</v>
      </c>
      <c r="AM122" s="1">
        <v>2039</v>
      </c>
      <c r="AN122" s="1">
        <v>2040</v>
      </c>
      <c r="AO122" s="1">
        <v>2041</v>
      </c>
      <c r="AP122" s="1">
        <v>2042</v>
      </c>
      <c r="AQ122" s="1">
        <v>2043</v>
      </c>
      <c r="AR122" s="1">
        <v>2044</v>
      </c>
      <c r="AS122" s="1">
        <v>2045</v>
      </c>
      <c r="AT122" s="1">
        <v>2046</v>
      </c>
      <c r="AU122" s="1">
        <v>2047</v>
      </c>
      <c r="AV122" s="1">
        <v>2048</v>
      </c>
      <c r="AW122" s="1">
        <v>2049</v>
      </c>
      <c r="AX122" s="1">
        <v>2050</v>
      </c>
    </row>
    <row r="123" spans="1:50" ht="14.25" customHeight="1">
      <c r="A123" s="1"/>
      <c r="B123" s="1"/>
      <c r="C123" s="97"/>
      <c r="D123" s="1"/>
      <c r="E123" s="1"/>
      <c r="F123" s="1"/>
      <c r="G123" s="1"/>
      <c r="H123" s="1" t="s">
        <v>397</v>
      </c>
      <c r="I123" s="1">
        <v>2.1800000000000002</v>
      </c>
      <c r="J123" s="1">
        <v>2.1</v>
      </c>
      <c r="K123" s="1">
        <v>2</v>
      </c>
      <c r="L123" s="1">
        <v>1.91</v>
      </c>
      <c r="M123" s="1">
        <v>1.96</v>
      </c>
      <c r="N123" s="1">
        <v>2.11</v>
      </c>
      <c r="O123" s="1">
        <v>2.4</v>
      </c>
      <c r="P123" s="1">
        <v>2.39</v>
      </c>
      <c r="Q123" s="1">
        <v>2.3199999999999998</v>
      </c>
      <c r="R123" s="1">
        <v>2.4</v>
      </c>
      <c r="S123" s="1">
        <v>2.5299999999999998</v>
      </c>
      <c r="T123" s="1">
        <f t="shared" ref="T123:AJ123" si="33">S123*T124</f>
        <v>2.4034999999999997</v>
      </c>
      <c r="U123" s="1">
        <f t="shared" si="33"/>
        <v>2.2833249999999996</v>
      </c>
      <c r="V123" s="1">
        <f t="shared" si="33"/>
        <v>2.1691587499999994</v>
      </c>
      <c r="W123" s="1">
        <f t="shared" si="33"/>
        <v>2.0607008124999995</v>
      </c>
      <c r="X123" s="1">
        <f t="shared" si="33"/>
        <v>1.9576657718749995</v>
      </c>
      <c r="Y123" s="1">
        <f t="shared" si="33"/>
        <v>1.8597824832812495</v>
      </c>
      <c r="Z123" s="1">
        <f t="shared" si="33"/>
        <v>1.7667933591171869</v>
      </c>
      <c r="AA123" s="1">
        <f t="shared" si="33"/>
        <v>1.6784536911613275</v>
      </c>
      <c r="AB123" s="1">
        <f t="shared" si="33"/>
        <v>1.594531006603261</v>
      </c>
      <c r="AC123" s="1">
        <f t="shared" si="33"/>
        <v>1.5148044562730978</v>
      </c>
      <c r="AD123" s="1">
        <f t="shared" si="33"/>
        <v>1.4390642334594428</v>
      </c>
      <c r="AE123" s="1">
        <f t="shared" si="33"/>
        <v>1.3671110217864706</v>
      </c>
      <c r="AF123" s="1">
        <f t="shared" si="33"/>
        <v>1.2987554706971469</v>
      </c>
      <c r="AG123" s="1">
        <f t="shared" si="33"/>
        <v>1.2338176971622896</v>
      </c>
      <c r="AH123" s="1">
        <f t="shared" si="33"/>
        <v>1.172126812304175</v>
      </c>
      <c r="AI123" s="1">
        <f t="shared" si="33"/>
        <v>1.1135204716889662</v>
      </c>
      <c r="AJ123" s="1">
        <f t="shared" si="33"/>
        <v>1.0578444481045177</v>
      </c>
      <c r="AK123" s="1"/>
      <c r="AL123" s="1">
        <f>AJ123*AL124</f>
        <v>1.0049522256992918</v>
      </c>
      <c r="AM123" s="1">
        <f t="shared" ref="AM123:AX123" si="34">AL123*AM124</f>
        <v>0.95470461441432708</v>
      </c>
      <c r="AN123" s="1">
        <f t="shared" si="34"/>
        <v>0.90696938369361069</v>
      </c>
      <c r="AO123" s="1">
        <f t="shared" si="34"/>
        <v>0.86162091450893008</v>
      </c>
      <c r="AP123" s="1">
        <f t="shared" si="34"/>
        <v>0.8185398687834835</v>
      </c>
      <c r="AQ123" s="1">
        <f t="shared" si="34"/>
        <v>0.77761287534430934</v>
      </c>
      <c r="AR123" s="1">
        <f t="shared" si="34"/>
        <v>0.73873223157709389</v>
      </c>
      <c r="AS123" s="1">
        <f t="shared" si="34"/>
        <v>0.70179561999823914</v>
      </c>
      <c r="AT123" s="1">
        <f t="shared" si="34"/>
        <v>0.66670583899832714</v>
      </c>
      <c r="AU123" s="1">
        <f t="shared" si="34"/>
        <v>0.63337054704841078</v>
      </c>
      <c r="AV123" s="1">
        <f t="shared" si="34"/>
        <v>0.60170201969599024</v>
      </c>
      <c r="AW123" s="1">
        <f t="shared" si="34"/>
        <v>0.57161691871119069</v>
      </c>
      <c r="AX123" s="1">
        <f t="shared" si="34"/>
        <v>0.54303607277563115</v>
      </c>
    </row>
    <row r="124" spans="1:50" ht="14.25" customHeight="1">
      <c r="A124" s="1"/>
      <c r="B124" s="1"/>
      <c r="C124" s="97"/>
      <c r="D124" s="1"/>
      <c r="E124" s="1"/>
      <c r="F124" s="1"/>
      <c r="G124" s="1"/>
      <c r="H124" s="1"/>
      <c r="I124" s="1"/>
      <c r="J124" s="1"/>
      <c r="K124" s="1"/>
      <c r="L124" s="1"/>
      <c r="M124" s="1"/>
      <c r="N124" s="1"/>
      <c r="O124" s="1"/>
      <c r="P124" s="1"/>
      <c r="Q124" s="1"/>
      <c r="R124" s="1"/>
      <c r="S124" s="1"/>
      <c r="T124" s="1">
        <v>0.95</v>
      </c>
      <c r="U124" s="1">
        <f t="shared" ref="U124:AJ124" si="35">T124</f>
        <v>0.95</v>
      </c>
      <c r="V124" s="1">
        <f t="shared" si="35"/>
        <v>0.95</v>
      </c>
      <c r="W124" s="1">
        <f t="shared" si="35"/>
        <v>0.95</v>
      </c>
      <c r="X124" s="1">
        <f t="shared" si="35"/>
        <v>0.95</v>
      </c>
      <c r="Y124" s="1">
        <f t="shared" si="35"/>
        <v>0.95</v>
      </c>
      <c r="Z124" s="1">
        <f t="shared" si="35"/>
        <v>0.95</v>
      </c>
      <c r="AA124" s="1">
        <f t="shared" si="35"/>
        <v>0.95</v>
      </c>
      <c r="AB124" s="1">
        <f t="shared" si="35"/>
        <v>0.95</v>
      </c>
      <c r="AC124" s="1">
        <f t="shared" si="35"/>
        <v>0.95</v>
      </c>
      <c r="AD124" s="1">
        <f t="shared" si="35"/>
        <v>0.95</v>
      </c>
      <c r="AE124" s="1">
        <f t="shared" si="35"/>
        <v>0.95</v>
      </c>
      <c r="AF124" s="1">
        <f t="shared" si="35"/>
        <v>0.95</v>
      </c>
      <c r="AG124" s="1">
        <f t="shared" si="35"/>
        <v>0.95</v>
      </c>
      <c r="AH124" s="1">
        <f t="shared" si="35"/>
        <v>0.95</v>
      </c>
      <c r="AI124" s="1">
        <f t="shared" si="35"/>
        <v>0.95</v>
      </c>
      <c r="AJ124" s="1">
        <f t="shared" si="35"/>
        <v>0.95</v>
      </c>
      <c r="AK124" s="1"/>
      <c r="AL124" s="1">
        <f>AJ124</f>
        <v>0.95</v>
      </c>
      <c r="AM124" s="1">
        <f t="shared" ref="AM124:AX124" si="36">AL124</f>
        <v>0.95</v>
      </c>
      <c r="AN124" s="1">
        <f t="shared" si="36"/>
        <v>0.95</v>
      </c>
      <c r="AO124" s="1">
        <f t="shared" si="36"/>
        <v>0.95</v>
      </c>
      <c r="AP124" s="1">
        <f t="shared" si="36"/>
        <v>0.95</v>
      </c>
      <c r="AQ124" s="1">
        <f t="shared" si="36"/>
        <v>0.95</v>
      </c>
      <c r="AR124" s="1">
        <f t="shared" si="36"/>
        <v>0.95</v>
      </c>
      <c r="AS124" s="1">
        <f t="shared" si="36"/>
        <v>0.95</v>
      </c>
      <c r="AT124" s="1">
        <f t="shared" si="36"/>
        <v>0.95</v>
      </c>
      <c r="AU124" s="1">
        <f t="shared" si="36"/>
        <v>0.95</v>
      </c>
      <c r="AV124" s="1">
        <f t="shared" si="36"/>
        <v>0.95</v>
      </c>
      <c r="AW124" s="1">
        <f t="shared" si="36"/>
        <v>0.95</v>
      </c>
      <c r="AX124" s="1">
        <f t="shared" si="36"/>
        <v>0.95</v>
      </c>
    </row>
    <row r="125" spans="1:50"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7:36" ht="14.25" customHeight="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7:36" ht="14.25" customHeight="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7:36" ht="14.25" customHeight="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7:36" ht="14.25" customHeight="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7:36" ht="14.25" customHeight="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7:36" ht="14.25" customHeight="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7:36" ht="14.25" customHeight="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7:36" ht="14.25" customHeight="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7:36" ht="14.25" customHeight="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7:36" ht="14.25" customHeight="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7:36" ht="14.25" customHeight="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7:36" ht="14.25" customHeight="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7:36" ht="14.25" customHeight="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7:36" ht="14.25" customHeight="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7:36" ht="14.25" customHeight="1">
      <c r="G143" s="1" t="s">
        <v>399</v>
      </c>
      <c r="H143" s="1"/>
      <c r="I143" s="1" t="s">
        <v>400</v>
      </c>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t="s">
        <v>163</v>
      </c>
    </row>
    <row r="144" spans="7:36" ht="14.25" customHeight="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8:36" ht="14.25" customHeight="1">
      <c r="H145" s="1">
        <v>2007</v>
      </c>
      <c r="I145" s="1">
        <v>2008</v>
      </c>
      <c r="J145" s="1">
        <v>2009</v>
      </c>
      <c r="K145" s="1">
        <v>2010</v>
      </c>
      <c r="L145" s="1">
        <v>2011</v>
      </c>
      <c r="M145" s="1">
        <v>2012</v>
      </c>
      <c r="N145" s="1">
        <v>2013</v>
      </c>
      <c r="O145" s="1">
        <v>2014</v>
      </c>
      <c r="P145" s="1">
        <v>2015</v>
      </c>
      <c r="Q145" s="1">
        <v>2016</v>
      </c>
      <c r="R145" s="1">
        <v>2017</v>
      </c>
      <c r="S145" s="1">
        <v>2018</v>
      </c>
      <c r="T145" s="1">
        <v>2019</v>
      </c>
      <c r="U145" s="1">
        <v>2020</v>
      </c>
      <c r="V145" s="1">
        <v>2021</v>
      </c>
      <c r="W145" s="1">
        <v>2022</v>
      </c>
      <c r="X145" s="1">
        <v>2023</v>
      </c>
      <c r="Y145" s="1">
        <v>2024</v>
      </c>
      <c r="Z145" s="1">
        <v>2025</v>
      </c>
      <c r="AA145" s="1">
        <v>2026</v>
      </c>
      <c r="AB145" s="1">
        <v>2027</v>
      </c>
      <c r="AC145" s="1">
        <v>2028</v>
      </c>
      <c r="AD145" s="1">
        <v>2029</v>
      </c>
      <c r="AE145" s="1">
        <v>2030</v>
      </c>
      <c r="AF145" s="1">
        <v>2031</v>
      </c>
      <c r="AG145" s="1">
        <v>2032</v>
      </c>
      <c r="AH145" s="1">
        <v>2033</v>
      </c>
      <c r="AI145" s="1">
        <v>2034</v>
      </c>
      <c r="AJ145" s="1">
        <v>2035</v>
      </c>
    </row>
    <row r="146" spans="8:36" ht="14.25" customHeight="1">
      <c r="H146" s="1">
        <v>0</v>
      </c>
      <c r="I146" s="1">
        <f t="shared" ref="I146:AI146" si="37">H146+($AJ$146-$H$146)/($AJ$145-$H$145)</f>
        <v>45.566502463054185</v>
      </c>
      <c r="J146" s="1">
        <f t="shared" si="37"/>
        <v>91.13300492610837</v>
      </c>
      <c r="K146" s="1">
        <f t="shared" si="37"/>
        <v>136.69950738916256</v>
      </c>
      <c r="L146" s="1">
        <f t="shared" si="37"/>
        <v>182.26600985221674</v>
      </c>
      <c r="M146" s="1">
        <f t="shared" si="37"/>
        <v>227.83251231527092</v>
      </c>
      <c r="N146" s="1">
        <f t="shared" si="37"/>
        <v>273.39901477832512</v>
      </c>
      <c r="O146" s="1">
        <f t="shared" si="37"/>
        <v>318.9655172413793</v>
      </c>
      <c r="P146" s="1">
        <f t="shared" si="37"/>
        <v>364.53201970443348</v>
      </c>
      <c r="Q146" s="1">
        <f t="shared" si="37"/>
        <v>410.09852216748766</v>
      </c>
      <c r="R146" s="1">
        <f t="shared" si="37"/>
        <v>455.66502463054184</v>
      </c>
      <c r="S146" s="1">
        <f t="shared" si="37"/>
        <v>501.23152709359601</v>
      </c>
      <c r="T146" s="1">
        <f t="shared" si="37"/>
        <v>546.79802955665025</v>
      </c>
      <c r="U146" s="1">
        <f t="shared" si="37"/>
        <v>592.36453201970448</v>
      </c>
      <c r="V146" s="1">
        <f t="shared" si="37"/>
        <v>637.93103448275872</v>
      </c>
      <c r="W146" s="1">
        <f t="shared" si="37"/>
        <v>683.49753694581295</v>
      </c>
      <c r="X146" s="1">
        <f t="shared" si="37"/>
        <v>729.06403940886719</v>
      </c>
      <c r="Y146" s="1">
        <f t="shared" si="37"/>
        <v>774.63054187192142</v>
      </c>
      <c r="Z146" s="1">
        <f t="shared" si="37"/>
        <v>820.19704433497566</v>
      </c>
      <c r="AA146" s="1">
        <f t="shared" si="37"/>
        <v>865.76354679802989</v>
      </c>
      <c r="AB146" s="1">
        <f t="shared" si="37"/>
        <v>911.33004926108413</v>
      </c>
      <c r="AC146" s="1">
        <f t="shared" si="37"/>
        <v>956.89655172413836</v>
      </c>
      <c r="AD146" s="1">
        <f t="shared" si="37"/>
        <v>1002.4630541871926</v>
      </c>
      <c r="AE146" s="1">
        <f t="shared" si="37"/>
        <v>1048.0295566502468</v>
      </c>
      <c r="AF146" s="1">
        <f t="shared" si="37"/>
        <v>1093.596059113301</v>
      </c>
      <c r="AG146" s="1">
        <f t="shared" si="37"/>
        <v>1139.1625615763551</v>
      </c>
      <c r="AH146" s="1">
        <f t="shared" si="37"/>
        <v>1184.7290640394092</v>
      </c>
      <c r="AI146" s="1">
        <f t="shared" si="37"/>
        <v>1230.2955665024633</v>
      </c>
      <c r="AJ146" s="1">
        <f>(2*18500)/29</f>
        <v>1275.8620689655172</v>
      </c>
    </row>
    <row r="147" spans="8:36" ht="14.25" customHeight="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8:36" ht="14.25" customHeight="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8:36" ht="14.25" customHeight="1">
      <c r="H149" s="1"/>
      <c r="I149" s="1"/>
      <c r="J149" s="1"/>
      <c r="K149" s="1"/>
      <c r="L149" s="1"/>
      <c r="M149" s="1"/>
      <c r="N149" s="1"/>
      <c r="O149" s="1">
        <v>1000</v>
      </c>
      <c r="P149" s="1" t="s">
        <v>401</v>
      </c>
      <c r="Q149" s="1"/>
      <c r="R149" s="1"/>
      <c r="S149" s="1"/>
      <c r="T149" s="1"/>
      <c r="U149" s="1"/>
      <c r="V149" s="1"/>
      <c r="W149" s="1"/>
      <c r="X149" s="1"/>
      <c r="Y149" s="1"/>
      <c r="Z149" s="1"/>
      <c r="AA149" s="1"/>
      <c r="AB149" s="1"/>
      <c r="AC149" s="1"/>
      <c r="AD149" s="1"/>
      <c r="AE149" s="1"/>
      <c r="AF149" s="1"/>
      <c r="AG149" s="1"/>
      <c r="AH149" s="1"/>
      <c r="AI149" s="1"/>
      <c r="AJ149" s="1"/>
    </row>
    <row r="150" spans="8:36" ht="14.25" customHeight="1">
      <c r="H150" s="1"/>
      <c r="I150" s="1"/>
      <c r="J150" s="1"/>
      <c r="K150" s="1"/>
      <c r="L150" s="1"/>
      <c r="M150" s="1"/>
      <c r="N150" s="1"/>
      <c r="O150" s="1" t="s">
        <v>402</v>
      </c>
      <c r="P150" s="1" t="s">
        <v>272</v>
      </c>
      <c r="Q150" s="1"/>
      <c r="R150" s="1"/>
      <c r="S150" s="1"/>
      <c r="T150" s="1"/>
      <c r="U150" s="1"/>
      <c r="V150" s="1"/>
      <c r="W150" s="1"/>
      <c r="X150" s="1"/>
      <c r="Y150" s="1"/>
      <c r="Z150" s="1"/>
      <c r="AA150" s="1"/>
      <c r="AB150" s="1"/>
      <c r="AC150" s="1"/>
      <c r="AD150" s="1"/>
      <c r="AE150" s="1"/>
      <c r="AF150" s="1"/>
      <c r="AG150" s="1"/>
      <c r="AH150" s="1"/>
      <c r="AI150" s="1"/>
      <c r="AJ150" s="1"/>
    </row>
    <row r="151" spans="8:36" ht="14.25" customHeight="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8:36" ht="14.25" customHeight="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8:36" ht="14.25" customHeight="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8:36" ht="14.25" customHeight="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8:36" ht="14.25" customHeight="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8:36" ht="14.25" customHeight="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8:36" ht="14.25" customHeight="1">
      <c r="H157" s="1"/>
      <c r="I157" s="1" t="s">
        <v>403</v>
      </c>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8:36" ht="14.25" customHeight="1">
      <c r="H158" s="1"/>
      <c r="I158" s="1">
        <v>2016</v>
      </c>
      <c r="J158" s="1">
        <v>2017</v>
      </c>
      <c r="K158" s="1">
        <v>2018</v>
      </c>
      <c r="L158" s="1">
        <v>2019</v>
      </c>
      <c r="M158" s="1">
        <v>2020</v>
      </c>
      <c r="N158" s="1">
        <v>2021</v>
      </c>
      <c r="O158" s="1">
        <v>2022</v>
      </c>
      <c r="P158" s="1">
        <v>2023</v>
      </c>
      <c r="Q158" s="1">
        <v>2024</v>
      </c>
      <c r="R158" s="1">
        <v>2025</v>
      </c>
      <c r="S158" s="1">
        <v>2030</v>
      </c>
      <c r="T158" s="1">
        <v>2035</v>
      </c>
      <c r="U158" s="1">
        <v>2040</v>
      </c>
      <c r="V158" s="1">
        <v>2045</v>
      </c>
      <c r="W158" s="1">
        <v>2050</v>
      </c>
      <c r="X158" s="1"/>
      <c r="Y158" s="1"/>
      <c r="Z158" s="1"/>
      <c r="AA158" s="1"/>
      <c r="AB158" s="1"/>
      <c r="AC158" s="1"/>
      <c r="AD158" s="1"/>
      <c r="AE158" s="1"/>
      <c r="AF158" s="1"/>
      <c r="AG158" s="1"/>
      <c r="AH158" s="1"/>
      <c r="AI158" s="1"/>
      <c r="AJ158" s="1"/>
    </row>
    <row r="159" spans="8:36" ht="14.25" customHeight="1">
      <c r="H159" s="1"/>
      <c r="I159" s="1">
        <v>12.21</v>
      </c>
      <c r="J159" s="1">
        <v>10.72</v>
      </c>
      <c r="K159" s="1">
        <v>10.49</v>
      </c>
      <c r="L159" s="1">
        <v>10.02</v>
      </c>
      <c r="M159" s="1">
        <v>9.9</v>
      </c>
      <c r="N159" s="1">
        <v>9.59</v>
      </c>
      <c r="O159" s="1">
        <v>9.31</v>
      </c>
      <c r="P159" s="1">
        <v>9.09</v>
      </c>
      <c r="Q159" s="1">
        <v>8.91</v>
      </c>
      <c r="R159" s="1">
        <v>8.7899999999999991</v>
      </c>
      <c r="S159" s="1">
        <f t="shared" ref="S159:W159" si="38">R159*S160</f>
        <v>8.3592025386209983</v>
      </c>
      <c r="T159" s="1">
        <f t="shared" si="38"/>
        <v>8.1523018528833422</v>
      </c>
      <c r="U159" s="1">
        <f t="shared" si="38"/>
        <v>8.071104274896399</v>
      </c>
      <c r="V159" s="1">
        <f t="shared" si="38"/>
        <v>8.0308293838939715</v>
      </c>
      <c r="W159" s="1">
        <f t="shared" si="38"/>
        <v>8.0227985545100768</v>
      </c>
      <c r="X159" s="1"/>
      <c r="Y159" s="1"/>
      <c r="Z159" s="1"/>
      <c r="AA159" s="1"/>
      <c r="AB159" s="1"/>
      <c r="AC159" s="1"/>
      <c r="AD159" s="1"/>
      <c r="AE159" s="1"/>
      <c r="AF159" s="1"/>
      <c r="AG159" s="1"/>
      <c r="AH159" s="1"/>
      <c r="AI159" s="1"/>
      <c r="AJ159" s="1"/>
    </row>
    <row r="160" spans="8:36" ht="14.25" customHeight="1">
      <c r="H160" s="1"/>
      <c r="I160" s="1"/>
      <c r="J160" s="1">
        <f t="shared" ref="J160:R160" si="39">J159/I159</f>
        <v>0.87796887796887801</v>
      </c>
      <c r="K160" s="1">
        <f t="shared" si="39"/>
        <v>0.97854477611940294</v>
      </c>
      <c r="L160" s="1">
        <f t="shared" si="39"/>
        <v>0.95519542421353665</v>
      </c>
      <c r="M160" s="1">
        <f t="shared" si="39"/>
        <v>0.98802395209580851</v>
      </c>
      <c r="N160" s="1">
        <f t="shared" si="39"/>
        <v>0.9686868686868686</v>
      </c>
      <c r="O160" s="1">
        <f t="shared" si="39"/>
        <v>0.97080291970802923</v>
      </c>
      <c r="P160" s="1">
        <f t="shared" si="39"/>
        <v>0.97636949516648763</v>
      </c>
      <c r="Q160" s="1">
        <f t="shared" si="39"/>
        <v>0.98019801980198018</v>
      </c>
      <c r="R160" s="1">
        <f t="shared" si="39"/>
        <v>0.98653198653198637</v>
      </c>
      <c r="S160" s="1">
        <f>0.99^5</f>
        <v>0.95099004989999991</v>
      </c>
      <c r="T160" s="1">
        <f>0.995^5</f>
        <v>0.97524875312187509</v>
      </c>
      <c r="U160" s="2">
        <f>0.998^5</f>
        <v>0.99003992007996799</v>
      </c>
      <c r="V160" s="1">
        <f>0.999^5</f>
        <v>0.99500999000499901</v>
      </c>
      <c r="W160" s="1">
        <v>0.999</v>
      </c>
      <c r="X160" s="1"/>
      <c r="Y160" s="1"/>
      <c r="Z160" s="1"/>
      <c r="AA160" s="1"/>
      <c r="AB160" s="1"/>
      <c r="AC160" s="1"/>
      <c r="AD160" s="1"/>
      <c r="AE160" s="1"/>
      <c r="AF160" s="1"/>
      <c r="AG160" s="1"/>
      <c r="AH160" s="1"/>
      <c r="AI160" s="1"/>
      <c r="AJ160" s="1"/>
    </row>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V41" r:id="rId1" xr:uid="{00000000-0004-0000-0A00-000000000000}"/>
  </hyperlinks>
  <pageMargins left="0.7" right="0.7" top="0.75" bottom="0.75" header="0" footer="0"/>
  <pageSetup orientation="portrait"/>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Y1000"/>
  <sheetViews>
    <sheetView workbookViewId="0"/>
  </sheetViews>
  <sheetFormatPr defaultColWidth="14.44140625" defaultRowHeight="15" customHeight="1"/>
  <cols>
    <col min="1" max="1" width="27.6640625" customWidth="1"/>
    <col min="2" max="2" width="24.5546875" customWidth="1"/>
    <col min="3" max="3" width="87.44140625" customWidth="1"/>
    <col min="4" max="4" width="32.33203125" customWidth="1"/>
    <col min="5" max="5" width="51.33203125" hidden="1" customWidth="1"/>
    <col min="6" max="6" width="59.33203125" customWidth="1"/>
    <col min="7" max="7" width="30.44140625" customWidth="1"/>
    <col min="8" max="8" width="8.33203125" customWidth="1"/>
    <col min="9" max="9" width="8.44140625" customWidth="1"/>
    <col min="10" max="31" width="8.88671875" customWidth="1"/>
    <col min="32" max="33" width="8" customWidth="1"/>
    <col min="34" max="35" width="9.33203125" customWidth="1"/>
    <col min="36" max="56" width="9.44140625" customWidth="1"/>
    <col min="57" max="57" width="59.33203125" customWidth="1"/>
  </cols>
  <sheetData>
    <row r="1" spans="1:77" ht="14.25" customHeight="1">
      <c r="A1" s="15" t="s">
        <v>25</v>
      </c>
      <c r="B1" s="15" t="s">
        <v>26</v>
      </c>
      <c r="C1" s="15" t="s">
        <v>27</v>
      </c>
      <c r="D1" s="15" t="s">
        <v>28</v>
      </c>
      <c r="E1" s="15" t="s">
        <v>29</v>
      </c>
      <c r="F1" s="15" t="s">
        <v>30</v>
      </c>
      <c r="G1" s="15" t="s">
        <v>31</v>
      </c>
      <c r="H1" s="15">
        <v>2022</v>
      </c>
      <c r="I1" s="15">
        <v>2023</v>
      </c>
      <c r="J1" s="15">
        <v>2024</v>
      </c>
      <c r="K1" s="15">
        <v>2025</v>
      </c>
      <c r="L1" s="15">
        <v>2026</v>
      </c>
      <c r="M1" s="15">
        <v>2027</v>
      </c>
      <c r="N1" s="15">
        <v>2028</v>
      </c>
      <c r="O1" s="15">
        <v>2029</v>
      </c>
      <c r="P1" s="15">
        <v>2030</v>
      </c>
      <c r="Q1" s="15">
        <v>2031</v>
      </c>
      <c r="R1" s="15">
        <v>2032</v>
      </c>
      <c r="S1" s="15">
        <v>2033</v>
      </c>
      <c r="T1" s="15">
        <v>2034</v>
      </c>
      <c r="U1" s="15">
        <v>2035</v>
      </c>
      <c r="V1" s="15">
        <v>2036</v>
      </c>
      <c r="W1" s="15">
        <v>2037</v>
      </c>
      <c r="X1" s="15">
        <v>2038</v>
      </c>
      <c r="Y1" s="15">
        <v>2039</v>
      </c>
      <c r="Z1" s="15">
        <v>2040</v>
      </c>
      <c r="AA1" s="15">
        <v>2041</v>
      </c>
      <c r="AB1" s="15">
        <v>2042</v>
      </c>
      <c r="AC1" s="15">
        <v>2043</v>
      </c>
      <c r="AD1" s="15">
        <v>2044</v>
      </c>
      <c r="AE1" s="15">
        <v>2045</v>
      </c>
      <c r="AF1" s="15">
        <v>2046</v>
      </c>
      <c r="AG1" s="15">
        <v>2047</v>
      </c>
      <c r="AH1" s="15">
        <v>2048</v>
      </c>
      <c r="AI1" s="15">
        <v>2049</v>
      </c>
      <c r="AJ1" s="15">
        <v>2050</v>
      </c>
      <c r="AK1" s="15">
        <v>2051</v>
      </c>
      <c r="AL1" s="15">
        <v>2052</v>
      </c>
      <c r="AM1" s="15">
        <v>2053</v>
      </c>
      <c r="AN1" s="15">
        <v>2054</v>
      </c>
      <c r="AO1" s="15">
        <v>2055</v>
      </c>
      <c r="AP1" s="15">
        <v>2056</v>
      </c>
      <c r="AQ1" s="15">
        <v>2057</v>
      </c>
      <c r="AR1" s="15">
        <v>2058</v>
      </c>
      <c r="AS1" s="15">
        <v>2059</v>
      </c>
      <c r="AT1" s="15">
        <v>2060</v>
      </c>
      <c r="AU1" s="15">
        <v>2061</v>
      </c>
      <c r="AV1" s="15">
        <v>2062</v>
      </c>
      <c r="AW1" s="15">
        <v>2063</v>
      </c>
      <c r="AX1" s="15">
        <v>2064</v>
      </c>
      <c r="AY1" s="15">
        <v>2065</v>
      </c>
      <c r="AZ1" s="15">
        <v>2066</v>
      </c>
      <c r="BA1" s="15">
        <v>2067</v>
      </c>
      <c r="BB1" s="15">
        <v>2068</v>
      </c>
      <c r="BC1" s="15">
        <v>2069</v>
      </c>
      <c r="BD1" s="15">
        <v>2070</v>
      </c>
      <c r="BE1" s="15" t="s">
        <v>259</v>
      </c>
      <c r="BF1" s="1" t="s">
        <v>260</v>
      </c>
      <c r="BG1" s="1"/>
      <c r="BH1" s="1"/>
      <c r="BI1" s="1"/>
      <c r="BJ1" s="1"/>
      <c r="BK1" s="1"/>
      <c r="BL1" s="1"/>
      <c r="BM1" s="1"/>
      <c r="BN1" s="1"/>
      <c r="BO1" s="1"/>
      <c r="BP1" s="1"/>
      <c r="BQ1" s="1"/>
      <c r="BR1" s="1"/>
      <c r="BS1" s="1"/>
      <c r="BT1" s="1"/>
      <c r="BU1" s="1"/>
      <c r="BV1" s="1"/>
      <c r="BW1" s="1"/>
      <c r="BX1" s="1"/>
      <c r="BY1" s="1"/>
    </row>
    <row r="2" spans="1:77" ht="14.25" customHeight="1">
      <c r="A2" s="14" t="s">
        <v>47</v>
      </c>
      <c r="B2" s="14"/>
      <c r="C2" s="20" t="s">
        <v>36</v>
      </c>
      <c r="D2" s="1" t="s">
        <v>37</v>
      </c>
      <c r="E2" s="14"/>
      <c r="F2" s="19" t="s">
        <v>38</v>
      </c>
      <c r="G2" s="1"/>
      <c r="H2" s="22">
        <v>13.61</v>
      </c>
      <c r="I2" s="22">
        <v>11.91</v>
      </c>
      <c r="J2" s="22">
        <v>10.49</v>
      </c>
      <c r="K2" s="22">
        <v>9.57</v>
      </c>
      <c r="L2" s="22">
        <v>7.41</v>
      </c>
      <c r="M2" s="22">
        <v>6.7</v>
      </c>
      <c r="N2" s="22">
        <v>5.2</v>
      </c>
      <c r="O2" s="22">
        <v>3.99</v>
      </c>
      <c r="P2" s="22">
        <v>4.28</v>
      </c>
      <c r="Q2" s="22">
        <v>4.6399999999999997</v>
      </c>
      <c r="R2" s="22">
        <v>5.0199999999999996</v>
      </c>
      <c r="S2" s="22">
        <v>5.17</v>
      </c>
      <c r="T2" s="22">
        <v>5.05</v>
      </c>
      <c r="U2" s="22">
        <v>4.66</v>
      </c>
      <c r="V2" s="22">
        <v>4.08</v>
      </c>
      <c r="W2" s="22">
        <v>3.56</v>
      </c>
      <c r="X2" s="22">
        <v>0</v>
      </c>
      <c r="Y2" s="22">
        <v>0</v>
      </c>
      <c r="Z2" s="22">
        <v>0</v>
      </c>
      <c r="AA2" s="22">
        <v>0</v>
      </c>
      <c r="AB2" s="22">
        <v>0</v>
      </c>
      <c r="AC2" s="22">
        <v>0</v>
      </c>
      <c r="AD2" s="22">
        <v>0</v>
      </c>
      <c r="AE2" s="22">
        <v>0</v>
      </c>
      <c r="AF2" s="22">
        <v>0</v>
      </c>
      <c r="AG2" s="22">
        <v>0</v>
      </c>
      <c r="AH2" s="22">
        <v>0</v>
      </c>
      <c r="AI2" s="22">
        <v>0</v>
      </c>
      <c r="AJ2" s="22">
        <v>0</v>
      </c>
      <c r="AK2" s="22">
        <v>0</v>
      </c>
      <c r="AL2" s="22">
        <v>0</v>
      </c>
      <c r="AM2" s="22">
        <v>0</v>
      </c>
      <c r="AN2" s="22">
        <v>0</v>
      </c>
      <c r="AO2" s="22">
        <v>0</v>
      </c>
      <c r="AP2" s="22">
        <v>0</v>
      </c>
      <c r="AQ2" s="22">
        <v>0</v>
      </c>
      <c r="AR2" s="22">
        <v>0</v>
      </c>
      <c r="AS2" s="22">
        <v>0</v>
      </c>
      <c r="AT2" s="22">
        <v>0</v>
      </c>
      <c r="AU2" s="22">
        <v>0</v>
      </c>
      <c r="AV2" s="22">
        <v>0</v>
      </c>
      <c r="AW2" s="22">
        <v>0</v>
      </c>
      <c r="AX2" s="22">
        <v>0</v>
      </c>
      <c r="AY2" s="22">
        <v>0</v>
      </c>
      <c r="AZ2" s="22">
        <v>0</v>
      </c>
      <c r="BA2" s="22">
        <v>0</v>
      </c>
      <c r="BB2" s="22">
        <v>0</v>
      </c>
      <c r="BC2" s="22">
        <v>0</v>
      </c>
      <c r="BD2" s="22">
        <v>0</v>
      </c>
      <c r="BE2" s="356" t="s">
        <v>261</v>
      </c>
      <c r="BF2" s="1" t="s">
        <v>262</v>
      </c>
      <c r="BG2" s="1"/>
      <c r="BH2" s="1"/>
      <c r="BI2" s="1"/>
      <c r="BJ2" s="1"/>
      <c r="BK2" s="1"/>
      <c r="BL2" s="1"/>
      <c r="BM2" s="1"/>
      <c r="BN2" s="25"/>
      <c r="BO2" s="65"/>
      <c r="BP2" s="65"/>
      <c r="BQ2" s="65"/>
      <c r="BR2" s="65"/>
      <c r="BS2" s="65"/>
      <c r="BT2" s="65"/>
      <c r="BU2" s="65"/>
      <c r="BV2" s="65"/>
      <c r="BW2" s="65"/>
      <c r="BX2" s="65"/>
      <c r="BY2" s="25"/>
    </row>
    <row r="3" spans="1:77" ht="14.25" customHeight="1">
      <c r="A3" s="14"/>
      <c r="B3" s="14"/>
      <c r="C3" s="20" t="s">
        <v>263</v>
      </c>
      <c r="D3" s="1" t="s">
        <v>43</v>
      </c>
      <c r="E3" s="14"/>
      <c r="F3" s="1" t="s">
        <v>12</v>
      </c>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356" t="s">
        <v>264</v>
      </c>
      <c r="BF3" s="1"/>
      <c r="BG3" s="1"/>
      <c r="BH3" s="1"/>
      <c r="BI3" s="1"/>
      <c r="BJ3" s="1"/>
      <c r="BK3" s="1"/>
      <c r="BL3" s="1"/>
      <c r="BM3" s="1"/>
      <c r="BN3" s="25"/>
      <c r="BO3" s="54"/>
      <c r="BP3" s="54"/>
      <c r="BQ3" s="54"/>
      <c r="BR3" s="54"/>
      <c r="BS3" s="54"/>
      <c r="BT3" s="54"/>
      <c r="BU3" s="54"/>
      <c r="BV3" s="54"/>
      <c r="BW3" s="54"/>
      <c r="BX3" s="54"/>
      <c r="BY3" s="54"/>
    </row>
    <row r="4" spans="1:77" ht="14.25" customHeight="1">
      <c r="A4" s="348"/>
      <c r="B4" s="348"/>
      <c r="C4" s="349" t="s">
        <v>48</v>
      </c>
      <c r="D4" s="349" t="s">
        <v>49</v>
      </c>
      <c r="E4" s="348"/>
      <c r="F4" s="350" t="s">
        <v>267</v>
      </c>
      <c r="G4" s="61"/>
      <c r="H4" s="61"/>
      <c r="I4" s="348"/>
      <c r="J4" s="348"/>
      <c r="K4" s="348"/>
      <c r="L4" s="351">
        <v>0.05</v>
      </c>
      <c r="M4" s="351"/>
      <c r="N4" s="351"/>
      <c r="O4" s="351"/>
      <c r="P4" s="351"/>
      <c r="Q4" s="351"/>
      <c r="R4" s="351"/>
      <c r="S4" s="351"/>
      <c r="T4" s="351"/>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7" t="s">
        <v>268</v>
      </c>
      <c r="BF4" s="348"/>
      <c r="BG4" s="348"/>
      <c r="BH4" s="61"/>
      <c r="BI4" s="61"/>
      <c r="BJ4" s="348"/>
      <c r="BK4" s="348"/>
      <c r="BL4" s="348"/>
      <c r="BM4" s="348"/>
      <c r="BN4" s="348"/>
      <c r="BO4" s="348"/>
      <c r="BP4" s="348"/>
      <c r="BQ4" s="348"/>
      <c r="BR4" s="348"/>
      <c r="BS4" s="348"/>
      <c r="BT4" s="348"/>
      <c r="BU4" s="61"/>
      <c r="BV4" s="61"/>
      <c r="BW4" s="61"/>
      <c r="BX4" s="61"/>
      <c r="BY4" s="61"/>
    </row>
    <row r="5" spans="1:77" ht="14.25" customHeight="1">
      <c r="A5" s="348"/>
      <c r="B5" s="348"/>
      <c r="C5" s="349" t="s">
        <v>52</v>
      </c>
      <c r="D5" s="350" t="s">
        <v>53</v>
      </c>
      <c r="E5" s="348"/>
      <c r="F5" s="350" t="s">
        <v>617</v>
      </c>
      <c r="G5" s="348"/>
      <c r="H5" s="348"/>
      <c r="I5" s="348"/>
      <c r="J5" s="348"/>
      <c r="K5" s="348"/>
      <c r="L5" s="350">
        <v>75000</v>
      </c>
      <c r="M5" s="348"/>
      <c r="N5" s="348"/>
      <c r="O5" s="348"/>
      <c r="P5" s="348"/>
      <c r="Q5" s="348"/>
      <c r="R5" s="348"/>
      <c r="S5" s="348"/>
      <c r="T5" s="348"/>
      <c r="U5" s="348"/>
      <c r="V5" s="348"/>
      <c r="W5" s="348"/>
      <c r="X5" s="348"/>
      <c r="Y5" s="348"/>
      <c r="Z5" s="348"/>
      <c r="AA5" s="348"/>
      <c r="AB5" s="348"/>
      <c r="AC5" s="348"/>
      <c r="AD5" s="348"/>
      <c r="AE5" s="348"/>
      <c r="AF5" s="348"/>
      <c r="AG5" s="348"/>
      <c r="AH5" s="348"/>
      <c r="AI5" s="348"/>
      <c r="AJ5" s="348"/>
      <c r="AK5" s="348"/>
      <c r="AL5" s="348"/>
      <c r="AM5" s="348"/>
      <c r="AN5" s="348"/>
      <c r="AO5" s="348"/>
      <c r="AP5" s="348"/>
      <c r="AQ5" s="348"/>
      <c r="AR5" s="348"/>
      <c r="AS5" s="348"/>
      <c r="AT5" s="348"/>
      <c r="AU5" s="348"/>
      <c r="AV5" s="348"/>
      <c r="AW5" s="348"/>
      <c r="AX5" s="348"/>
      <c r="AY5" s="348"/>
      <c r="AZ5" s="348"/>
      <c r="BA5" s="348"/>
      <c r="BB5" s="348"/>
      <c r="BC5" s="348"/>
      <c r="BD5" s="348"/>
      <c r="BE5" s="357" t="s">
        <v>55</v>
      </c>
      <c r="BF5" s="61" t="s">
        <v>273</v>
      </c>
      <c r="BG5" s="61"/>
      <c r="BH5" s="61"/>
      <c r="BI5" s="61"/>
      <c r="BJ5" s="61"/>
      <c r="BK5" s="61"/>
      <c r="BL5" s="61"/>
      <c r="BM5" s="61"/>
      <c r="BN5" s="61"/>
      <c r="BO5" s="61"/>
      <c r="BP5" s="61"/>
      <c r="BQ5" s="61"/>
      <c r="BR5" s="61"/>
      <c r="BS5" s="61"/>
      <c r="BT5" s="61"/>
      <c r="BU5" s="61"/>
      <c r="BV5" s="61"/>
      <c r="BW5" s="61"/>
      <c r="BX5" s="61"/>
      <c r="BY5" s="61"/>
    </row>
    <row r="6" spans="1:77" ht="14.25" customHeight="1">
      <c r="A6" s="14"/>
      <c r="B6" s="14"/>
      <c r="C6" s="30" t="s">
        <v>64</v>
      </c>
      <c r="D6" s="19"/>
      <c r="E6" s="14"/>
      <c r="F6" s="19" t="s">
        <v>274</v>
      </c>
      <c r="G6" s="14"/>
      <c r="H6" s="42">
        <f t="shared" ref="H6:AJ6" si="0">H2*0.42</f>
        <v>5.7161999999999997</v>
      </c>
      <c r="I6" s="42">
        <f t="shared" si="0"/>
        <v>5.0022000000000002</v>
      </c>
      <c r="J6" s="42">
        <f t="shared" si="0"/>
        <v>4.4058000000000002</v>
      </c>
      <c r="K6" s="42">
        <f t="shared" si="0"/>
        <v>4.0194000000000001</v>
      </c>
      <c r="L6" s="42">
        <f t="shared" si="0"/>
        <v>3.1122000000000001</v>
      </c>
      <c r="M6" s="42">
        <f t="shared" si="0"/>
        <v>2.8140000000000001</v>
      </c>
      <c r="N6" s="42">
        <f t="shared" si="0"/>
        <v>2.1840000000000002</v>
      </c>
      <c r="O6" s="42">
        <f t="shared" si="0"/>
        <v>1.6758</v>
      </c>
      <c r="P6" s="42">
        <f t="shared" si="0"/>
        <v>1.7976000000000001</v>
      </c>
      <c r="Q6" s="42">
        <f t="shared" si="0"/>
        <v>1.9487999999999999</v>
      </c>
      <c r="R6" s="42">
        <f t="shared" si="0"/>
        <v>2.1083999999999996</v>
      </c>
      <c r="S6" s="42">
        <f t="shared" si="0"/>
        <v>2.1713999999999998</v>
      </c>
      <c r="T6" s="42">
        <f t="shared" si="0"/>
        <v>2.121</v>
      </c>
      <c r="U6" s="42">
        <f t="shared" si="0"/>
        <v>1.9572000000000001</v>
      </c>
      <c r="V6" s="42">
        <f t="shared" si="0"/>
        <v>1.7136</v>
      </c>
      <c r="W6" s="42">
        <f t="shared" si="0"/>
        <v>1.4951999999999999</v>
      </c>
      <c r="X6" s="42">
        <f t="shared" si="0"/>
        <v>0</v>
      </c>
      <c r="Y6" s="42">
        <f t="shared" si="0"/>
        <v>0</v>
      </c>
      <c r="Z6" s="42">
        <f t="shared" si="0"/>
        <v>0</v>
      </c>
      <c r="AA6" s="42">
        <f t="shared" si="0"/>
        <v>0</v>
      </c>
      <c r="AB6" s="42">
        <f t="shared" si="0"/>
        <v>0</v>
      </c>
      <c r="AC6" s="42">
        <f t="shared" si="0"/>
        <v>0</v>
      </c>
      <c r="AD6" s="42">
        <f t="shared" si="0"/>
        <v>0</v>
      </c>
      <c r="AE6" s="42">
        <f t="shared" si="0"/>
        <v>0</v>
      </c>
      <c r="AF6" s="42">
        <f t="shared" si="0"/>
        <v>0</v>
      </c>
      <c r="AG6" s="42">
        <f t="shared" si="0"/>
        <v>0</v>
      </c>
      <c r="AH6" s="42">
        <f t="shared" si="0"/>
        <v>0</v>
      </c>
      <c r="AI6" s="42">
        <f t="shared" si="0"/>
        <v>0</v>
      </c>
      <c r="AJ6" s="42">
        <f t="shared" si="0"/>
        <v>0</v>
      </c>
      <c r="AK6" s="14"/>
      <c r="AL6" s="14"/>
      <c r="AM6" s="14"/>
      <c r="AN6" s="14"/>
      <c r="AO6" s="14"/>
      <c r="AP6" s="14"/>
      <c r="AQ6" s="14"/>
      <c r="AR6" s="14"/>
      <c r="AS6" s="14"/>
      <c r="AT6" s="14"/>
      <c r="AU6" s="14"/>
      <c r="AV6" s="14"/>
      <c r="AW6" s="14"/>
      <c r="AX6" s="14"/>
      <c r="AY6" s="14"/>
      <c r="AZ6" s="14"/>
      <c r="BA6" s="14"/>
      <c r="BB6" s="14"/>
      <c r="BC6" s="14"/>
      <c r="BD6" s="14"/>
      <c r="BE6" s="356"/>
      <c r="BF6" s="1"/>
      <c r="BG6" s="1"/>
      <c r="BH6" s="1"/>
      <c r="BI6" s="1"/>
      <c r="BJ6" s="1"/>
      <c r="BK6" s="1"/>
      <c r="BL6" s="1"/>
      <c r="BM6" s="1"/>
      <c r="BN6" s="1"/>
      <c r="BO6" s="1"/>
      <c r="BP6" s="1"/>
      <c r="BQ6" s="1"/>
      <c r="BR6" s="1"/>
      <c r="BS6" s="1"/>
      <c r="BT6" s="1"/>
      <c r="BU6" s="1"/>
      <c r="BV6" s="1"/>
      <c r="BW6" s="1"/>
      <c r="BX6" s="1"/>
      <c r="BY6" s="1"/>
    </row>
    <row r="7" spans="1:77" ht="14.25" customHeight="1">
      <c r="A7" s="14"/>
      <c r="B7" s="14"/>
      <c r="C7" s="20" t="s">
        <v>67</v>
      </c>
      <c r="D7" s="14"/>
      <c r="E7" s="14"/>
      <c r="F7" s="19" t="s">
        <v>274</v>
      </c>
      <c r="G7" s="14"/>
      <c r="H7" s="42">
        <f t="shared" ref="H7:AJ7" si="1">H2*0.58</f>
        <v>7.8937999999999988</v>
      </c>
      <c r="I7" s="42">
        <f t="shared" si="1"/>
        <v>6.9077999999999999</v>
      </c>
      <c r="J7" s="42">
        <f t="shared" si="1"/>
        <v>6.0842000000000001</v>
      </c>
      <c r="K7" s="42">
        <f t="shared" si="1"/>
        <v>5.5506000000000002</v>
      </c>
      <c r="L7" s="42">
        <f t="shared" si="1"/>
        <v>4.2977999999999996</v>
      </c>
      <c r="M7" s="42">
        <f t="shared" si="1"/>
        <v>3.8859999999999997</v>
      </c>
      <c r="N7" s="42">
        <f t="shared" si="1"/>
        <v>3.016</v>
      </c>
      <c r="O7" s="42">
        <f t="shared" si="1"/>
        <v>2.3142</v>
      </c>
      <c r="P7" s="42">
        <f t="shared" si="1"/>
        <v>2.4824000000000002</v>
      </c>
      <c r="Q7" s="42">
        <f t="shared" si="1"/>
        <v>2.6911999999999998</v>
      </c>
      <c r="R7" s="42">
        <f t="shared" si="1"/>
        <v>2.9115999999999995</v>
      </c>
      <c r="S7" s="42">
        <f t="shared" si="1"/>
        <v>2.9985999999999997</v>
      </c>
      <c r="T7" s="42">
        <f t="shared" si="1"/>
        <v>2.9289999999999998</v>
      </c>
      <c r="U7" s="42">
        <f t="shared" si="1"/>
        <v>2.7027999999999999</v>
      </c>
      <c r="V7" s="42">
        <f t="shared" si="1"/>
        <v>2.3664000000000001</v>
      </c>
      <c r="W7" s="42">
        <f t="shared" si="1"/>
        <v>2.0648</v>
      </c>
      <c r="X7" s="42">
        <f t="shared" si="1"/>
        <v>0</v>
      </c>
      <c r="Y7" s="42">
        <f t="shared" si="1"/>
        <v>0</v>
      </c>
      <c r="Z7" s="42">
        <f t="shared" si="1"/>
        <v>0</v>
      </c>
      <c r="AA7" s="42">
        <f t="shared" si="1"/>
        <v>0</v>
      </c>
      <c r="AB7" s="42">
        <f t="shared" si="1"/>
        <v>0</v>
      </c>
      <c r="AC7" s="42">
        <f t="shared" si="1"/>
        <v>0</v>
      </c>
      <c r="AD7" s="42">
        <f t="shared" si="1"/>
        <v>0</v>
      </c>
      <c r="AE7" s="42">
        <f t="shared" si="1"/>
        <v>0</v>
      </c>
      <c r="AF7" s="42">
        <f t="shared" si="1"/>
        <v>0</v>
      </c>
      <c r="AG7" s="42">
        <f t="shared" si="1"/>
        <v>0</v>
      </c>
      <c r="AH7" s="42">
        <f t="shared" si="1"/>
        <v>0</v>
      </c>
      <c r="AI7" s="42">
        <f t="shared" si="1"/>
        <v>0</v>
      </c>
      <c r="AJ7" s="42">
        <f t="shared" si="1"/>
        <v>0</v>
      </c>
      <c r="AK7" s="14"/>
      <c r="AL7" s="14"/>
      <c r="AM7" s="14"/>
      <c r="AN7" s="14"/>
      <c r="AO7" s="14"/>
      <c r="AP7" s="14"/>
      <c r="AQ7" s="14"/>
      <c r="AR7" s="14"/>
      <c r="AS7" s="14"/>
      <c r="AT7" s="14"/>
      <c r="AU7" s="14"/>
      <c r="AV7" s="14"/>
      <c r="AW7" s="14"/>
      <c r="AX7" s="14"/>
      <c r="AY7" s="14"/>
      <c r="AZ7" s="14"/>
      <c r="BA7" s="14"/>
      <c r="BB7" s="14"/>
      <c r="BC7" s="14"/>
      <c r="BD7" s="14"/>
      <c r="BE7" s="356" t="s">
        <v>275</v>
      </c>
      <c r="BF7" s="1"/>
      <c r="BG7" s="1"/>
      <c r="BH7" s="1"/>
      <c r="BI7" s="1"/>
      <c r="BJ7" s="1"/>
      <c r="BK7" s="1"/>
      <c r="BL7" s="1"/>
      <c r="BM7" s="1"/>
      <c r="BN7" s="1"/>
      <c r="BO7" s="1"/>
      <c r="BP7" s="1"/>
      <c r="BQ7" s="1"/>
      <c r="BR7" s="1"/>
      <c r="BS7" s="1"/>
      <c r="BT7" s="1"/>
      <c r="BU7" s="1"/>
      <c r="BV7" s="1"/>
      <c r="BW7" s="1"/>
      <c r="BX7" s="1"/>
      <c r="BY7" s="1"/>
    </row>
    <row r="8" spans="1:77" ht="14.25" customHeight="1">
      <c r="A8" s="44" t="s">
        <v>69</v>
      </c>
      <c r="B8" s="44"/>
      <c r="C8" s="44"/>
      <c r="D8" s="44"/>
      <c r="E8" s="44"/>
      <c r="F8" s="44"/>
      <c r="G8" s="44"/>
      <c r="H8" s="44"/>
      <c r="I8" s="44"/>
      <c r="J8" s="44"/>
      <c r="K8" s="44"/>
      <c r="L8" s="44"/>
      <c r="M8" s="44"/>
      <c r="N8" s="44"/>
      <c r="O8" s="44"/>
      <c r="P8" s="44"/>
      <c r="Q8" s="44"/>
      <c r="R8" s="44"/>
      <c r="S8" s="44"/>
      <c r="T8" s="44"/>
      <c r="U8" s="44">
        <v>2035</v>
      </c>
      <c r="V8" s="44">
        <v>2040</v>
      </c>
      <c r="W8" s="44">
        <v>2045</v>
      </c>
      <c r="X8" s="44">
        <v>2050</v>
      </c>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1"/>
      <c r="BG8" s="1"/>
      <c r="BH8" s="1"/>
      <c r="BI8" s="1"/>
      <c r="BJ8" s="1"/>
      <c r="BK8" s="1"/>
      <c r="BL8" s="1"/>
      <c r="BM8" s="1"/>
      <c r="BN8" s="1"/>
      <c r="BO8" s="1"/>
      <c r="BP8" s="1"/>
      <c r="BQ8" s="1"/>
      <c r="BR8" s="1"/>
      <c r="BS8" s="1"/>
      <c r="BT8" s="1"/>
      <c r="BU8" s="1"/>
      <c r="BV8" s="1"/>
      <c r="BW8" s="1"/>
      <c r="BX8" s="1"/>
      <c r="BY8" s="1"/>
    </row>
    <row r="9" spans="1:77" ht="14.25" customHeight="1">
      <c r="A9" s="1"/>
      <c r="B9" s="1" t="s">
        <v>70</v>
      </c>
      <c r="C9" s="1" t="s">
        <v>78</v>
      </c>
      <c r="D9" s="1" t="s">
        <v>276</v>
      </c>
      <c r="E9" s="1" t="s">
        <v>277</v>
      </c>
      <c r="F9" s="1" t="s">
        <v>73</v>
      </c>
      <c r="G9" s="1" t="s">
        <v>153</v>
      </c>
      <c r="H9" s="275">
        <v>3.8999999999997925E-3</v>
      </c>
      <c r="I9" s="275">
        <v>6.5999999999997172E-3</v>
      </c>
      <c r="J9" s="275">
        <v>9.2999999999996419E-3</v>
      </c>
      <c r="K9" s="275">
        <v>1.19999999999996E-2</v>
      </c>
      <c r="L9" s="233">
        <f t="shared" ref="L9:O9" si="2">K9+($P9-$K9)/($P$1-$K$1)</f>
        <v>1.679999999999968E-2</v>
      </c>
      <c r="M9" s="233">
        <f t="shared" si="2"/>
        <v>2.1599999999999758E-2</v>
      </c>
      <c r="N9" s="233">
        <f t="shared" si="2"/>
        <v>2.6399999999999837E-2</v>
      </c>
      <c r="O9" s="233">
        <f t="shared" si="2"/>
        <v>3.1199999999999915E-2</v>
      </c>
      <c r="P9" s="379">
        <v>3.5999999999999997E-2</v>
      </c>
      <c r="Q9" s="233">
        <f t="shared" ref="Q9:T9" si="3">P9+($U9-$P9)/($U$1-$P$1)</f>
        <v>4.8399999999999999E-2</v>
      </c>
      <c r="R9" s="233">
        <f t="shared" si="3"/>
        <v>6.08E-2</v>
      </c>
      <c r="S9" s="233">
        <f t="shared" si="3"/>
        <v>7.3200000000000001E-2</v>
      </c>
      <c r="T9" s="233">
        <f t="shared" si="3"/>
        <v>8.5600000000000009E-2</v>
      </c>
      <c r="U9" s="275">
        <v>9.8000000000000004E-2</v>
      </c>
      <c r="V9" s="275">
        <v>0.14899999999999999</v>
      </c>
      <c r="W9" s="275">
        <v>0.19700000000000001</v>
      </c>
      <c r="X9" s="275">
        <v>0.21299999999999999</v>
      </c>
      <c r="Y9" s="30"/>
      <c r="Z9" s="1"/>
      <c r="AA9" s="30"/>
      <c r="AB9" s="30"/>
      <c r="AC9" s="30"/>
      <c r="AD9" s="30"/>
      <c r="AE9" s="1"/>
      <c r="AF9" s="30"/>
      <c r="AG9" s="30"/>
      <c r="AH9" s="30"/>
      <c r="AI9" s="30"/>
      <c r="AJ9" s="1"/>
      <c r="AK9" s="65"/>
      <c r="AL9" s="65"/>
      <c r="AM9" s="65"/>
      <c r="AN9" s="65"/>
      <c r="AO9" s="65"/>
      <c r="AP9" s="65"/>
      <c r="AQ9" s="65"/>
      <c r="AR9" s="65"/>
      <c r="AS9" s="65"/>
      <c r="AT9" s="65"/>
      <c r="AU9" s="65"/>
      <c r="AV9" s="65"/>
      <c r="AW9" s="65"/>
      <c r="AX9" s="65"/>
      <c r="AY9" s="65"/>
      <c r="AZ9" s="65"/>
      <c r="BA9" s="65"/>
      <c r="BB9" s="65"/>
      <c r="BC9" s="65"/>
      <c r="BD9" s="65"/>
      <c r="BE9" s="1"/>
      <c r="BF9" s="1" t="s">
        <v>278</v>
      </c>
      <c r="BG9" s="1"/>
      <c r="BH9" s="1"/>
      <c r="BI9" s="1" t="s">
        <v>276</v>
      </c>
      <c r="BJ9" s="1"/>
      <c r="BK9" s="1"/>
      <c r="BL9" s="1"/>
      <c r="BM9" s="1"/>
      <c r="BN9" s="1"/>
      <c r="BO9" s="1"/>
      <c r="BP9" s="1"/>
      <c r="BQ9" s="1"/>
      <c r="BR9" s="1"/>
      <c r="BS9" s="1"/>
      <c r="BT9" s="1"/>
      <c r="BU9" s="1"/>
      <c r="BV9" s="1"/>
      <c r="BW9" s="1"/>
      <c r="BX9" s="1"/>
      <c r="BY9" s="1"/>
    </row>
    <row r="10" spans="1:77" ht="14.25" customHeight="1">
      <c r="A10" s="1"/>
      <c r="B10" s="1" t="s">
        <v>70</v>
      </c>
      <c r="C10" s="1" t="s">
        <v>78</v>
      </c>
      <c r="D10" s="1" t="s">
        <v>279</v>
      </c>
      <c r="E10" s="1" t="s">
        <v>280</v>
      </c>
      <c r="F10" s="1" t="s">
        <v>73</v>
      </c>
      <c r="G10" s="1" t="s">
        <v>281</v>
      </c>
      <c r="H10" s="275">
        <v>3.8249999999999673E-3</v>
      </c>
      <c r="I10" s="275">
        <v>5.5499999999999439E-3</v>
      </c>
      <c r="J10" s="275">
        <v>7.2749999999999204E-3</v>
      </c>
      <c r="K10" s="275">
        <v>8.9999999999999993E-3</v>
      </c>
      <c r="L10" s="233">
        <f t="shared" ref="L10:O10" si="4">K10+($P10-$K10)/($P$1-$K$1)</f>
        <v>1.06E-2</v>
      </c>
      <c r="M10" s="233">
        <f t="shared" si="4"/>
        <v>1.2200000000000001E-2</v>
      </c>
      <c r="N10" s="233">
        <f t="shared" si="4"/>
        <v>1.3800000000000002E-2</v>
      </c>
      <c r="O10" s="233">
        <f t="shared" si="4"/>
        <v>1.5400000000000002E-2</v>
      </c>
      <c r="P10" s="379">
        <v>1.7000000000000001E-2</v>
      </c>
      <c r="Q10" s="233">
        <f t="shared" ref="Q10:T10" si="5">P10+($U10-$P10)/($U$1-$P$1)</f>
        <v>1.7400000000000002E-2</v>
      </c>
      <c r="R10" s="233">
        <f t="shared" si="5"/>
        <v>1.7800000000000003E-2</v>
      </c>
      <c r="S10" s="233">
        <f t="shared" si="5"/>
        <v>1.8200000000000004E-2</v>
      </c>
      <c r="T10" s="233">
        <f t="shared" si="5"/>
        <v>1.8600000000000005E-2</v>
      </c>
      <c r="U10" s="275">
        <v>1.9E-2</v>
      </c>
      <c r="V10" s="275">
        <v>2.4E-2</v>
      </c>
      <c r="W10" s="275">
        <v>2.7E-2</v>
      </c>
      <c r="X10" s="275">
        <v>2.7E-2</v>
      </c>
      <c r="Y10" s="30"/>
      <c r="Z10" s="1"/>
      <c r="AA10" s="30"/>
      <c r="AB10" s="30"/>
      <c r="AC10" s="30"/>
      <c r="AD10" s="30"/>
      <c r="AE10" s="1"/>
      <c r="AF10" s="30"/>
      <c r="AG10" s="30"/>
      <c r="AH10" s="30"/>
      <c r="AI10" s="30"/>
      <c r="AJ10" s="1"/>
      <c r="AK10" s="65"/>
      <c r="AL10" s="65"/>
      <c r="AM10" s="65"/>
      <c r="AN10" s="65"/>
      <c r="AO10" s="65"/>
      <c r="AP10" s="65"/>
      <c r="AQ10" s="65"/>
      <c r="AR10" s="65"/>
      <c r="AS10" s="65"/>
      <c r="AT10" s="65"/>
      <c r="AU10" s="65"/>
      <c r="AV10" s="65"/>
      <c r="AW10" s="65"/>
      <c r="AX10" s="65"/>
      <c r="AY10" s="65"/>
      <c r="AZ10" s="65"/>
      <c r="BA10" s="65"/>
      <c r="BB10" s="65"/>
      <c r="BC10" s="65"/>
      <c r="BD10" s="65"/>
      <c r="BE10" s="1"/>
      <c r="BF10" s="1" t="s">
        <v>407</v>
      </c>
      <c r="BG10" s="1"/>
      <c r="BH10" s="1"/>
      <c r="BI10" s="1" t="s">
        <v>279</v>
      </c>
      <c r="BJ10" s="1"/>
      <c r="BK10" s="1"/>
      <c r="BL10" s="1"/>
      <c r="BM10" s="1"/>
      <c r="BN10" s="1"/>
      <c r="BO10" s="1"/>
      <c r="BP10" s="1"/>
      <c r="BQ10" s="1"/>
      <c r="BR10" s="1"/>
      <c r="BS10" s="1"/>
      <c r="BT10" s="1"/>
      <c r="BU10" s="1"/>
      <c r="BV10" s="1"/>
      <c r="BW10" s="1"/>
      <c r="BX10" s="1"/>
      <c r="BY10" s="1"/>
    </row>
    <row r="11" spans="1:77" ht="14.25" customHeight="1">
      <c r="A11" s="1"/>
      <c r="B11" s="1" t="s">
        <v>70</v>
      </c>
      <c r="C11" s="1" t="s">
        <v>98</v>
      </c>
      <c r="D11" s="1" t="s">
        <v>99</v>
      </c>
      <c r="E11" s="1" t="s">
        <v>100</v>
      </c>
      <c r="F11" s="1" t="s">
        <v>73</v>
      </c>
      <c r="G11" s="1"/>
      <c r="H11" s="275">
        <v>1.2499999999997513E-3</v>
      </c>
      <c r="I11" s="275">
        <v>2.4999999999999467E-3</v>
      </c>
      <c r="J11" s="275">
        <v>3.7500000000001421E-3</v>
      </c>
      <c r="K11" s="275">
        <v>5.0000000000000001E-3</v>
      </c>
      <c r="L11" s="233">
        <f t="shared" ref="L11:O11" si="6">K11+($P11-$K11)/($P$1-$K$1)</f>
        <v>6.4000000000000003E-3</v>
      </c>
      <c r="M11" s="233">
        <f t="shared" si="6"/>
        <v>7.8000000000000005E-3</v>
      </c>
      <c r="N11" s="233">
        <f t="shared" si="6"/>
        <v>9.1999999999999998E-3</v>
      </c>
      <c r="O11" s="233">
        <f t="shared" si="6"/>
        <v>1.06E-2</v>
      </c>
      <c r="P11" s="379">
        <v>1.2E-2</v>
      </c>
      <c r="Q11" s="233">
        <f t="shared" ref="Q11:T11" si="7">P11+($U11-$P11)/($U$1-$P$1)</f>
        <v>1.18E-2</v>
      </c>
      <c r="R11" s="233">
        <f t="shared" si="7"/>
        <v>1.1599999999999999E-2</v>
      </c>
      <c r="S11" s="233">
        <f t="shared" si="7"/>
        <v>1.1399999999999999E-2</v>
      </c>
      <c r="T11" s="233">
        <f t="shared" si="7"/>
        <v>1.1199999999999998E-2</v>
      </c>
      <c r="U11" s="275">
        <v>1.0999999999999999E-2</v>
      </c>
      <c r="V11" s="275">
        <v>8.9999999999999993E-3</v>
      </c>
      <c r="W11" s="275">
        <v>7.0000000000000001E-3</v>
      </c>
      <c r="X11" s="275">
        <v>5.0000000000000001E-3</v>
      </c>
      <c r="Y11" s="30"/>
      <c r="Z11" s="1"/>
      <c r="AA11" s="30"/>
      <c r="AB11" s="30"/>
      <c r="AC11" s="30"/>
      <c r="AD11" s="30"/>
      <c r="AE11" s="1"/>
      <c r="AF11" s="30"/>
      <c r="AG11" s="30"/>
      <c r="AH11" s="30"/>
      <c r="AI11" s="30"/>
      <c r="AJ11" s="1"/>
      <c r="AK11" s="65"/>
      <c r="AL11" s="65"/>
      <c r="AM11" s="65"/>
      <c r="AN11" s="65"/>
      <c r="AO11" s="65"/>
      <c r="AP11" s="65"/>
      <c r="AQ11" s="65"/>
      <c r="AR11" s="65"/>
      <c r="AS11" s="65"/>
      <c r="AT11" s="65"/>
      <c r="AU11" s="65"/>
      <c r="AV11" s="65"/>
      <c r="AW11" s="65"/>
      <c r="AX11" s="65"/>
      <c r="AY11" s="65"/>
      <c r="AZ11" s="65"/>
      <c r="BA11" s="65"/>
      <c r="BB11" s="65"/>
      <c r="BC11" s="65"/>
      <c r="BD11" s="65"/>
      <c r="BE11" s="1"/>
      <c r="BF11" s="1" t="s">
        <v>408</v>
      </c>
      <c r="BG11" s="1"/>
      <c r="BH11" s="1"/>
      <c r="BI11" s="1" t="s">
        <v>99</v>
      </c>
      <c r="BJ11" s="1"/>
      <c r="BK11" s="1"/>
      <c r="BL11" s="1"/>
      <c r="BM11" s="1"/>
      <c r="BN11" s="1"/>
      <c r="BO11" s="1"/>
      <c r="BP11" s="1"/>
      <c r="BQ11" s="1"/>
      <c r="BR11" s="1"/>
      <c r="BS11" s="1"/>
      <c r="BT11" s="1"/>
      <c r="BU11" s="1"/>
      <c r="BV11" s="1"/>
      <c r="BW11" s="1"/>
      <c r="BX11" s="1"/>
      <c r="BY11" s="1"/>
    </row>
    <row r="12" spans="1:77" ht="14.25" customHeight="1">
      <c r="A12" s="1"/>
      <c r="B12" s="1" t="s">
        <v>70</v>
      </c>
      <c r="C12" s="1" t="s">
        <v>78</v>
      </c>
      <c r="D12" s="1" t="s">
        <v>102</v>
      </c>
      <c r="E12" s="1" t="s">
        <v>103</v>
      </c>
      <c r="F12" s="1" t="s">
        <v>73</v>
      </c>
      <c r="G12" s="1"/>
      <c r="H12" s="275">
        <v>0</v>
      </c>
      <c r="I12" s="275">
        <f t="shared" ref="I12:J12" si="8">H12+($K12-$H12)/($K$1-$H$1)</f>
        <v>1E-3</v>
      </c>
      <c r="J12" s="275">
        <f t="shared" si="8"/>
        <v>2E-3</v>
      </c>
      <c r="K12" s="275">
        <v>3.0000000000000001E-3</v>
      </c>
      <c r="L12" s="233">
        <f t="shared" ref="L12:O12" si="9">K12+($P12-$K12)/($P$1-$K$1)</f>
        <v>3.4000000000000002E-3</v>
      </c>
      <c r="M12" s="233">
        <f t="shared" si="9"/>
        <v>3.8000000000000004E-3</v>
      </c>
      <c r="N12" s="233">
        <f t="shared" si="9"/>
        <v>4.2000000000000006E-3</v>
      </c>
      <c r="O12" s="233">
        <f t="shared" si="9"/>
        <v>4.6000000000000008E-3</v>
      </c>
      <c r="P12" s="275">
        <v>5.0000000000000001E-3</v>
      </c>
      <c r="Q12" s="233">
        <f t="shared" ref="Q12:T12" si="10">P12+($U12-$P12)/($U$1-$P$1)</f>
        <v>6.0000000000000001E-3</v>
      </c>
      <c r="R12" s="233">
        <f t="shared" si="10"/>
        <v>7.0000000000000001E-3</v>
      </c>
      <c r="S12" s="233">
        <f t="shared" si="10"/>
        <v>8.0000000000000002E-3</v>
      </c>
      <c r="T12" s="233">
        <f t="shared" si="10"/>
        <v>9.0000000000000011E-3</v>
      </c>
      <c r="U12" s="275">
        <v>0.01</v>
      </c>
      <c r="V12" s="275">
        <v>1.4E-2</v>
      </c>
      <c r="W12" s="275">
        <v>1.4999999999999999E-2</v>
      </c>
      <c r="X12" s="275">
        <v>1.7999999999999999E-2</v>
      </c>
      <c r="Y12" s="30"/>
      <c r="Z12" s="1"/>
      <c r="AA12" s="30"/>
      <c r="AB12" s="30"/>
      <c r="AC12" s="30"/>
      <c r="AD12" s="30"/>
      <c r="AE12" s="1"/>
      <c r="AF12" s="30"/>
      <c r="AG12" s="30"/>
      <c r="AH12" s="30"/>
      <c r="AI12" s="30"/>
      <c r="AJ12" s="1"/>
      <c r="AK12" s="65"/>
      <c r="AL12" s="65"/>
      <c r="AM12" s="65"/>
      <c r="AN12" s="65"/>
      <c r="AO12" s="65"/>
      <c r="AP12" s="65"/>
      <c r="AQ12" s="65"/>
      <c r="AR12" s="65"/>
      <c r="AS12" s="65"/>
      <c r="AT12" s="65"/>
      <c r="AU12" s="65"/>
      <c r="AV12" s="65"/>
      <c r="AW12" s="65"/>
      <c r="AX12" s="65"/>
      <c r="AY12" s="65"/>
      <c r="AZ12" s="65"/>
      <c r="BA12" s="65"/>
      <c r="BB12" s="65"/>
      <c r="BC12" s="65"/>
      <c r="BD12" s="65"/>
      <c r="BE12" s="1"/>
      <c r="BF12" s="1" t="s">
        <v>409</v>
      </c>
      <c r="BG12" s="1"/>
      <c r="BH12" s="1"/>
      <c r="BI12" s="1" t="s">
        <v>102</v>
      </c>
      <c r="BJ12" s="1"/>
      <c r="BK12" s="1"/>
      <c r="BL12" s="1"/>
      <c r="BM12" s="1"/>
      <c r="BN12" s="1"/>
      <c r="BO12" s="1"/>
      <c r="BP12" s="1"/>
      <c r="BQ12" s="1"/>
      <c r="BR12" s="1"/>
      <c r="BS12" s="1"/>
      <c r="BT12" s="1"/>
      <c r="BU12" s="1"/>
      <c r="BV12" s="1"/>
      <c r="BW12" s="1"/>
      <c r="BX12" s="1"/>
      <c r="BY12" s="1"/>
    </row>
    <row r="13" spans="1:77" ht="14.25" customHeight="1">
      <c r="A13" s="1"/>
      <c r="B13" s="1" t="s">
        <v>70</v>
      </c>
      <c r="C13" s="1" t="s">
        <v>78</v>
      </c>
      <c r="D13" s="1" t="s">
        <v>123</v>
      </c>
      <c r="E13" s="1" t="s">
        <v>107</v>
      </c>
      <c r="F13" s="1" t="s">
        <v>73</v>
      </c>
      <c r="G13" s="1"/>
      <c r="H13" s="233"/>
      <c r="I13" s="275"/>
      <c r="J13" s="275"/>
      <c r="K13" s="233"/>
      <c r="L13" s="30"/>
      <c r="M13" s="30"/>
      <c r="N13" s="30"/>
      <c r="O13" s="30"/>
      <c r="P13" s="233"/>
      <c r="Q13" s="30"/>
      <c r="R13" s="30"/>
      <c r="S13" s="30"/>
      <c r="T13" s="30"/>
      <c r="U13" s="233"/>
      <c r="V13" s="30"/>
      <c r="W13" s="30"/>
      <c r="X13" s="30"/>
      <c r="Y13" s="30"/>
      <c r="Z13" s="233"/>
      <c r="AA13" s="30"/>
      <c r="AB13" s="30"/>
      <c r="AC13" s="30"/>
      <c r="AD13" s="30"/>
      <c r="AE13" s="30"/>
      <c r="AF13" s="30"/>
      <c r="AG13" s="30"/>
      <c r="AH13" s="30"/>
      <c r="AI13" s="30"/>
      <c r="AJ13" s="30"/>
      <c r="AK13" s="1"/>
      <c r="AL13" s="1"/>
      <c r="AM13" s="1"/>
      <c r="AN13" s="1"/>
      <c r="AO13" s="1"/>
      <c r="AP13" s="1"/>
      <c r="AQ13" s="1"/>
      <c r="AR13" s="1"/>
      <c r="AS13" s="1"/>
      <c r="AT13" s="1"/>
      <c r="AU13" s="1"/>
      <c r="AV13" s="1"/>
      <c r="AW13" s="1"/>
      <c r="AX13" s="1"/>
      <c r="AY13" s="1"/>
      <c r="AZ13" s="1"/>
      <c r="BA13" s="1"/>
      <c r="BB13" s="1"/>
      <c r="BC13" s="1"/>
      <c r="BD13" s="1"/>
      <c r="BE13" s="1"/>
      <c r="BF13" s="1"/>
      <c r="BG13" s="1"/>
      <c r="BH13" s="1"/>
      <c r="BI13" s="1" t="s">
        <v>123</v>
      </c>
      <c r="BJ13" s="1"/>
      <c r="BK13" s="1"/>
      <c r="BL13" s="1"/>
      <c r="BM13" s="1"/>
      <c r="BN13" s="1"/>
      <c r="BO13" s="1"/>
      <c r="BP13" s="1"/>
      <c r="BQ13" s="1"/>
      <c r="BR13" s="1"/>
      <c r="BS13" s="1"/>
      <c r="BT13" s="1"/>
      <c r="BU13" s="1"/>
      <c r="BV13" s="1"/>
      <c r="BW13" s="1"/>
      <c r="BX13" s="1"/>
      <c r="BY13" s="1"/>
    </row>
    <row r="14" spans="1:77" ht="14.25" customHeight="1">
      <c r="A14" s="1"/>
      <c r="B14" s="1"/>
      <c r="C14" s="1" t="s">
        <v>124</v>
      </c>
      <c r="D14" s="1" t="s">
        <v>125</v>
      </c>
      <c r="E14" s="1"/>
      <c r="F14" s="1" t="s">
        <v>73</v>
      </c>
      <c r="G14" s="1"/>
      <c r="H14" s="275">
        <v>1E-3</v>
      </c>
      <c r="I14" s="275">
        <f t="shared" ref="I14:J14" si="11">H14+($K14-$H14)/($K$1-$H$1)</f>
        <v>1E-3</v>
      </c>
      <c r="J14" s="275">
        <f t="shared" si="11"/>
        <v>1E-3</v>
      </c>
      <c r="K14" s="275">
        <v>1E-3</v>
      </c>
      <c r="L14" s="233">
        <f t="shared" ref="L14:O14" si="12">K14+($P14-$K14)/($P$1-$K$1)</f>
        <v>8.0000000000000004E-4</v>
      </c>
      <c r="M14" s="233">
        <f t="shared" si="12"/>
        <v>6.0000000000000006E-4</v>
      </c>
      <c r="N14" s="233">
        <f t="shared" si="12"/>
        <v>4.0000000000000007E-4</v>
      </c>
      <c r="O14" s="233">
        <f t="shared" si="12"/>
        <v>2.0000000000000006E-4</v>
      </c>
      <c r="P14" s="275">
        <v>0</v>
      </c>
      <c r="Q14" s="233">
        <f t="shared" ref="Q14:T14" si="13">P14+($U14-$P14)/($U$1-$P$1)</f>
        <v>0</v>
      </c>
      <c r="R14" s="233">
        <f t="shared" si="13"/>
        <v>0</v>
      </c>
      <c r="S14" s="233">
        <f t="shared" si="13"/>
        <v>0</v>
      </c>
      <c r="T14" s="233">
        <f t="shared" si="13"/>
        <v>0</v>
      </c>
      <c r="U14" s="275">
        <v>0</v>
      </c>
      <c r="V14" s="275">
        <v>0</v>
      </c>
      <c r="W14" s="275">
        <v>0</v>
      </c>
      <c r="X14" s="275">
        <v>0</v>
      </c>
      <c r="Y14" s="30"/>
      <c r="Z14" s="1"/>
      <c r="AA14" s="30"/>
      <c r="AB14" s="30"/>
      <c r="AC14" s="30"/>
      <c r="AD14" s="30"/>
      <c r="AE14" s="1"/>
      <c r="AF14" s="30"/>
      <c r="AG14" s="30"/>
      <c r="AH14" s="30"/>
      <c r="AI14" s="30"/>
      <c r="AJ14" s="1"/>
      <c r="AK14" s="65"/>
      <c r="AL14" s="65"/>
      <c r="AM14" s="65"/>
      <c r="AN14" s="65"/>
      <c r="AO14" s="65"/>
      <c r="AP14" s="65"/>
      <c r="AQ14" s="65"/>
      <c r="AR14" s="65"/>
      <c r="AS14" s="65"/>
      <c r="AT14" s="65"/>
      <c r="AU14" s="65"/>
      <c r="AV14" s="65"/>
      <c r="AW14" s="65"/>
      <c r="AX14" s="65"/>
      <c r="AY14" s="65"/>
      <c r="AZ14" s="65"/>
      <c r="BA14" s="65"/>
      <c r="BB14" s="65"/>
      <c r="BC14" s="65"/>
      <c r="BD14" s="65"/>
      <c r="BE14" s="1"/>
      <c r="BF14" s="1" t="s">
        <v>409</v>
      </c>
      <c r="BG14" s="1"/>
      <c r="BH14" s="1"/>
      <c r="BI14" s="1" t="s">
        <v>125</v>
      </c>
      <c r="BJ14" s="1"/>
      <c r="BK14" s="1"/>
      <c r="BL14" s="1"/>
      <c r="BM14" s="1"/>
      <c r="BN14" s="1"/>
      <c r="BO14" s="1"/>
      <c r="BP14" s="1"/>
      <c r="BQ14" s="1"/>
      <c r="BR14" s="1"/>
      <c r="BS14" s="1"/>
      <c r="BT14" s="1"/>
      <c r="BU14" s="1"/>
      <c r="BV14" s="1"/>
      <c r="BW14" s="1"/>
      <c r="BX14" s="1"/>
      <c r="BY14" s="1"/>
    </row>
    <row r="15" spans="1:77" ht="14.25" customHeight="1">
      <c r="A15" s="1"/>
      <c r="B15" s="1"/>
      <c r="C15" s="1"/>
      <c r="D15" s="1"/>
      <c r="E15" s="1"/>
      <c r="F15" s="1"/>
      <c r="G15" s="1"/>
      <c r="H15" s="30"/>
      <c r="I15" s="30"/>
      <c r="J15" s="288"/>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row>
    <row r="16" spans="1:77" ht="14.25" customHeight="1">
      <c r="A16" s="1"/>
      <c r="B16" s="1" t="s">
        <v>129</v>
      </c>
      <c r="C16" s="1" t="s">
        <v>130</v>
      </c>
      <c r="D16" s="1" t="s">
        <v>131</v>
      </c>
      <c r="E16" s="1"/>
      <c r="F16" s="1" t="s">
        <v>132</v>
      </c>
      <c r="G16" s="1"/>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1"/>
      <c r="AL16" s="1"/>
      <c r="AM16" s="1"/>
      <c r="AN16" s="1"/>
      <c r="AO16" s="1"/>
      <c r="AP16" s="1"/>
      <c r="AQ16" s="1"/>
      <c r="AR16" s="1"/>
      <c r="AS16" s="1"/>
      <c r="AT16" s="1"/>
      <c r="AU16" s="1"/>
      <c r="AV16" s="1"/>
      <c r="AW16" s="1"/>
      <c r="AX16" s="1"/>
      <c r="AY16" s="1"/>
      <c r="AZ16" s="1"/>
      <c r="BA16" s="1"/>
      <c r="BB16" s="1"/>
      <c r="BC16" s="1"/>
      <c r="BD16" s="1"/>
      <c r="BE16" s="1"/>
      <c r="BF16" s="1"/>
      <c r="BG16" s="1"/>
      <c r="BH16" s="1"/>
      <c r="BI16" s="1" t="s">
        <v>131</v>
      </c>
      <c r="BJ16" s="1"/>
      <c r="BK16" s="1"/>
      <c r="BL16" s="1"/>
      <c r="BM16" s="1"/>
      <c r="BN16" s="1"/>
      <c r="BO16" s="1"/>
      <c r="BP16" s="1"/>
      <c r="BQ16" s="1"/>
      <c r="BR16" s="1"/>
      <c r="BS16" s="1"/>
      <c r="BT16" s="1"/>
      <c r="BU16" s="1"/>
      <c r="BV16" s="1"/>
      <c r="BW16" s="1"/>
      <c r="BX16" s="1"/>
      <c r="BY16" s="1"/>
    </row>
    <row r="17" spans="1:64" ht="14.25" customHeight="1">
      <c r="A17" s="1"/>
      <c r="B17" s="1" t="s">
        <v>129</v>
      </c>
      <c r="C17" s="1" t="s">
        <v>135</v>
      </c>
      <c r="D17" s="1"/>
      <c r="E17" s="1"/>
      <c r="F17" s="1"/>
      <c r="G17" s="1"/>
      <c r="H17" s="30"/>
      <c r="I17" s="30"/>
      <c r="J17" s="30"/>
      <c r="K17" s="30"/>
      <c r="L17" s="30">
        <v>2026</v>
      </c>
      <c r="M17" s="30">
        <v>2035</v>
      </c>
      <c r="N17" s="30">
        <v>2040</v>
      </c>
      <c r="O17" s="30">
        <v>2045</v>
      </c>
      <c r="P17" s="30">
        <v>2050</v>
      </c>
      <c r="Q17" s="30"/>
      <c r="R17" s="30"/>
      <c r="S17" s="30"/>
      <c r="T17" s="30"/>
      <c r="U17" s="30"/>
      <c r="V17" s="30"/>
      <c r="W17" s="30"/>
      <c r="X17" s="30"/>
      <c r="Y17" s="30"/>
      <c r="Z17" s="30"/>
      <c r="AA17" s="30"/>
      <c r="AB17" s="30"/>
      <c r="AC17" s="30"/>
      <c r="AD17" s="30"/>
      <c r="AE17" s="30"/>
      <c r="AF17" s="30"/>
      <c r="AG17" s="30"/>
      <c r="AH17" s="30"/>
      <c r="AI17" s="30"/>
      <c r="AJ17" s="30"/>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row>
    <row r="18" spans="1:64" ht="14.25" customHeight="1">
      <c r="A18" s="1"/>
      <c r="B18" s="1" t="s">
        <v>129</v>
      </c>
      <c r="C18" s="1" t="s">
        <v>137</v>
      </c>
      <c r="D18" s="1"/>
      <c r="E18" s="1"/>
      <c r="F18" s="1" t="s">
        <v>138</v>
      </c>
      <c r="G18" s="1"/>
      <c r="H18" s="22">
        <v>9.31</v>
      </c>
      <c r="I18" s="22">
        <v>9.09</v>
      </c>
      <c r="J18" s="22">
        <v>8.91</v>
      </c>
      <c r="K18" s="22">
        <v>8.7899999999999991</v>
      </c>
      <c r="L18" s="22">
        <v>8.3592030000000008</v>
      </c>
      <c r="M18" s="22">
        <v>8.1523020000000006</v>
      </c>
      <c r="N18" s="22">
        <v>8.0711040000000001</v>
      </c>
      <c r="O18" s="22">
        <v>8.0308290000000007</v>
      </c>
      <c r="P18" s="22">
        <v>8.0227989999999991</v>
      </c>
      <c r="Q18" s="30"/>
      <c r="R18" s="30"/>
      <c r="S18" s="30"/>
      <c r="T18" s="30"/>
      <c r="U18" s="1"/>
      <c r="V18" s="30"/>
      <c r="W18" s="30"/>
      <c r="X18" s="30"/>
      <c r="Y18" s="30"/>
      <c r="Z18" s="1"/>
      <c r="AA18" s="30"/>
      <c r="AB18" s="30"/>
      <c r="AC18" s="30"/>
      <c r="AD18" s="30"/>
      <c r="AE18" s="1"/>
      <c r="AF18" s="30"/>
      <c r="AG18" s="30"/>
      <c r="AH18" s="30"/>
      <c r="AI18" s="30"/>
      <c r="AJ18" s="1"/>
      <c r="AK18" s="1" t="s">
        <v>290</v>
      </c>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row>
    <row r="19" spans="1:64" ht="14.25" customHeight="1">
      <c r="A19" s="1"/>
      <c r="B19" s="1" t="s">
        <v>129</v>
      </c>
      <c r="C19" s="1" t="s">
        <v>587</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361"/>
      <c r="AK19" s="361"/>
      <c r="AL19" s="361"/>
      <c r="AM19" s="361"/>
      <c r="AN19" s="361"/>
      <c r="AO19" s="361"/>
      <c r="AP19" s="361"/>
      <c r="AQ19" s="361"/>
      <c r="AR19" s="361"/>
      <c r="AS19" s="361"/>
      <c r="AT19" s="361"/>
      <c r="AU19" s="361"/>
      <c r="AV19" s="361"/>
      <c r="AW19" s="361"/>
      <c r="AX19" s="361"/>
      <c r="AY19" s="361"/>
      <c r="AZ19" s="361"/>
      <c r="BA19" s="361"/>
      <c r="BB19" s="361"/>
      <c r="BC19" s="361"/>
      <c r="BD19" s="361"/>
      <c r="BE19" s="1"/>
      <c r="BF19" s="1"/>
      <c r="BG19" s="1"/>
      <c r="BH19" s="1"/>
      <c r="BI19" s="1"/>
      <c r="BJ19" s="1"/>
      <c r="BK19" s="1"/>
      <c r="BL19" s="1"/>
    </row>
    <row r="20" spans="1:64"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361"/>
      <c r="AK20" s="361"/>
      <c r="AL20" s="361"/>
      <c r="AM20" s="361"/>
      <c r="AN20" s="361"/>
      <c r="AO20" s="361"/>
      <c r="AP20" s="361"/>
      <c r="AQ20" s="361"/>
      <c r="AR20" s="361"/>
      <c r="AS20" s="361"/>
      <c r="AT20" s="361"/>
      <c r="AU20" s="361"/>
      <c r="AV20" s="361"/>
      <c r="AW20" s="361"/>
      <c r="AX20" s="361"/>
      <c r="AY20" s="361"/>
      <c r="AZ20" s="361"/>
      <c r="BA20" s="361"/>
      <c r="BB20" s="361"/>
      <c r="BC20" s="361"/>
      <c r="BD20" s="361"/>
      <c r="BE20" s="1"/>
      <c r="BF20" s="1"/>
      <c r="BG20" s="1">
        <v>2050</v>
      </c>
      <c r="BH20" s="1">
        <v>2070</v>
      </c>
      <c r="BI20" s="1"/>
      <c r="BJ20" s="1"/>
      <c r="BK20" s="1"/>
      <c r="BL20" s="1"/>
    </row>
    <row r="21" spans="1:64" ht="14.25" customHeight="1">
      <c r="A21" s="44" t="s">
        <v>144</v>
      </c>
      <c r="B21" s="75" t="s">
        <v>145</v>
      </c>
      <c r="C21" s="75" t="s">
        <v>150</v>
      </c>
      <c r="D21" s="75" t="s">
        <v>297</v>
      </c>
      <c r="E21" s="75"/>
      <c r="F21" s="75" t="s">
        <v>416</v>
      </c>
      <c r="G21" s="75" t="s">
        <v>153</v>
      </c>
      <c r="H21" s="362">
        <v>0.22800000000000001</v>
      </c>
      <c r="I21" s="362">
        <f t="shared" ref="I21:AI21" si="14">H21+($AJ21-$H21)/($AJ$1-$H$1)</f>
        <v>0.22669132653061225</v>
      </c>
      <c r="J21" s="362">
        <f t="shared" si="14"/>
        <v>0.22538265306122449</v>
      </c>
      <c r="K21" s="362">
        <f t="shared" si="14"/>
        <v>0.22407397959183672</v>
      </c>
      <c r="L21" s="362">
        <f t="shared" si="14"/>
        <v>0.22276530612244896</v>
      </c>
      <c r="M21" s="362">
        <f t="shared" si="14"/>
        <v>0.2214566326530612</v>
      </c>
      <c r="N21" s="362">
        <f t="shared" si="14"/>
        <v>0.22014795918367344</v>
      </c>
      <c r="O21" s="362">
        <f t="shared" si="14"/>
        <v>0.21883928571428568</v>
      </c>
      <c r="P21" s="362">
        <f t="shared" si="14"/>
        <v>0.21753061224489792</v>
      </c>
      <c r="Q21" s="362">
        <f t="shared" si="14"/>
        <v>0.21622193877551016</v>
      </c>
      <c r="R21" s="362">
        <f t="shared" si="14"/>
        <v>0.2149132653061224</v>
      </c>
      <c r="S21" s="362">
        <f t="shared" si="14"/>
        <v>0.21360459183673464</v>
      </c>
      <c r="T21" s="362">
        <f t="shared" si="14"/>
        <v>0.21229591836734688</v>
      </c>
      <c r="U21" s="362">
        <f t="shared" si="14"/>
        <v>0.21098724489795911</v>
      </c>
      <c r="V21" s="362">
        <f t="shared" si="14"/>
        <v>0.20967857142857135</v>
      </c>
      <c r="W21" s="362">
        <f t="shared" si="14"/>
        <v>0.20836989795918359</v>
      </c>
      <c r="X21" s="362">
        <f t="shared" si="14"/>
        <v>0.20706122448979583</v>
      </c>
      <c r="Y21" s="362">
        <f t="shared" si="14"/>
        <v>0.20575255102040807</v>
      </c>
      <c r="Z21" s="362">
        <f t="shared" si="14"/>
        <v>0.20444387755102031</v>
      </c>
      <c r="AA21" s="362">
        <f t="shared" si="14"/>
        <v>0.20313520408163255</v>
      </c>
      <c r="AB21" s="362">
        <f t="shared" si="14"/>
        <v>0.20182653061224479</v>
      </c>
      <c r="AC21" s="362">
        <f t="shared" si="14"/>
        <v>0.20051785714285703</v>
      </c>
      <c r="AD21" s="362">
        <f t="shared" si="14"/>
        <v>0.19920918367346926</v>
      </c>
      <c r="AE21" s="362">
        <f t="shared" si="14"/>
        <v>0.1979005102040815</v>
      </c>
      <c r="AF21" s="362">
        <f t="shared" si="14"/>
        <v>0.19659183673469374</v>
      </c>
      <c r="AG21" s="362">
        <f t="shared" si="14"/>
        <v>0.19528316326530598</v>
      </c>
      <c r="AH21" s="362">
        <f t="shared" si="14"/>
        <v>0.19397448979591822</v>
      </c>
      <c r="AI21" s="362">
        <f t="shared" si="14"/>
        <v>0.19266581632653046</v>
      </c>
      <c r="AJ21" s="362">
        <f>'Net Zero 2050'!AA27</f>
        <v>0.19135714285714298</v>
      </c>
      <c r="AK21" s="50"/>
      <c r="AL21" s="50" t="s">
        <v>427</v>
      </c>
      <c r="AM21" s="50"/>
      <c r="AN21" s="50"/>
      <c r="AO21" s="50"/>
      <c r="AP21" s="50"/>
      <c r="AQ21" s="50"/>
      <c r="AR21" s="50"/>
      <c r="AS21" s="50"/>
      <c r="AT21" s="50"/>
      <c r="AU21" s="50"/>
      <c r="AV21" s="50"/>
      <c r="AW21" s="50"/>
      <c r="AX21" s="50"/>
      <c r="AY21" s="50"/>
      <c r="AZ21" s="50"/>
      <c r="BA21" s="50"/>
      <c r="BB21" s="50"/>
      <c r="BC21" s="50"/>
      <c r="BD21" s="50"/>
      <c r="BE21" s="75"/>
      <c r="BF21" s="20" t="s">
        <v>292</v>
      </c>
      <c r="BG21" s="1"/>
      <c r="BH21" s="1"/>
      <c r="BI21" s="75" t="s">
        <v>150</v>
      </c>
      <c r="BJ21" s="75" t="s">
        <v>297</v>
      </c>
      <c r="BK21" s="75"/>
      <c r="BL21" s="75"/>
    </row>
    <row r="22" spans="1:64" ht="14.25" customHeight="1">
      <c r="A22" s="1"/>
      <c r="B22" s="1" t="s">
        <v>145</v>
      </c>
      <c r="C22" s="1" t="s">
        <v>150</v>
      </c>
      <c r="D22" s="1" t="s">
        <v>151</v>
      </c>
      <c r="E22" s="1"/>
      <c r="F22" s="1" t="s">
        <v>152</v>
      </c>
      <c r="G22" s="1" t="s">
        <v>153</v>
      </c>
      <c r="H22" s="54">
        <v>0.156</v>
      </c>
      <c r="I22" s="54">
        <f t="shared" ref="I22:AI22" si="15">H22+($AJ22-$H22)/($AJ$1-$H$1)</f>
        <v>0.1551045918367347</v>
      </c>
      <c r="J22" s="54">
        <f t="shared" si="15"/>
        <v>0.15420918367346939</v>
      </c>
      <c r="K22" s="54">
        <f t="shared" si="15"/>
        <v>0.15331377551020409</v>
      </c>
      <c r="L22" s="54">
        <f t="shared" si="15"/>
        <v>0.15241836734693878</v>
      </c>
      <c r="M22" s="54">
        <f t="shared" si="15"/>
        <v>0.15152295918367348</v>
      </c>
      <c r="N22" s="54">
        <f t="shared" si="15"/>
        <v>0.15062755102040817</v>
      </c>
      <c r="O22" s="54">
        <f t="shared" si="15"/>
        <v>0.14973214285714287</v>
      </c>
      <c r="P22" s="54">
        <f t="shared" si="15"/>
        <v>0.14883673469387756</v>
      </c>
      <c r="Q22" s="54">
        <f t="shared" si="15"/>
        <v>0.14794132653061226</v>
      </c>
      <c r="R22" s="54">
        <f t="shared" si="15"/>
        <v>0.14704591836734696</v>
      </c>
      <c r="S22" s="54">
        <f t="shared" si="15"/>
        <v>0.14615051020408165</v>
      </c>
      <c r="T22" s="54">
        <f t="shared" si="15"/>
        <v>0.14525510204081635</v>
      </c>
      <c r="U22" s="54">
        <f t="shared" si="15"/>
        <v>0.14435969387755104</v>
      </c>
      <c r="V22" s="54">
        <f t="shared" si="15"/>
        <v>0.14346428571428574</v>
      </c>
      <c r="W22" s="54">
        <f t="shared" si="15"/>
        <v>0.14256887755102043</v>
      </c>
      <c r="X22" s="54">
        <f t="shared" si="15"/>
        <v>0.14167346938775513</v>
      </c>
      <c r="Y22" s="54">
        <f t="shared" si="15"/>
        <v>0.14077806122448983</v>
      </c>
      <c r="Z22" s="54">
        <f t="shared" si="15"/>
        <v>0.13988265306122452</v>
      </c>
      <c r="AA22" s="54">
        <f t="shared" si="15"/>
        <v>0.13898724489795922</v>
      </c>
      <c r="AB22" s="54">
        <f t="shared" si="15"/>
        <v>0.13809183673469391</v>
      </c>
      <c r="AC22" s="54">
        <f t="shared" si="15"/>
        <v>0.13719642857142861</v>
      </c>
      <c r="AD22" s="54">
        <f t="shared" si="15"/>
        <v>0.1363010204081633</v>
      </c>
      <c r="AE22" s="54">
        <f t="shared" si="15"/>
        <v>0.135405612244898</v>
      </c>
      <c r="AF22" s="54">
        <f t="shared" si="15"/>
        <v>0.13451020408163269</v>
      </c>
      <c r="AG22" s="54">
        <f t="shared" si="15"/>
        <v>0.13361479591836739</v>
      </c>
      <c r="AH22" s="54">
        <f t="shared" si="15"/>
        <v>0.13271938775510209</v>
      </c>
      <c r="AI22" s="54">
        <f t="shared" si="15"/>
        <v>0.13182397959183678</v>
      </c>
      <c r="AJ22" s="380">
        <f>'Net Zero 2050'!AA28</f>
        <v>0.13092857142857148</v>
      </c>
      <c r="AK22" s="65"/>
      <c r="AL22" s="65" t="s">
        <v>427</v>
      </c>
      <c r="AM22" s="65"/>
      <c r="AN22" s="65"/>
      <c r="AO22" s="65"/>
      <c r="AP22" s="65"/>
      <c r="AQ22" s="65"/>
      <c r="AR22" s="65"/>
      <c r="AS22" s="65"/>
      <c r="AT22" s="65"/>
      <c r="AU22" s="65"/>
      <c r="AV22" s="65"/>
      <c r="AW22" s="65"/>
      <c r="AX22" s="65"/>
      <c r="AY22" s="65"/>
      <c r="AZ22" s="65"/>
      <c r="BA22" s="65"/>
      <c r="BB22" s="65"/>
      <c r="BC22" s="65"/>
      <c r="BD22" s="65"/>
      <c r="BE22" s="1"/>
      <c r="BF22" s="20" t="s">
        <v>300</v>
      </c>
      <c r="BG22" s="1"/>
      <c r="BH22" s="1"/>
      <c r="BI22" s="1" t="s">
        <v>150</v>
      </c>
      <c r="BJ22" s="1" t="s">
        <v>151</v>
      </c>
      <c r="BK22" s="1"/>
      <c r="BL22" s="1"/>
    </row>
    <row r="23" spans="1:64" ht="14.25" customHeight="1">
      <c r="A23" s="1"/>
      <c r="B23" s="365"/>
      <c r="C23" s="365"/>
      <c r="D23" s="365"/>
      <c r="E23" s="365"/>
      <c r="F23" s="365"/>
      <c r="G23" s="365"/>
      <c r="H23" s="366">
        <f t="shared" ref="H23:AJ23" si="16">$H$21-H21</f>
        <v>0</v>
      </c>
      <c r="I23" s="366">
        <f t="shared" si="16"/>
        <v>1.3086734693877611E-3</v>
      </c>
      <c r="J23" s="366">
        <f t="shared" si="16"/>
        <v>2.6173469387755222E-3</v>
      </c>
      <c r="K23" s="366">
        <f t="shared" si="16"/>
        <v>3.9260204081632832E-3</v>
      </c>
      <c r="L23" s="366">
        <f t="shared" si="16"/>
        <v>5.2346938775510443E-3</v>
      </c>
      <c r="M23" s="366">
        <f t="shared" si="16"/>
        <v>6.5433673469388054E-3</v>
      </c>
      <c r="N23" s="366">
        <f t="shared" si="16"/>
        <v>7.8520408163265665E-3</v>
      </c>
      <c r="O23" s="366">
        <f t="shared" si="16"/>
        <v>9.1607142857143276E-3</v>
      </c>
      <c r="P23" s="366">
        <f t="shared" si="16"/>
        <v>1.0469387755102089E-2</v>
      </c>
      <c r="Q23" s="366">
        <f t="shared" si="16"/>
        <v>1.177806122448985E-2</v>
      </c>
      <c r="R23" s="366">
        <f t="shared" si="16"/>
        <v>1.3086734693877611E-2</v>
      </c>
      <c r="S23" s="366">
        <f t="shared" si="16"/>
        <v>1.4395408163265372E-2</v>
      </c>
      <c r="T23" s="366">
        <f t="shared" si="16"/>
        <v>1.5704081632653133E-2</v>
      </c>
      <c r="U23" s="366">
        <f t="shared" si="16"/>
        <v>1.7012755102040894E-2</v>
      </c>
      <c r="V23" s="366">
        <f t="shared" si="16"/>
        <v>1.8321428571428655E-2</v>
      </c>
      <c r="W23" s="366">
        <f t="shared" si="16"/>
        <v>1.9630102040816416E-2</v>
      </c>
      <c r="X23" s="366">
        <f t="shared" si="16"/>
        <v>2.0938775510204177E-2</v>
      </c>
      <c r="Y23" s="366">
        <f t="shared" si="16"/>
        <v>2.2247448979591938E-2</v>
      </c>
      <c r="Z23" s="366">
        <f t="shared" si="16"/>
        <v>2.3556122448979699E-2</v>
      </c>
      <c r="AA23" s="366">
        <f t="shared" si="16"/>
        <v>2.4864795918367461E-2</v>
      </c>
      <c r="AB23" s="366">
        <f t="shared" si="16"/>
        <v>2.6173469387755222E-2</v>
      </c>
      <c r="AC23" s="366">
        <f t="shared" si="16"/>
        <v>2.7482142857142983E-2</v>
      </c>
      <c r="AD23" s="366">
        <f t="shared" si="16"/>
        <v>2.8790816326530744E-2</v>
      </c>
      <c r="AE23" s="366">
        <f t="shared" si="16"/>
        <v>3.0099489795918505E-2</v>
      </c>
      <c r="AF23" s="366">
        <f t="shared" si="16"/>
        <v>3.1408163265306266E-2</v>
      </c>
      <c r="AG23" s="366">
        <f t="shared" si="16"/>
        <v>3.2716836734694027E-2</v>
      </c>
      <c r="AH23" s="366">
        <f t="shared" si="16"/>
        <v>3.4025510204081788E-2</v>
      </c>
      <c r="AI23" s="366">
        <f t="shared" si="16"/>
        <v>3.5334183673469549E-2</v>
      </c>
      <c r="AJ23" s="366">
        <f t="shared" si="16"/>
        <v>3.6642857142857033E-2</v>
      </c>
      <c r="AK23" s="65"/>
      <c r="AL23" s="65"/>
      <c r="AM23" s="65"/>
      <c r="AN23" s="65"/>
      <c r="AO23" s="65"/>
      <c r="AP23" s="65"/>
      <c r="AQ23" s="65"/>
      <c r="AR23" s="65"/>
      <c r="AS23" s="65"/>
      <c r="AT23" s="65"/>
      <c r="AU23" s="65"/>
      <c r="AV23" s="65"/>
      <c r="AW23" s="65"/>
      <c r="AX23" s="65"/>
      <c r="AY23" s="65"/>
      <c r="AZ23" s="65"/>
      <c r="BA23" s="65"/>
      <c r="BB23" s="65"/>
      <c r="BC23" s="65"/>
      <c r="BD23" s="65"/>
      <c r="BE23" s="1"/>
      <c r="BF23" s="20"/>
      <c r="BG23" s="1"/>
      <c r="BH23" s="1"/>
      <c r="BI23" s="1"/>
      <c r="BJ23" s="1"/>
      <c r="BK23" s="1"/>
      <c r="BL23" s="1"/>
    </row>
    <row r="24" spans="1:64" ht="14.25" customHeight="1">
      <c r="A24" s="1"/>
      <c r="B24" s="365"/>
      <c r="C24" s="365"/>
      <c r="D24" s="365"/>
      <c r="E24" s="365"/>
      <c r="F24" s="365"/>
      <c r="G24" s="365"/>
      <c r="H24" s="366">
        <f t="shared" ref="H24:AJ24" si="17">H22-$H$22</f>
        <v>0</v>
      </c>
      <c r="I24" s="366">
        <f t="shared" si="17"/>
        <v>-8.9540816326530437E-4</v>
      </c>
      <c r="J24" s="366">
        <f t="shared" si="17"/>
        <v>-1.7908163265306087E-3</v>
      </c>
      <c r="K24" s="366">
        <f t="shared" si="17"/>
        <v>-2.6862244897959131E-3</v>
      </c>
      <c r="L24" s="366">
        <f t="shared" si="17"/>
        <v>-3.5816326530612175E-3</v>
      </c>
      <c r="M24" s="366">
        <f t="shared" si="17"/>
        <v>-4.4770408163265218E-3</v>
      </c>
      <c r="N24" s="366">
        <f t="shared" si="17"/>
        <v>-5.3724489795918262E-3</v>
      </c>
      <c r="O24" s="366">
        <f t="shared" si="17"/>
        <v>-6.2678571428571306E-3</v>
      </c>
      <c r="P24" s="366">
        <f t="shared" si="17"/>
        <v>-7.1632653061224349E-3</v>
      </c>
      <c r="Q24" s="366">
        <f t="shared" si="17"/>
        <v>-8.0586734693877393E-3</v>
      </c>
      <c r="R24" s="366">
        <f t="shared" si="17"/>
        <v>-8.9540816326530437E-3</v>
      </c>
      <c r="S24" s="366">
        <f t="shared" si="17"/>
        <v>-9.8494897959183481E-3</v>
      </c>
      <c r="T24" s="366">
        <f t="shared" si="17"/>
        <v>-1.0744897959183652E-2</v>
      </c>
      <c r="U24" s="366">
        <f t="shared" si="17"/>
        <v>-1.1640306122448957E-2</v>
      </c>
      <c r="V24" s="366">
        <f t="shared" si="17"/>
        <v>-1.2535714285714261E-2</v>
      </c>
      <c r="W24" s="366">
        <f t="shared" si="17"/>
        <v>-1.3431122448979566E-2</v>
      </c>
      <c r="X24" s="366">
        <f t="shared" si="17"/>
        <v>-1.432653061224487E-2</v>
      </c>
      <c r="Y24" s="366">
        <f t="shared" si="17"/>
        <v>-1.5221938775510174E-2</v>
      </c>
      <c r="Z24" s="366">
        <f t="shared" si="17"/>
        <v>-1.6117346938775479E-2</v>
      </c>
      <c r="AA24" s="366">
        <f t="shared" si="17"/>
        <v>-1.7012755102040783E-2</v>
      </c>
      <c r="AB24" s="366">
        <f t="shared" si="17"/>
        <v>-1.7908163265306087E-2</v>
      </c>
      <c r="AC24" s="366">
        <f t="shared" si="17"/>
        <v>-1.8803571428571392E-2</v>
      </c>
      <c r="AD24" s="366">
        <f t="shared" si="17"/>
        <v>-1.9698979591836696E-2</v>
      </c>
      <c r="AE24" s="366">
        <f t="shared" si="17"/>
        <v>-2.0594387755102E-2</v>
      </c>
      <c r="AF24" s="366">
        <f t="shared" si="17"/>
        <v>-2.1489795918367305E-2</v>
      </c>
      <c r="AG24" s="366">
        <f t="shared" si="17"/>
        <v>-2.2385204081632609E-2</v>
      </c>
      <c r="AH24" s="366">
        <f t="shared" si="17"/>
        <v>-2.3280612244897914E-2</v>
      </c>
      <c r="AI24" s="366">
        <f t="shared" si="17"/>
        <v>-2.4176020408163218E-2</v>
      </c>
      <c r="AJ24" s="366">
        <f t="shared" si="17"/>
        <v>-2.5071428571428522E-2</v>
      </c>
      <c r="AK24" s="65"/>
      <c r="AL24" s="65"/>
      <c r="AM24" s="65"/>
      <c r="AN24" s="65"/>
      <c r="AO24" s="65"/>
      <c r="AP24" s="65"/>
      <c r="AQ24" s="65"/>
      <c r="AR24" s="65"/>
      <c r="AS24" s="65"/>
      <c r="AT24" s="65"/>
      <c r="AU24" s="65"/>
      <c r="AV24" s="65"/>
      <c r="AW24" s="65"/>
      <c r="AX24" s="65"/>
      <c r="AY24" s="65"/>
      <c r="AZ24" s="65"/>
      <c r="BA24" s="65"/>
      <c r="BB24" s="65"/>
      <c r="BC24" s="65"/>
      <c r="BD24" s="65"/>
      <c r="BE24" s="1"/>
      <c r="BF24" s="20"/>
      <c r="BG24" s="1"/>
      <c r="BH24" s="1"/>
      <c r="BI24" s="1"/>
      <c r="BJ24" s="1"/>
      <c r="BK24" s="1"/>
      <c r="BL24" s="1"/>
    </row>
    <row r="25" spans="1:64" ht="14.25" customHeight="1">
      <c r="A25" s="1"/>
      <c r="B25" s="1" t="s">
        <v>145</v>
      </c>
      <c r="C25" s="1" t="s">
        <v>154</v>
      </c>
      <c r="D25" s="1" t="s">
        <v>155</v>
      </c>
      <c r="E25" s="1"/>
      <c r="F25" s="1" t="s">
        <v>156</v>
      </c>
      <c r="G25" s="1" t="s">
        <v>153</v>
      </c>
      <c r="H25" s="275">
        <v>1E-3</v>
      </c>
      <c r="I25" s="275">
        <v>1E-3</v>
      </c>
      <c r="J25" s="275">
        <v>2E-3</v>
      </c>
      <c r="K25" s="275">
        <v>3.0000000000000001E-3</v>
      </c>
      <c r="L25" s="275">
        <v>6.0000000000000001E-3</v>
      </c>
      <c r="M25" s="275">
        <v>8.9999999999999993E-3</v>
      </c>
      <c r="N25" s="275">
        <v>1.2E-2</v>
      </c>
      <c r="O25" s="275">
        <v>1.4999999999999999E-2</v>
      </c>
      <c r="P25" s="275">
        <v>1.7999999999999999E-2</v>
      </c>
      <c r="Q25" s="275">
        <v>1.9E-2</v>
      </c>
      <c r="R25" s="275">
        <v>1.9E-2</v>
      </c>
      <c r="S25" s="275">
        <v>0.02</v>
      </c>
      <c r="T25" s="275">
        <v>0.02</v>
      </c>
      <c r="U25" s="275">
        <v>2.1000000000000001E-2</v>
      </c>
      <c r="V25" s="275">
        <v>2.1999999999999999E-2</v>
      </c>
      <c r="W25" s="275">
        <v>2.1999999999999999E-2</v>
      </c>
      <c r="X25" s="275">
        <v>2.3E-2</v>
      </c>
      <c r="Y25" s="275">
        <v>2.3E-2</v>
      </c>
      <c r="Z25" s="275">
        <v>2.4E-2</v>
      </c>
      <c r="AA25" s="275">
        <v>7.2999999999999995E-2</v>
      </c>
      <c r="AB25" s="275">
        <v>0.121</v>
      </c>
      <c r="AC25" s="275">
        <v>0.17</v>
      </c>
      <c r="AD25" s="275">
        <v>0.218</v>
      </c>
      <c r="AE25" s="275">
        <v>0.26700000000000002</v>
      </c>
      <c r="AF25" s="275">
        <v>0.29099999999999998</v>
      </c>
      <c r="AG25" s="275">
        <v>0.315</v>
      </c>
      <c r="AH25" s="275">
        <v>0.33900000000000002</v>
      </c>
      <c r="AI25" s="275">
        <v>0.36299999999999999</v>
      </c>
      <c r="AJ25" s="275">
        <v>0.38800000000000001</v>
      </c>
      <c r="AK25" s="275"/>
      <c r="AL25" s="1" t="s">
        <v>419</v>
      </c>
      <c r="AM25" s="65"/>
      <c r="AN25" s="65"/>
      <c r="AO25" s="65"/>
      <c r="AP25" s="65"/>
      <c r="AQ25" s="65"/>
      <c r="AR25" s="65"/>
      <c r="AS25" s="65"/>
      <c r="AT25" s="65"/>
      <c r="AU25" s="65"/>
      <c r="AV25" s="65"/>
      <c r="AW25" s="65"/>
      <c r="AX25" s="65"/>
      <c r="AY25" s="65"/>
      <c r="AZ25" s="65"/>
      <c r="BA25" s="65"/>
      <c r="BB25" s="65"/>
      <c r="BC25" s="65"/>
      <c r="BD25" s="65"/>
      <c r="BE25" s="1"/>
      <c r="BF25" s="1" t="s">
        <v>278</v>
      </c>
      <c r="BG25" s="25">
        <v>0.45</v>
      </c>
      <c r="BH25" s="25"/>
      <c r="BI25" s="1" t="s">
        <v>154</v>
      </c>
      <c r="BJ25" s="1" t="s">
        <v>155</v>
      </c>
      <c r="BK25" s="1"/>
      <c r="BL25" s="1"/>
    </row>
    <row r="26" spans="1:64" ht="14.25" customHeight="1">
      <c r="A26" s="1"/>
      <c r="B26" s="1" t="s">
        <v>145</v>
      </c>
      <c r="C26" s="1" t="s">
        <v>154</v>
      </c>
      <c r="D26" s="1" t="s">
        <v>158</v>
      </c>
      <c r="E26" s="1"/>
      <c r="F26" s="1" t="s">
        <v>156</v>
      </c>
      <c r="G26" s="1" t="s">
        <v>153</v>
      </c>
      <c r="H26" s="275">
        <v>1E-3</v>
      </c>
      <c r="I26" s="275">
        <v>1E-3</v>
      </c>
      <c r="J26" s="275">
        <v>2E-3</v>
      </c>
      <c r="K26" s="275">
        <v>3.0000000000000001E-3</v>
      </c>
      <c r="L26" s="275">
        <v>6.0000000000000001E-3</v>
      </c>
      <c r="M26" s="275">
        <v>8.9999999999999993E-3</v>
      </c>
      <c r="N26" s="275">
        <v>1.2E-2</v>
      </c>
      <c r="O26" s="275">
        <v>1.4999999999999999E-2</v>
      </c>
      <c r="P26" s="275">
        <v>1.7999999999999999E-2</v>
      </c>
      <c r="Q26" s="275">
        <v>1.9E-2</v>
      </c>
      <c r="R26" s="275">
        <v>1.9E-2</v>
      </c>
      <c r="S26" s="275">
        <v>0.02</v>
      </c>
      <c r="T26" s="275">
        <v>0.02</v>
      </c>
      <c r="U26" s="275">
        <v>2.1000000000000001E-2</v>
      </c>
      <c r="V26" s="275">
        <v>2.1999999999999999E-2</v>
      </c>
      <c r="W26" s="275">
        <v>2.1999999999999999E-2</v>
      </c>
      <c r="X26" s="275">
        <v>2.3E-2</v>
      </c>
      <c r="Y26" s="275">
        <v>2.3E-2</v>
      </c>
      <c r="Z26" s="275">
        <v>2.4E-2</v>
      </c>
      <c r="AA26" s="275">
        <v>7.2999999999999995E-2</v>
      </c>
      <c r="AB26" s="275">
        <v>0.121</v>
      </c>
      <c r="AC26" s="275">
        <v>0.17</v>
      </c>
      <c r="AD26" s="275">
        <v>0.218</v>
      </c>
      <c r="AE26" s="275">
        <v>0.26700000000000002</v>
      </c>
      <c r="AF26" s="275">
        <v>0.29099999999999998</v>
      </c>
      <c r="AG26" s="275">
        <v>0.315</v>
      </c>
      <c r="AH26" s="275">
        <v>0.33900000000000002</v>
      </c>
      <c r="AI26" s="275">
        <v>0.36299999999999999</v>
      </c>
      <c r="AJ26" s="275">
        <v>0.38800000000000001</v>
      </c>
      <c r="AK26" s="275"/>
      <c r="AL26" s="1" t="s">
        <v>301</v>
      </c>
      <c r="AM26" s="65"/>
      <c r="AN26" s="65"/>
      <c r="AO26" s="65"/>
      <c r="AP26" s="65"/>
      <c r="AQ26" s="65"/>
      <c r="AR26" s="65"/>
      <c r="AS26" s="65"/>
      <c r="AT26" s="65"/>
      <c r="AU26" s="65"/>
      <c r="AV26" s="65"/>
      <c r="AW26" s="65"/>
      <c r="AX26" s="65"/>
      <c r="AY26" s="65"/>
      <c r="AZ26" s="65"/>
      <c r="BA26" s="65"/>
      <c r="BB26" s="65"/>
      <c r="BC26" s="65"/>
      <c r="BD26" s="65"/>
      <c r="BE26" s="1"/>
      <c r="BF26" s="1" t="s">
        <v>301</v>
      </c>
      <c r="BG26" s="25">
        <v>0.45</v>
      </c>
      <c r="BH26" s="25"/>
      <c r="BI26" s="1" t="s">
        <v>154</v>
      </c>
      <c r="BJ26" s="1" t="s">
        <v>158</v>
      </c>
      <c r="BK26" s="1"/>
      <c r="BL26" s="1"/>
    </row>
    <row r="27" spans="1:64" ht="14.25" customHeight="1">
      <c r="A27" s="1"/>
      <c r="B27" s="1" t="s">
        <v>145</v>
      </c>
      <c r="C27" s="1" t="s">
        <v>154</v>
      </c>
      <c r="D27" s="1" t="s">
        <v>159</v>
      </c>
      <c r="E27" s="1"/>
      <c r="F27" s="1" t="s">
        <v>156</v>
      </c>
      <c r="G27" s="1" t="s">
        <v>153</v>
      </c>
      <c r="H27" s="275">
        <v>2E-3</v>
      </c>
      <c r="I27" s="275">
        <v>4.0000000000000001E-3</v>
      </c>
      <c r="J27" s="275">
        <v>5.0000000000000001E-3</v>
      </c>
      <c r="K27" s="275">
        <v>6.0000000000000001E-3</v>
      </c>
      <c r="L27" s="275">
        <v>8.0000000000000002E-3</v>
      </c>
      <c r="M27" s="275">
        <v>0.01</v>
      </c>
      <c r="N27" s="275">
        <v>1.2E-2</v>
      </c>
      <c r="O27" s="275">
        <v>1.4E-2</v>
      </c>
      <c r="P27" s="275">
        <v>1.4999999999999999E-2</v>
      </c>
      <c r="Q27" s="275">
        <v>1.6E-2</v>
      </c>
      <c r="R27" s="275">
        <v>1.7000000000000001E-2</v>
      </c>
      <c r="S27" s="275">
        <v>1.7999999999999999E-2</v>
      </c>
      <c r="T27" s="275">
        <v>1.7999999999999999E-2</v>
      </c>
      <c r="U27" s="275">
        <v>1.9E-2</v>
      </c>
      <c r="V27" s="275">
        <v>0.02</v>
      </c>
      <c r="W27" s="275">
        <v>2.1000000000000001E-2</v>
      </c>
      <c r="X27" s="275">
        <v>2.1000000000000001E-2</v>
      </c>
      <c r="Y27" s="275">
        <v>2.1999999999999999E-2</v>
      </c>
      <c r="Z27" s="275">
        <v>2.3E-2</v>
      </c>
      <c r="AA27" s="275">
        <v>5.2999999999999999E-2</v>
      </c>
      <c r="AB27" s="275">
        <v>8.4000000000000005E-2</v>
      </c>
      <c r="AC27" s="275">
        <v>0.115</v>
      </c>
      <c r="AD27" s="275">
        <v>0.14499999999999999</v>
      </c>
      <c r="AE27" s="275">
        <v>0.17599999999999999</v>
      </c>
      <c r="AF27" s="275">
        <v>0.19900000000000001</v>
      </c>
      <c r="AG27" s="275">
        <v>0.222</v>
      </c>
      <c r="AH27" s="275">
        <v>0.246</v>
      </c>
      <c r="AI27" s="275">
        <v>0.26900000000000002</v>
      </c>
      <c r="AJ27" s="275">
        <v>0.29299999999999998</v>
      </c>
      <c r="AK27" s="275"/>
      <c r="AL27" s="1" t="s">
        <v>419</v>
      </c>
      <c r="AM27" s="65"/>
      <c r="AN27" s="65"/>
      <c r="AO27" s="65"/>
      <c r="AP27" s="65"/>
      <c r="AQ27" s="65"/>
      <c r="AR27" s="65"/>
      <c r="AS27" s="65"/>
      <c r="AT27" s="65"/>
      <c r="AU27" s="65"/>
      <c r="AV27" s="65"/>
      <c r="AW27" s="65"/>
      <c r="AX27" s="65"/>
      <c r="AY27" s="65"/>
      <c r="AZ27" s="65"/>
      <c r="BA27" s="65"/>
      <c r="BB27" s="65"/>
      <c r="BC27" s="65"/>
      <c r="BD27" s="65"/>
      <c r="BE27" s="1"/>
      <c r="BF27" s="1"/>
      <c r="BG27" s="25">
        <v>0.3</v>
      </c>
      <c r="BH27" s="25"/>
      <c r="BI27" s="1" t="s">
        <v>154</v>
      </c>
      <c r="BJ27" s="1" t="s">
        <v>159</v>
      </c>
      <c r="BK27" s="1"/>
      <c r="BL27" s="1"/>
    </row>
    <row r="28" spans="1:64" ht="14.25" customHeight="1">
      <c r="A28" s="1"/>
      <c r="B28" s="1" t="s">
        <v>145</v>
      </c>
      <c r="C28" s="1" t="s">
        <v>154</v>
      </c>
      <c r="D28" s="1" t="s">
        <v>161</v>
      </c>
      <c r="E28" s="1"/>
      <c r="F28" s="1" t="s">
        <v>156</v>
      </c>
      <c r="G28" s="1" t="s">
        <v>153</v>
      </c>
      <c r="H28" s="275">
        <v>0</v>
      </c>
      <c r="I28" s="275">
        <v>0</v>
      </c>
      <c r="J28" s="275">
        <v>0</v>
      </c>
      <c r="K28" s="275">
        <v>0</v>
      </c>
      <c r="L28" s="275">
        <v>0</v>
      </c>
      <c r="M28" s="275">
        <v>0</v>
      </c>
      <c r="N28" s="275">
        <v>0</v>
      </c>
      <c r="O28" s="275">
        <v>0</v>
      </c>
      <c r="P28" s="275">
        <v>0</v>
      </c>
      <c r="Q28" s="275">
        <v>2.3E-2</v>
      </c>
      <c r="R28" s="275">
        <v>4.4999999999999998E-2</v>
      </c>
      <c r="S28" s="275">
        <v>6.8000000000000005E-2</v>
      </c>
      <c r="T28" s="275">
        <v>0.09</v>
      </c>
      <c r="U28" s="275">
        <v>0.113</v>
      </c>
      <c r="V28" s="275">
        <v>0.27</v>
      </c>
      <c r="W28" s="275">
        <v>0.42699999999999999</v>
      </c>
      <c r="X28" s="275">
        <v>0.58499999999999996</v>
      </c>
      <c r="Y28" s="275">
        <v>0.74199999999999999</v>
      </c>
      <c r="Z28" s="275">
        <v>0.89900000000000002</v>
      </c>
      <c r="AA28" s="275">
        <v>0.92</v>
      </c>
      <c r="AB28" s="275">
        <v>0.94</v>
      </c>
      <c r="AC28" s="275">
        <v>0.96</v>
      </c>
      <c r="AD28" s="275">
        <v>0.98</v>
      </c>
      <c r="AE28" s="275">
        <v>1</v>
      </c>
      <c r="AF28" s="275">
        <v>1</v>
      </c>
      <c r="AG28" s="275">
        <v>1</v>
      </c>
      <c r="AH28" s="275">
        <v>1</v>
      </c>
      <c r="AI28" s="275">
        <v>1</v>
      </c>
      <c r="AJ28" s="275">
        <v>1</v>
      </c>
      <c r="AK28" s="275"/>
      <c r="AL28" s="1" t="s">
        <v>419</v>
      </c>
      <c r="AM28" s="65"/>
      <c r="AN28" s="65"/>
      <c r="AO28" s="65"/>
      <c r="AP28" s="65"/>
      <c r="AQ28" s="65"/>
      <c r="AR28" s="65"/>
      <c r="AS28" s="65"/>
      <c r="AT28" s="65"/>
      <c r="AU28" s="65"/>
      <c r="AV28" s="65"/>
      <c r="AW28" s="65"/>
      <c r="AX28" s="65"/>
      <c r="AY28" s="65"/>
      <c r="AZ28" s="65"/>
      <c r="BA28" s="65"/>
      <c r="BB28" s="65"/>
      <c r="BC28" s="65"/>
      <c r="BD28" s="65"/>
      <c r="BE28" s="1"/>
      <c r="BF28" s="1"/>
      <c r="BG28" s="25">
        <v>1</v>
      </c>
      <c r="BH28" s="25"/>
      <c r="BI28" s="1" t="s">
        <v>154</v>
      </c>
      <c r="BJ28" s="1" t="s">
        <v>161</v>
      </c>
      <c r="BK28" s="1"/>
      <c r="BL28" s="1"/>
    </row>
    <row r="29" spans="1:64" ht="14.25" customHeight="1">
      <c r="A29" s="1"/>
      <c r="B29" s="1" t="s">
        <v>145</v>
      </c>
      <c r="C29" s="1" t="s">
        <v>154</v>
      </c>
      <c r="D29" s="1" t="s">
        <v>166</v>
      </c>
      <c r="E29" s="1"/>
      <c r="F29" s="1" t="s">
        <v>156</v>
      </c>
      <c r="G29" s="1" t="s">
        <v>153</v>
      </c>
      <c r="H29" s="275">
        <v>0.01</v>
      </c>
      <c r="I29" s="275">
        <v>1.7000000000000001E-2</v>
      </c>
      <c r="J29" s="275">
        <v>2.3E-2</v>
      </c>
      <c r="K29" s="275">
        <v>0.03</v>
      </c>
      <c r="L29" s="275">
        <v>0.03</v>
      </c>
      <c r="M29" s="275">
        <v>3.1E-2</v>
      </c>
      <c r="N29" s="275">
        <v>3.1E-2</v>
      </c>
      <c r="O29" s="275">
        <v>3.1E-2</v>
      </c>
      <c r="P29" s="275">
        <v>3.2000000000000001E-2</v>
      </c>
      <c r="Q29" s="275">
        <v>2.9000000000000001E-2</v>
      </c>
      <c r="R29" s="275">
        <v>2.5999999999999999E-2</v>
      </c>
      <c r="S29" s="275">
        <v>2.3E-2</v>
      </c>
      <c r="T29" s="275">
        <v>0.02</v>
      </c>
      <c r="U29" s="275">
        <v>1.7000000000000001E-2</v>
      </c>
      <c r="V29" s="275">
        <v>1.7999999999999999E-2</v>
      </c>
      <c r="W29" s="275">
        <v>1.9E-2</v>
      </c>
      <c r="X29" s="275">
        <v>0.02</v>
      </c>
      <c r="Y29" s="275">
        <v>2.1000000000000001E-2</v>
      </c>
      <c r="Z29" s="275">
        <v>2.1000000000000001E-2</v>
      </c>
      <c r="AA29" s="275">
        <v>0.17699999999999999</v>
      </c>
      <c r="AB29" s="275">
        <v>0.33200000000000002</v>
      </c>
      <c r="AC29" s="275">
        <v>0.48699999999999999</v>
      </c>
      <c r="AD29" s="275">
        <v>0.64200000000000002</v>
      </c>
      <c r="AE29" s="275">
        <v>0.79800000000000004</v>
      </c>
      <c r="AF29" s="275">
        <v>0.80200000000000005</v>
      </c>
      <c r="AG29" s="275">
        <v>0.80600000000000005</v>
      </c>
      <c r="AH29" s="275">
        <v>0.81100000000000005</v>
      </c>
      <c r="AI29" s="275">
        <v>0.81499999999999995</v>
      </c>
      <c r="AJ29" s="275">
        <v>0.82</v>
      </c>
      <c r="AK29" s="275"/>
      <c r="AL29" s="1" t="s">
        <v>419</v>
      </c>
      <c r="AM29" s="65"/>
      <c r="AN29" s="65"/>
      <c r="AO29" s="65"/>
      <c r="AP29" s="65"/>
      <c r="AQ29" s="65"/>
      <c r="AR29" s="65"/>
      <c r="AS29" s="65"/>
      <c r="AT29" s="65"/>
      <c r="AU29" s="65"/>
      <c r="AV29" s="65"/>
      <c r="AW29" s="65"/>
      <c r="AX29" s="65"/>
      <c r="AY29" s="65"/>
      <c r="AZ29" s="65"/>
      <c r="BA29" s="65"/>
      <c r="BB29" s="65"/>
      <c r="BC29" s="65"/>
      <c r="BD29" s="65"/>
      <c r="BE29" s="1"/>
      <c r="BF29" s="1"/>
      <c r="BG29" s="25">
        <v>0.9</v>
      </c>
      <c r="BH29" s="25"/>
      <c r="BI29" s="1" t="s">
        <v>154</v>
      </c>
      <c r="BJ29" s="1" t="s">
        <v>166</v>
      </c>
      <c r="BK29" s="1"/>
      <c r="BL29" s="1"/>
    </row>
    <row r="30" spans="1:64" ht="14.25" customHeight="1">
      <c r="A30" s="1"/>
      <c r="B30" s="1" t="s">
        <v>145</v>
      </c>
      <c r="C30" s="1" t="s">
        <v>154</v>
      </c>
      <c r="D30" s="1" t="s">
        <v>167</v>
      </c>
      <c r="E30" s="1"/>
      <c r="F30" s="1" t="s">
        <v>156</v>
      </c>
      <c r="G30" s="1" t="s">
        <v>153</v>
      </c>
      <c r="H30" s="275">
        <v>5.0000000000000001E-3</v>
      </c>
      <c r="I30" s="275">
        <v>8.9999999999999993E-3</v>
      </c>
      <c r="J30" s="275">
        <v>1.2999999999999999E-2</v>
      </c>
      <c r="K30" s="275">
        <v>1.7000000000000001E-2</v>
      </c>
      <c r="L30" s="275">
        <v>1.7999999999999999E-2</v>
      </c>
      <c r="M30" s="275">
        <v>0.02</v>
      </c>
      <c r="N30" s="275">
        <v>2.1999999999999999E-2</v>
      </c>
      <c r="O30" s="275">
        <v>2.3E-2</v>
      </c>
      <c r="P30" s="275">
        <v>2.5000000000000001E-2</v>
      </c>
      <c r="Q30" s="275">
        <v>2.4E-2</v>
      </c>
      <c r="R30" s="275">
        <v>2.3E-2</v>
      </c>
      <c r="S30" s="275">
        <v>2.1000000000000001E-2</v>
      </c>
      <c r="T30" s="275">
        <v>0.02</v>
      </c>
      <c r="U30" s="275">
        <v>1.9E-2</v>
      </c>
      <c r="V30" s="275">
        <v>0.02</v>
      </c>
      <c r="W30" s="275">
        <v>2.1000000000000001E-2</v>
      </c>
      <c r="X30" s="275">
        <v>2.1000000000000001E-2</v>
      </c>
      <c r="Y30" s="275">
        <v>2.1999999999999999E-2</v>
      </c>
      <c r="Z30" s="275">
        <v>2.3E-2</v>
      </c>
      <c r="AA30" s="275">
        <v>0.125</v>
      </c>
      <c r="AB30" s="275">
        <v>0.22700000000000001</v>
      </c>
      <c r="AC30" s="275">
        <v>0.32800000000000001</v>
      </c>
      <c r="AD30" s="275">
        <v>0.43</v>
      </c>
      <c r="AE30" s="275">
        <v>0.53200000000000003</v>
      </c>
      <c r="AF30" s="275">
        <v>0.54700000000000004</v>
      </c>
      <c r="AG30" s="275">
        <v>0.56100000000000005</v>
      </c>
      <c r="AH30" s="275">
        <v>0.57499999999999996</v>
      </c>
      <c r="AI30" s="275">
        <v>0.58899999999999997</v>
      </c>
      <c r="AJ30" s="275">
        <v>0.60399999999999998</v>
      </c>
      <c r="AK30" s="275"/>
      <c r="AL30" s="1" t="s">
        <v>304</v>
      </c>
      <c r="AM30" s="65"/>
      <c r="AN30" s="65"/>
      <c r="AO30" s="65"/>
      <c r="AP30" s="65"/>
      <c r="AQ30" s="65"/>
      <c r="AR30" s="65"/>
      <c r="AS30" s="65"/>
      <c r="AT30" s="65"/>
      <c r="AU30" s="65"/>
      <c r="AV30" s="65"/>
      <c r="AW30" s="65"/>
      <c r="AX30" s="65"/>
      <c r="AY30" s="65"/>
      <c r="AZ30" s="65"/>
      <c r="BA30" s="65"/>
      <c r="BB30" s="65"/>
      <c r="BC30" s="65"/>
      <c r="BD30" s="65"/>
      <c r="BE30" s="1"/>
      <c r="BF30" s="1" t="s">
        <v>304</v>
      </c>
      <c r="BG30" s="25">
        <v>0.9</v>
      </c>
      <c r="BH30" s="25"/>
      <c r="BI30" s="1" t="s">
        <v>154</v>
      </c>
      <c r="BJ30" s="1" t="s">
        <v>167</v>
      </c>
      <c r="BK30" s="1"/>
      <c r="BL30" s="1"/>
    </row>
    <row r="31" spans="1:64" ht="14.25" customHeight="1">
      <c r="A31" s="1"/>
      <c r="B31" s="1" t="s">
        <v>145</v>
      </c>
      <c r="C31" s="1" t="s">
        <v>154</v>
      </c>
      <c r="D31" s="1" t="s">
        <v>172</v>
      </c>
      <c r="E31" s="1"/>
      <c r="F31" s="1" t="s">
        <v>156</v>
      </c>
      <c r="G31" s="1" t="s">
        <v>153</v>
      </c>
      <c r="H31" s="275">
        <v>1E-3</v>
      </c>
      <c r="I31" s="275">
        <v>3.0000000000000001E-3</v>
      </c>
      <c r="J31" s="275">
        <v>5.0000000000000001E-3</v>
      </c>
      <c r="K31" s="275">
        <v>7.0000000000000001E-3</v>
      </c>
      <c r="L31" s="275">
        <v>1.2999999999999999E-2</v>
      </c>
      <c r="M31" s="275">
        <v>1.7999999999999999E-2</v>
      </c>
      <c r="N31" s="275">
        <v>2.4E-2</v>
      </c>
      <c r="O31" s="275">
        <v>0.03</v>
      </c>
      <c r="P31" s="275">
        <v>3.5999999999999997E-2</v>
      </c>
      <c r="Q31" s="275">
        <v>3.6999999999999998E-2</v>
      </c>
      <c r="R31" s="275">
        <v>3.7999999999999999E-2</v>
      </c>
      <c r="S31" s="275">
        <v>0.04</v>
      </c>
      <c r="T31" s="275">
        <v>4.1000000000000002E-2</v>
      </c>
      <c r="U31" s="275">
        <v>4.2000000000000003E-2</v>
      </c>
      <c r="V31" s="275">
        <v>4.2999999999999997E-2</v>
      </c>
      <c r="W31" s="275">
        <v>4.3999999999999997E-2</v>
      </c>
      <c r="X31" s="275">
        <v>4.5999999999999999E-2</v>
      </c>
      <c r="Y31" s="275">
        <v>4.7E-2</v>
      </c>
      <c r="Z31" s="275">
        <v>4.8000000000000001E-2</v>
      </c>
      <c r="AA31" s="275">
        <v>0.14499999999999999</v>
      </c>
      <c r="AB31" s="275">
        <v>0.24199999999999999</v>
      </c>
      <c r="AC31" s="275">
        <v>0.34</v>
      </c>
      <c r="AD31" s="275">
        <v>0.437</v>
      </c>
      <c r="AE31" s="275">
        <v>0.53400000000000003</v>
      </c>
      <c r="AF31" s="275">
        <v>0.58199999999999996</v>
      </c>
      <c r="AG31" s="275">
        <v>0.63100000000000001</v>
      </c>
      <c r="AH31" s="275">
        <v>0.67900000000000005</v>
      </c>
      <c r="AI31" s="275">
        <v>0.72699999999999998</v>
      </c>
      <c r="AJ31" s="275">
        <v>0.77500000000000002</v>
      </c>
      <c r="AK31" s="275"/>
      <c r="AL31" s="1" t="s">
        <v>173</v>
      </c>
      <c r="AM31" s="65"/>
      <c r="AN31" s="65"/>
      <c r="AO31" s="65"/>
      <c r="AP31" s="65"/>
      <c r="AQ31" s="65"/>
      <c r="AR31" s="65"/>
      <c r="AS31" s="65"/>
      <c r="AT31" s="65"/>
      <c r="AU31" s="65"/>
      <c r="AV31" s="65"/>
      <c r="AW31" s="65"/>
      <c r="AX31" s="65"/>
      <c r="AY31" s="65"/>
      <c r="AZ31" s="65"/>
      <c r="BA31" s="65"/>
      <c r="BB31" s="65"/>
      <c r="BC31" s="65"/>
      <c r="BD31" s="65"/>
      <c r="BE31" s="1"/>
      <c r="BF31" s="1" t="s">
        <v>173</v>
      </c>
      <c r="BG31" s="25">
        <v>0.9</v>
      </c>
      <c r="BH31" s="25"/>
      <c r="BI31" s="1" t="s">
        <v>154</v>
      </c>
      <c r="BJ31" s="1" t="s">
        <v>172</v>
      </c>
      <c r="BK31" s="1"/>
      <c r="BL31" s="1"/>
    </row>
    <row r="32" spans="1:64" ht="14.25" customHeight="1">
      <c r="A32" s="1"/>
      <c r="B32" s="1"/>
      <c r="C32" s="1"/>
      <c r="D32" s="1" t="s">
        <v>308</v>
      </c>
      <c r="E32" s="1"/>
      <c r="F32" s="1" t="s">
        <v>184</v>
      </c>
      <c r="G32" s="1"/>
      <c r="H32" s="275">
        <v>4.0000000000000001E-3</v>
      </c>
      <c r="I32" s="275">
        <v>6.0000000000000001E-3</v>
      </c>
      <c r="J32" s="275">
        <v>8.0000000000000002E-3</v>
      </c>
      <c r="K32" s="275">
        <v>1.0999999999999999E-2</v>
      </c>
      <c r="L32" s="275">
        <v>1.2999999999999999E-2</v>
      </c>
      <c r="M32" s="275">
        <v>1.4999999999999999E-2</v>
      </c>
      <c r="N32" s="275">
        <v>1.7000000000000001E-2</v>
      </c>
      <c r="O32" s="275">
        <v>1.9E-2</v>
      </c>
      <c r="P32" s="275">
        <v>2.1999999999999999E-2</v>
      </c>
      <c r="Q32" s="275">
        <v>2.4E-2</v>
      </c>
      <c r="R32" s="275">
        <v>2.5999999999999999E-2</v>
      </c>
      <c r="S32" s="275">
        <v>2.8000000000000001E-2</v>
      </c>
      <c r="T32" s="275">
        <v>0.03</v>
      </c>
      <c r="U32" s="275">
        <v>3.3000000000000002E-2</v>
      </c>
      <c r="V32" s="275">
        <v>3.5000000000000003E-2</v>
      </c>
      <c r="W32" s="275">
        <v>3.6999999999999998E-2</v>
      </c>
      <c r="X32" s="275">
        <v>3.9E-2</v>
      </c>
      <c r="Y32" s="275">
        <v>4.1000000000000002E-2</v>
      </c>
      <c r="Z32" s="275">
        <v>4.3999999999999997E-2</v>
      </c>
      <c r="AA32" s="275">
        <v>4.5999999999999999E-2</v>
      </c>
      <c r="AB32" s="275">
        <v>4.8000000000000001E-2</v>
      </c>
      <c r="AC32" s="275">
        <v>0.05</v>
      </c>
      <c r="AD32" s="275">
        <v>5.1999999999999998E-2</v>
      </c>
      <c r="AE32" s="275">
        <v>5.5E-2</v>
      </c>
      <c r="AF32" s="275">
        <v>5.7000000000000002E-2</v>
      </c>
      <c r="AG32" s="275">
        <v>5.8999999999999997E-2</v>
      </c>
      <c r="AH32" s="275">
        <v>6.0999999999999999E-2</v>
      </c>
      <c r="AI32" s="275">
        <v>6.4000000000000001E-2</v>
      </c>
      <c r="AJ32" s="275">
        <v>6.6000000000000003E-2</v>
      </c>
      <c r="AK32" s="275"/>
      <c r="AL32" s="65" t="s">
        <v>427</v>
      </c>
      <c r="AM32" s="65"/>
      <c r="AN32" s="65"/>
      <c r="AO32" s="65"/>
      <c r="AP32" s="65"/>
      <c r="AQ32" s="65"/>
      <c r="AR32" s="65"/>
      <c r="AS32" s="65"/>
      <c r="AT32" s="65"/>
      <c r="AU32" s="65"/>
      <c r="AV32" s="65"/>
      <c r="AW32" s="65"/>
      <c r="AX32" s="65"/>
      <c r="AY32" s="65"/>
      <c r="AZ32" s="65"/>
      <c r="BA32" s="65"/>
      <c r="BB32" s="65"/>
      <c r="BC32" s="65"/>
      <c r="BD32" s="65"/>
      <c r="BE32" s="1"/>
      <c r="BF32" s="1"/>
      <c r="BG32" s="25"/>
      <c r="BH32" s="25"/>
      <c r="BI32" s="1" t="s">
        <v>186</v>
      </c>
      <c r="BJ32" s="1" t="s">
        <v>418</v>
      </c>
      <c r="BK32" s="1"/>
      <c r="BL32" s="1"/>
    </row>
    <row r="33" spans="2:68" ht="14.25" customHeight="1">
      <c r="B33" s="1"/>
      <c r="C33" s="1"/>
      <c r="D33" s="1" t="s">
        <v>312</v>
      </c>
      <c r="E33" s="1"/>
      <c r="F33" s="1" t="s">
        <v>184</v>
      </c>
      <c r="G33" s="1"/>
      <c r="H33" s="25">
        <v>0</v>
      </c>
      <c r="I33" s="65">
        <f>0.12*0.08</f>
        <v>9.5999999999999992E-3</v>
      </c>
      <c r="J33" s="65">
        <v>1.0999999999999999E-2</v>
      </c>
      <c r="K33" s="65">
        <f>0.12*0.1</f>
        <v>1.2E-2</v>
      </c>
      <c r="L33" s="65">
        <f t="shared" ref="L33:AI33" si="18">K33+($AJ$33-$K$33)/($AJ$1-$K$1)</f>
        <v>1.2920000000000001E-2</v>
      </c>
      <c r="M33" s="65">
        <f t="shared" si="18"/>
        <v>1.3840000000000002E-2</v>
      </c>
      <c r="N33" s="65">
        <f t="shared" si="18"/>
        <v>1.4760000000000002E-2</v>
      </c>
      <c r="O33" s="65">
        <f t="shared" si="18"/>
        <v>1.5680000000000003E-2</v>
      </c>
      <c r="P33" s="65">
        <f t="shared" si="18"/>
        <v>1.6600000000000004E-2</v>
      </c>
      <c r="Q33" s="65">
        <f t="shared" si="18"/>
        <v>1.7520000000000004E-2</v>
      </c>
      <c r="R33" s="65">
        <f t="shared" si="18"/>
        <v>1.8440000000000005E-2</v>
      </c>
      <c r="S33" s="65">
        <f t="shared" si="18"/>
        <v>1.9360000000000006E-2</v>
      </c>
      <c r="T33" s="65">
        <f t="shared" si="18"/>
        <v>2.0280000000000006E-2</v>
      </c>
      <c r="U33" s="65">
        <f t="shared" si="18"/>
        <v>2.1200000000000007E-2</v>
      </c>
      <c r="V33" s="65">
        <f t="shared" si="18"/>
        <v>2.2120000000000008E-2</v>
      </c>
      <c r="W33" s="65">
        <f t="shared" si="18"/>
        <v>2.3040000000000008E-2</v>
      </c>
      <c r="X33" s="65">
        <f t="shared" si="18"/>
        <v>2.3960000000000009E-2</v>
      </c>
      <c r="Y33" s="65">
        <f t="shared" si="18"/>
        <v>2.488000000000001E-2</v>
      </c>
      <c r="Z33" s="65">
        <f t="shared" si="18"/>
        <v>2.580000000000001E-2</v>
      </c>
      <c r="AA33" s="65">
        <f t="shared" si="18"/>
        <v>2.6720000000000011E-2</v>
      </c>
      <c r="AB33" s="65">
        <f t="shared" si="18"/>
        <v>2.7640000000000012E-2</v>
      </c>
      <c r="AC33" s="65">
        <f t="shared" si="18"/>
        <v>2.8560000000000012E-2</v>
      </c>
      <c r="AD33" s="65">
        <f t="shared" si="18"/>
        <v>2.9480000000000013E-2</v>
      </c>
      <c r="AE33" s="65">
        <f t="shared" si="18"/>
        <v>3.0400000000000014E-2</v>
      </c>
      <c r="AF33" s="65">
        <f t="shared" si="18"/>
        <v>3.1320000000000014E-2</v>
      </c>
      <c r="AG33" s="65">
        <f t="shared" si="18"/>
        <v>3.2240000000000012E-2</v>
      </c>
      <c r="AH33" s="65">
        <f t="shared" si="18"/>
        <v>3.3160000000000009E-2</v>
      </c>
      <c r="AI33" s="65">
        <f t="shared" si="18"/>
        <v>3.4080000000000006E-2</v>
      </c>
      <c r="AJ33" s="381">
        <f>'Net Zero 2050'!AA37</f>
        <v>3.5000000000000003E-2</v>
      </c>
      <c r="AK33" s="275"/>
      <c r="AL33" s="65" t="s">
        <v>427</v>
      </c>
      <c r="AM33" s="65"/>
      <c r="AN33" s="65"/>
      <c r="AO33" s="65"/>
      <c r="AP33" s="65"/>
      <c r="AQ33" s="65"/>
      <c r="AR33" s="65"/>
      <c r="AS33" s="65"/>
      <c r="AT33" s="65"/>
      <c r="AU33" s="65"/>
      <c r="AV33" s="65"/>
      <c r="AW33" s="65"/>
      <c r="AX33" s="65"/>
      <c r="AY33" s="65"/>
      <c r="AZ33" s="65"/>
      <c r="BA33" s="65"/>
      <c r="BB33" s="65"/>
      <c r="BC33" s="65"/>
      <c r="BD33" s="65"/>
      <c r="BE33" s="1"/>
      <c r="BF33" s="1"/>
      <c r="BG33" s="25"/>
      <c r="BH33" s="25"/>
      <c r="BI33" s="1" t="s">
        <v>190</v>
      </c>
      <c r="BJ33" s="1"/>
      <c r="BK33" s="1"/>
      <c r="BL33" s="1"/>
      <c r="BM33" s="1"/>
      <c r="BN33" s="1"/>
      <c r="BO33" s="1"/>
      <c r="BP33" s="1"/>
    </row>
    <row r="34" spans="2:68" ht="14.25" customHeight="1">
      <c r="B34" s="1"/>
      <c r="C34" s="1"/>
      <c r="D34" s="1" t="s">
        <v>191</v>
      </c>
      <c r="E34" s="1"/>
      <c r="F34" s="1" t="s">
        <v>184</v>
      </c>
      <c r="G34" s="1"/>
      <c r="H34" s="65">
        <f>0.11*0.12*0.5</f>
        <v>6.6E-3</v>
      </c>
      <c r="I34" s="65">
        <f t="shared" ref="I34:AI34" si="19">H34+($AJ$34-$H$34)/($AJ$1-$H$1)</f>
        <v>8.9714285714285712E-3</v>
      </c>
      <c r="J34" s="65">
        <f t="shared" si="19"/>
        <v>1.1342857142857142E-2</v>
      </c>
      <c r="K34" s="65">
        <f t="shared" si="19"/>
        <v>1.3714285714285714E-2</v>
      </c>
      <c r="L34" s="65">
        <f t="shared" si="19"/>
        <v>1.6085714285714287E-2</v>
      </c>
      <c r="M34" s="65">
        <f t="shared" si="19"/>
        <v>1.8457142857142859E-2</v>
      </c>
      <c r="N34" s="65">
        <f t="shared" si="19"/>
        <v>2.0828571428571432E-2</v>
      </c>
      <c r="O34" s="65">
        <f t="shared" si="19"/>
        <v>2.3200000000000005E-2</v>
      </c>
      <c r="P34" s="65">
        <f t="shared" si="19"/>
        <v>2.5571428571428578E-2</v>
      </c>
      <c r="Q34" s="65">
        <f t="shared" si="19"/>
        <v>2.7942857142857151E-2</v>
      </c>
      <c r="R34" s="65">
        <f t="shared" si="19"/>
        <v>3.0314285714285724E-2</v>
      </c>
      <c r="S34" s="65">
        <f t="shared" si="19"/>
        <v>3.2685714285714297E-2</v>
      </c>
      <c r="T34" s="65">
        <f t="shared" si="19"/>
        <v>3.505714285714287E-2</v>
      </c>
      <c r="U34" s="65">
        <f t="shared" si="19"/>
        <v>3.7428571428571443E-2</v>
      </c>
      <c r="V34" s="65">
        <f t="shared" si="19"/>
        <v>3.9800000000000016E-2</v>
      </c>
      <c r="W34" s="65">
        <f t="shared" si="19"/>
        <v>4.2171428571428589E-2</v>
      </c>
      <c r="X34" s="65">
        <f t="shared" si="19"/>
        <v>4.4542857142857162E-2</v>
      </c>
      <c r="Y34" s="65">
        <f t="shared" si="19"/>
        <v>4.6914285714285735E-2</v>
      </c>
      <c r="Z34" s="65">
        <f t="shared" si="19"/>
        <v>4.9285714285714308E-2</v>
      </c>
      <c r="AA34" s="65">
        <f t="shared" si="19"/>
        <v>5.1657142857142881E-2</v>
      </c>
      <c r="AB34" s="65">
        <f t="shared" si="19"/>
        <v>5.4028571428571454E-2</v>
      </c>
      <c r="AC34" s="65">
        <f t="shared" si="19"/>
        <v>5.6400000000000027E-2</v>
      </c>
      <c r="AD34" s="65">
        <f t="shared" si="19"/>
        <v>5.8771428571428599E-2</v>
      </c>
      <c r="AE34" s="65">
        <f t="shared" si="19"/>
        <v>6.1142857142857172E-2</v>
      </c>
      <c r="AF34" s="65">
        <f t="shared" si="19"/>
        <v>6.3514285714285745E-2</v>
      </c>
      <c r="AG34" s="65">
        <f t="shared" si="19"/>
        <v>6.5885714285714311E-2</v>
      </c>
      <c r="AH34" s="65">
        <f t="shared" si="19"/>
        <v>6.8257142857142877E-2</v>
      </c>
      <c r="AI34" s="65">
        <f t="shared" si="19"/>
        <v>7.0628571428571443E-2</v>
      </c>
      <c r="AJ34" s="381">
        <f>'Net Zero 2050'!AA38</f>
        <v>7.2999999999999995E-2</v>
      </c>
      <c r="AK34" s="275"/>
      <c r="AL34" s="65" t="s">
        <v>427</v>
      </c>
      <c r="AM34" s="65"/>
      <c r="AN34" s="65"/>
      <c r="AO34" s="65"/>
      <c r="AP34" s="65"/>
      <c r="AQ34" s="65"/>
      <c r="AR34" s="65"/>
      <c r="AS34" s="65"/>
      <c r="AT34" s="65"/>
      <c r="AU34" s="65"/>
      <c r="AV34" s="65"/>
      <c r="AW34" s="65"/>
      <c r="AX34" s="65"/>
      <c r="AY34" s="65"/>
      <c r="AZ34" s="65"/>
      <c r="BA34" s="65"/>
      <c r="BB34" s="65"/>
      <c r="BC34" s="65"/>
      <c r="BD34" s="65"/>
      <c r="BE34" s="1"/>
      <c r="BF34" s="1"/>
      <c r="BG34" s="25"/>
      <c r="BH34" s="25"/>
      <c r="BI34" s="1" t="s">
        <v>192</v>
      </c>
      <c r="BJ34" s="1"/>
      <c r="BK34" s="1"/>
      <c r="BL34" s="1"/>
      <c r="BM34" s="1"/>
      <c r="BN34" s="1"/>
      <c r="BO34" s="1"/>
      <c r="BP34" s="1"/>
    </row>
    <row r="35" spans="2:68" ht="14.25" customHeight="1">
      <c r="B35" s="1" t="s">
        <v>194</v>
      </c>
      <c r="C35" s="1" t="s">
        <v>154</v>
      </c>
      <c r="D35" s="1"/>
      <c r="E35" s="1"/>
      <c r="F35" s="1" t="s">
        <v>156</v>
      </c>
      <c r="G35" s="1" t="s">
        <v>153</v>
      </c>
      <c r="H35" s="275">
        <v>0</v>
      </c>
      <c r="I35" s="275">
        <v>0</v>
      </c>
      <c r="J35" s="275">
        <v>0</v>
      </c>
      <c r="K35" s="275">
        <v>0</v>
      </c>
      <c r="L35" s="275">
        <v>0</v>
      </c>
      <c r="M35" s="275">
        <v>0</v>
      </c>
      <c r="N35" s="275">
        <v>0</v>
      </c>
      <c r="O35" s="275">
        <v>0</v>
      </c>
      <c r="P35" s="275">
        <v>0</v>
      </c>
      <c r="Q35" s="275">
        <v>0</v>
      </c>
      <c r="R35" s="275">
        <v>0</v>
      </c>
      <c r="S35" s="275">
        <v>0</v>
      </c>
      <c r="T35" s="275">
        <v>0</v>
      </c>
      <c r="U35" s="275">
        <v>0</v>
      </c>
      <c r="V35" s="275">
        <v>2E-3</v>
      </c>
      <c r="W35" s="275">
        <v>3.0000000000000001E-3</v>
      </c>
      <c r="X35" s="275">
        <v>4.0000000000000001E-3</v>
      </c>
      <c r="Y35" s="275">
        <v>6.0000000000000001E-3</v>
      </c>
      <c r="Z35" s="275">
        <v>7.0000000000000001E-3</v>
      </c>
      <c r="AA35" s="275">
        <v>0.02</v>
      </c>
      <c r="AB35" s="275">
        <v>3.4000000000000002E-2</v>
      </c>
      <c r="AC35" s="275">
        <v>4.7E-2</v>
      </c>
      <c r="AD35" s="65">
        <f t="shared" ref="AD35:AD36" si="20">AC35+($AE35-$Z35)/($AE$1-$Z$1)</f>
        <v>4.5600000000000002E-2</v>
      </c>
      <c r="AE35" s="65">
        <f>[2]transport!$T$45</f>
        <v>0</v>
      </c>
      <c r="AF35" s="65">
        <f t="shared" ref="AF35:AI35" si="21">AE35+($AJ35-$AE35)/($AJ$1-$AE$1)</f>
        <v>0</v>
      </c>
      <c r="AG35" s="65">
        <f t="shared" si="21"/>
        <v>0</v>
      </c>
      <c r="AH35" s="65">
        <f t="shared" si="21"/>
        <v>0</v>
      </c>
      <c r="AI35" s="65">
        <f t="shared" si="21"/>
        <v>0</v>
      </c>
      <c r="AJ35" s="65">
        <f>[2]transport!$T$46</f>
        <v>0</v>
      </c>
      <c r="AK35" s="275"/>
      <c r="AL35" s="1" t="s">
        <v>419</v>
      </c>
      <c r="AM35" s="65"/>
      <c r="AN35" s="65"/>
      <c r="AO35" s="65"/>
      <c r="AP35" s="65"/>
      <c r="AQ35" s="65"/>
      <c r="AR35" s="65"/>
      <c r="AS35" s="65"/>
      <c r="AT35" s="65"/>
      <c r="AU35" s="65"/>
      <c r="AV35" s="65"/>
      <c r="AW35" s="65"/>
      <c r="AX35" s="65"/>
      <c r="AY35" s="65"/>
      <c r="AZ35" s="65"/>
      <c r="BA35" s="65"/>
      <c r="BB35" s="65"/>
      <c r="BC35" s="65"/>
      <c r="BD35" s="65"/>
      <c r="BE35" s="1"/>
      <c r="BF35" s="1"/>
      <c r="BG35" s="25">
        <v>0.5</v>
      </c>
      <c r="BH35" s="1"/>
      <c r="BI35" s="1" t="s">
        <v>154</v>
      </c>
      <c r="BJ35" s="1"/>
      <c r="BK35" s="1"/>
      <c r="BL35" s="1"/>
      <c r="BM35" s="1"/>
      <c r="BN35" s="1" t="s">
        <v>194</v>
      </c>
      <c r="BO35" s="1"/>
      <c r="BP35" s="1"/>
    </row>
    <row r="36" spans="2:68" ht="14.25" customHeight="1">
      <c r="B36" s="1" t="s">
        <v>199</v>
      </c>
      <c r="C36" s="1" t="s">
        <v>154</v>
      </c>
      <c r="D36" s="1"/>
      <c r="E36" s="1"/>
      <c r="F36" s="1" t="s">
        <v>156</v>
      </c>
      <c r="G36" s="1" t="s">
        <v>153</v>
      </c>
      <c r="H36" s="275">
        <v>0</v>
      </c>
      <c r="I36" s="275">
        <v>0</v>
      </c>
      <c r="J36" s="275">
        <v>0</v>
      </c>
      <c r="K36" s="275">
        <v>0</v>
      </c>
      <c r="L36" s="275">
        <v>0</v>
      </c>
      <c r="M36" s="275">
        <v>0</v>
      </c>
      <c r="N36" s="275">
        <v>0</v>
      </c>
      <c r="O36" s="275">
        <v>0</v>
      </c>
      <c r="P36" s="275">
        <v>0</v>
      </c>
      <c r="Q36" s="275">
        <v>0</v>
      </c>
      <c r="R36" s="275">
        <v>0</v>
      </c>
      <c r="S36" s="275">
        <v>0</v>
      </c>
      <c r="T36" s="275">
        <v>0</v>
      </c>
      <c r="U36" s="275">
        <v>0</v>
      </c>
      <c r="V36" s="275">
        <v>0</v>
      </c>
      <c r="W36" s="275">
        <v>0</v>
      </c>
      <c r="X36" s="275">
        <v>0</v>
      </c>
      <c r="Y36" s="275">
        <v>0</v>
      </c>
      <c r="Z36" s="275">
        <v>0</v>
      </c>
      <c r="AA36" s="275">
        <v>0</v>
      </c>
      <c r="AB36" s="275">
        <v>0</v>
      </c>
      <c r="AC36" s="275">
        <v>0</v>
      </c>
      <c r="AD36" s="65">
        <f t="shared" si="20"/>
        <v>0</v>
      </c>
      <c r="AE36" s="65">
        <f>[2]transport!$Q$45</f>
        <v>0</v>
      </c>
      <c r="AF36" s="65">
        <f t="shared" ref="AF36:AI36" si="22">AE36+($AJ36-$AE36)/($AJ$1-$AE$1)</f>
        <v>0</v>
      </c>
      <c r="AG36" s="65">
        <f t="shared" si="22"/>
        <v>0</v>
      </c>
      <c r="AH36" s="65">
        <f t="shared" si="22"/>
        <v>0</v>
      </c>
      <c r="AI36" s="65">
        <f t="shared" si="22"/>
        <v>0</v>
      </c>
      <c r="AJ36" s="65">
        <f>[2]transport!$Q$46</f>
        <v>0</v>
      </c>
      <c r="AK36" s="275"/>
      <c r="AL36" s="1" t="s">
        <v>419</v>
      </c>
      <c r="AM36" s="65"/>
      <c r="AN36" s="65"/>
      <c r="AO36" s="65"/>
      <c r="AP36" s="65"/>
      <c r="AQ36" s="65"/>
      <c r="AR36" s="65"/>
      <c r="AS36" s="65"/>
      <c r="AT36" s="65"/>
      <c r="AU36" s="65"/>
      <c r="AV36" s="65"/>
      <c r="AW36" s="65"/>
      <c r="AX36" s="65"/>
      <c r="AY36" s="65"/>
      <c r="AZ36" s="65"/>
      <c r="BA36" s="65"/>
      <c r="BB36" s="65"/>
      <c r="BC36" s="65"/>
      <c r="BD36" s="65"/>
      <c r="BE36" s="1"/>
      <c r="BF36" s="1"/>
      <c r="BG36" s="25">
        <v>0.2</v>
      </c>
      <c r="BH36" s="1"/>
      <c r="BI36" s="1" t="s">
        <v>154</v>
      </c>
      <c r="BJ36" s="1"/>
      <c r="BK36" s="1"/>
      <c r="BL36" s="1"/>
      <c r="BM36" s="1"/>
      <c r="BN36" s="1" t="s">
        <v>199</v>
      </c>
      <c r="BO36" s="1"/>
      <c r="BP36" s="1"/>
    </row>
    <row r="37" spans="2:68" ht="14.25" customHeight="1">
      <c r="B37" s="1" t="s">
        <v>202</v>
      </c>
      <c r="C37" s="1" t="s">
        <v>154</v>
      </c>
      <c r="D37" s="1"/>
      <c r="E37" s="1"/>
      <c r="F37" s="1" t="s">
        <v>156</v>
      </c>
      <c r="G37" s="1" t="s">
        <v>153</v>
      </c>
      <c r="H37" s="275">
        <v>0</v>
      </c>
      <c r="I37" s="275">
        <v>0</v>
      </c>
      <c r="J37" s="275">
        <v>0</v>
      </c>
      <c r="K37" s="275">
        <v>0</v>
      </c>
      <c r="L37" s="275">
        <v>0</v>
      </c>
      <c r="M37" s="275">
        <v>0</v>
      </c>
      <c r="N37" s="275">
        <v>0</v>
      </c>
      <c r="O37" s="275">
        <v>0</v>
      </c>
      <c r="P37" s="275">
        <v>0</v>
      </c>
      <c r="Q37" s="275">
        <v>0</v>
      </c>
      <c r="R37" s="275">
        <v>0</v>
      </c>
      <c r="S37" s="275">
        <v>0</v>
      </c>
      <c r="T37" s="275">
        <v>0</v>
      </c>
      <c r="U37" s="275">
        <v>0</v>
      </c>
      <c r="V37" s="275">
        <v>0</v>
      </c>
      <c r="W37" s="275">
        <v>0</v>
      </c>
      <c r="X37" s="275">
        <v>0</v>
      </c>
      <c r="Y37" s="275">
        <v>0</v>
      </c>
      <c r="Z37" s="275">
        <v>0</v>
      </c>
      <c r="AA37" s="275">
        <v>0</v>
      </c>
      <c r="AB37" s="275">
        <v>0</v>
      </c>
      <c r="AC37" s="275">
        <v>0</v>
      </c>
      <c r="AD37" s="65">
        <f t="shared" ref="AD37:AI37" si="23">AC37+($AJ37-$Z37)/($AJ$1-$Z$1)</f>
        <v>0</v>
      </c>
      <c r="AE37" s="65">
        <f t="shared" si="23"/>
        <v>0</v>
      </c>
      <c r="AF37" s="65">
        <f t="shared" si="23"/>
        <v>0</v>
      </c>
      <c r="AG37" s="65">
        <f t="shared" si="23"/>
        <v>0</v>
      </c>
      <c r="AH37" s="65">
        <f t="shared" si="23"/>
        <v>0</v>
      </c>
      <c r="AI37" s="65">
        <f t="shared" si="23"/>
        <v>0</v>
      </c>
      <c r="AJ37" s="65">
        <f>[2]transport!$N$46</f>
        <v>0</v>
      </c>
      <c r="AK37" s="275"/>
      <c r="AL37" s="1" t="s">
        <v>419</v>
      </c>
      <c r="AM37" s="65"/>
      <c r="AN37" s="65"/>
      <c r="AO37" s="65"/>
      <c r="AP37" s="65"/>
      <c r="AQ37" s="65"/>
      <c r="AR37" s="65"/>
      <c r="AS37" s="65"/>
      <c r="AT37" s="65"/>
      <c r="AU37" s="65"/>
      <c r="AV37" s="65"/>
      <c r="AW37" s="65"/>
      <c r="AX37" s="65"/>
      <c r="AY37" s="65"/>
      <c r="AZ37" s="65"/>
      <c r="BA37" s="65"/>
      <c r="BB37" s="65"/>
      <c r="BC37" s="65"/>
      <c r="BD37" s="65"/>
      <c r="BE37" s="1"/>
      <c r="BF37" s="1"/>
      <c r="BG37" s="25">
        <v>0.05</v>
      </c>
      <c r="BH37" s="1"/>
      <c r="BI37" s="1" t="s">
        <v>154</v>
      </c>
      <c r="BJ37" s="1"/>
      <c r="BK37" s="1"/>
      <c r="BL37" s="1"/>
      <c r="BM37" s="1"/>
      <c r="BN37" s="1" t="s">
        <v>202</v>
      </c>
      <c r="BO37" s="1" t="s">
        <v>422</v>
      </c>
      <c r="BP37" s="1"/>
    </row>
    <row r="38" spans="2:68" ht="14.25" customHeight="1">
      <c r="B38" s="1" t="s">
        <v>194</v>
      </c>
      <c r="C38" s="1" t="s">
        <v>328</v>
      </c>
      <c r="D38" s="1"/>
      <c r="E38" s="1"/>
      <c r="F38" s="1" t="s">
        <v>156</v>
      </c>
      <c r="G38" s="1" t="s">
        <v>153</v>
      </c>
      <c r="H38" s="275">
        <v>0</v>
      </c>
      <c r="I38" s="275">
        <v>0</v>
      </c>
      <c r="J38" s="275">
        <v>0</v>
      </c>
      <c r="K38" s="275">
        <v>0</v>
      </c>
      <c r="L38" s="275">
        <v>0</v>
      </c>
      <c r="M38" s="275">
        <v>0</v>
      </c>
      <c r="N38" s="275">
        <v>0</v>
      </c>
      <c r="O38" s="275">
        <v>0</v>
      </c>
      <c r="P38" s="275">
        <v>0</v>
      </c>
      <c r="Q38" s="275">
        <v>0</v>
      </c>
      <c r="R38" s="275">
        <v>0</v>
      </c>
      <c r="S38" s="275">
        <v>0</v>
      </c>
      <c r="T38" s="275">
        <v>0</v>
      </c>
      <c r="U38" s="275">
        <v>0</v>
      </c>
      <c r="V38" s="275">
        <v>0</v>
      </c>
      <c r="W38" s="275">
        <v>0</v>
      </c>
      <c r="X38" s="275">
        <v>0</v>
      </c>
      <c r="Y38" s="275">
        <v>0</v>
      </c>
      <c r="Z38" s="275">
        <v>0</v>
      </c>
      <c r="AA38" s="275">
        <v>0</v>
      </c>
      <c r="AB38" s="275">
        <v>0</v>
      </c>
      <c r="AC38" s="275">
        <v>0</v>
      </c>
      <c r="AD38" s="65">
        <f t="shared" ref="AD38:AI38" si="24">AC38+($AJ38-$U38)/($AJ$1-$U$1)</f>
        <v>0</v>
      </c>
      <c r="AE38" s="65">
        <f t="shared" si="24"/>
        <v>0</v>
      </c>
      <c r="AF38" s="65">
        <f t="shared" si="24"/>
        <v>0</v>
      </c>
      <c r="AG38" s="65">
        <f t="shared" si="24"/>
        <v>0</v>
      </c>
      <c r="AH38" s="65">
        <f t="shared" si="24"/>
        <v>0</v>
      </c>
      <c r="AI38" s="65">
        <f t="shared" si="24"/>
        <v>0</v>
      </c>
      <c r="AJ38" s="381">
        <f>[2]transport!$U$46</f>
        <v>0</v>
      </c>
      <c r="AK38" s="275"/>
      <c r="AL38" s="1" t="s">
        <v>419</v>
      </c>
      <c r="AM38" s="65"/>
      <c r="AN38" s="65"/>
      <c r="AO38" s="65"/>
      <c r="AP38" s="65"/>
      <c r="AQ38" s="65"/>
      <c r="AR38" s="65"/>
      <c r="AS38" s="65"/>
      <c r="AT38" s="65"/>
      <c r="AU38" s="65"/>
      <c r="AV38" s="65"/>
      <c r="AW38" s="65"/>
      <c r="AX38" s="65"/>
      <c r="AY38" s="65"/>
      <c r="AZ38" s="65"/>
      <c r="BA38" s="65"/>
      <c r="BB38" s="65"/>
      <c r="BC38" s="65"/>
      <c r="BD38" s="65"/>
      <c r="BE38" s="1"/>
      <c r="BF38" s="1" t="s">
        <v>423</v>
      </c>
      <c r="BG38" s="54">
        <v>5.0000000000000001E-3</v>
      </c>
      <c r="BH38" s="1"/>
      <c r="BI38" s="1" t="s">
        <v>328</v>
      </c>
      <c r="BJ38" s="1"/>
      <c r="BK38" s="1"/>
      <c r="BL38" s="1"/>
      <c r="BM38" s="1"/>
      <c r="BN38" s="1" t="s">
        <v>194</v>
      </c>
      <c r="BO38" s="1"/>
      <c r="BP38" s="1"/>
    </row>
    <row r="39" spans="2:68" ht="14.25" customHeight="1">
      <c r="B39" s="1" t="s">
        <v>199</v>
      </c>
      <c r="C39" s="1" t="s">
        <v>328</v>
      </c>
      <c r="D39" s="1"/>
      <c r="E39" s="1"/>
      <c r="F39" s="1" t="s">
        <v>156</v>
      </c>
      <c r="G39" s="1" t="s">
        <v>153</v>
      </c>
      <c r="H39" s="275">
        <v>0</v>
      </c>
      <c r="I39" s="275">
        <v>0</v>
      </c>
      <c r="J39" s="275">
        <v>0</v>
      </c>
      <c r="K39" s="275">
        <v>0</v>
      </c>
      <c r="L39" s="275">
        <v>0</v>
      </c>
      <c r="M39" s="275">
        <v>0</v>
      </c>
      <c r="N39" s="275">
        <v>0</v>
      </c>
      <c r="O39" s="275">
        <v>0</v>
      </c>
      <c r="P39" s="275">
        <v>0</v>
      </c>
      <c r="Q39" s="275">
        <v>0</v>
      </c>
      <c r="R39" s="275">
        <v>0</v>
      </c>
      <c r="S39" s="275">
        <v>0</v>
      </c>
      <c r="T39" s="275">
        <v>0</v>
      </c>
      <c r="U39" s="275">
        <v>0</v>
      </c>
      <c r="V39" s="275">
        <v>0</v>
      </c>
      <c r="W39" s="275">
        <v>1E-3</v>
      </c>
      <c r="X39" s="275">
        <v>1E-3</v>
      </c>
      <c r="Y39" s="275">
        <v>2E-3</v>
      </c>
      <c r="Z39" s="275">
        <v>2E-3</v>
      </c>
      <c r="AA39" s="275">
        <v>3.0000000000000001E-3</v>
      </c>
      <c r="AB39" s="275">
        <v>3.0000000000000001E-3</v>
      </c>
      <c r="AC39" s="275">
        <v>3.0000000000000001E-3</v>
      </c>
      <c r="AD39" s="65">
        <f t="shared" ref="AD39:AI39" si="25">AC39+($AJ39-$U39)/($AJ$1-$U$1)</f>
        <v>3.0000000000000001E-3</v>
      </c>
      <c r="AE39" s="65">
        <f t="shared" si="25"/>
        <v>3.0000000000000001E-3</v>
      </c>
      <c r="AF39" s="65">
        <f t="shared" si="25"/>
        <v>3.0000000000000001E-3</v>
      </c>
      <c r="AG39" s="65">
        <f t="shared" si="25"/>
        <v>3.0000000000000001E-3</v>
      </c>
      <c r="AH39" s="65">
        <f t="shared" si="25"/>
        <v>3.0000000000000001E-3</v>
      </c>
      <c r="AI39" s="65">
        <f t="shared" si="25"/>
        <v>3.0000000000000001E-3</v>
      </c>
      <c r="AJ39" s="381">
        <f>[2]transport!$R$46</f>
        <v>0</v>
      </c>
      <c r="AK39" s="275"/>
      <c r="AL39" s="1" t="s">
        <v>419</v>
      </c>
      <c r="AM39" s="65"/>
      <c r="AN39" s="65"/>
      <c r="AO39" s="65"/>
      <c r="AP39" s="65"/>
      <c r="AQ39" s="65"/>
      <c r="AR39" s="65"/>
      <c r="AS39" s="65"/>
      <c r="AT39" s="65"/>
      <c r="AU39" s="65"/>
      <c r="AV39" s="65"/>
      <c r="AW39" s="65"/>
      <c r="AX39" s="65"/>
      <c r="AY39" s="65"/>
      <c r="AZ39" s="65"/>
      <c r="BA39" s="65"/>
      <c r="BB39" s="65"/>
      <c r="BC39" s="65"/>
      <c r="BD39" s="65"/>
      <c r="BE39" s="1"/>
      <c r="BF39" s="1"/>
      <c r="BG39" s="25">
        <v>0.01</v>
      </c>
      <c r="BH39" s="1"/>
      <c r="BI39" s="1" t="s">
        <v>328</v>
      </c>
      <c r="BJ39" s="1"/>
      <c r="BK39" s="1"/>
      <c r="BL39" s="1"/>
      <c r="BM39" s="1"/>
      <c r="BN39" s="1" t="s">
        <v>199</v>
      </c>
      <c r="BO39" s="1"/>
      <c r="BP39" s="1"/>
    </row>
    <row r="40" spans="2:68" ht="14.25" customHeight="1">
      <c r="B40" s="1" t="s">
        <v>202</v>
      </c>
      <c r="C40" s="1" t="s">
        <v>328</v>
      </c>
      <c r="D40" s="1"/>
      <c r="E40" s="1"/>
      <c r="F40" s="1" t="s">
        <v>156</v>
      </c>
      <c r="G40" s="1" t="s">
        <v>153</v>
      </c>
      <c r="H40" s="275">
        <v>0</v>
      </c>
      <c r="I40" s="275">
        <v>0</v>
      </c>
      <c r="J40" s="275">
        <v>0</v>
      </c>
      <c r="K40" s="275">
        <v>0</v>
      </c>
      <c r="L40" s="275">
        <v>0</v>
      </c>
      <c r="M40" s="275">
        <v>0</v>
      </c>
      <c r="N40" s="275">
        <v>0</v>
      </c>
      <c r="O40" s="275">
        <v>0</v>
      </c>
      <c r="P40" s="275">
        <v>0</v>
      </c>
      <c r="Q40" s="275">
        <v>0</v>
      </c>
      <c r="R40" s="275">
        <v>0</v>
      </c>
      <c r="S40" s="275">
        <v>0</v>
      </c>
      <c r="T40" s="275">
        <v>0</v>
      </c>
      <c r="U40" s="275">
        <v>0</v>
      </c>
      <c r="V40" s="275">
        <v>8.9999999999999993E-3</v>
      </c>
      <c r="W40" s="275">
        <v>1.7000000000000001E-2</v>
      </c>
      <c r="X40" s="275">
        <v>2.5999999999999999E-2</v>
      </c>
      <c r="Y40" s="275">
        <v>3.4000000000000002E-2</v>
      </c>
      <c r="Z40" s="275">
        <v>4.2999999999999997E-2</v>
      </c>
      <c r="AA40" s="275">
        <v>5.0999999999999997E-2</v>
      </c>
      <c r="AB40" s="275">
        <v>0.06</v>
      </c>
      <c r="AC40" s="275">
        <v>6.8000000000000005E-2</v>
      </c>
      <c r="AD40" s="65">
        <f t="shared" ref="AD40:AI40" si="26">AC40+($AJ40-$U40)/($AJ$1-$U$1)</f>
        <v>6.8000000000000005E-2</v>
      </c>
      <c r="AE40" s="65">
        <f t="shared" si="26"/>
        <v>6.8000000000000005E-2</v>
      </c>
      <c r="AF40" s="65">
        <f t="shared" si="26"/>
        <v>6.8000000000000005E-2</v>
      </c>
      <c r="AG40" s="65">
        <f t="shared" si="26"/>
        <v>6.8000000000000005E-2</v>
      </c>
      <c r="AH40" s="65">
        <f t="shared" si="26"/>
        <v>6.8000000000000005E-2</v>
      </c>
      <c r="AI40" s="65">
        <f t="shared" si="26"/>
        <v>6.8000000000000005E-2</v>
      </c>
      <c r="AJ40" s="381">
        <f>[2]transport!$O$46</f>
        <v>0</v>
      </c>
      <c r="AK40" s="275"/>
      <c r="AL40" s="1" t="s">
        <v>419</v>
      </c>
      <c r="AM40" s="65"/>
      <c r="AN40" s="65"/>
      <c r="AO40" s="65"/>
      <c r="AP40" s="65"/>
      <c r="AQ40" s="65"/>
      <c r="AR40" s="65"/>
      <c r="AS40" s="65"/>
      <c r="AT40" s="65"/>
      <c r="AU40" s="65"/>
      <c r="AV40" s="65"/>
      <c r="AW40" s="65"/>
      <c r="AX40" s="65"/>
      <c r="AY40" s="65"/>
      <c r="AZ40" s="65"/>
      <c r="BA40" s="65"/>
      <c r="BB40" s="65"/>
      <c r="BC40" s="65"/>
      <c r="BD40" s="65"/>
      <c r="BE40" s="1"/>
      <c r="BF40" s="1"/>
      <c r="BG40" s="25">
        <v>7.0000000000000007E-2</v>
      </c>
      <c r="BH40" s="1"/>
      <c r="BI40" s="1" t="s">
        <v>328</v>
      </c>
      <c r="BJ40" s="1"/>
      <c r="BK40" s="1">
        <v>2021</v>
      </c>
      <c r="BL40" s="1"/>
      <c r="BM40" s="1"/>
      <c r="BN40" s="1" t="s">
        <v>202</v>
      </c>
      <c r="BO40" s="1" t="s">
        <v>323</v>
      </c>
      <c r="BP40" s="253" t="s">
        <v>324</v>
      </c>
    </row>
    <row r="41" spans="2:68" ht="14.25" customHeight="1">
      <c r="B41" s="1" t="s">
        <v>194</v>
      </c>
      <c r="C41" s="1" t="s">
        <v>128</v>
      </c>
      <c r="D41" s="1"/>
      <c r="E41" s="1"/>
      <c r="F41" s="1" t="s">
        <v>156</v>
      </c>
      <c r="G41" s="1" t="s">
        <v>153</v>
      </c>
      <c r="H41" s="275">
        <v>4.0000000000000001E-3</v>
      </c>
      <c r="I41" s="275">
        <v>6.0000000000000001E-3</v>
      </c>
      <c r="J41" s="275">
        <v>7.0000000000000001E-3</v>
      </c>
      <c r="K41" s="275">
        <v>8.9999999999999993E-3</v>
      </c>
      <c r="L41" s="275">
        <v>8.9999999999999993E-3</v>
      </c>
      <c r="M41" s="275">
        <v>0.01</v>
      </c>
      <c r="N41" s="275">
        <v>1.0999999999999999E-2</v>
      </c>
      <c r="O41" s="275">
        <v>1.2E-2</v>
      </c>
      <c r="P41" s="275">
        <v>1.2999999999999999E-2</v>
      </c>
      <c r="Q41" s="275">
        <v>1.4E-2</v>
      </c>
      <c r="R41" s="275">
        <v>1.4E-2</v>
      </c>
      <c r="S41" s="275">
        <v>1.4999999999999999E-2</v>
      </c>
      <c r="T41" s="275">
        <v>1.6E-2</v>
      </c>
      <c r="U41" s="275">
        <v>1.7000000000000001E-2</v>
      </c>
      <c r="V41" s="275">
        <v>1.6E-2</v>
      </c>
      <c r="W41" s="275">
        <v>1.6E-2</v>
      </c>
      <c r="X41" s="275">
        <v>1.4999999999999999E-2</v>
      </c>
      <c r="Y41" s="275">
        <v>1.4999999999999999E-2</v>
      </c>
      <c r="Z41" s="275">
        <v>1.4999999999999999E-2</v>
      </c>
      <c r="AA41" s="275">
        <v>1.2E-2</v>
      </c>
      <c r="AB41" s="275">
        <v>0.01</v>
      </c>
      <c r="AC41" s="275">
        <v>8.0000000000000002E-3</v>
      </c>
      <c r="AD41" s="65">
        <f t="shared" ref="AD41:AD43" si="27">AC41+($AE41-$Z41)/($AE$1-$Z$1)</f>
        <v>5.0000000000000001E-3</v>
      </c>
      <c r="AE41" s="65">
        <f>[2]transport!$V$40</f>
        <v>0</v>
      </c>
      <c r="AF41" s="65">
        <f t="shared" ref="AF41:AI41" si="28">AE41+($AJ41-$AE41)/($AJ$1-$AE$1)</f>
        <v>0</v>
      </c>
      <c r="AG41" s="65">
        <f t="shared" si="28"/>
        <v>0</v>
      </c>
      <c r="AH41" s="65">
        <f t="shared" si="28"/>
        <v>0</v>
      </c>
      <c r="AI41" s="65">
        <f t="shared" si="28"/>
        <v>0</v>
      </c>
      <c r="AJ41" s="65">
        <f>[2]transport!$V$40</f>
        <v>0</v>
      </c>
      <c r="AK41" s="275"/>
      <c r="AL41" s="1" t="s">
        <v>419</v>
      </c>
      <c r="AM41" s="65"/>
      <c r="AN41" s="65"/>
      <c r="AO41" s="65"/>
      <c r="AP41" s="65"/>
      <c r="AQ41" s="65"/>
      <c r="AR41" s="65"/>
      <c r="AS41" s="65"/>
      <c r="AT41" s="65"/>
      <c r="AU41" s="65"/>
      <c r="AV41" s="65"/>
      <c r="AW41" s="65"/>
      <c r="AX41" s="65"/>
      <c r="AY41" s="65"/>
      <c r="AZ41" s="65"/>
      <c r="BA41" s="65"/>
      <c r="BB41" s="65"/>
      <c r="BC41" s="65"/>
      <c r="BD41" s="65"/>
      <c r="BE41" s="1"/>
      <c r="BF41" s="1" t="s">
        <v>425</v>
      </c>
      <c r="BG41" s="54">
        <v>5.0000000000000001E-3</v>
      </c>
      <c r="BH41" s="1"/>
      <c r="BI41" s="1"/>
      <c r="BJ41" s="1" t="s">
        <v>426</v>
      </c>
      <c r="BK41" s="1">
        <v>2488939</v>
      </c>
      <c r="BL41" s="25"/>
      <c r="BM41" s="1"/>
      <c r="BN41" s="1"/>
      <c r="BO41" s="1"/>
      <c r="BP41" s="1"/>
    </row>
    <row r="42" spans="2:68" ht="14.25" customHeight="1">
      <c r="B42" s="1" t="s">
        <v>199</v>
      </c>
      <c r="C42" s="1" t="s">
        <v>128</v>
      </c>
      <c r="D42" s="1"/>
      <c r="E42" s="1"/>
      <c r="F42" s="1" t="s">
        <v>156</v>
      </c>
      <c r="G42" s="1" t="s">
        <v>153</v>
      </c>
      <c r="H42" s="275">
        <v>0</v>
      </c>
      <c r="I42" s="275">
        <v>0</v>
      </c>
      <c r="J42" s="275">
        <v>0</v>
      </c>
      <c r="K42" s="275">
        <v>0</v>
      </c>
      <c r="L42" s="275">
        <v>0</v>
      </c>
      <c r="M42" s="275">
        <v>0</v>
      </c>
      <c r="N42" s="275">
        <v>0</v>
      </c>
      <c r="O42" s="275">
        <v>0</v>
      </c>
      <c r="P42" s="275">
        <v>0</v>
      </c>
      <c r="Q42" s="275">
        <v>0</v>
      </c>
      <c r="R42" s="275">
        <v>0</v>
      </c>
      <c r="S42" s="275">
        <v>0</v>
      </c>
      <c r="T42" s="275">
        <v>0</v>
      </c>
      <c r="U42" s="275">
        <v>0</v>
      </c>
      <c r="V42" s="275">
        <v>0</v>
      </c>
      <c r="W42" s="275">
        <v>0</v>
      </c>
      <c r="X42" s="275">
        <v>0</v>
      </c>
      <c r="Y42" s="275">
        <v>0</v>
      </c>
      <c r="Z42" s="275">
        <v>0</v>
      </c>
      <c r="AA42" s="275">
        <v>0</v>
      </c>
      <c r="AB42" s="275">
        <v>0</v>
      </c>
      <c r="AC42" s="275">
        <v>0</v>
      </c>
      <c r="AD42" s="65">
        <f t="shared" si="27"/>
        <v>0</v>
      </c>
      <c r="AE42" s="65">
        <f>[2]transport!$S$40</f>
        <v>0</v>
      </c>
      <c r="AF42" s="65">
        <f t="shared" ref="AF42:AI42" si="29">AE42+($AJ42-$AE42)/($AJ$1-$AE$1)</f>
        <v>0</v>
      </c>
      <c r="AG42" s="65">
        <f t="shared" si="29"/>
        <v>0</v>
      </c>
      <c r="AH42" s="65">
        <f t="shared" si="29"/>
        <v>0</v>
      </c>
      <c r="AI42" s="65">
        <f t="shared" si="29"/>
        <v>0</v>
      </c>
      <c r="AJ42" s="65">
        <f>[2]transport!$S$40</f>
        <v>0</v>
      </c>
      <c r="AK42" s="275"/>
      <c r="AL42" s="1" t="s">
        <v>419</v>
      </c>
      <c r="AM42" s="65"/>
      <c r="AN42" s="65"/>
      <c r="AO42" s="65"/>
      <c r="AP42" s="65"/>
      <c r="AQ42" s="65"/>
      <c r="AR42" s="65"/>
      <c r="AS42" s="65"/>
      <c r="AT42" s="65"/>
      <c r="AU42" s="65"/>
      <c r="AV42" s="65"/>
      <c r="AW42" s="65"/>
      <c r="AX42" s="65"/>
      <c r="AY42" s="65"/>
      <c r="AZ42" s="65"/>
      <c r="BA42" s="65"/>
      <c r="BB42" s="65"/>
      <c r="BC42" s="65"/>
      <c r="BD42" s="65"/>
      <c r="BE42" s="1"/>
      <c r="BF42" s="1"/>
      <c r="BG42" s="25">
        <v>0.01</v>
      </c>
      <c r="BH42" s="1"/>
      <c r="BI42" s="1"/>
      <c r="BJ42" s="1" t="s">
        <v>428</v>
      </c>
      <c r="BK42" s="1">
        <v>12480067</v>
      </c>
      <c r="BL42" s="25"/>
      <c r="BM42" s="1"/>
      <c r="BN42" s="1"/>
      <c r="BO42" s="1"/>
      <c r="BP42" s="1"/>
    </row>
    <row r="43" spans="2:68" ht="14.25" customHeight="1">
      <c r="B43" s="1" t="s">
        <v>202</v>
      </c>
      <c r="C43" s="1" t="s">
        <v>128</v>
      </c>
      <c r="D43" s="1"/>
      <c r="E43" s="1"/>
      <c r="F43" s="1" t="s">
        <v>156</v>
      </c>
      <c r="G43" s="1" t="s">
        <v>153</v>
      </c>
      <c r="H43" s="275">
        <v>0</v>
      </c>
      <c r="I43" s="275">
        <v>0</v>
      </c>
      <c r="J43" s="275">
        <v>0</v>
      </c>
      <c r="K43" s="275">
        <v>0</v>
      </c>
      <c r="L43" s="275">
        <v>0</v>
      </c>
      <c r="M43" s="275">
        <v>0</v>
      </c>
      <c r="N43" s="275">
        <v>0</v>
      </c>
      <c r="O43" s="275">
        <v>0</v>
      </c>
      <c r="P43" s="275">
        <v>0</v>
      </c>
      <c r="Q43" s="275">
        <v>0</v>
      </c>
      <c r="R43" s="275">
        <v>0</v>
      </c>
      <c r="S43" s="275">
        <v>0</v>
      </c>
      <c r="T43" s="275">
        <v>0</v>
      </c>
      <c r="U43" s="275">
        <v>0</v>
      </c>
      <c r="V43" s="275">
        <v>6.0000000000000001E-3</v>
      </c>
      <c r="W43" s="275">
        <v>1.0999999999999999E-2</v>
      </c>
      <c r="X43" s="275">
        <v>1.7000000000000001E-2</v>
      </c>
      <c r="Y43" s="275">
        <v>2.3E-2</v>
      </c>
      <c r="Z43" s="275">
        <v>2.8000000000000001E-2</v>
      </c>
      <c r="AA43" s="275">
        <v>2.3E-2</v>
      </c>
      <c r="AB43" s="275">
        <v>1.7000000000000001E-2</v>
      </c>
      <c r="AC43" s="275">
        <v>1.0999999999999999E-2</v>
      </c>
      <c r="AD43" s="65">
        <f t="shared" si="27"/>
        <v>5.3999999999999994E-3</v>
      </c>
      <c r="AE43" s="65">
        <f>[2]transport!$P$40</f>
        <v>0</v>
      </c>
      <c r="AF43" s="65">
        <f t="shared" ref="AF43:AI43" si="30">AE43+($AJ43-$AE43)/($AJ$1-$AE$1)</f>
        <v>0</v>
      </c>
      <c r="AG43" s="65">
        <f t="shared" si="30"/>
        <v>0</v>
      </c>
      <c r="AH43" s="65">
        <f t="shared" si="30"/>
        <v>0</v>
      </c>
      <c r="AI43" s="65">
        <f t="shared" si="30"/>
        <v>0</v>
      </c>
      <c r="AJ43" s="65">
        <f>[2]transport!$P$40</f>
        <v>0</v>
      </c>
      <c r="AK43" s="275"/>
      <c r="AL43" s="1" t="s">
        <v>419</v>
      </c>
      <c r="AM43" s="65"/>
      <c r="AN43" s="65"/>
      <c r="AO43" s="65"/>
      <c r="AP43" s="65"/>
      <c r="AQ43" s="65"/>
      <c r="AR43" s="65"/>
      <c r="AS43" s="65"/>
      <c r="AT43" s="65"/>
      <c r="AU43" s="65"/>
      <c r="AV43" s="65"/>
      <c r="AW43" s="65"/>
      <c r="AX43" s="65"/>
      <c r="AY43" s="65"/>
      <c r="AZ43" s="65"/>
      <c r="BA43" s="65"/>
      <c r="BB43" s="65"/>
      <c r="BC43" s="65"/>
      <c r="BD43" s="65"/>
      <c r="BE43" s="1"/>
      <c r="BF43" s="1"/>
      <c r="BG43" s="25">
        <v>7.0000000000000007E-2</v>
      </c>
      <c r="BH43" s="1"/>
      <c r="BI43" s="1"/>
      <c r="BJ43" s="1" t="s">
        <v>429</v>
      </c>
      <c r="BK43" s="1">
        <v>13482281</v>
      </c>
      <c r="BL43" s="25"/>
      <c r="BM43" s="1"/>
      <c r="BN43" s="1"/>
      <c r="BO43" s="1"/>
      <c r="BP43" s="1"/>
    </row>
    <row r="44" spans="2:68" ht="14.25" customHeight="1">
      <c r="B44" s="1" t="s">
        <v>145</v>
      </c>
      <c r="C44" s="1" t="s">
        <v>340</v>
      </c>
      <c r="D44" s="1" t="s">
        <v>341</v>
      </c>
      <c r="E44" s="1"/>
      <c r="F44" s="1" t="s">
        <v>342</v>
      </c>
      <c r="G44" s="1" t="s">
        <v>153</v>
      </c>
      <c r="H44" s="275">
        <v>2.4E-2</v>
      </c>
      <c r="I44" s="275">
        <v>3.5999999999999997E-2</v>
      </c>
      <c r="J44" s="275">
        <v>4.9000000000000002E-2</v>
      </c>
      <c r="K44" s="275">
        <v>6.2E-2</v>
      </c>
      <c r="L44" s="275">
        <v>7.4999999999999997E-2</v>
      </c>
      <c r="M44" s="275">
        <v>8.7999999999999995E-2</v>
      </c>
      <c r="N44" s="275">
        <v>0.10100000000000001</v>
      </c>
      <c r="O44" s="275">
        <v>0.114</v>
      </c>
      <c r="P44" s="275">
        <v>0.127</v>
      </c>
      <c r="Q44" s="275">
        <v>0.14000000000000001</v>
      </c>
      <c r="R44" s="275">
        <v>0.153</v>
      </c>
      <c r="S44" s="275">
        <v>0.16600000000000001</v>
      </c>
      <c r="T44" s="275">
        <v>0.17899999999999999</v>
      </c>
      <c r="U44" s="275">
        <v>0.192</v>
      </c>
      <c r="V44" s="275">
        <v>0.20499999999999999</v>
      </c>
      <c r="W44" s="275">
        <v>0.218</v>
      </c>
      <c r="X44" s="275">
        <v>0.23100000000000001</v>
      </c>
      <c r="Y44" s="275">
        <v>0.24399999999999999</v>
      </c>
      <c r="Z44" s="275">
        <v>0.25700000000000001</v>
      </c>
      <c r="AA44" s="275">
        <v>0.26900000000000002</v>
      </c>
      <c r="AB44" s="275">
        <v>0.28199999999999997</v>
      </c>
      <c r="AC44" s="275">
        <v>0.29499999999999998</v>
      </c>
      <c r="AD44" s="65">
        <f t="shared" ref="AD44:AI44" si="31">AC44+($AJ44-$H44)/($AJ$1-$H$1)</f>
        <v>0.30878571428571427</v>
      </c>
      <c r="AE44" s="65">
        <f t="shared" si="31"/>
        <v>0.32257142857142856</v>
      </c>
      <c r="AF44" s="65">
        <f t="shared" si="31"/>
        <v>0.33635714285714285</v>
      </c>
      <c r="AG44" s="65">
        <f t="shared" si="31"/>
        <v>0.35014285714285714</v>
      </c>
      <c r="AH44" s="65">
        <f t="shared" si="31"/>
        <v>0.36392857142857143</v>
      </c>
      <c r="AI44" s="65">
        <f t="shared" si="31"/>
        <v>0.37771428571428572</v>
      </c>
      <c r="AJ44" s="65">
        <f>'Net Zero 2050'!AA54</f>
        <v>0.41</v>
      </c>
      <c r="AK44" s="275"/>
      <c r="AL44" s="65" t="s">
        <v>417</v>
      </c>
      <c r="AM44" s="65"/>
      <c r="AN44" s="65"/>
      <c r="AO44" s="65"/>
      <c r="AP44" s="65"/>
      <c r="AQ44" s="65"/>
      <c r="AR44" s="65"/>
      <c r="AS44" s="65"/>
      <c r="AT44" s="65"/>
      <c r="AU44" s="65"/>
      <c r="AV44" s="65"/>
      <c r="AW44" s="65"/>
      <c r="AX44" s="65"/>
      <c r="AY44" s="65"/>
      <c r="AZ44" s="65"/>
      <c r="BA44" s="65"/>
      <c r="BB44" s="65"/>
      <c r="BC44" s="65"/>
      <c r="BD44" s="65"/>
      <c r="BE44" s="1"/>
      <c r="BF44" s="1"/>
      <c r="BG44" s="1" t="s">
        <v>430</v>
      </c>
      <c r="BH44" s="1"/>
      <c r="BI44" s="1" t="s">
        <v>340</v>
      </c>
      <c r="BJ44" s="1" t="s">
        <v>341</v>
      </c>
      <c r="BK44" s="1"/>
      <c r="BL44" s="1"/>
      <c r="BM44" s="1"/>
      <c r="BN44" s="1" t="s">
        <v>145</v>
      </c>
      <c r="BO44" s="1"/>
      <c r="BP44" s="1"/>
    </row>
    <row r="45" spans="2:68" ht="14.25" customHeight="1">
      <c r="B45" s="1" t="s">
        <v>194</v>
      </c>
      <c r="C45" s="1" t="s">
        <v>340</v>
      </c>
      <c r="D45" s="1" t="s">
        <v>344</v>
      </c>
      <c r="E45" s="1"/>
      <c r="F45" s="1" t="s">
        <v>345</v>
      </c>
      <c r="G45" s="1" t="s">
        <v>153</v>
      </c>
      <c r="H45" s="275">
        <v>0.05</v>
      </c>
      <c r="I45" s="275">
        <v>5.5E-2</v>
      </c>
      <c r="J45" s="275">
        <v>0.06</v>
      </c>
      <c r="K45" s="275">
        <v>6.5000000000000002E-2</v>
      </c>
      <c r="L45" s="275">
        <v>7.0000000000000007E-2</v>
      </c>
      <c r="M45" s="275">
        <v>7.4999999999999997E-2</v>
      </c>
      <c r="N45" s="275">
        <v>0.08</v>
      </c>
      <c r="O45" s="275">
        <v>8.5000000000000006E-2</v>
      </c>
      <c r="P45" s="275">
        <v>0.09</v>
      </c>
      <c r="Q45" s="275">
        <v>9.5000000000000001E-2</v>
      </c>
      <c r="R45" s="275">
        <v>0.1</v>
      </c>
      <c r="S45" s="275">
        <v>0.104</v>
      </c>
      <c r="T45" s="275">
        <v>0.109</v>
      </c>
      <c r="U45" s="275">
        <v>0.114</v>
      </c>
      <c r="V45" s="275">
        <v>0.11899999999999999</v>
      </c>
      <c r="W45" s="275">
        <v>0.124</v>
      </c>
      <c r="X45" s="275">
        <v>0.129</v>
      </c>
      <c r="Y45" s="275">
        <v>0.13400000000000001</v>
      </c>
      <c r="Z45" s="275">
        <v>0.13900000000000001</v>
      </c>
      <c r="AA45" s="275">
        <v>0.14399999999999999</v>
      </c>
      <c r="AB45" s="275">
        <v>0.14899999999999999</v>
      </c>
      <c r="AC45" s="275">
        <v>0.154</v>
      </c>
      <c r="AD45" s="65">
        <f t="shared" ref="AD45:AI45" si="32">AC45+($AJ45-$H45)/($AJ$1-$H$1)</f>
        <v>0.15771428571428572</v>
      </c>
      <c r="AE45" s="65">
        <f t="shared" si="32"/>
        <v>0.16142857142857145</v>
      </c>
      <c r="AF45" s="65">
        <f t="shared" si="32"/>
        <v>0.16514285714285717</v>
      </c>
      <c r="AG45" s="65">
        <f t="shared" si="32"/>
        <v>0.1688571428571429</v>
      </c>
      <c r="AH45" s="65">
        <f t="shared" si="32"/>
        <v>0.17257142857142863</v>
      </c>
      <c r="AI45" s="65">
        <f t="shared" si="32"/>
        <v>0.17628571428571435</v>
      </c>
      <c r="AJ45" s="65">
        <f>'Net Zero 2050'!AA55</f>
        <v>0.154</v>
      </c>
      <c r="AK45" s="355"/>
      <c r="AL45" s="65" t="s">
        <v>417</v>
      </c>
      <c r="AM45" s="25"/>
      <c r="AN45" s="25"/>
      <c r="AO45" s="25"/>
      <c r="AP45" s="25"/>
      <c r="AQ45" s="25"/>
      <c r="AR45" s="25"/>
      <c r="AS45" s="25"/>
      <c r="AT45" s="25"/>
      <c r="AU45" s="25"/>
      <c r="AV45" s="25"/>
      <c r="AW45" s="25"/>
      <c r="AX45" s="25"/>
      <c r="AY45" s="25"/>
      <c r="AZ45" s="25"/>
      <c r="BA45" s="25"/>
      <c r="BB45" s="25"/>
      <c r="BC45" s="25"/>
      <c r="BD45" s="25"/>
      <c r="BE45" s="1"/>
      <c r="BF45" s="1" t="s">
        <v>431</v>
      </c>
      <c r="BG45" s="25">
        <v>0.2</v>
      </c>
      <c r="BH45" s="1"/>
      <c r="BI45" s="1" t="s">
        <v>340</v>
      </c>
      <c r="BJ45" s="1" t="s">
        <v>344</v>
      </c>
      <c r="BK45" s="1"/>
      <c r="BL45" s="1"/>
      <c r="BM45" s="1"/>
      <c r="BN45" s="1" t="s">
        <v>194</v>
      </c>
      <c r="BO45" s="1"/>
      <c r="BP45" s="1"/>
    </row>
    <row r="46" spans="2:68" ht="14.25" customHeight="1">
      <c r="B46" s="1" t="s">
        <v>199</v>
      </c>
      <c r="C46" s="1" t="s">
        <v>340</v>
      </c>
      <c r="D46" s="1" t="s">
        <v>344</v>
      </c>
      <c r="E46" s="1"/>
      <c r="F46" s="1" t="s">
        <v>345</v>
      </c>
      <c r="G46" s="1" t="s">
        <v>153</v>
      </c>
      <c r="H46" s="275">
        <v>0.05</v>
      </c>
      <c r="I46" s="275">
        <v>5.5E-2</v>
      </c>
      <c r="J46" s="275">
        <v>0.06</v>
      </c>
      <c r="K46" s="275">
        <v>6.5000000000000002E-2</v>
      </c>
      <c r="L46" s="275">
        <v>7.0000000000000007E-2</v>
      </c>
      <c r="M46" s="275">
        <v>7.4999999999999997E-2</v>
      </c>
      <c r="N46" s="275">
        <v>0.08</v>
      </c>
      <c r="O46" s="275">
        <v>8.5000000000000006E-2</v>
      </c>
      <c r="P46" s="275">
        <v>0.09</v>
      </c>
      <c r="Q46" s="275">
        <v>9.5000000000000001E-2</v>
      </c>
      <c r="R46" s="275">
        <v>0.1</v>
      </c>
      <c r="S46" s="275">
        <v>0.104</v>
      </c>
      <c r="T46" s="275">
        <v>0.109</v>
      </c>
      <c r="U46" s="275">
        <v>0.114</v>
      </c>
      <c r="V46" s="275">
        <v>0.11899999999999999</v>
      </c>
      <c r="W46" s="275">
        <v>0.124</v>
      </c>
      <c r="X46" s="275">
        <v>0.129</v>
      </c>
      <c r="Y46" s="275">
        <v>0.13400000000000001</v>
      </c>
      <c r="Z46" s="275">
        <v>0.13900000000000001</v>
      </c>
      <c r="AA46" s="275">
        <v>0.14399999999999999</v>
      </c>
      <c r="AB46" s="275">
        <v>0.14899999999999999</v>
      </c>
      <c r="AC46" s="275">
        <v>0.154</v>
      </c>
      <c r="AD46" s="65">
        <f t="shared" ref="AD46:AI46" si="33">AC46+($AJ46-$H46)/($AJ$1-$H$1)</f>
        <v>0.15771428571428572</v>
      </c>
      <c r="AE46" s="65">
        <f t="shared" si="33"/>
        <v>0.16142857142857145</v>
      </c>
      <c r="AF46" s="65">
        <f t="shared" si="33"/>
        <v>0.16514285714285717</v>
      </c>
      <c r="AG46" s="65">
        <f t="shared" si="33"/>
        <v>0.1688571428571429</v>
      </c>
      <c r="AH46" s="65">
        <f t="shared" si="33"/>
        <v>0.17257142857142863</v>
      </c>
      <c r="AI46" s="65">
        <f t="shared" si="33"/>
        <v>0.17628571428571435</v>
      </c>
      <c r="AJ46" s="65">
        <f>'Net Zero 2050'!AA56</f>
        <v>0.154</v>
      </c>
      <c r="AK46" s="355"/>
      <c r="AL46" s="65" t="s">
        <v>417</v>
      </c>
      <c r="AM46" s="25"/>
      <c r="AN46" s="25"/>
      <c r="AO46" s="25"/>
      <c r="AP46" s="25"/>
      <c r="AQ46" s="25"/>
      <c r="AR46" s="25"/>
      <c r="AS46" s="25"/>
      <c r="AT46" s="25"/>
      <c r="AU46" s="25"/>
      <c r="AV46" s="25"/>
      <c r="AW46" s="25"/>
      <c r="AX46" s="25"/>
      <c r="AY46" s="25"/>
      <c r="AZ46" s="25"/>
      <c r="BA46" s="25"/>
      <c r="BB46" s="25"/>
      <c r="BC46" s="25"/>
      <c r="BD46" s="25"/>
      <c r="BE46" s="1"/>
      <c r="BF46" s="1"/>
      <c r="BG46" s="25">
        <v>0.3</v>
      </c>
      <c r="BH46" s="1"/>
      <c r="BI46" s="1" t="s">
        <v>340</v>
      </c>
      <c r="BJ46" s="1" t="s">
        <v>344</v>
      </c>
      <c r="BK46" s="1"/>
      <c r="BL46" s="1"/>
      <c r="BM46" s="1"/>
      <c r="BN46" s="1" t="s">
        <v>199</v>
      </c>
      <c r="BO46" s="1"/>
      <c r="BP46" s="1"/>
    </row>
    <row r="47" spans="2:68" ht="14.25" customHeight="1">
      <c r="B47" s="1" t="s">
        <v>202</v>
      </c>
      <c r="C47" s="1" t="s">
        <v>340</v>
      </c>
      <c r="D47" s="1" t="s">
        <v>344</v>
      </c>
      <c r="E47" s="1"/>
      <c r="F47" s="1" t="s">
        <v>345</v>
      </c>
      <c r="G47" s="1" t="s">
        <v>153</v>
      </c>
      <c r="H47" s="275">
        <v>0.05</v>
      </c>
      <c r="I47" s="275">
        <v>5.5E-2</v>
      </c>
      <c r="J47" s="275">
        <v>0.06</v>
      </c>
      <c r="K47" s="275">
        <v>6.5000000000000002E-2</v>
      </c>
      <c r="L47" s="275">
        <v>7.0000000000000007E-2</v>
      </c>
      <c r="M47" s="275">
        <v>7.4999999999999997E-2</v>
      </c>
      <c r="N47" s="275">
        <v>0.08</v>
      </c>
      <c r="O47" s="275">
        <v>8.5000000000000006E-2</v>
      </c>
      <c r="P47" s="275">
        <v>0.09</v>
      </c>
      <c r="Q47" s="275">
        <v>9.5000000000000001E-2</v>
      </c>
      <c r="R47" s="275">
        <v>0.1</v>
      </c>
      <c r="S47" s="275">
        <v>0.104</v>
      </c>
      <c r="T47" s="275">
        <v>0.109</v>
      </c>
      <c r="U47" s="275">
        <v>0.114</v>
      </c>
      <c r="V47" s="275">
        <v>0.11899999999999999</v>
      </c>
      <c r="W47" s="275">
        <v>0.124</v>
      </c>
      <c r="X47" s="275">
        <v>0.129</v>
      </c>
      <c r="Y47" s="275">
        <v>0.13400000000000001</v>
      </c>
      <c r="Z47" s="275">
        <v>0.13900000000000001</v>
      </c>
      <c r="AA47" s="275">
        <v>0.14399999999999999</v>
      </c>
      <c r="AB47" s="275">
        <v>0.14899999999999999</v>
      </c>
      <c r="AC47" s="275">
        <v>0.154</v>
      </c>
      <c r="AD47" s="65">
        <f t="shared" ref="AD47:AI47" si="34">AC47+($AJ47-$H47)/($AJ$1-$H$1)</f>
        <v>0.15771428571428572</v>
      </c>
      <c r="AE47" s="65">
        <f t="shared" si="34"/>
        <v>0.16142857142857145</v>
      </c>
      <c r="AF47" s="65">
        <f t="shared" si="34"/>
        <v>0.16514285714285717</v>
      </c>
      <c r="AG47" s="65">
        <f t="shared" si="34"/>
        <v>0.1688571428571429</v>
      </c>
      <c r="AH47" s="65">
        <f t="shared" si="34"/>
        <v>0.17257142857142863</v>
      </c>
      <c r="AI47" s="65">
        <f t="shared" si="34"/>
        <v>0.17628571428571435</v>
      </c>
      <c r="AJ47" s="65">
        <f>'Net Zero 2050'!AA57</f>
        <v>0.154</v>
      </c>
      <c r="AK47" s="355"/>
      <c r="AL47" s="65" t="s">
        <v>417</v>
      </c>
      <c r="AM47" s="25"/>
      <c r="AN47" s="25"/>
      <c r="AO47" s="25"/>
      <c r="AP47" s="25"/>
      <c r="AQ47" s="25"/>
      <c r="AR47" s="25"/>
      <c r="AS47" s="25"/>
      <c r="AT47" s="25"/>
      <c r="AU47" s="25"/>
      <c r="AV47" s="25"/>
      <c r="AW47" s="25"/>
      <c r="AX47" s="25"/>
      <c r="AY47" s="25"/>
      <c r="AZ47" s="25"/>
      <c r="BA47" s="25"/>
      <c r="BB47" s="25"/>
      <c r="BC47" s="25"/>
      <c r="BD47" s="25"/>
      <c r="BE47" s="1"/>
      <c r="BF47" s="1"/>
      <c r="BG47" s="25">
        <v>0.4</v>
      </c>
      <c r="BH47" s="1"/>
      <c r="BI47" s="1" t="s">
        <v>340</v>
      </c>
      <c r="BJ47" s="1" t="s">
        <v>344</v>
      </c>
      <c r="BK47" s="1"/>
      <c r="BL47" s="1"/>
      <c r="BM47" s="1"/>
      <c r="BN47" s="1" t="s">
        <v>202</v>
      </c>
      <c r="BO47" s="1" t="s">
        <v>335</v>
      </c>
      <c r="BP47" s="1"/>
    </row>
    <row r="48" spans="2:68" ht="14.25" customHeight="1">
      <c r="B48" s="1"/>
      <c r="C48" s="1" t="s">
        <v>432</v>
      </c>
      <c r="D48" s="1"/>
      <c r="E48" s="1"/>
      <c r="F48" s="20" t="s">
        <v>147</v>
      </c>
      <c r="G48" s="1" t="s">
        <v>153</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20"/>
      <c r="BF48" s="1"/>
      <c r="BG48" s="1"/>
      <c r="BH48" s="1"/>
      <c r="BI48" s="1" t="s">
        <v>432</v>
      </c>
      <c r="BJ48" s="1"/>
      <c r="BK48" s="1"/>
      <c r="BL48" s="20"/>
      <c r="BM48" s="1"/>
      <c r="BN48" s="1"/>
      <c r="BO48" s="1"/>
      <c r="BP48" s="1"/>
    </row>
    <row r="49" spans="1:77" ht="14.25" customHeight="1">
      <c r="A49" s="1"/>
      <c r="B49" s="1"/>
      <c r="C49" s="1" t="s">
        <v>347</v>
      </c>
      <c r="D49" s="1"/>
      <c r="E49" s="1"/>
      <c r="F49" s="20" t="s">
        <v>205</v>
      </c>
      <c r="G49" s="1" t="s">
        <v>153</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20"/>
      <c r="BF49" s="1"/>
      <c r="BG49" s="1"/>
      <c r="BH49" s="1"/>
      <c r="BI49" s="1" t="s">
        <v>347</v>
      </c>
      <c r="BJ49" s="1"/>
      <c r="BK49" s="1"/>
      <c r="BL49" s="20"/>
      <c r="BM49" s="1"/>
      <c r="BN49" s="1"/>
      <c r="BO49" s="1"/>
      <c r="BP49" s="1"/>
      <c r="BQ49" s="1"/>
      <c r="BR49" s="1"/>
      <c r="BS49" s="1"/>
      <c r="BT49" s="1"/>
      <c r="BU49" s="1"/>
      <c r="BV49" s="1"/>
      <c r="BW49" s="1"/>
      <c r="BX49" s="1"/>
      <c r="BY49" s="1"/>
    </row>
    <row r="50" spans="1:77" ht="14.25" customHeight="1">
      <c r="A50" s="1"/>
      <c r="B50" s="1"/>
      <c r="C50" s="1" t="s">
        <v>348</v>
      </c>
      <c r="D50" s="1" t="s">
        <v>208</v>
      </c>
      <c r="E50" s="1"/>
      <c r="F50" s="20"/>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20"/>
      <c r="BF50" s="1"/>
      <c r="BG50" s="1"/>
      <c r="BH50" s="1"/>
      <c r="BI50" s="1"/>
      <c r="BJ50" s="1"/>
      <c r="BK50" s="1"/>
      <c r="BL50" s="1"/>
      <c r="BM50" s="1"/>
      <c r="BN50" s="1"/>
      <c r="BO50" s="1"/>
      <c r="BP50" s="1"/>
      <c r="BQ50" s="1"/>
      <c r="BR50" s="1"/>
      <c r="BS50" s="1"/>
      <c r="BT50" s="1"/>
      <c r="BU50" s="1"/>
      <c r="BV50" s="1"/>
      <c r="BW50" s="1"/>
      <c r="BX50" s="1"/>
      <c r="BY50" s="1"/>
    </row>
    <row r="51" spans="1:77"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row>
    <row r="52" spans="1:77" ht="14.25" customHeight="1">
      <c r="A52" s="44" t="s">
        <v>212</v>
      </c>
      <c r="B52" s="75"/>
      <c r="C52" s="75" t="s">
        <v>213</v>
      </c>
      <c r="D52" s="75" t="s">
        <v>214</v>
      </c>
      <c r="E52" s="75"/>
      <c r="F52" s="76" t="s">
        <v>215</v>
      </c>
      <c r="G52" s="75"/>
      <c r="H52" s="50">
        <v>0.14000000000000001</v>
      </c>
      <c r="I52" s="50">
        <f t="shared" ref="I52:J52" si="35">H52+($K52-$H52)/($K$1-$H$1)</f>
        <v>0.16333333333333333</v>
      </c>
      <c r="J52" s="50">
        <f t="shared" si="35"/>
        <v>0.18666666666666665</v>
      </c>
      <c r="K52" s="50">
        <v>0.21</v>
      </c>
      <c r="L52" s="50">
        <f t="shared" ref="L52:O52" si="36">K52+($P52-$K52)/($P$1-$K$1)</f>
        <v>0.21199999999999999</v>
      </c>
      <c r="M52" s="50">
        <f t="shared" si="36"/>
        <v>0.214</v>
      </c>
      <c r="N52" s="50">
        <f t="shared" si="36"/>
        <v>0.216</v>
      </c>
      <c r="O52" s="50">
        <f t="shared" si="36"/>
        <v>0.218</v>
      </c>
      <c r="P52" s="50">
        <v>0.22</v>
      </c>
      <c r="Q52" s="50">
        <f t="shared" ref="Q52:T52" si="37">P52+($U52-$P52)/($U$1-$P$1)</f>
        <v>0.224</v>
      </c>
      <c r="R52" s="50">
        <f t="shared" si="37"/>
        <v>0.22800000000000001</v>
      </c>
      <c r="S52" s="50">
        <f t="shared" si="37"/>
        <v>0.23200000000000001</v>
      </c>
      <c r="T52" s="50">
        <f t="shared" si="37"/>
        <v>0.23600000000000002</v>
      </c>
      <c r="U52" s="50">
        <v>0.24</v>
      </c>
      <c r="V52" s="75"/>
      <c r="W52" s="75"/>
      <c r="X52" s="75"/>
      <c r="Y52" s="75"/>
      <c r="Z52" s="75"/>
      <c r="AA52" s="75"/>
      <c r="AB52" s="75"/>
      <c r="AC52" s="75"/>
      <c r="AD52" s="75"/>
      <c r="AE52" s="75"/>
      <c r="AF52" s="75"/>
      <c r="AG52" s="75"/>
      <c r="AH52" s="75"/>
      <c r="AI52" s="75"/>
      <c r="AJ52" s="75"/>
      <c r="AK52" s="1"/>
      <c r="AL52" s="1"/>
      <c r="AM52" s="1"/>
      <c r="AN52" s="1"/>
      <c r="AO52" s="1"/>
      <c r="AP52" s="1"/>
      <c r="AQ52" s="1"/>
      <c r="AR52" s="1"/>
      <c r="AS52" s="1"/>
      <c r="AT52" s="1"/>
      <c r="AU52" s="1"/>
      <c r="AV52" s="1"/>
      <c r="AW52" s="1"/>
      <c r="AX52" s="1"/>
      <c r="AY52" s="1"/>
      <c r="AZ52" s="1"/>
      <c r="BA52" s="1"/>
      <c r="BB52" s="1"/>
      <c r="BC52" s="1"/>
      <c r="BD52" s="1"/>
      <c r="BE52" s="356" t="s">
        <v>350</v>
      </c>
      <c r="BF52" s="1"/>
      <c r="BG52" s="1"/>
      <c r="BH52" s="1"/>
      <c r="BI52" s="1"/>
      <c r="BJ52" s="1"/>
      <c r="BK52" s="1"/>
      <c r="BL52" s="1"/>
      <c r="BM52" s="1"/>
      <c r="BN52" s="1"/>
      <c r="BO52" s="1"/>
      <c r="BP52" s="1"/>
      <c r="BQ52" s="1"/>
      <c r="BR52" s="1"/>
      <c r="BS52" s="1"/>
      <c r="BT52" s="1"/>
      <c r="BU52" s="1"/>
      <c r="BV52" s="1"/>
      <c r="BW52" s="1"/>
      <c r="BX52" s="1"/>
      <c r="BY52" s="1"/>
    </row>
    <row r="53" spans="1:77" ht="14.25" customHeight="1">
      <c r="A53" s="1"/>
      <c r="B53" s="1"/>
      <c r="C53" s="1" t="s">
        <v>216</v>
      </c>
      <c r="D53" s="1" t="s">
        <v>594</v>
      </c>
      <c r="E53" s="1"/>
      <c r="F53" s="1" t="s">
        <v>590</v>
      </c>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356" t="s">
        <v>352</v>
      </c>
      <c r="BF53" s="1"/>
      <c r="BG53" s="1"/>
      <c r="BH53" s="1"/>
      <c r="BI53" s="1"/>
      <c r="BJ53" s="1"/>
      <c r="BK53" s="1"/>
      <c r="BL53" s="1"/>
      <c r="BM53" s="1"/>
      <c r="BN53" s="1"/>
      <c r="BO53" s="1"/>
      <c r="BP53" s="1"/>
      <c r="BQ53" s="1"/>
      <c r="BR53" s="1"/>
      <c r="BS53" s="1"/>
      <c r="BT53" s="1"/>
      <c r="BU53" s="1"/>
      <c r="BV53" s="1"/>
      <c r="BW53" s="1"/>
      <c r="BX53" s="1"/>
      <c r="BY53" s="1"/>
    </row>
    <row r="54" spans="1:77" ht="14.25" customHeight="1">
      <c r="A54" s="1"/>
      <c r="B54" s="1"/>
      <c r="C54" s="1" t="s">
        <v>219</v>
      </c>
      <c r="D54" s="1" t="s">
        <v>214</v>
      </c>
      <c r="E54" s="1"/>
      <c r="F54" s="1" t="s">
        <v>606</v>
      </c>
      <c r="G54" s="1"/>
      <c r="H54" s="54">
        <v>9.0399999999999994E-2</v>
      </c>
      <c r="I54" s="54">
        <f t="shared" ref="I54:J54" si="38">H54+($K54-$H54)/($K$1-$H$1)</f>
        <v>8.7099999999999997E-2</v>
      </c>
      <c r="J54" s="54">
        <f t="shared" si="38"/>
        <v>8.3799999999999999E-2</v>
      </c>
      <c r="K54" s="65">
        <f>8.05%</f>
        <v>8.0500000000000002E-2</v>
      </c>
      <c r="L54" s="54">
        <f t="shared" ref="L54:O54" si="39">K54+($P54-$K54)/($P$1-$K$1)</f>
        <v>7.8E-2</v>
      </c>
      <c r="M54" s="54">
        <f t="shared" si="39"/>
        <v>7.5499999999999998E-2</v>
      </c>
      <c r="N54" s="54">
        <f t="shared" si="39"/>
        <v>7.2999999999999995E-2</v>
      </c>
      <c r="O54" s="54">
        <f t="shared" si="39"/>
        <v>7.0499999999999993E-2</v>
      </c>
      <c r="P54" s="54">
        <v>6.8000000000000005E-2</v>
      </c>
      <c r="Q54" s="54">
        <f t="shared" ref="Q54:T54" si="40">P54+($U54-$P54)/($U$1-$P$1)</f>
        <v>6.6439999999999999E-2</v>
      </c>
      <c r="R54" s="54">
        <f t="shared" si="40"/>
        <v>6.4879999999999993E-2</v>
      </c>
      <c r="S54" s="54">
        <f t="shared" si="40"/>
        <v>6.3319999999999987E-2</v>
      </c>
      <c r="T54" s="54">
        <f t="shared" si="40"/>
        <v>6.1759999999999989E-2</v>
      </c>
      <c r="U54" s="54">
        <v>6.0199999999999997E-2</v>
      </c>
      <c r="V54" s="54">
        <f t="shared" ref="V54:Y54" si="41">U54+($Z$54-$U$54)/($Z$1-$U$1)</f>
        <v>5.8959999999999999E-2</v>
      </c>
      <c r="W54" s="54">
        <f t="shared" si="41"/>
        <v>5.772E-2</v>
      </c>
      <c r="X54" s="54">
        <f t="shared" si="41"/>
        <v>5.6480000000000002E-2</v>
      </c>
      <c r="Y54" s="54">
        <f t="shared" si="41"/>
        <v>5.5240000000000004E-2</v>
      </c>
      <c r="Z54" s="54">
        <v>5.3999999999999999E-2</v>
      </c>
      <c r="AA54" s="54">
        <f t="shared" ref="AA54:AD54" si="42">Z54+($AE$54-$Z$54)/($AE$1-$Z$1)</f>
        <v>5.3600000000000002E-2</v>
      </c>
      <c r="AB54" s="54">
        <f t="shared" si="42"/>
        <v>5.3200000000000004E-2</v>
      </c>
      <c r="AC54" s="54">
        <f t="shared" si="42"/>
        <v>5.2800000000000007E-2</v>
      </c>
      <c r="AD54" s="54">
        <f t="shared" si="42"/>
        <v>5.2400000000000009E-2</v>
      </c>
      <c r="AE54" s="54">
        <v>5.1999999999999998E-2</v>
      </c>
      <c r="AF54" s="54">
        <f t="shared" ref="AF54:AI54" si="43">AE54+($AJ$54-$AE$54)/($AJ$1-$AE$1)</f>
        <v>5.1799999999999999E-2</v>
      </c>
      <c r="AG54" s="54">
        <f t="shared" si="43"/>
        <v>5.16E-2</v>
      </c>
      <c r="AH54" s="54">
        <f t="shared" si="43"/>
        <v>5.1400000000000001E-2</v>
      </c>
      <c r="AI54" s="54">
        <f t="shared" si="43"/>
        <v>5.1200000000000002E-2</v>
      </c>
      <c r="AJ54" s="54">
        <v>5.0999999999999997E-2</v>
      </c>
      <c r="AK54" s="54"/>
      <c r="AL54" s="54"/>
      <c r="AM54" s="54"/>
      <c r="AN54" s="54"/>
      <c r="AO54" s="54"/>
      <c r="AP54" s="54"/>
      <c r="AQ54" s="54"/>
      <c r="AR54" s="54"/>
      <c r="AS54" s="54"/>
      <c r="AT54" s="54"/>
      <c r="AU54" s="54"/>
      <c r="AV54" s="54"/>
      <c r="AW54" s="54"/>
      <c r="AX54" s="54"/>
      <c r="AY54" s="54"/>
      <c r="AZ54" s="54"/>
      <c r="BA54" s="54"/>
      <c r="BB54" s="54"/>
      <c r="BC54" s="54"/>
      <c r="BD54" s="54"/>
      <c r="BE54" s="356" t="s">
        <v>355</v>
      </c>
      <c r="BF54" s="1" t="s">
        <v>356</v>
      </c>
      <c r="BG54" s="1"/>
      <c r="BH54" s="1"/>
      <c r="BI54" s="1"/>
      <c r="BJ54" s="1"/>
      <c r="BK54" s="1"/>
      <c r="BL54" s="1"/>
      <c r="BM54" s="1"/>
      <c r="BN54" s="1"/>
      <c r="BO54" s="1"/>
      <c r="BP54" s="1"/>
      <c r="BQ54" s="1"/>
      <c r="BR54" s="1"/>
      <c r="BS54" s="1"/>
      <c r="BT54" s="1"/>
      <c r="BU54" s="1"/>
      <c r="BV54" s="1"/>
      <c r="BW54" s="1"/>
      <c r="BX54" s="1"/>
      <c r="BY54" s="1"/>
    </row>
    <row r="55" spans="1:77" ht="14.25" customHeight="1">
      <c r="A55" s="369"/>
      <c r="B55" s="179"/>
      <c r="C55" s="179" t="s">
        <v>607</v>
      </c>
      <c r="D55" s="179" t="s">
        <v>608</v>
      </c>
      <c r="E55" s="179"/>
      <c r="F55" s="370" t="s">
        <v>609</v>
      </c>
      <c r="G55" s="179"/>
      <c r="H55" s="371"/>
      <c r="I55" s="371"/>
      <c r="J55" s="371"/>
      <c r="K55" s="371"/>
      <c r="L55" s="371"/>
      <c r="M55" s="371"/>
      <c r="N55" s="371"/>
      <c r="O55" s="371"/>
      <c r="P55" s="371"/>
      <c r="Q55" s="371"/>
      <c r="R55" s="371"/>
      <c r="S55" s="371"/>
      <c r="T55" s="371"/>
      <c r="U55" s="371"/>
      <c r="V55" s="179"/>
      <c r="W55" s="179"/>
      <c r="X55" s="179"/>
      <c r="Y55" s="179"/>
      <c r="Z55" s="179"/>
      <c r="AA55" s="179"/>
      <c r="AB55" s="179"/>
      <c r="AC55" s="179"/>
      <c r="AD55" s="179"/>
      <c r="AE55" s="179"/>
      <c r="AF55" s="179"/>
      <c r="AG55" s="179"/>
      <c r="AH55" s="179"/>
      <c r="AI55" s="179"/>
      <c r="AJ55" s="179"/>
      <c r="AK55" s="370"/>
      <c r="AL55" s="179"/>
      <c r="AM55" s="179"/>
      <c r="AN55" s="179"/>
      <c r="AO55" s="179"/>
      <c r="AP55" s="179"/>
      <c r="AQ55" s="179"/>
      <c r="AR55" s="179"/>
      <c r="AS55" s="179"/>
      <c r="AT55" s="179"/>
      <c r="AU55" s="179"/>
      <c r="AV55" s="179"/>
      <c r="AW55" s="179"/>
      <c r="AX55" s="179"/>
      <c r="AY55" s="179"/>
      <c r="AZ55" s="179"/>
      <c r="BA55" s="179"/>
      <c r="BB55" s="179"/>
      <c r="BC55" s="179"/>
      <c r="BD55" s="179"/>
      <c r="BE55" s="179"/>
      <c r="BF55" s="179"/>
      <c r="BG55" s="179"/>
      <c r="BH55" s="179"/>
      <c r="BI55" s="179"/>
      <c r="BJ55" s="179"/>
      <c r="BK55" s="179"/>
      <c r="BL55" s="179"/>
      <c r="BM55" s="179"/>
      <c r="BN55" s="179"/>
      <c r="BO55" s="179"/>
      <c r="BP55" s="179"/>
      <c r="BQ55" s="179"/>
      <c r="BR55" s="179"/>
      <c r="BS55" s="179"/>
      <c r="BT55" s="179"/>
      <c r="BU55" s="179"/>
      <c r="BV55" s="179"/>
      <c r="BW55" s="179"/>
      <c r="BX55" s="179"/>
      <c r="BY55" s="179"/>
    </row>
    <row r="56" spans="1:77" ht="14.25" customHeight="1">
      <c r="A56" s="369"/>
      <c r="B56" s="179"/>
      <c r="C56" s="179" t="s">
        <v>611</v>
      </c>
      <c r="D56" s="179" t="s">
        <v>58</v>
      </c>
      <c r="E56" s="179"/>
      <c r="F56" s="370" t="s">
        <v>609</v>
      </c>
      <c r="G56" s="179"/>
      <c r="H56" s="371"/>
      <c r="I56" s="371"/>
      <c r="J56" s="371"/>
      <c r="K56" s="371"/>
      <c r="L56" s="371"/>
      <c r="M56" s="371"/>
      <c r="N56" s="371"/>
      <c r="O56" s="371"/>
      <c r="P56" s="371"/>
      <c r="Q56" s="371"/>
      <c r="R56" s="371"/>
      <c r="S56" s="371"/>
      <c r="T56" s="371"/>
      <c r="U56" s="371"/>
      <c r="V56" s="179"/>
      <c r="W56" s="179"/>
      <c r="X56" s="179"/>
      <c r="Y56" s="179"/>
      <c r="Z56" s="179"/>
      <c r="AA56" s="179"/>
      <c r="AB56" s="179"/>
      <c r="AC56" s="179"/>
      <c r="AD56" s="179"/>
      <c r="AE56" s="179"/>
      <c r="AF56" s="179"/>
      <c r="AG56" s="179"/>
      <c r="AH56" s="179"/>
      <c r="AI56" s="179"/>
      <c r="AJ56" s="179"/>
      <c r="AK56" s="370"/>
      <c r="AL56" s="179"/>
      <c r="AM56" s="179"/>
      <c r="AN56" s="179"/>
      <c r="AO56" s="179"/>
      <c r="AP56" s="179"/>
      <c r="AQ56" s="179"/>
      <c r="AR56" s="179"/>
      <c r="AS56" s="179"/>
      <c r="AT56" s="179"/>
      <c r="AU56" s="179"/>
      <c r="AV56" s="179"/>
      <c r="AW56" s="179"/>
      <c r="AX56" s="179"/>
      <c r="AY56" s="179"/>
      <c r="AZ56" s="179"/>
      <c r="BA56" s="179"/>
      <c r="BB56" s="179"/>
      <c r="BC56" s="179"/>
      <c r="BD56" s="179"/>
      <c r="BE56" s="179"/>
      <c r="BF56" s="179"/>
      <c r="BG56" s="179"/>
      <c r="BH56" s="179"/>
      <c r="BI56" s="179"/>
      <c r="BJ56" s="179"/>
      <c r="BK56" s="179"/>
      <c r="BL56" s="179"/>
      <c r="BM56" s="179"/>
      <c r="BN56" s="179"/>
      <c r="BO56" s="179"/>
      <c r="BP56" s="179"/>
      <c r="BQ56" s="179"/>
      <c r="BR56" s="179"/>
      <c r="BS56" s="179"/>
      <c r="BT56" s="179"/>
      <c r="BU56" s="179"/>
      <c r="BV56" s="179"/>
      <c r="BW56" s="179"/>
      <c r="BX56" s="179"/>
      <c r="BY56" s="179"/>
    </row>
    <row r="57" spans="1:7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356"/>
      <c r="BF57" s="1"/>
      <c r="BG57" s="1"/>
      <c r="BH57" s="1"/>
      <c r="BI57" s="1"/>
      <c r="BJ57" s="1"/>
      <c r="BK57" s="1"/>
      <c r="BL57" s="1"/>
      <c r="BM57" s="1"/>
      <c r="BN57" s="1"/>
      <c r="BO57" s="1"/>
      <c r="BP57" s="1"/>
      <c r="BQ57" s="1"/>
      <c r="BR57" s="1"/>
      <c r="BS57" s="1"/>
      <c r="BT57" s="1"/>
      <c r="BU57" s="1"/>
      <c r="BV57" s="1"/>
      <c r="BW57" s="1"/>
      <c r="BX57" s="1"/>
      <c r="BY57" s="1"/>
    </row>
    <row r="58" spans="1:77" ht="14.25" customHeight="1">
      <c r="A58" s="1"/>
      <c r="B58" s="1"/>
      <c r="C58" s="1"/>
      <c r="D58" s="1"/>
      <c r="E58" s="1"/>
      <c r="F58" s="1"/>
      <c r="G58" s="1"/>
      <c r="H58" s="1"/>
      <c r="I58" s="1"/>
      <c r="J58" s="1"/>
      <c r="K58" s="1"/>
      <c r="L58" s="1"/>
      <c r="M58" s="1"/>
      <c r="N58" s="1"/>
      <c r="O58" s="1"/>
      <c r="P58" s="373"/>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row>
    <row r="59" spans="1:77" ht="14.25" customHeight="1">
      <c r="A59" s="44" t="s">
        <v>225</v>
      </c>
      <c r="B59" s="75"/>
      <c r="C59" s="75" t="s">
        <v>226</v>
      </c>
      <c r="D59" s="75" t="s">
        <v>214</v>
      </c>
      <c r="E59" s="75"/>
      <c r="F59" s="75" t="s">
        <v>215</v>
      </c>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1"/>
      <c r="AL59" s="1"/>
      <c r="AM59" s="1"/>
      <c r="AN59" s="1"/>
      <c r="AO59" s="1"/>
      <c r="AP59" s="1"/>
      <c r="AQ59" s="1"/>
      <c r="AR59" s="1"/>
      <c r="AS59" s="1"/>
      <c r="AT59" s="1"/>
      <c r="AU59" s="1"/>
      <c r="AV59" s="1"/>
      <c r="AW59" s="1"/>
      <c r="AX59" s="1"/>
      <c r="AY59" s="1"/>
      <c r="AZ59" s="1"/>
      <c r="BA59" s="1"/>
      <c r="BB59" s="1"/>
      <c r="BC59" s="1"/>
      <c r="BD59" s="1"/>
      <c r="BE59" s="356" t="s">
        <v>231</v>
      </c>
      <c r="BF59" s="1"/>
      <c r="BG59" s="1"/>
      <c r="BH59" s="1"/>
      <c r="BI59" s="1"/>
      <c r="BJ59" s="1"/>
      <c r="BK59" s="1"/>
      <c r="BL59" s="1"/>
      <c r="BM59" s="1"/>
      <c r="BN59" s="1"/>
      <c r="BO59" s="1"/>
      <c r="BP59" s="1"/>
      <c r="BQ59" s="1"/>
      <c r="BR59" s="1"/>
      <c r="BS59" s="1"/>
      <c r="BT59" s="1"/>
      <c r="BU59" s="1"/>
      <c r="BV59" s="1"/>
      <c r="BW59" s="1"/>
      <c r="BX59" s="1"/>
      <c r="BY59" s="1"/>
    </row>
    <row r="60" spans="1:77" ht="14.25" customHeight="1">
      <c r="A60" s="14"/>
      <c r="B60" s="14"/>
      <c r="C60" s="1" t="s">
        <v>213</v>
      </c>
      <c r="D60" s="1" t="s">
        <v>214</v>
      </c>
      <c r="E60" s="1"/>
      <c r="F60" s="1" t="s">
        <v>215</v>
      </c>
      <c r="G60" s="1"/>
      <c r="H60" s="25">
        <v>0.01</v>
      </c>
      <c r="I60" s="54">
        <f t="shared" ref="I60:J60" si="44">H60+($K60-$H60)/($K$1-$H$1)</f>
        <v>2.3333333333333334E-2</v>
      </c>
      <c r="J60" s="54">
        <f t="shared" si="44"/>
        <v>3.6666666666666667E-2</v>
      </c>
      <c r="K60" s="25">
        <v>0.05</v>
      </c>
      <c r="L60" s="54">
        <f t="shared" ref="L60:O60" si="45">K60+($P60-$K60)/($P$1-$K$1)</f>
        <v>5.2000000000000005E-2</v>
      </c>
      <c r="M60" s="54">
        <f t="shared" si="45"/>
        <v>5.4000000000000006E-2</v>
      </c>
      <c r="N60" s="54">
        <f t="shared" si="45"/>
        <v>5.6000000000000008E-2</v>
      </c>
      <c r="O60" s="54">
        <f t="shared" si="45"/>
        <v>5.800000000000001E-2</v>
      </c>
      <c r="P60" s="25">
        <v>0.06</v>
      </c>
      <c r="Q60" s="54">
        <f t="shared" ref="Q60:T60" si="46">P60+($U60-$P60)/($U$1-$P$1)</f>
        <v>6.2E-2</v>
      </c>
      <c r="R60" s="54">
        <f t="shared" si="46"/>
        <v>6.4000000000000001E-2</v>
      </c>
      <c r="S60" s="54">
        <f t="shared" si="46"/>
        <v>6.6000000000000003E-2</v>
      </c>
      <c r="T60" s="54">
        <f t="shared" si="46"/>
        <v>6.8000000000000005E-2</v>
      </c>
      <c r="U60" s="25">
        <v>7.0000000000000007E-2</v>
      </c>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356" t="s">
        <v>360</v>
      </c>
      <c r="BF60" s="1" t="s">
        <v>361</v>
      </c>
      <c r="BG60" s="1"/>
      <c r="BH60" s="1"/>
      <c r="BI60" s="1"/>
      <c r="BJ60" s="1"/>
      <c r="BK60" s="1"/>
      <c r="BL60" s="1"/>
      <c r="BM60" s="1"/>
      <c r="BN60" s="1"/>
      <c r="BO60" s="1"/>
      <c r="BP60" s="1"/>
      <c r="BQ60" s="1"/>
      <c r="BR60" s="1"/>
      <c r="BS60" s="1"/>
      <c r="BT60" s="1"/>
      <c r="BU60" s="1"/>
      <c r="BV60" s="1"/>
      <c r="BW60" s="1"/>
      <c r="BX60" s="1"/>
      <c r="BY60" s="1"/>
    </row>
    <row r="61" spans="1:77" ht="14.25" customHeight="1">
      <c r="A61" s="1"/>
      <c r="B61" s="1"/>
      <c r="C61" s="1" t="s">
        <v>359</v>
      </c>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356" t="s">
        <v>364</v>
      </c>
      <c r="BF61" s="1"/>
      <c r="BG61" s="1"/>
      <c r="BH61" s="1"/>
      <c r="BI61" s="1"/>
      <c r="BJ61" s="1"/>
      <c r="BK61" s="1"/>
      <c r="BL61" s="1"/>
      <c r="BM61" s="1"/>
      <c r="BN61" s="1"/>
      <c r="BO61" s="1"/>
      <c r="BP61" s="1"/>
      <c r="BQ61" s="1"/>
      <c r="BR61" s="1"/>
      <c r="BS61" s="1"/>
      <c r="BT61" s="1"/>
      <c r="BU61" s="1"/>
      <c r="BV61" s="1"/>
      <c r="BW61" s="1"/>
      <c r="BX61" s="1"/>
      <c r="BY61" s="1"/>
    </row>
    <row r="62" spans="1:77" ht="14.25" customHeight="1">
      <c r="A62" s="1"/>
      <c r="B62" s="1"/>
      <c r="C62" s="1" t="s">
        <v>362</v>
      </c>
      <c r="D62" s="1" t="s">
        <v>35</v>
      </c>
      <c r="E62" s="1"/>
      <c r="F62" s="1" t="s">
        <v>599</v>
      </c>
      <c r="G62" s="1"/>
      <c r="H62" s="1"/>
      <c r="I62" s="1"/>
      <c r="J62" s="1"/>
      <c r="K62" s="1"/>
      <c r="L62" s="1"/>
      <c r="M62" s="1"/>
      <c r="N62" s="1"/>
      <c r="O62" s="1"/>
      <c r="P62" s="1">
        <v>50</v>
      </c>
      <c r="Q62" s="1"/>
      <c r="R62" s="1"/>
      <c r="S62" s="1"/>
      <c r="T62" s="1"/>
      <c r="U62" s="1">
        <v>100</v>
      </c>
      <c r="V62" s="1"/>
      <c r="W62" s="1"/>
      <c r="X62" s="1"/>
      <c r="Y62" s="1"/>
      <c r="Z62" s="1">
        <v>200</v>
      </c>
      <c r="AA62" s="1"/>
      <c r="AB62" s="1"/>
      <c r="AC62" s="1"/>
      <c r="AD62" s="1"/>
      <c r="AE62" s="1">
        <v>500</v>
      </c>
      <c r="AF62" s="1"/>
      <c r="AG62" s="1"/>
      <c r="AH62" s="1"/>
      <c r="AI62" s="1"/>
      <c r="AJ62" s="1">
        <v>1500</v>
      </c>
      <c r="AK62" s="1"/>
      <c r="AL62" s="1"/>
      <c r="AM62" s="1"/>
      <c r="AN62" s="1"/>
      <c r="AO62" s="1"/>
      <c r="AP62" s="1"/>
      <c r="AQ62" s="1"/>
      <c r="AR62" s="1"/>
      <c r="AS62" s="1"/>
      <c r="AT62" s="1"/>
      <c r="AU62" s="1"/>
      <c r="AV62" s="1"/>
      <c r="AW62" s="1"/>
      <c r="AX62" s="1"/>
      <c r="AY62" s="1"/>
      <c r="AZ62" s="1"/>
      <c r="BA62" s="1"/>
      <c r="BB62" s="1"/>
      <c r="BC62" s="1"/>
      <c r="BD62" s="1"/>
      <c r="BE62" s="356" t="s">
        <v>367</v>
      </c>
      <c r="BF62" s="1" t="s">
        <v>241</v>
      </c>
      <c r="BG62" s="1" t="s">
        <v>242</v>
      </c>
      <c r="BH62" s="20" t="s">
        <v>357</v>
      </c>
      <c r="BI62" s="1"/>
      <c r="BJ62" s="1"/>
      <c r="BK62" s="1"/>
      <c r="BL62" s="1" t="s">
        <v>433</v>
      </c>
      <c r="BM62" s="1">
        <f>0.52*0.09</f>
        <v>4.6800000000000001E-2</v>
      </c>
      <c r="BN62" s="1"/>
      <c r="BO62" s="1"/>
      <c r="BP62" s="1"/>
      <c r="BQ62" s="1"/>
      <c r="BR62" s="1"/>
      <c r="BS62" s="1"/>
      <c r="BT62" s="1"/>
      <c r="BU62" s="1"/>
      <c r="BV62" s="1"/>
      <c r="BW62" s="1"/>
      <c r="BX62" s="1"/>
      <c r="BY62" s="1"/>
    </row>
    <row r="63" spans="1:77" ht="14.25" customHeight="1">
      <c r="A63" s="1"/>
      <c r="B63" s="1"/>
      <c r="C63" s="1" t="s">
        <v>219</v>
      </c>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65"/>
      <c r="BI63" s="1"/>
      <c r="BJ63" s="1"/>
      <c r="BK63" s="1"/>
      <c r="BL63" s="1" t="s">
        <v>426</v>
      </c>
      <c r="BM63" s="1">
        <f>0.48*0.09</f>
        <v>4.3199999999999995E-2</v>
      </c>
      <c r="BN63" s="1"/>
      <c r="BO63" s="1"/>
      <c r="BP63" s="1"/>
      <c r="BQ63" s="1"/>
      <c r="BR63" s="1"/>
      <c r="BS63" s="1"/>
      <c r="BT63" s="1"/>
      <c r="BU63" s="1"/>
      <c r="BV63" s="1"/>
      <c r="BW63" s="1"/>
      <c r="BX63" s="1"/>
      <c r="BY63" s="1"/>
    </row>
    <row r="64" spans="1:77" ht="14.25" customHeight="1">
      <c r="A64" s="369"/>
      <c r="B64" s="179"/>
      <c r="C64" s="179" t="s">
        <v>612</v>
      </c>
      <c r="D64" s="179" t="s">
        <v>372</v>
      </c>
      <c r="E64" s="179"/>
      <c r="F64" s="370" t="s">
        <v>609</v>
      </c>
      <c r="G64" s="179"/>
      <c r="H64" s="371"/>
      <c r="I64" s="371"/>
      <c r="J64" s="371"/>
      <c r="K64" s="371"/>
      <c r="L64" s="371"/>
      <c r="M64" s="371"/>
      <c r="N64" s="371"/>
      <c r="O64" s="371"/>
      <c r="P64" s="371"/>
      <c r="Q64" s="371"/>
      <c r="R64" s="371"/>
      <c r="S64" s="371"/>
      <c r="T64" s="371"/>
      <c r="U64" s="371"/>
      <c r="V64" s="179"/>
      <c r="W64" s="179"/>
      <c r="X64" s="179"/>
      <c r="Y64" s="179"/>
      <c r="Z64" s="179"/>
      <c r="AA64" s="179"/>
      <c r="AB64" s="179"/>
      <c r="AC64" s="179"/>
      <c r="AD64" s="179"/>
      <c r="AE64" s="179"/>
      <c r="AF64" s="179"/>
      <c r="AG64" s="179"/>
      <c r="AH64" s="179"/>
      <c r="AI64" s="179"/>
      <c r="AJ64" s="179"/>
      <c r="AK64" s="370"/>
      <c r="AL64" s="179"/>
      <c r="AM64" s="179"/>
      <c r="AN64" s="179"/>
      <c r="AO64" s="179"/>
      <c r="AP64" s="179"/>
      <c r="AQ64" s="179"/>
      <c r="AR64" s="179"/>
      <c r="AS64" s="179"/>
      <c r="AT64" s="179"/>
      <c r="AU64" s="179"/>
      <c r="AV64" s="179"/>
      <c r="AW64" s="179"/>
      <c r="AX64" s="179"/>
      <c r="AY64" s="179"/>
      <c r="AZ64" s="179"/>
      <c r="BA64" s="179"/>
      <c r="BB64" s="179"/>
      <c r="BC64" s="179"/>
      <c r="BD64" s="179"/>
      <c r="BE64" s="179"/>
      <c r="BF64" s="179"/>
      <c r="BG64" s="179"/>
      <c r="BH64" s="179"/>
      <c r="BI64" s="179"/>
      <c r="BJ64" s="179"/>
      <c r="BK64" s="179"/>
      <c r="BL64" s="179"/>
      <c r="BM64" s="179"/>
      <c r="BN64" s="179"/>
      <c r="BO64" s="179"/>
      <c r="BP64" s="179"/>
      <c r="BQ64" s="179"/>
      <c r="BR64" s="179"/>
      <c r="BS64" s="179"/>
      <c r="BT64" s="179"/>
      <c r="BU64" s="179"/>
      <c r="BV64" s="179"/>
      <c r="BW64" s="179"/>
      <c r="BX64" s="179"/>
      <c r="BY64" s="179"/>
    </row>
    <row r="65" spans="1:77" ht="14.25" customHeight="1">
      <c r="A65" s="369"/>
      <c r="B65" s="179"/>
      <c r="C65" s="179" t="s">
        <v>613</v>
      </c>
      <c r="D65" s="179" t="s">
        <v>61</v>
      </c>
      <c r="E65" s="179"/>
      <c r="F65" s="370" t="s">
        <v>609</v>
      </c>
      <c r="G65" s="179"/>
      <c r="H65" s="371"/>
      <c r="I65" s="371"/>
      <c r="J65" s="371"/>
      <c r="K65" s="371"/>
      <c r="L65" s="371"/>
      <c r="M65" s="371"/>
      <c r="N65" s="371"/>
      <c r="O65" s="371"/>
      <c r="P65" s="371"/>
      <c r="Q65" s="371"/>
      <c r="R65" s="371"/>
      <c r="S65" s="371"/>
      <c r="T65" s="371"/>
      <c r="U65" s="371"/>
      <c r="V65" s="179"/>
      <c r="W65" s="179"/>
      <c r="X65" s="179"/>
      <c r="Y65" s="179"/>
      <c r="Z65" s="179"/>
      <c r="AA65" s="179"/>
      <c r="AB65" s="179"/>
      <c r="AC65" s="179"/>
      <c r="AD65" s="179"/>
      <c r="AE65" s="179"/>
      <c r="AF65" s="179"/>
      <c r="AG65" s="179"/>
      <c r="AH65" s="179"/>
      <c r="AI65" s="179"/>
      <c r="AJ65" s="179"/>
      <c r="AK65" s="370"/>
      <c r="AL65" s="179"/>
      <c r="AM65" s="179"/>
      <c r="AN65" s="179"/>
      <c r="AO65" s="179"/>
      <c r="AP65" s="179"/>
      <c r="AQ65" s="179"/>
      <c r="AR65" s="179"/>
      <c r="AS65" s="179"/>
      <c r="AT65" s="179"/>
      <c r="AU65" s="179"/>
      <c r="AV65" s="179"/>
      <c r="AW65" s="179"/>
      <c r="AX65" s="179"/>
      <c r="AY65" s="179"/>
      <c r="AZ65" s="179"/>
      <c r="BA65" s="179"/>
      <c r="BB65" s="179"/>
      <c r="BC65" s="179"/>
      <c r="BD65" s="179"/>
      <c r="BE65" s="179"/>
      <c r="BF65" s="179"/>
      <c r="BG65" s="179"/>
      <c r="BH65" s="179"/>
      <c r="BI65" s="179"/>
      <c r="BJ65" s="179"/>
      <c r="BK65" s="179"/>
      <c r="BL65" s="179"/>
      <c r="BM65" s="179"/>
      <c r="BN65" s="179"/>
      <c r="BO65" s="179"/>
      <c r="BP65" s="179"/>
      <c r="BQ65" s="179"/>
      <c r="BR65" s="179"/>
      <c r="BS65" s="179"/>
      <c r="BT65" s="179"/>
      <c r="BU65" s="179"/>
      <c r="BV65" s="179"/>
      <c r="BW65" s="179"/>
      <c r="BX65" s="179"/>
      <c r="BY65" s="179"/>
    </row>
    <row r="66" spans="1:77" ht="14.25" customHeight="1">
      <c r="A66" s="369"/>
      <c r="B66" s="179"/>
      <c r="C66" s="179" t="s">
        <v>611</v>
      </c>
      <c r="D66" s="179" t="s">
        <v>58</v>
      </c>
      <c r="E66" s="179"/>
      <c r="F66" s="370" t="s">
        <v>609</v>
      </c>
      <c r="G66" s="179"/>
      <c r="H66" s="371"/>
      <c r="I66" s="371"/>
      <c r="J66" s="371"/>
      <c r="K66" s="371"/>
      <c r="L66" s="371"/>
      <c r="M66" s="371"/>
      <c r="N66" s="371"/>
      <c r="O66" s="371"/>
      <c r="P66" s="371"/>
      <c r="Q66" s="371"/>
      <c r="R66" s="371"/>
      <c r="S66" s="371"/>
      <c r="T66" s="371"/>
      <c r="U66" s="371"/>
      <c r="V66" s="179"/>
      <c r="W66" s="179"/>
      <c r="X66" s="179"/>
      <c r="Y66" s="179"/>
      <c r="Z66" s="179"/>
      <c r="AA66" s="179"/>
      <c r="AB66" s="179"/>
      <c r="AC66" s="179"/>
      <c r="AD66" s="179"/>
      <c r="AE66" s="179"/>
      <c r="AF66" s="179"/>
      <c r="AG66" s="179"/>
      <c r="AH66" s="179"/>
      <c r="AI66" s="179"/>
      <c r="AJ66" s="179"/>
      <c r="AK66" s="370"/>
      <c r="AL66" s="179"/>
      <c r="AM66" s="179"/>
      <c r="AN66" s="179"/>
      <c r="AO66" s="179"/>
      <c r="AP66" s="179"/>
      <c r="AQ66" s="179"/>
      <c r="AR66" s="179"/>
      <c r="AS66" s="179"/>
      <c r="AT66" s="179"/>
      <c r="AU66" s="179"/>
      <c r="AV66" s="179"/>
      <c r="AW66" s="179"/>
      <c r="AX66" s="179"/>
      <c r="AY66" s="179"/>
      <c r="AZ66" s="179"/>
      <c r="BA66" s="179"/>
      <c r="BB66" s="179"/>
      <c r="BC66" s="179"/>
      <c r="BD66" s="179"/>
      <c r="BE66" s="179"/>
      <c r="BF66" s="179"/>
      <c r="BG66" s="179"/>
      <c r="BH66" s="179"/>
      <c r="BI66" s="179"/>
      <c r="BJ66" s="179"/>
      <c r="BK66" s="179"/>
      <c r="BL66" s="179"/>
      <c r="BM66" s="179"/>
      <c r="BN66" s="179"/>
      <c r="BO66" s="179"/>
      <c r="BP66" s="179"/>
      <c r="BQ66" s="179"/>
      <c r="BR66" s="179"/>
      <c r="BS66" s="179"/>
      <c r="BT66" s="179"/>
      <c r="BU66" s="179"/>
      <c r="BV66" s="179"/>
      <c r="BW66" s="179"/>
      <c r="BX66" s="179"/>
      <c r="BY66" s="179"/>
    </row>
    <row r="67" spans="1:77" ht="14.25" customHeight="1">
      <c r="A67" s="369"/>
      <c r="B67" s="179"/>
      <c r="C67" s="179" t="s">
        <v>614</v>
      </c>
      <c r="D67" s="179" t="s">
        <v>377</v>
      </c>
      <c r="E67" s="179"/>
      <c r="F67" s="370" t="s">
        <v>609</v>
      </c>
      <c r="G67" s="179"/>
      <c r="H67" s="371"/>
      <c r="I67" s="371"/>
      <c r="J67" s="371"/>
      <c r="K67" s="371"/>
      <c r="L67" s="371"/>
      <c r="M67" s="371"/>
      <c r="N67" s="371"/>
      <c r="O67" s="371"/>
      <c r="P67" s="371"/>
      <c r="Q67" s="371"/>
      <c r="R67" s="371"/>
      <c r="S67" s="371"/>
      <c r="T67" s="371"/>
      <c r="U67" s="371"/>
      <c r="V67" s="179"/>
      <c r="W67" s="179"/>
      <c r="X67" s="179"/>
      <c r="Y67" s="179"/>
      <c r="Z67" s="179"/>
      <c r="AA67" s="179"/>
      <c r="AB67" s="179"/>
      <c r="AC67" s="179"/>
      <c r="AD67" s="179"/>
      <c r="AE67" s="179"/>
      <c r="AF67" s="179"/>
      <c r="AG67" s="179"/>
      <c r="AH67" s="179"/>
      <c r="AI67" s="179"/>
      <c r="AJ67" s="179"/>
      <c r="AK67" s="370"/>
      <c r="AL67" s="179"/>
      <c r="AM67" s="179"/>
      <c r="AN67" s="179"/>
      <c r="AO67" s="179"/>
      <c r="AP67" s="179"/>
      <c r="AQ67" s="179"/>
      <c r="AR67" s="179"/>
      <c r="AS67" s="179"/>
      <c r="AT67" s="179"/>
      <c r="AU67" s="179"/>
      <c r="AV67" s="179"/>
      <c r="AW67" s="179"/>
      <c r="AX67" s="179"/>
      <c r="AY67" s="179"/>
      <c r="AZ67" s="179"/>
      <c r="BA67" s="179"/>
      <c r="BB67" s="179"/>
      <c r="BC67" s="179"/>
      <c r="BD67" s="179"/>
      <c r="BE67" s="179"/>
      <c r="BF67" s="179"/>
      <c r="BG67" s="179"/>
      <c r="BH67" s="179"/>
      <c r="BI67" s="179"/>
      <c r="BJ67" s="179"/>
      <c r="BK67" s="179"/>
      <c r="BL67" s="179"/>
      <c r="BM67" s="179"/>
      <c r="BN67" s="179"/>
      <c r="BO67" s="179"/>
      <c r="BP67" s="179"/>
      <c r="BQ67" s="179"/>
      <c r="BR67" s="179"/>
      <c r="BS67" s="179"/>
      <c r="BT67" s="179"/>
      <c r="BU67" s="179"/>
      <c r="BV67" s="179"/>
      <c r="BW67" s="179"/>
      <c r="BX67" s="179"/>
      <c r="BY67" s="179"/>
    </row>
    <row r="68" spans="1:77" ht="14.25" customHeight="1">
      <c r="A68" s="369"/>
      <c r="B68" s="179"/>
      <c r="C68" s="179" t="s">
        <v>615</v>
      </c>
      <c r="D68" s="179" t="s">
        <v>128</v>
      </c>
      <c r="E68" s="179"/>
      <c r="F68" s="370" t="s">
        <v>609</v>
      </c>
      <c r="G68" s="179"/>
      <c r="H68" s="371"/>
      <c r="I68" s="371"/>
      <c r="J68" s="371"/>
      <c r="K68" s="371"/>
      <c r="L68" s="371"/>
      <c r="M68" s="371"/>
      <c r="N68" s="371"/>
      <c r="O68" s="371"/>
      <c r="P68" s="371"/>
      <c r="Q68" s="371"/>
      <c r="R68" s="371"/>
      <c r="S68" s="371"/>
      <c r="T68" s="371"/>
      <c r="U68" s="371"/>
      <c r="V68" s="179"/>
      <c r="W68" s="179"/>
      <c r="X68" s="179"/>
      <c r="Y68" s="179"/>
      <c r="Z68" s="179"/>
      <c r="AA68" s="179"/>
      <c r="AB68" s="179"/>
      <c r="AC68" s="179"/>
      <c r="AD68" s="179"/>
      <c r="AE68" s="179"/>
      <c r="AF68" s="179"/>
      <c r="AG68" s="179"/>
      <c r="AH68" s="179"/>
      <c r="AI68" s="179"/>
      <c r="AJ68" s="179"/>
      <c r="AK68" s="370"/>
      <c r="AL68" s="179"/>
      <c r="AM68" s="179"/>
      <c r="AN68" s="179"/>
      <c r="AO68" s="179"/>
      <c r="AP68" s="179"/>
      <c r="AQ68" s="179"/>
      <c r="AR68" s="179"/>
      <c r="AS68" s="179"/>
      <c r="AT68" s="179"/>
      <c r="AU68" s="179"/>
      <c r="AV68" s="179"/>
      <c r="AW68" s="179"/>
      <c r="AX68" s="179"/>
      <c r="AY68" s="179"/>
      <c r="AZ68" s="179"/>
      <c r="BA68" s="179"/>
      <c r="BB68" s="179"/>
      <c r="BC68" s="179"/>
      <c r="BD68" s="179"/>
      <c r="BE68" s="179"/>
      <c r="BF68" s="179"/>
      <c r="BG68" s="179"/>
      <c r="BH68" s="179"/>
      <c r="BI68" s="179"/>
      <c r="BJ68" s="179"/>
      <c r="BK68" s="179"/>
      <c r="BL68" s="179"/>
      <c r="BM68" s="179"/>
      <c r="BN68" s="179"/>
      <c r="BO68" s="179"/>
      <c r="BP68" s="179"/>
      <c r="BQ68" s="179"/>
      <c r="BR68" s="179"/>
      <c r="BS68" s="179"/>
      <c r="BT68" s="179"/>
      <c r="BU68" s="179"/>
      <c r="BV68" s="179"/>
      <c r="BW68" s="179"/>
      <c r="BX68" s="179"/>
      <c r="BY68" s="179"/>
    </row>
    <row r="69" spans="1:77"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t="s">
        <v>331</v>
      </c>
      <c r="BM69" s="1">
        <f>0.44</f>
        <v>0.44</v>
      </c>
      <c r="BN69" s="1"/>
      <c r="BO69" s="1"/>
      <c r="BP69" s="1"/>
      <c r="BQ69" s="1"/>
      <c r="BR69" s="1"/>
      <c r="BS69" s="1"/>
      <c r="BT69" s="1"/>
      <c r="BU69" s="1"/>
      <c r="BV69" s="1"/>
      <c r="BW69" s="1"/>
      <c r="BX69" s="1"/>
      <c r="BY69" s="1"/>
    </row>
    <row r="70" spans="1:77" ht="14.25" customHeight="1">
      <c r="A70" s="44" t="s">
        <v>232</v>
      </c>
      <c r="B70" s="75"/>
      <c r="C70" s="75"/>
      <c r="D70" s="75"/>
      <c r="E70" s="75"/>
      <c r="F70" s="75"/>
      <c r="G70" s="75"/>
      <c r="H70" s="78"/>
      <c r="I70" s="75"/>
      <c r="J70" s="75"/>
      <c r="K70" s="78"/>
      <c r="L70" s="75"/>
      <c r="M70" s="75"/>
      <c r="N70" s="75"/>
      <c r="O70" s="75"/>
      <c r="P70" s="78"/>
      <c r="Q70" s="75"/>
      <c r="R70" s="75"/>
      <c r="S70" s="75"/>
      <c r="T70" s="75"/>
      <c r="U70" s="78"/>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1"/>
      <c r="BG70" s="1"/>
      <c r="BH70" s="1"/>
      <c r="BI70" s="1"/>
      <c r="BJ70" s="1"/>
      <c r="BK70" s="1"/>
      <c r="BL70" s="1" t="s">
        <v>429</v>
      </c>
      <c r="BM70" s="1">
        <v>0.47</v>
      </c>
      <c r="BN70" s="1"/>
      <c r="BO70" s="1"/>
      <c r="BP70" s="1"/>
      <c r="BQ70" s="1"/>
      <c r="BR70" s="1"/>
      <c r="BS70" s="1"/>
      <c r="BT70" s="1"/>
      <c r="BU70" s="1"/>
      <c r="BV70" s="1"/>
      <c r="BW70" s="1"/>
      <c r="BX70" s="1"/>
      <c r="BY70" s="1"/>
    </row>
    <row r="71" spans="1:77" ht="14.25" customHeight="1">
      <c r="A71" s="1"/>
      <c r="B71" s="1"/>
      <c r="C71" s="1" t="s">
        <v>226</v>
      </c>
      <c r="D71" s="1" t="s">
        <v>214</v>
      </c>
      <c r="E71" s="1"/>
      <c r="F71" s="1" t="s">
        <v>215</v>
      </c>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356" t="s">
        <v>386</v>
      </c>
      <c r="BF71" s="1"/>
      <c r="BG71" s="1"/>
      <c r="BH71" s="1"/>
      <c r="BI71" s="1"/>
      <c r="BJ71" s="1"/>
      <c r="BK71" s="1"/>
      <c r="BL71" s="1"/>
      <c r="BM71" s="1"/>
      <c r="BN71" s="1"/>
      <c r="BO71" s="1"/>
      <c r="BP71" s="1"/>
      <c r="BQ71" s="1"/>
      <c r="BR71" s="1"/>
      <c r="BS71" s="1"/>
      <c r="BT71" s="1"/>
      <c r="BU71" s="1"/>
      <c r="BV71" s="1"/>
      <c r="BW71" s="1"/>
      <c r="BX71" s="1"/>
      <c r="BY71" s="1"/>
    </row>
    <row r="72" spans="1:77" ht="14.25" customHeight="1">
      <c r="A72" s="369"/>
      <c r="B72" s="179"/>
      <c r="C72" s="179" t="s">
        <v>612</v>
      </c>
      <c r="D72" s="179" t="s">
        <v>372</v>
      </c>
      <c r="E72" s="179"/>
      <c r="F72" s="370" t="s">
        <v>609</v>
      </c>
      <c r="G72" s="179"/>
      <c r="H72" s="371"/>
      <c r="I72" s="371"/>
      <c r="J72" s="371"/>
      <c r="K72" s="371"/>
      <c r="L72" s="371"/>
      <c r="M72" s="371"/>
      <c r="N72" s="371"/>
      <c r="O72" s="371"/>
      <c r="P72" s="371"/>
      <c r="Q72" s="371"/>
      <c r="R72" s="371"/>
      <c r="S72" s="371"/>
      <c r="T72" s="371"/>
      <c r="U72" s="371"/>
      <c r="V72" s="179"/>
      <c r="W72" s="179"/>
      <c r="X72" s="179"/>
      <c r="Y72" s="179"/>
      <c r="Z72" s="179"/>
      <c r="AA72" s="179"/>
      <c r="AB72" s="179"/>
      <c r="AC72" s="179"/>
      <c r="AD72" s="179"/>
      <c r="AE72" s="179"/>
      <c r="AF72" s="179"/>
      <c r="AG72" s="179"/>
      <c r="AH72" s="179"/>
      <c r="AI72" s="179"/>
      <c r="AJ72" s="179"/>
      <c r="AK72" s="370"/>
      <c r="AL72" s="179"/>
      <c r="AM72" s="179"/>
      <c r="AN72" s="179"/>
      <c r="AO72" s="179"/>
      <c r="AP72" s="179"/>
      <c r="AQ72" s="179"/>
      <c r="AR72" s="179"/>
      <c r="AS72" s="179"/>
      <c r="AT72" s="179"/>
      <c r="AU72" s="179"/>
      <c r="AV72" s="179"/>
      <c r="AW72" s="179"/>
      <c r="AX72" s="179"/>
      <c r="AY72" s="179"/>
      <c r="AZ72" s="179"/>
      <c r="BA72" s="179"/>
      <c r="BB72" s="179"/>
      <c r="BC72" s="179"/>
      <c r="BD72" s="179"/>
      <c r="BE72" s="179"/>
      <c r="BF72" s="179"/>
      <c r="BG72" s="179"/>
      <c r="BH72" s="179"/>
      <c r="BI72" s="179"/>
      <c r="BJ72" s="179"/>
      <c r="BK72" s="179"/>
      <c r="BL72" s="179"/>
      <c r="BM72" s="179"/>
      <c r="BN72" s="179"/>
      <c r="BO72" s="179"/>
      <c r="BP72" s="179"/>
      <c r="BQ72" s="179"/>
      <c r="BR72" s="179"/>
      <c r="BS72" s="179"/>
      <c r="BT72" s="179"/>
      <c r="BU72" s="179"/>
      <c r="BV72" s="179"/>
      <c r="BW72" s="179"/>
      <c r="BX72" s="179"/>
      <c r="BY72" s="179"/>
    </row>
    <row r="73" spans="1:77" ht="14.25" customHeight="1">
      <c r="A73" s="369"/>
      <c r="B73" s="179"/>
      <c r="C73" s="179" t="s">
        <v>613</v>
      </c>
      <c r="D73" s="179" t="s">
        <v>61</v>
      </c>
      <c r="E73" s="179"/>
      <c r="F73" s="370" t="s">
        <v>609</v>
      </c>
      <c r="G73" s="179"/>
      <c r="H73" s="371"/>
      <c r="I73" s="371"/>
      <c r="J73" s="371"/>
      <c r="K73" s="371"/>
      <c r="L73" s="371"/>
      <c r="M73" s="371"/>
      <c r="N73" s="371"/>
      <c r="O73" s="371"/>
      <c r="P73" s="371"/>
      <c r="Q73" s="371"/>
      <c r="R73" s="371"/>
      <c r="S73" s="371"/>
      <c r="T73" s="371"/>
      <c r="U73" s="371"/>
      <c r="V73" s="179"/>
      <c r="W73" s="179"/>
      <c r="X73" s="179"/>
      <c r="Y73" s="179"/>
      <c r="Z73" s="179"/>
      <c r="AA73" s="179"/>
      <c r="AB73" s="179"/>
      <c r="AC73" s="179"/>
      <c r="AD73" s="179"/>
      <c r="AE73" s="179"/>
      <c r="AF73" s="179"/>
      <c r="AG73" s="179"/>
      <c r="AH73" s="179"/>
      <c r="AI73" s="179"/>
      <c r="AJ73" s="179"/>
      <c r="AK73" s="370"/>
      <c r="AL73" s="179"/>
      <c r="AM73" s="179"/>
      <c r="AN73" s="179"/>
      <c r="AO73" s="179"/>
      <c r="AP73" s="179"/>
      <c r="AQ73" s="179"/>
      <c r="AR73" s="179"/>
      <c r="AS73" s="179"/>
      <c r="AT73" s="179"/>
      <c r="AU73" s="179"/>
      <c r="AV73" s="179"/>
      <c r="AW73" s="179"/>
      <c r="AX73" s="179"/>
      <c r="AY73" s="179"/>
      <c r="AZ73" s="179"/>
      <c r="BA73" s="179"/>
      <c r="BB73" s="179"/>
      <c r="BC73" s="179"/>
      <c r="BD73" s="179"/>
      <c r="BE73" s="179"/>
      <c r="BF73" s="179"/>
      <c r="BG73" s="179"/>
      <c r="BH73" s="179"/>
      <c r="BI73" s="179"/>
      <c r="BJ73" s="179"/>
      <c r="BK73" s="179"/>
      <c r="BL73" s="179"/>
      <c r="BM73" s="179"/>
      <c r="BN73" s="179"/>
      <c r="BO73" s="179"/>
      <c r="BP73" s="179"/>
      <c r="BQ73" s="179"/>
      <c r="BR73" s="179"/>
      <c r="BS73" s="179"/>
      <c r="BT73" s="179"/>
      <c r="BU73" s="179"/>
      <c r="BV73" s="179"/>
      <c r="BW73" s="179"/>
      <c r="BX73" s="179"/>
      <c r="BY73" s="179"/>
    </row>
    <row r="74" spans="1:77" ht="14.25" customHeight="1">
      <c r="A74" s="369"/>
      <c r="B74" s="179"/>
      <c r="C74" s="179" t="s">
        <v>611</v>
      </c>
      <c r="D74" s="179" t="s">
        <v>58</v>
      </c>
      <c r="E74" s="179"/>
      <c r="F74" s="370" t="s">
        <v>609</v>
      </c>
      <c r="G74" s="179"/>
      <c r="H74" s="371"/>
      <c r="I74" s="371"/>
      <c r="J74" s="371"/>
      <c r="K74" s="371"/>
      <c r="L74" s="371"/>
      <c r="M74" s="371"/>
      <c r="N74" s="371"/>
      <c r="O74" s="371"/>
      <c r="P74" s="371"/>
      <c r="Q74" s="371"/>
      <c r="R74" s="371"/>
      <c r="S74" s="371"/>
      <c r="T74" s="371"/>
      <c r="U74" s="371"/>
      <c r="V74" s="179"/>
      <c r="W74" s="179"/>
      <c r="X74" s="179"/>
      <c r="Y74" s="179"/>
      <c r="Z74" s="179"/>
      <c r="AA74" s="179"/>
      <c r="AB74" s="179"/>
      <c r="AC74" s="179"/>
      <c r="AD74" s="179"/>
      <c r="AE74" s="179"/>
      <c r="AF74" s="179"/>
      <c r="AG74" s="179"/>
      <c r="AH74" s="179"/>
      <c r="AI74" s="179"/>
      <c r="AJ74" s="179"/>
      <c r="AK74" s="370"/>
      <c r="AL74" s="179"/>
      <c r="AM74" s="179"/>
      <c r="AN74" s="179"/>
      <c r="AO74" s="179"/>
      <c r="AP74" s="179"/>
      <c r="AQ74" s="179"/>
      <c r="AR74" s="179"/>
      <c r="AS74" s="179"/>
      <c r="AT74" s="179"/>
      <c r="AU74" s="179"/>
      <c r="AV74" s="179"/>
      <c r="AW74" s="179"/>
      <c r="AX74" s="179"/>
      <c r="AY74" s="179"/>
      <c r="AZ74" s="179"/>
      <c r="BA74" s="179"/>
      <c r="BB74" s="179"/>
      <c r="BC74" s="179"/>
      <c r="BD74" s="179"/>
      <c r="BE74" s="179"/>
      <c r="BF74" s="179"/>
      <c r="BG74" s="179"/>
      <c r="BH74" s="179"/>
      <c r="BI74" s="179"/>
      <c r="BJ74" s="179"/>
      <c r="BK74" s="179"/>
      <c r="BL74" s="179"/>
      <c r="BM74" s="179"/>
      <c r="BN74" s="179"/>
      <c r="BO74" s="179"/>
      <c r="BP74" s="179"/>
      <c r="BQ74" s="179"/>
      <c r="BR74" s="179"/>
      <c r="BS74" s="179"/>
      <c r="BT74" s="179"/>
      <c r="BU74" s="179"/>
      <c r="BV74" s="179"/>
      <c r="BW74" s="179"/>
      <c r="BX74" s="179"/>
      <c r="BY74" s="179"/>
    </row>
    <row r="75" spans="1:77" ht="14.25" customHeight="1">
      <c r="A75" s="369"/>
      <c r="B75" s="179"/>
      <c r="C75" s="179" t="s">
        <v>616</v>
      </c>
      <c r="D75" s="179" t="s">
        <v>389</v>
      </c>
      <c r="E75" s="179"/>
      <c r="F75" s="370" t="s">
        <v>609</v>
      </c>
      <c r="G75" s="179"/>
      <c r="H75" s="371"/>
      <c r="I75" s="371"/>
      <c r="J75" s="371"/>
      <c r="K75" s="371"/>
      <c r="L75" s="371"/>
      <c r="M75" s="371"/>
      <c r="N75" s="371"/>
      <c r="O75" s="371"/>
      <c r="P75" s="371"/>
      <c r="Q75" s="371"/>
      <c r="R75" s="371"/>
      <c r="S75" s="371"/>
      <c r="T75" s="371"/>
      <c r="U75" s="371"/>
      <c r="V75" s="179"/>
      <c r="W75" s="179"/>
      <c r="X75" s="179"/>
      <c r="Y75" s="179"/>
      <c r="Z75" s="179"/>
      <c r="AA75" s="179"/>
      <c r="AB75" s="179"/>
      <c r="AC75" s="179"/>
      <c r="AD75" s="179"/>
      <c r="AE75" s="179"/>
      <c r="AF75" s="179"/>
      <c r="AG75" s="179"/>
      <c r="AH75" s="179"/>
      <c r="AI75" s="179"/>
      <c r="AJ75" s="179"/>
      <c r="AK75" s="370"/>
      <c r="AL75" s="179"/>
      <c r="AM75" s="179"/>
      <c r="AN75" s="179"/>
      <c r="AO75" s="179"/>
      <c r="AP75" s="179"/>
      <c r="AQ75" s="179"/>
      <c r="AR75" s="179"/>
      <c r="AS75" s="179"/>
      <c r="AT75" s="179"/>
      <c r="AU75" s="179"/>
      <c r="AV75" s="179"/>
      <c r="AW75" s="179"/>
      <c r="AX75" s="179"/>
      <c r="AY75" s="179"/>
      <c r="AZ75" s="179"/>
      <c r="BA75" s="179"/>
      <c r="BB75" s="179"/>
      <c r="BC75" s="179"/>
      <c r="BD75" s="179"/>
      <c r="BE75" s="179"/>
      <c r="BF75" s="179"/>
      <c r="BG75" s="179"/>
      <c r="BH75" s="179"/>
      <c r="BI75" s="179"/>
      <c r="BJ75" s="179"/>
      <c r="BK75" s="179"/>
      <c r="BL75" s="179"/>
      <c r="BM75" s="179"/>
      <c r="BN75" s="179"/>
      <c r="BO75" s="179"/>
      <c r="BP75" s="179"/>
      <c r="BQ75" s="179"/>
      <c r="BR75" s="179"/>
      <c r="BS75" s="179"/>
      <c r="BT75" s="179"/>
      <c r="BU75" s="179"/>
      <c r="BV75" s="179"/>
      <c r="BW75" s="179"/>
      <c r="BX75" s="179"/>
      <c r="BY75" s="179"/>
    </row>
    <row r="76" spans="1:77" ht="14.25" customHeight="1">
      <c r="A76" s="1"/>
      <c r="B76" s="1"/>
      <c r="C76" s="97"/>
      <c r="D76" s="1"/>
      <c r="E76" s="1"/>
      <c r="F76" s="97"/>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356"/>
      <c r="BF76" s="1"/>
      <c r="BG76" s="1"/>
      <c r="BH76" s="1"/>
      <c r="BI76" s="1"/>
      <c r="BJ76" s="1"/>
      <c r="BK76" s="1"/>
      <c r="BL76" s="1"/>
      <c r="BM76" s="1"/>
      <c r="BN76" s="1"/>
      <c r="BO76" s="1"/>
      <c r="BP76" s="1"/>
      <c r="BQ76" s="1"/>
      <c r="BR76" s="1"/>
      <c r="BS76" s="1"/>
      <c r="BT76" s="1"/>
      <c r="BU76" s="1"/>
      <c r="BV76" s="1"/>
      <c r="BW76" s="1"/>
      <c r="BX76" s="1"/>
      <c r="BY76" s="1"/>
    </row>
    <row r="77" spans="1:77" ht="14.25" customHeight="1">
      <c r="A77" s="44" t="s">
        <v>238</v>
      </c>
      <c r="B77" s="75"/>
      <c r="C77" s="75" t="s">
        <v>226</v>
      </c>
      <c r="D77" s="75" t="s">
        <v>214</v>
      </c>
      <c r="E77" s="75"/>
      <c r="F77" s="76" t="s">
        <v>215</v>
      </c>
      <c r="G77" s="75"/>
      <c r="H77" s="50">
        <v>0.14000000000000001</v>
      </c>
      <c r="I77" s="50">
        <f t="shared" ref="I77:J77" si="47">H77+($K77-$H77)/($K$1-$H$1)</f>
        <v>0.16333333333333333</v>
      </c>
      <c r="J77" s="50">
        <f t="shared" si="47"/>
        <v>0.18666666666666665</v>
      </c>
      <c r="K77" s="50">
        <v>0.21</v>
      </c>
      <c r="L77" s="50">
        <f t="shared" ref="L77:O77" si="48">K77+($P77-$K77)/($P$1-$K$1)</f>
        <v>0.21199999999999999</v>
      </c>
      <c r="M77" s="50">
        <f t="shared" si="48"/>
        <v>0.214</v>
      </c>
      <c r="N77" s="50">
        <f t="shared" si="48"/>
        <v>0.216</v>
      </c>
      <c r="O77" s="50">
        <f t="shared" si="48"/>
        <v>0.218</v>
      </c>
      <c r="P77" s="50">
        <v>0.22</v>
      </c>
      <c r="Q77" s="50">
        <f t="shared" ref="Q77:T77" si="49">P77+($U77-$P77)/($U$1-$P$1)</f>
        <v>0.224</v>
      </c>
      <c r="R77" s="50">
        <f t="shared" si="49"/>
        <v>0.22800000000000001</v>
      </c>
      <c r="S77" s="50">
        <f t="shared" si="49"/>
        <v>0.23200000000000001</v>
      </c>
      <c r="T77" s="50">
        <f t="shared" si="49"/>
        <v>0.23600000000000002</v>
      </c>
      <c r="U77" s="50">
        <v>0.24</v>
      </c>
      <c r="V77" s="75"/>
      <c r="W77" s="75"/>
      <c r="X77" s="75"/>
      <c r="Y77" s="75"/>
      <c r="Z77" s="75"/>
      <c r="AA77" s="75"/>
      <c r="AB77" s="75"/>
      <c r="AC77" s="75"/>
      <c r="AD77" s="75"/>
      <c r="AE77" s="75"/>
      <c r="AF77" s="75"/>
      <c r="AG77" s="75"/>
      <c r="AH77" s="75"/>
      <c r="AI77" s="75"/>
      <c r="AJ77" s="75"/>
      <c r="AK77" s="1"/>
      <c r="AL77" s="1"/>
      <c r="AM77" s="1"/>
      <c r="AN77" s="1"/>
      <c r="AO77" s="1"/>
      <c r="AP77" s="1"/>
      <c r="AQ77" s="1"/>
      <c r="AR77" s="1"/>
      <c r="AS77" s="1"/>
      <c r="AT77" s="1"/>
      <c r="AU77" s="1"/>
      <c r="AV77" s="1"/>
      <c r="AW77" s="1"/>
      <c r="AX77" s="1"/>
      <c r="AY77" s="1"/>
      <c r="AZ77" s="1"/>
      <c r="BA77" s="1"/>
      <c r="BB77" s="1"/>
      <c r="BC77" s="1"/>
      <c r="BD77" s="1"/>
      <c r="BE77" s="356" t="s">
        <v>391</v>
      </c>
      <c r="BF77" s="1"/>
      <c r="BG77" s="1"/>
      <c r="BH77" s="1"/>
      <c r="BI77" s="1"/>
      <c r="BJ77" s="1"/>
      <c r="BK77" s="1"/>
      <c r="BL77" s="1"/>
      <c r="BM77" s="1"/>
      <c r="BN77" s="1"/>
      <c r="BO77" s="1"/>
      <c r="BP77" s="1"/>
      <c r="BQ77" s="1"/>
      <c r="BR77" s="1"/>
      <c r="BS77" s="1"/>
      <c r="BT77" s="1"/>
      <c r="BU77" s="1"/>
      <c r="BV77" s="1"/>
      <c r="BW77" s="1"/>
      <c r="BX77" s="1"/>
      <c r="BY77" s="1"/>
    </row>
    <row r="78" spans="1:77" ht="14.25" customHeight="1">
      <c r="A78" s="369"/>
      <c r="B78" s="179"/>
      <c r="C78" s="179" t="s">
        <v>612</v>
      </c>
      <c r="D78" s="179" t="s">
        <v>372</v>
      </c>
      <c r="E78" s="179"/>
      <c r="F78" s="370" t="s">
        <v>609</v>
      </c>
      <c r="G78" s="179"/>
      <c r="H78" s="371"/>
      <c r="I78" s="371"/>
      <c r="J78" s="371"/>
      <c r="K78" s="371"/>
      <c r="L78" s="371"/>
      <c r="M78" s="371"/>
      <c r="N78" s="371"/>
      <c r="O78" s="371"/>
      <c r="P78" s="371"/>
      <c r="Q78" s="371"/>
      <c r="R78" s="371"/>
      <c r="S78" s="371"/>
      <c r="T78" s="371"/>
      <c r="U78" s="371"/>
      <c r="V78" s="179"/>
      <c r="W78" s="179"/>
      <c r="X78" s="179"/>
      <c r="Y78" s="179"/>
      <c r="Z78" s="179"/>
      <c r="AA78" s="179"/>
      <c r="AB78" s="179"/>
      <c r="AC78" s="179"/>
      <c r="AD78" s="179"/>
      <c r="AE78" s="179"/>
      <c r="AF78" s="179"/>
      <c r="AG78" s="179"/>
      <c r="AH78" s="179"/>
      <c r="AI78" s="179"/>
      <c r="AJ78" s="179"/>
      <c r="AK78" s="370"/>
      <c r="AL78" s="179"/>
      <c r="AM78" s="179"/>
      <c r="AN78" s="179"/>
      <c r="AO78" s="179"/>
      <c r="AP78" s="179"/>
      <c r="AQ78" s="179"/>
      <c r="AR78" s="179"/>
      <c r="AS78" s="179"/>
      <c r="AT78" s="179"/>
      <c r="AU78" s="179"/>
      <c r="AV78" s="179"/>
      <c r="AW78" s="179"/>
      <c r="AX78" s="179"/>
      <c r="AY78" s="179"/>
      <c r="AZ78" s="179"/>
      <c r="BA78" s="179"/>
      <c r="BB78" s="179"/>
      <c r="BC78" s="179"/>
      <c r="BD78" s="179"/>
      <c r="BE78" s="179"/>
      <c r="BF78" s="179"/>
      <c r="BG78" s="179"/>
      <c r="BH78" s="179"/>
      <c r="BI78" s="179"/>
      <c r="BJ78" s="179"/>
      <c r="BK78" s="179"/>
      <c r="BL78" s="179"/>
      <c r="BM78" s="179"/>
      <c r="BN78" s="179"/>
      <c r="BO78" s="179"/>
      <c r="BP78" s="179"/>
      <c r="BQ78" s="179"/>
      <c r="BR78" s="179"/>
      <c r="BS78" s="179"/>
      <c r="BT78" s="179"/>
      <c r="BU78" s="179"/>
      <c r="BV78" s="179"/>
      <c r="BW78" s="179"/>
      <c r="BX78" s="179"/>
      <c r="BY78" s="179"/>
    </row>
    <row r="79" spans="1:77" ht="14.25" customHeight="1">
      <c r="A79" s="369"/>
      <c r="B79" s="179"/>
      <c r="C79" s="179" t="s">
        <v>613</v>
      </c>
      <c r="D79" s="179" t="s">
        <v>61</v>
      </c>
      <c r="E79" s="179"/>
      <c r="F79" s="370" t="s">
        <v>609</v>
      </c>
      <c r="G79" s="179"/>
      <c r="H79" s="371"/>
      <c r="I79" s="371"/>
      <c r="J79" s="371"/>
      <c r="K79" s="371"/>
      <c r="L79" s="371"/>
      <c r="M79" s="371"/>
      <c r="N79" s="371"/>
      <c r="O79" s="371"/>
      <c r="P79" s="371"/>
      <c r="Q79" s="371"/>
      <c r="R79" s="371"/>
      <c r="S79" s="371"/>
      <c r="T79" s="371"/>
      <c r="U79" s="371"/>
      <c r="V79" s="179"/>
      <c r="W79" s="179"/>
      <c r="X79" s="179"/>
      <c r="Y79" s="179"/>
      <c r="Z79" s="179"/>
      <c r="AA79" s="179"/>
      <c r="AB79" s="179"/>
      <c r="AC79" s="179"/>
      <c r="AD79" s="179"/>
      <c r="AE79" s="179"/>
      <c r="AF79" s="179"/>
      <c r="AG79" s="179"/>
      <c r="AH79" s="179"/>
      <c r="AI79" s="179"/>
      <c r="AJ79" s="179"/>
      <c r="AK79" s="370"/>
      <c r="AL79" s="179"/>
      <c r="AM79" s="179"/>
      <c r="AN79" s="179"/>
      <c r="AO79" s="179"/>
      <c r="AP79" s="179"/>
      <c r="AQ79" s="179"/>
      <c r="AR79" s="179"/>
      <c r="AS79" s="179"/>
      <c r="AT79" s="179"/>
      <c r="AU79" s="179"/>
      <c r="AV79" s="179"/>
      <c r="AW79" s="179"/>
      <c r="AX79" s="179"/>
      <c r="AY79" s="179"/>
      <c r="AZ79" s="179"/>
      <c r="BA79" s="179"/>
      <c r="BB79" s="179"/>
      <c r="BC79" s="179"/>
      <c r="BD79" s="179"/>
      <c r="BE79" s="179"/>
      <c r="BF79" s="179"/>
      <c r="BG79" s="179"/>
      <c r="BH79" s="179"/>
      <c r="BI79" s="179"/>
      <c r="BJ79" s="179"/>
      <c r="BK79" s="179"/>
      <c r="BL79" s="179"/>
      <c r="BM79" s="179"/>
      <c r="BN79" s="179"/>
      <c r="BO79" s="179"/>
      <c r="BP79" s="179"/>
      <c r="BQ79" s="179"/>
      <c r="BR79" s="179"/>
      <c r="BS79" s="179"/>
      <c r="BT79" s="179"/>
      <c r="BU79" s="179"/>
      <c r="BV79" s="179"/>
      <c r="BW79" s="179"/>
      <c r="BX79" s="179"/>
      <c r="BY79" s="179"/>
    </row>
    <row r="80" spans="1:77" ht="14.25" customHeight="1">
      <c r="A80" s="369"/>
      <c r="B80" s="179"/>
      <c r="C80" s="179" t="s">
        <v>611</v>
      </c>
      <c r="D80" s="179" t="s">
        <v>58</v>
      </c>
      <c r="E80" s="179"/>
      <c r="F80" s="370" t="s">
        <v>609</v>
      </c>
      <c r="G80" s="179"/>
      <c r="H80" s="371"/>
      <c r="I80" s="371"/>
      <c r="J80" s="371"/>
      <c r="K80" s="371"/>
      <c r="L80" s="371"/>
      <c r="M80" s="371"/>
      <c r="N80" s="371"/>
      <c r="O80" s="371"/>
      <c r="P80" s="371"/>
      <c r="Q80" s="371"/>
      <c r="R80" s="371"/>
      <c r="S80" s="371"/>
      <c r="T80" s="371"/>
      <c r="U80" s="371"/>
      <c r="V80" s="179"/>
      <c r="W80" s="179"/>
      <c r="X80" s="179"/>
      <c r="Y80" s="179"/>
      <c r="Z80" s="179"/>
      <c r="AA80" s="179"/>
      <c r="AB80" s="179"/>
      <c r="AC80" s="179"/>
      <c r="AD80" s="179"/>
      <c r="AE80" s="179"/>
      <c r="AF80" s="179"/>
      <c r="AG80" s="179"/>
      <c r="AH80" s="179"/>
      <c r="AI80" s="179"/>
      <c r="AJ80" s="179"/>
      <c r="AK80" s="370"/>
      <c r="AL80" s="179"/>
      <c r="AM80" s="179"/>
      <c r="AN80" s="179"/>
      <c r="AO80" s="179"/>
      <c r="AP80" s="179"/>
      <c r="AQ80" s="179"/>
      <c r="AR80" s="179"/>
      <c r="AS80" s="179"/>
      <c r="AT80" s="179"/>
      <c r="AU80" s="179"/>
      <c r="AV80" s="179"/>
      <c r="AW80" s="179"/>
      <c r="AX80" s="179"/>
      <c r="AY80" s="179"/>
      <c r="AZ80" s="179"/>
      <c r="BA80" s="179"/>
      <c r="BB80" s="179"/>
      <c r="BC80" s="179"/>
      <c r="BD80" s="179"/>
      <c r="BE80" s="179"/>
      <c r="BF80" s="179"/>
      <c r="BG80" s="179"/>
      <c r="BH80" s="179"/>
      <c r="BI80" s="179"/>
      <c r="BJ80" s="179"/>
      <c r="BK80" s="179"/>
      <c r="BL80" s="179"/>
      <c r="BM80" s="179"/>
      <c r="BN80" s="179"/>
      <c r="BO80" s="179"/>
      <c r="BP80" s="179"/>
      <c r="BQ80" s="179"/>
      <c r="BR80" s="179"/>
      <c r="BS80" s="179"/>
      <c r="BT80" s="179"/>
      <c r="BU80" s="179"/>
      <c r="BV80" s="179"/>
      <c r="BW80" s="179"/>
      <c r="BX80" s="179"/>
      <c r="BY80" s="179"/>
    </row>
    <row r="81" spans="1:77" ht="14.25" customHeight="1">
      <c r="A81" s="14"/>
      <c r="B81" s="1"/>
      <c r="C81" s="1"/>
      <c r="D81" s="1"/>
      <c r="E81" s="1"/>
      <c r="F81" s="20"/>
      <c r="G81" s="1"/>
      <c r="H81" s="65"/>
      <c r="I81" s="65"/>
      <c r="J81" s="65"/>
      <c r="K81" s="65"/>
      <c r="L81" s="65"/>
      <c r="M81" s="65"/>
      <c r="N81" s="65"/>
      <c r="O81" s="65"/>
      <c r="P81" s="65"/>
      <c r="Q81" s="65"/>
      <c r="R81" s="65"/>
      <c r="S81" s="65"/>
      <c r="T81" s="65"/>
      <c r="U81" s="65"/>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382"/>
      <c r="BF81" s="1"/>
      <c r="BG81" s="1"/>
      <c r="BH81" s="1"/>
      <c r="BI81" s="1"/>
      <c r="BJ81" s="1"/>
      <c r="BK81" s="1"/>
      <c r="BL81" s="1"/>
      <c r="BM81" s="1"/>
      <c r="BN81" s="1"/>
      <c r="BO81" s="1"/>
      <c r="BP81" s="1"/>
      <c r="BQ81" s="1"/>
      <c r="BR81" s="1"/>
      <c r="BS81" s="1"/>
      <c r="BT81" s="1"/>
      <c r="BU81" s="1"/>
      <c r="BV81" s="1"/>
      <c r="BW81" s="1"/>
      <c r="BX81" s="1"/>
      <c r="BY81" s="1"/>
    </row>
    <row r="82" spans="1:77" ht="14.25" customHeight="1">
      <c r="A82" s="14"/>
      <c r="B82" s="1"/>
      <c r="C82" s="1"/>
      <c r="D82" s="1"/>
      <c r="E82" s="1"/>
      <c r="F82" s="20"/>
      <c r="G82" s="1"/>
      <c r="H82" s="65"/>
      <c r="I82" s="65"/>
      <c r="J82" s="65"/>
      <c r="K82" s="65"/>
      <c r="L82" s="65"/>
      <c r="M82" s="65"/>
      <c r="N82" s="65"/>
      <c r="O82" s="65"/>
      <c r="P82" s="65"/>
      <c r="Q82" s="65"/>
      <c r="R82" s="65"/>
      <c r="S82" s="65"/>
      <c r="T82" s="65"/>
      <c r="U82" s="65"/>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382"/>
      <c r="BF82" s="1"/>
      <c r="BG82" s="1"/>
      <c r="BH82" s="1"/>
      <c r="BI82" s="1"/>
      <c r="BJ82" s="1"/>
      <c r="BK82" s="1"/>
      <c r="BL82" s="1"/>
      <c r="BM82" s="1"/>
      <c r="BN82" s="1"/>
      <c r="BO82" s="1"/>
      <c r="BP82" s="1"/>
      <c r="BQ82" s="1"/>
      <c r="BR82" s="1"/>
      <c r="BS82" s="1"/>
      <c r="BT82" s="1"/>
      <c r="BU82" s="1"/>
      <c r="BV82" s="1"/>
      <c r="BW82" s="1"/>
      <c r="BX82" s="1"/>
      <c r="BY82" s="1"/>
    </row>
    <row r="83" spans="1:77"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row>
    <row r="84" spans="1:77" ht="14.25" customHeight="1">
      <c r="A84" s="44" t="s">
        <v>240</v>
      </c>
      <c r="B84" s="75"/>
      <c r="C84" s="75" t="s">
        <v>226</v>
      </c>
      <c r="D84" s="75" t="s">
        <v>214</v>
      </c>
      <c r="E84" s="75"/>
      <c r="F84" s="75" t="s">
        <v>215</v>
      </c>
      <c r="G84" s="75"/>
      <c r="H84" s="50">
        <v>0.14000000000000001</v>
      </c>
      <c r="I84" s="50">
        <f t="shared" ref="I84:J84" si="50">H84+($K84-$H84)/($K$1-$H$1)</f>
        <v>0.16333333333333333</v>
      </c>
      <c r="J84" s="50">
        <f t="shared" si="50"/>
        <v>0.18666666666666665</v>
      </c>
      <c r="K84" s="50">
        <v>0.21</v>
      </c>
      <c r="L84" s="50">
        <f t="shared" ref="L84:O84" si="51">K84+($P84-$K84)/($P$1-$K$1)</f>
        <v>0.21199999999999999</v>
      </c>
      <c r="M84" s="50">
        <f t="shared" si="51"/>
        <v>0.214</v>
      </c>
      <c r="N84" s="50">
        <f t="shared" si="51"/>
        <v>0.216</v>
      </c>
      <c r="O84" s="50">
        <f t="shared" si="51"/>
        <v>0.218</v>
      </c>
      <c r="P84" s="50">
        <v>0.22</v>
      </c>
      <c r="Q84" s="50">
        <f t="shared" ref="Q84:T84" si="52">P84+($U84-$P84)/($U$1-$P$1)</f>
        <v>0.224</v>
      </c>
      <c r="R84" s="50">
        <f t="shared" si="52"/>
        <v>0.22800000000000001</v>
      </c>
      <c r="S84" s="50">
        <f t="shared" si="52"/>
        <v>0.23200000000000001</v>
      </c>
      <c r="T84" s="50">
        <f t="shared" si="52"/>
        <v>0.23600000000000002</v>
      </c>
      <c r="U84" s="50">
        <v>0.24</v>
      </c>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c r="BF84" s="1"/>
      <c r="BG84" s="1"/>
      <c r="BH84" s="1"/>
      <c r="BI84" s="1"/>
      <c r="BJ84" s="1"/>
      <c r="BK84" s="1"/>
      <c r="BL84" s="1"/>
      <c r="BM84" s="1"/>
      <c r="BN84" s="1"/>
      <c r="BO84" s="1"/>
      <c r="BP84" s="1"/>
      <c r="BQ84" s="1"/>
      <c r="BR84" s="1"/>
      <c r="BS84" s="1"/>
      <c r="BT84" s="1"/>
      <c r="BU84" s="1"/>
      <c r="BV84" s="1"/>
      <c r="BW84" s="1"/>
      <c r="BX84" s="1"/>
      <c r="BY84" s="1"/>
    </row>
    <row r="85" spans="1:77" ht="14.25" customHeight="1">
      <c r="A85" s="369"/>
      <c r="B85" s="179"/>
      <c r="C85" s="179" t="s">
        <v>612</v>
      </c>
      <c r="D85" s="179" t="s">
        <v>372</v>
      </c>
      <c r="E85" s="179"/>
      <c r="F85" s="370" t="s">
        <v>609</v>
      </c>
      <c r="G85" s="179"/>
      <c r="H85" s="371"/>
      <c r="I85" s="371"/>
      <c r="J85" s="371"/>
      <c r="K85" s="371"/>
      <c r="L85" s="371"/>
      <c r="M85" s="371"/>
      <c r="N85" s="371"/>
      <c r="O85" s="371"/>
      <c r="P85" s="371"/>
      <c r="Q85" s="371"/>
      <c r="R85" s="371"/>
      <c r="S85" s="371"/>
      <c r="T85" s="371"/>
      <c r="U85" s="371"/>
      <c r="V85" s="179"/>
      <c r="W85" s="179"/>
      <c r="X85" s="179"/>
      <c r="Y85" s="179"/>
      <c r="Z85" s="179"/>
      <c r="AA85" s="179"/>
      <c r="AB85" s="179"/>
      <c r="AC85" s="179"/>
      <c r="AD85" s="179"/>
      <c r="AE85" s="179"/>
      <c r="AF85" s="179"/>
      <c r="AG85" s="179"/>
      <c r="AH85" s="179"/>
      <c r="AI85" s="179"/>
      <c r="AJ85" s="179"/>
      <c r="AK85" s="370"/>
      <c r="AL85" s="179"/>
      <c r="AM85" s="179"/>
      <c r="AN85" s="179"/>
      <c r="AO85" s="179"/>
      <c r="AP85" s="179"/>
      <c r="AQ85" s="179"/>
      <c r="AR85" s="179"/>
      <c r="AS85" s="179"/>
      <c r="AT85" s="179"/>
      <c r="AU85" s="179"/>
      <c r="AV85" s="179"/>
      <c r="AW85" s="179"/>
      <c r="AX85" s="179"/>
      <c r="AY85" s="179"/>
      <c r="AZ85" s="179"/>
      <c r="BA85" s="179"/>
      <c r="BB85" s="179"/>
      <c r="BC85" s="179"/>
      <c r="BD85" s="179"/>
      <c r="BE85" s="179"/>
      <c r="BF85" s="179"/>
      <c r="BG85" s="179"/>
      <c r="BH85" s="179"/>
      <c r="BI85" s="179"/>
      <c r="BJ85" s="179"/>
      <c r="BK85" s="179"/>
      <c r="BL85" s="179"/>
      <c r="BM85" s="179"/>
      <c r="BN85" s="179"/>
      <c r="BO85" s="179"/>
      <c r="BP85" s="179"/>
      <c r="BQ85" s="179"/>
      <c r="BR85" s="179"/>
      <c r="BS85" s="179"/>
      <c r="BT85" s="179"/>
      <c r="BU85" s="179"/>
      <c r="BV85" s="179"/>
      <c r="BW85" s="179"/>
      <c r="BX85" s="179"/>
      <c r="BY85" s="179"/>
    </row>
    <row r="86" spans="1:77" ht="14.25" customHeight="1">
      <c r="A86" s="369"/>
      <c r="B86" s="179"/>
      <c r="C86" s="179" t="s">
        <v>613</v>
      </c>
      <c r="D86" s="179" t="s">
        <v>61</v>
      </c>
      <c r="E86" s="179"/>
      <c r="F86" s="370" t="s">
        <v>609</v>
      </c>
      <c r="G86" s="179"/>
      <c r="H86" s="371"/>
      <c r="I86" s="371"/>
      <c r="J86" s="371"/>
      <c r="K86" s="371"/>
      <c r="L86" s="371"/>
      <c r="M86" s="371"/>
      <c r="N86" s="371"/>
      <c r="O86" s="371"/>
      <c r="P86" s="371"/>
      <c r="Q86" s="371"/>
      <c r="R86" s="371"/>
      <c r="S86" s="371"/>
      <c r="T86" s="371"/>
      <c r="U86" s="371"/>
      <c r="V86" s="179"/>
      <c r="W86" s="179"/>
      <c r="X86" s="179"/>
      <c r="Y86" s="179"/>
      <c r="Z86" s="179"/>
      <c r="AA86" s="179"/>
      <c r="AB86" s="179"/>
      <c r="AC86" s="179"/>
      <c r="AD86" s="179"/>
      <c r="AE86" s="179"/>
      <c r="AF86" s="179"/>
      <c r="AG86" s="179"/>
      <c r="AH86" s="179"/>
      <c r="AI86" s="179"/>
      <c r="AJ86" s="179"/>
      <c r="AK86" s="370"/>
      <c r="AL86" s="179"/>
      <c r="AM86" s="179"/>
      <c r="AN86" s="179"/>
      <c r="AO86" s="179"/>
      <c r="AP86" s="179"/>
      <c r="AQ86" s="179"/>
      <c r="AR86" s="179"/>
      <c r="AS86" s="179"/>
      <c r="AT86" s="179"/>
      <c r="AU86" s="179"/>
      <c r="AV86" s="179"/>
      <c r="AW86" s="179"/>
      <c r="AX86" s="179"/>
      <c r="AY86" s="179"/>
      <c r="AZ86" s="179"/>
      <c r="BA86" s="179"/>
      <c r="BB86" s="179"/>
      <c r="BC86" s="179"/>
      <c r="BD86" s="179"/>
      <c r="BE86" s="179"/>
      <c r="BF86" s="179"/>
      <c r="BG86" s="179"/>
      <c r="BH86" s="179"/>
      <c r="BI86" s="179"/>
      <c r="BJ86" s="179"/>
      <c r="BK86" s="179"/>
      <c r="BL86" s="179"/>
      <c r="BM86" s="179"/>
      <c r="BN86" s="179"/>
      <c r="BO86" s="179"/>
      <c r="BP86" s="179"/>
      <c r="BQ86" s="179"/>
      <c r="BR86" s="179"/>
      <c r="BS86" s="179"/>
      <c r="BT86" s="179"/>
      <c r="BU86" s="179"/>
      <c r="BV86" s="179"/>
      <c r="BW86" s="179"/>
      <c r="BX86" s="179"/>
      <c r="BY86" s="179"/>
    </row>
    <row r="87" spans="1:77" ht="14.25" customHeight="1">
      <c r="A87" s="369"/>
      <c r="B87" s="179"/>
      <c r="C87" s="179" t="s">
        <v>611</v>
      </c>
      <c r="D87" s="179" t="s">
        <v>58</v>
      </c>
      <c r="E87" s="179"/>
      <c r="F87" s="370" t="s">
        <v>609</v>
      </c>
      <c r="G87" s="179"/>
      <c r="H87" s="371"/>
      <c r="I87" s="371"/>
      <c r="J87" s="371"/>
      <c r="K87" s="371"/>
      <c r="L87" s="371"/>
      <c r="M87" s="371"/>
      <c r="N87" s="371"/>
      <c r="O87" s="371"/>
      <c r="P87" s="371"/>
      <c r="Q87" s="371"/>
      <c r="R87" s="371"/>
      <c r="S87" s="371"/>
      <c r="T87" s="371"/>
      <c r="U87" s="371"/>
      <c r="V87" s="179"/>
      <c r="W87" s="179"/>
      <c r="X87" s="179"/>
      <c r="Y87" s="179"/>
      <c r="Z87" s="179"/>
      <c r="AA87" s="179"/>
      <c r="AB87" s="179"/>
      <c r="AC87" s="179"/>
      <c r="AD87" s="179"/>
      <c r="AE87" s="179"/>
      <c r="AF87" s="179"/>
      <c r="AG87" s="179"/>
      <c r="AH87" s="179"/>
      <c r="AI87" s="179"/>
      <c r="AJ87" s="179"/>
      <c r="AK87" s="370"/>
      <c r="AL87" s="179"/>
      <c r="AM87" s="179"/>
      <c r="AN87" s="179"/>
      <c r="AO87" s="179"/>
      <c r="AP87" s="179"/>
      <c r="AQ87" s="179"/>
      <c r="AR87" s="179"/>
      <c r="AS87" s="179"/>
      <c r="AT87" s="179"/>
      <c r="AU87" s="179"/>
      <c r="AV87" s="179"/>
      <c r="AW87" s="179"/>
      <c r="AX87" s="179"/>
      <c r="AY87" s="179"/>
      <c r="AZ87" s="179"/>
      <c r="BA87" s="179"/>
      <c r="BB87" s="179"/>
      <c r="BC87" s="179"/>
      <c r="BD87" s="179"/>
      <c r="BE87" s="179"/>
      <c r="BF87" s="179"/>
      <c r="BG87" s="179"/>
      <c r="BH87" s="179"/>
      <c r="BI87" s="179"/>
      <c r="BJ87" s="179"/>
      <c r="BK87" s="179"/>
      <c r="BL87" s="179"/>
      <c r="BM87" s="179"/>
      <c r="BN87" s="179"/>
      <c r="BO87" s="179"/>
      <c r="BP87" s="179"/>
      <c r="BQ87" s="179"/>
      <c r="BR87" s="179"/>
      <c r="BS87" s="179"/>
      <c r="BT87" s="179"/>
      <c r="BU87" s="179"/>
      <c r="BV87" s="179"/>
      <c r="BW87" s="179"/>
      <c r="BX87" s="179"/>
      <c r="BY87" s="179"/>
    </row>
    <row r="88" spans="1:77" ht="15.75" customHeight="1">
      <c r="A88" s="369"/>
      <c r="B88" s="179"/>
      <c r="C88" s="179" t="s">
        <v>614</v>
      </c>
      <c r="D88" s="179" t="s">
        <v>377</v>
      </c>
      <c r="E88" s="179"/>
      <c r="F88" s="370" t="s">
        <v>609</v>
      </c>
      <c r="G88" s="179"/>
      <c r="H88" s="371"/>
      <c r="I88" s="371"/>
      <c r="J88" s="371"/>
      <c r="K88" s="371"/>
      <c r="L88" s="371"/>
      <c r="M88" s="371"/>
      <c r="N88" s="371"/>
      <c r="O88" s="371"/>
      <c r="P88" s="371"/>
      <c r="Q88" s="371"/>
      <c r="R88" s="371"/>
      <c r="S88" s="371"/>
      <c r="T88" s="371"/>
      <c r="U88" s="371"/>
      <c r="V88" s="179"/>
      <c r="W88" s="179"/>
      <c r="X88" s="179"/>
      <c r="Y88" s="179"/>
      <c r="Z88" s="179"/>
      <c r="AA88" s="179"/>
      <c r="AB88" s="179"/>
      <c r="AC88" s="179"/>
      <c r="AD88" s="179"/>
      <c r="AE88" s="179"/>
      <c r="AF88" s="179"/>
      <c r="AG88" s="179"/>
      <c r="AH88" s="179"/>
      <c r="AI88" s="179"/>
      <c r="AJ88" s="179"/>
      <c r="AK88" s="370"/>
      <c r="AL88" s="179"/>
      <c r="AM88" s="179"/>
      <c r="AN88" s="179"/>
      <c r="AO88" s="179"/>
      <c r="AP88" s="179"/>
      <c r="AQ88" s="179"/>
      <c r="AR88" s="179"/>
      <c r="AS88" s="179"/>
      <c r="AT88" s="179"/>
      <c r="AU88" s="179"/>
      <c r="AV88" s="179"/>
      <c r="AW88" s="179"/>
      <c r="AX88" s="179"/>
      <c r="AY88" s="179"/>
      <c r="AZ88" s="179"/>
      <c r="BA88" s="179"/>
      <c r="BB88" s="179"/>
      <c r="BC88" s="179"/>
      <c r="BD88" s="179"/>
      <c r="BE88" s="179"/>
      <c r="BF88" s="179"/>
      <c r="BG88" s="179"/>
      <c r="BH88" s="179"/>
      <c r="BI88" s="179"/>
      <c r="BJ88" s="179"/>
      <c r="BK88" s="179"/>
      <c r="BL88" s="179"/>
      <c r="BM88" s="179"/>
      <c r="BN88" s="179"/>
      <c r="BO88" s="179"/>
      <c r="BP88" s="179"/>
      <c r="BQ88" s="179"/>
      <c r="BR88" s="179"/>
      <c r="BS88" s="179"/>
      <c r="BT88" s="179"/>
      <c r="BU88" s="179"/>
      <c r="BV88" s="179"/>
      <c r="BW88" s="179"/>
      <c r="BX88" s="179"/>
      <c r="BY88" s="179"/>
    </row>
    <row r="89" spans="1:77"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row>
    <row r="90" spans="1:77" ht="14.25" customHeight="1">
      <c r="A90" s="375" t="s">
        <v>393</v>
      </c>
      <c r="B90" s="376"/>
      <c r="C90" s="376" t="s">
        <v>226</v>
      </c>
      <c r="D90" s="376" t="s">
        <v>214</v>
      </c>
      <c r="E90" s="376"/>
      <c r="F90" s="376" t="s">
        <v>215</v>
      </c>
      <c r="G90" s="376"/>
      <c r="H90" s="377"/>
      <c r="I90" s="377"/>
      <c r="J90" s="377"/>
      <c r="K90" s="377"/>
      <c r="L90" s="377"/>
      <c r="M90" s="377"/>
      <c r="N90" s="377"/>
      <c r="O90" s="377"/>
      <c r="P90" s="377"/>
      <c r="Q90" s="377"/>
      <c r="R90" s="377"/>
      <c r="S90" s="377"/>
      <c r="T90" s="377"/>
      <c r="U90" s="377"/>
      <c r="V90" s="376"/>
      <c r="W90" s="376"/>
      <c r="X90" s="376"/>
      <c r="Y90" s="376"/>
      <c r="Z90" s="376"/>
      <c r="AA90" s="376"/>
      <c r="AB90" s="376"/>
      <c r="AC90" s="376"/>
      <c r="AD90" s="376"/>
      <c r="AE90" s="376"/>
      <c r="AF90" s="376"/>
      <c r="AG90" s="376"/>
      <c r="AH90" s="376"/>
      <c r="AI90" s="376"/>
      <c r="AJ90" s="376"/>
      <c r="AK90" s="376"/>
      <c r="AL90" s="179"/>
      <c r="AM90" s="179"/>
      <c r="AN90" s="179"/>
      <c r="AO90" s="179"/>
      <c r="AP90" s="179"/>
      <c r="AQ90" s="179"/>
      <c r="AR90" s="179"/>
      <c r="AS90" s="179"/>
      <c r="AT90" s="179"/>
      <c r="AU90" s="179"/>
      <c r="AV90" s="179"/>
      <c r="AW90" s="179"/>
      <c r="AX90" s="179"/>
      <c r="AY90" s="179"/>
      <c r="AZ90" s="179"/>
      <c r="BA90" s="179"/>
      <c r="BB90" s="179"/>
      <c r="BC90" s="179"/>
      <c r="BD90" s="179"/>
      <c r="BE90" s="179"/>
      <c r="BF90" s="179"/>
      <c r="BG90" s="179"/>
      <c r="BH90" s="179"/>
      <c r="BI90" s="179"/>
      <c r="BJ90" s="179"/>
      <c r="BK90" s="179"/>
      <c r="BL90" s="179"/>
      <c r="BM90" s="179"/>
      <c r="BN90" s="179"/>
      <c r="BO90" s="179"/>
      <c r="BP90" s="179"/>
      <c r="BQ90" s="179"/>
      <c r="BR90" s="179"/>
      <c r="BS90" s="179"/>
      <c r="BT90" s="179"/>
      <c r="BU90" s="179"/>
      <c r="BV90" s="179"/>
      <c r="BW90" s="179"/>
      <c r="BX90" s="179"/>
      <c r="BY90" s="179"/>
    </row>
    <row r="91" spans="1:77" ht="14.25" customHeight="1">
      <c r="A91" s="369"/>
      <c r="B91" s="179"/>
      <c r="C91" s="179" t="s">
        <v>612</v>
      </c>
      <c r="D91" s="179" t="s">
        <v>372</v>
      </c>
      <c r="E91" s="179"/>
      <c r="F91" s="370" t="s">
        <v>609</v>
      </c>
      <c r="G91" s="179"/>
      <c r="H91" s="371"/>
      <c r="I91" s="371"/>
      <c r="J91" s="371"/>
      <c r="K91" s="371"/>
      <c r="L91" s="371"/>
      <c r="M91" s="371"/>
      <c r="N91" s="371"/>
      <c r="O91" s="371"/>
      <c r="P91" s="371"/>
      <c r="Q91" s="371"/>
      <c r="R91" s="371"/>
      <c r="S91" s="371"/>
      <c r="T91" s="371"/>
      <c r="U91" s="371"/>
      <c r="V91" s="179"/>
      <c r="W91" s="179"/>
      <c r="X91" s="179"/>
      <c r="Y91" s="179"/>
      <c r="Z91" s="179"/>
      <c r="AA91" s="179"/>
      <c r="AB91" s="179"/>
      <c r="AC91" s="179"/>
      <c r="AD91" s="179"/>
      <c r="AE91" s="179"/>
      <c r="AF91" s="179"/>
      <c r="AG91" s="179"/>
      <c r="AH91" s="179"/>
      <c r="AI91" s="179"/>
      <c r="AJ91" s="179"/>
      <c r="AK91" s="370"/>
      <c r="AL91" s="179"/>
      <c r="AM91" s="179"/>
      <c r="AN91" s="179"/>
      <c r="AO91" s="179"/>
      <c r="AP91" s="179"/>
      <c r="AQ91" s="179"/>
      <c r="AR91" s="179"/>
      <c r="AS91" s="179"/>
      <c r="AT91" s="179"/>
      <c r="AU91" s="179"/>
      <c r="AV91" s="179"/>
      <c r="AW91" s="179"/>
      <c r="AX91" s="179"/>
      <c r="AY91" s="179"/>
      <c r="AZ91" s="179"/>
      <c r="BA91" s="179"/>
      <c r="BB91" s="179"/>
      <c r="BC91" s="179"/>
      <c r="BD91" s="179"/>
      <c r="BE91" s="179"/>
      <c r="BF91" s="179"/>
      <c r="BG91" s="179"/>
      <c r="BH91" s="179"/>
      <c r="BI91" s="179"/>
      <c r="BJ91" s="179"/>
      <c r="BK91" s="179"/>
      <c r="BL91" s="179"/>
      <c r="BM91" s="179"/>
      <c r="BN91" s="179"/>
      <c r="BO91" s="179"/>
      <c r="BP91" s="179"/>
      <c r="BQ91" s="179"/>
      <c r="BR91" s="179"/>
      <c r="BS91" s="179"/>
      <c r="BT91" s="179"/>
      <c r="BU91" s="179"/>
      <c r="BV91" s="179"/>
      <c r="BW91" s="179"/>
      <c r="BX91" s="179"/>
      <c r="BY91" s="179"/>
    </row>
    <row r="92" spans="1:77" ht="14.25" customHeight="1">
      <c r="A92" s="369"/>
      <c r="B92" s="179"/>
      <c r="C92" s="179" t="s">
        <v>611</v>
      </c>
      <c r="D92" s="179" t="s">
        <v>58</v>
      </c>
      <c r="E92" s="179"/>
      <c r="F92" s="370" t="s">
        <v>609</v>
      </c>
      <c r="G92" s="179"/>
      <c r="H92" s="371"/>
      <c r="I92" s="371"/>
      <c r="J92" s="371"/>
      <c r="K92" s="371"/>
      <c r="L92" s="371"/>
      <c r="M92" s="371"/>
      <c r="N92" s="371"/>
      <c r="O92" s="371"/>
      <c r="P92" s="371"/>
      <c r="Q92" s="371"/>
      <c r="R92" s="371"/>
      <c r="S92" s="371"/>
      <c r="T92" s="371"/>
      <c r="U92" s="371"/>
      <c r="V92" s="179"/>
      <c r="W92" s="179"/>
      <c r="X92" s="179"/>
      <c r="Y92" s="179"/>
      <c r="Z92" s="179"/>
      <c r="AA92" s="179"/>
      <c r="AB92" s="179"/>
      <c r="AC92" s="179"/>
      <c r="AD92" s="179"/>
      <c r="AE92" s="179"/>
      <c r="AF92" s="179"/>
      <c r="AG92" s="179"/>
      <c r="AH92" s="179"/>
      <c r="AI92" s="179"/>
      <c r="AJ92" s="179"/>
      <c r="AK92" s="370"/>
      <c r="AL92" s="179"/>
      <c r="AM92" s="179"/>
      <c r="AN92" s="179"/>
      <c r="AO92" s="179"/>
      <c r="AP92" s="179"/>
      <c r="AQ92" s="179"/>
      <c r="AR92" s="179"/>
      <c r="AS92" s="179"/>
      <c r="AT92" s="179"/>
      <c r="AU92" s="179"/>
      <c r="AV92" s="179"/>
      <c r="AW92" s="179"/>
      <c r="AX92" s="179"/>
      <c r="AY92" s="179"/>
      <c r="AZ92" s="179"/>
      <c r="BA92" s="179"/>
      <c r="BB92" s="179"/>
      <c r="BC92" s="179"/>
      <c r="BD92" s="179"/>
      <c r="BE92" s="179"/>
      <c r="BF92" s="179"/>
      <c r="BG92" s="179"/>
      <c r="BH92" s="179"/>
      <c r="BI92" s="179"/>
      <c r="BJ92" s="179"/>
      <c r="BK92" s="179"/>
      <c r="BL92" s="179"/>
      <c r="BM92" s="179"/>
      <c r="BN92" s="179"/>
      <c r="BO92" s="179"/>
      <c r="BP92" s="179"/>
      <c r="BQ92" s="179"/>
      <c r="BR92" s="179"/>
      <c r="BS92" s="179"/>
      <c r="BT92" s="179"/>
      <c r="BU92" s="179"/>
      <c r="BV92" s="179"/>
      <c r="BW92" s="179"/>
      <c r="BX92" s="179"/>
      <c r="BY92" s="179"/>
    </row>
    <row r="93" spans="1:77"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row>
    <row r="94" spans="1:77"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row>
    <row r="95" spans="1:77" ht="14.25" customHeight="1">
      <c r="A95" s="1"/>
      <c r="B95" s="1"/>
      <c r="C95" s="1"/>
      <c r="D95" s="1"/>
      <c r="E95" s="1"/>
      <c r="F95" s="97"/>
      <c r="G95" s="1"/>
      <c r="H95" s="1"/>
      <c r="I95" s="1"/>
      <c r="J95" s="1"/>
      <c r="K95" s="1"/>
      <c r="L95" s="1"/>
      <c r="M95" s="1"/>
      <c r="N95" s="1"/>
      <c r="O95" s="1"/>
      <c r="P95" s="1"/>
      <c r="Q95" s="1"/>
      <c r="R95" s="1"/>
      <c r="S95" s="1"/>
      <c r="T95" s="1"/>
      <c r="U95" s="1"/>
      <c r="V95" s="1"/>
      <c r="W95" s="378"/>
      <c r="X95" s="1"/>
      <c r="Y95" s="54"/>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97"/>
      <c r="BF95" s="1"/>
      <c r="BG95" s="1"/>
      <c r="BH95" s="1"/>
      <c r="BI95" s="1"/>
      <c r="BJ95" s="1"/>
      <c r="BK95" s="1"/>
      <c r="BL95" s="1"/>
      <c r="BM95" s="1"/>
      <c r="BN95" s="1"/>
      <c r="BO95" s="1"/>
      <c r="BP95" s="1"/>
      <c r="BQ95" s="1"/>
      <c r="BR95" s="1"/>
      <c r="BS95" s="1"/>
      <c r="BT95" s="1"/>
      <c r="BU95" s="1"/>
      <c r="BV95" s="1"/>
      <c r="BW95" s="1"/>
      <c r="BX95" s="1"/>
      <c r="BY95" s="1"/>
    </row>
    <row r="96" spans="1:77" ht="14.25" customHeight="1">
      <c r="A96" s="1"/>
      <c r="B96" s="1"/>
      <c r="C96" s="1"/>
      <c r="D96" s="1"/>
      <c r="E96" s="1"/>
      <c r="F96" s="1"/>
      <c r="G96" s="1"/>
      <c r="H96" s="1"/>
      <c r="I96" s="1"/>
      <c r="J96" s="1"/>
      <c r="K96" s="1"/>
      <c r="L96" s="1"/>
      <c r="M96" s="1"/>
      <c r="N96" s="1"/>
      <c r="O96" s="1"/>
      <c r="P96" s="1"/>
      <c r="Q96" s="1"/>
      <c r="R96" s="1"/>
      <c r="S96" s="1"/>
      <c r="T96" s="1"/>
      <c r="U96" s="1"/>
      <c r="V96" s="1"/>
      <c r="W96" s="1"/>
      <c r="X96" s="1"/>
      <c r="Y96" s="54"/>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row>
    <row r="97" spans="1:25" ht="14.25" customHeight="1">
      <c r="A97" s="1" t="s">
        <v>243</v>
      </c>
      <c r="B97" s="1"/>
      <c r="C97" s="1"/>
      <c r="D97" s="1"/>
      <c r="E97" s="1"/>
      <c r="F97" s="1"/>
      <c r="G97" s="1"/>
      <c r="H97" s="1"/>
      <c r="I97" s="1"/>
      <c r="J97" s="1"/>
      <c r="K97" s="1"/>
      <c r="L97" s="1"/>
      <c r="M97" s="1"/>
      <c r="N97" s="1"/>
      <c r="O97" s="1"/>
      <c r="P97" s="1"/>
      <c r="Q97" s="1"/>
      <c r="R97" s="1"/>
      <c r="S97" s="1"/>
      <c r="T97" s="1"/>
      <c r="U97" s="1"/>
      <c r="V97" s="1"/>
      <c r="W97" s="1"/>
      <c r="X97" s="1"/>
      <c r="Y97" s="54"/>
    </row>
    <row r="98" spans="1:25" ht="14.25" customHeight="1">
      <c r="A98" s="97" t="s">
        <v>244</v>
      </c>
      <c r="B98" s="1"/>
      <c r="C98" s="1"/>
      <c r="D98" s="1"/>
      <c r="E98" s="1"/>
      <c r="F98" s="1"/>
      <c r="G98" s="1"/>
      <c r="H98" s="1"/>
      <c r="I98" s="1"/>
      <c r="J98" s="1"/>
      <c r="K98" s="1"/>
      <c r="L98" s="1"/>
      <c r="M98" s="1"/>
      <c r="N98" s="1"/>
      <c r="O98" s="1"/>
      <c r="P98" s="1"/>
      <c r="Q98" s="1"/>
      <c r="R98" s="1"/>
      <c r="S98" s="1"/>
      <c r="T98" s="1"/>
      <c r="U98" s="1"/>
      <c r="V98" s="1"/>
      <c r="W98" s="1"/>
      <c r="X98" s="1"/>
      <c r="Y98" s="1"/>
    </row>
    <row r="99" spans="1:25" ht="14.25" customHeight="1">
      <c r="A99" s="97" t="s">
        <v>245</v>
      </c>
      <c r="B99" s="1"/>
      <c r="C99" s="1"/>
      <c r="D99" s="1"/>
      <c r="E99" s="1"/>
      <c r="F99" s="1"/>
      <c r="G99" s="1"/>
      <c r="H99" s="1"/>
      <c r="I99" s="1"/>
      <c r="J99" s="1"/>
      <c r="K99" s="1"/>
      <c r="L99" s="1"/>
      <c r="M99" s="1"/>
      <c r="N99" s="1"/>
      <c r="O99" s="1"/>
      <c r="P99" s="1"/>
      <c r="Q99" s="1"/>
      <c r="R99" s="1"/>
      <c r="S99" s="1"/>
      <c r="T99" s="1"/>
      <c r="U99" s="1"/>
      <c r="V99" s="1"/>
      <c r="W99" s="1"/>
      <c r="X99" s="1"/>
      <c r="Y99" s="1"/>
    </row>
    <row r="100" spans="1:25" ht="14.25" customHeight="1">
      <c r="A100" s="97" t="s">
        <v>246</v>
      </c>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25" customHeight="1">
      <c r="A101" s="97" t="s">
        <v>247</v>
      </c>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25" customHeight="1">
      <c r="A102" s="97" t="s">
        <v>248</v>
      </c>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25" customHeight="1">
      <c r="A103" s="97" t="s">
        <v>249</v>
      </c>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25" customHeight="1">
      <c r="A104" s="97" t="s">
        <v>250</v>
      </c>
      <c r="B104" s="1"/>
      <c r="C104" s="97"/>
      <c r="D104" s="1"/>
      <c r="E104" s="1"/>
      <c r="F104" s="1"/>
      <c r="G104" s="1"/>
      <c r="H104" s="1"/>
      <c r="I104" s="1"/>
      <c r="J104" s="1"/>
      <c r="K104" s="1"/>
      <c r="L104" s="1"/>
      <c r="M104" s="1"/>
      <c r="N104" s="1"/>
      <c r="O104" s="1"/>
      <c r="P104" s="1"/>
      <c r="Q104" s="1"/>
      <c r="R104" s="1"/>
      <c r="S104" s="1"/>
      <c r="T104" s="1"/>
      <c r="U104" s="1"/>
      <c r="V104" s="1"/>
      <c r="W104" s="1"/>
      <c r="X104" s="1"/>
      <c r="Y104" s="1"/>
    </row>
    <row r="105" spans="1:25" ht="14.25" customHeight="1">
      <c r="A105" s="97" t="s">
        <v>251</v>
      </c>
      <c r="B105" s="1"/>
      <c r="C105" s="97"/>
      <c r="D105" s="1"/>
      <c r="E105" s="1"/>
      <c r="F105" s="1"/>
      <c r="G105" s="1"/>
      <c r="H105" s="1"/>
      <c r="I105" s="1"/>
      <c r="J105" s="1"/>
      <c r="K105" s="1"/>
      <c r="L105" s="1"/>
      <c r="M105" s="1"/>
      <c r="N105" s="1"/>
      <c r="O105" s="1"/>
      <c r="P105" s="1"/>
      <c r="Q105" s="1"/>
      <c r="R105" s="1"/>
      <c r="S105" s="1"/>
      <c r="T105" s="1"/>
      <c r="U105" s="1"/>
      <c r="V105" s="1"/>
      <c r="W105" s="1"/>
      <c r="X105" s="1"/>
      <c r="Y105" s="1"/>
    </row>
    <row r="106" spans="1:25" ht="14.25" customHeight="1">
      <c r="A106" s="97" t="s">
        <v>252</v>
      </c>
      <c r="B106" s="1"/>
      <c r="C106" s="97"/>
      <c r="D106" s="1"/>
      <c r="E106" s="1"/>
      <c r="F106" s="1"/>
      <c r="G106" s="1"/>
      <c r="H106" s="1"/>
      <c r="I106" s="1"/>
      <c r="J106" s="1"/>
      <c r="K106" s="1"/>
      <c r="L106" s="1"/>
      <c r="M106" s="1"/>
      <c r="N106" s="1"/>
      <c r="O106" s="1"/>
      <c r="P106" s="1"/>
      <c r="Q106" s="1"/>
      <c r="R106" s="1"/>
      <c r="S106" s="1"/>
      <c r="T106" s="1"/>
      <c r="U106" s="1"/>
      <c r="V106" s="1"/>
      <c r="W106" s="1"/>
      <c r="X106" s="1"/>
      <c r="Y106" s="1"/>
    </row>
    <row r="107" spans="1:25" ht="14.25" customHeight="1">
      <c r="A107" s="97" t="s">
        <v>253</v>
      </c>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25" customHeight="1">
      <c r="A108" s="97" t="s">
        <v>254</v>
      </c>
      <c r="B108" s="1"/>
      <c r="C108" s="97"/>
      <c r="D108" s="1"/>
      <c r="E108" s="1"/>
      <c r="F108" s="1"/>
      <c r="G108" s="1"/>
      <c r="H108" s="1"/>
      <c r="I108" s="1"/>
      <c r="J108" s="1"/>
      <c r="K108" s="1"/>
      <c r="L108" s="1"/>
      <c r="M108" s="1"/>
      <c r="N108" s="1"/>
      <c r="O108" s="1"/>
      <c r="P108" s="1"/>
      <c r="Q108" s="1"/>
      <c r="R108" s="1"/>
      <c r="S108" s="1"/>
      <c r="T108" s="1"/>
      <c r="U108" s="1"/>
      <c r="V108" s="1"/>
      <c r="W108" s="1"/>
      <c r="X108" s="1"/>
      <c r="Y108" s="1"/>
    </row>
    <row r="109" spans="1:25" ht="14.25" customHeight="1">
      <c r="A109" s="97" t="s">
        <v>255</v>
      </c>
      <c r="B109" s="1"/>
      <c r="C109" s="97"/>
      <c r="D109" s="1"/>
      <c r="E109" s="1"/>
      <c r="F109" s="1"/>
      <c r="G109" s="1"/>
      <c r="H109" s="54"/>
      <c r="I109" s="1"/>
      <c r="J109" s="1"/>
      <c r="K109" s="1"/>
      <c r="L109" s="1"/>
      <c r="M109" s="1"/>
      <c r="N109" s="1"/>
      <c r="O109" s="25"/>
      <c r="P109" s="1"/>
      <c r="Q109" s="1"/>
      <c r="R109" s="1"/>
      <c r="S109" s="1"/>
      <c r="T109" s="1"/>
      <c r="U109" s="1"/>
      <c r="V109" s="1"/>
      <c r="W109" s="1"/>
      <c r="X109" s="1"/>
      <c r="Y109" s="1"/>
    </row>
    <row r="110" spans="1:25" ht="14.25" customHeight="1">
      <c r="A110" s="97" t="s">
        <v>256</v>
      </c>
      <c r="B110" s="1"/>
      <c r="C110" s="1"/>
      <c r="D110" s="1"/>
      <c r="E110" s="1"/>
      <c r="F110" s="1"/>
      <c r="G110" s="1"/>
      <c r="H110" s="54"/>
      <c r="I110" s="1"/>
      <c r="J110" s="1"/>
      <c r="K110" s="1"/>
      <c r="L110" s="1"/>
      <c r="M110" s="1"/>
      <c r="N110" s="1"/>
      <c r="O110" s="25"/>
      <c r="P110" s="1"/>
      <c r="Q110" s="1"/>
      <c r="R110" s="1"/>
      <c r="S110" s="1"/>
      <c r="T110" s="1"/>
      <c r="U110" s="1"/>
      <c r="V110" s="1"/>
      <c r="W110" s="1"/>
      <c r="X110" s="1"/>
      <c r="Y110" s="1"/>
    </row>
    <row r="111" spans="1:25" ht="14.25" customHeight="1">
      <c r="A111" s="97" t="s">
        <v>257</v>
      </c>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3:70" ht="14.25" customHeight="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row>
    <row r="114" spans="3:70" ht="14.25" customHeight="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row>
    <row r="115" spans="3:70" ht="14.25" customHeight="1">
      <c r="C115" s="1"/>
      <c r="D115" s="1"/>
      <c r="E115" s="1"/>
      <c r="F115" s="1"/>
      <c r="G115" s="1"/>
      <c r="H115" s="297"/>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row>
    <row r="116" spans="3:70" ht="14.25" customHeight="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row>
    <row r="117" spans="3:70" ht="14.25" customHeight="1">
      <c r="C117" s="97"/>
      <c r="D117" s="1"/>
      <c r="E117" s="1"/>
      <c r="F117" s="1"/>
      <c r="G117" s="1"/>
      <c r="H117" s="1"/>
      <c r="I117" s="25"/>
      <c r="J117" s="25"/>
      <c r="K117" s="25"/>
      <c r="L117" s="25"/>
      <c r="M117" s="25"/>
      <c r="N117" s="25"/>
      <c r="O117" s="25"/>
      <c r="P117" s="25"/>
      <c r="Q117" s="25"/>
      <c r="R117" s="25"/>
      <c r="S117" s="25"/>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row>
    <row r="118" spans="3:70" ht="14.25" customHeight="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row>
    <row r="119" spans="3:70" ht="14.25" customHeight="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row>
    <row r="120" spans="3:70" ht="14.25" customHeight="1">
      <c r="C120" s="97"/>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v>2038</v>
      </c>
      <c r="BG120" s="1">
        <v>2039</v>
      </c>
      <c r="BH120" s="1">
        <v>2040</v>
      </c>
      <c r="BI120" s="1">
        <v>2041</v>
      </c>
      <c r="BJ120" s="1">
        <v>2042</v>
      </c>
      <c r="BK120" s="1">
        <v>2043</v>
      </c>
      <c r="BL120" s="1">
        <v>2044</v>
      </c>
      <c r="BM120" s="1">
        <v>2045</v>
      </c>
      <c r="BN120" s="1">
        <v>2046</v>
      </c>
      <c r="BO120" s="1">
        <v>2047</v>
      </c>
      <c r="BP120" s="1">
        <v>2048</v>
      </c>
      <c r="BQ120" s="1">
        <v>2049</v>
      </c>
      <c r="BR120" s="1">
        <v>2050</v>
      </c>
    </row>
    <row r="121" spans="3:70" ht="14.25" customHeight="1">
      <c r="C121" s="97"/>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f>AJ121*BF122</f>
        <v>0</v>
      </c>
      <c r="BG121" s="1">
        <f t="shared" ref="BG121:BR121" si="53">BF121*BG122</f>
        <v>0</v>
      </c>
      <c r="BH121" s="1">
        <f t="shared" si="53"/>
        <v>0</v>
      </c>
      <c r="BI121" s="1">
        <f t="shared" si="53"/>
        <v>0</v>
      </c>
      <c r="BJ121" s="1">
        <f t="shared" si="53"/>
        <v>0</v>
      </c>
      <c r="BK121" s="1">
        <f t="shared" si="53"/>
        <v>0</v>
      </c>
      <c r="BL121" s="1">
        <f t="shared" si="53"/>
        <v>0</v>
      </c>
      <c r="BM121" s="1">
        <f t="shared" si="53"/>
        <v>0</v>
      </c>
      <c r="BN121" s="1">
        <f t="shared" si="53"/>
        <v>0</v>
      </c>
      <c r="BO121" s="1">
        <f t="shared" si="53"/>
        <v>0</v>
      </c>
      <c r="BP121" s="1">
        <f t="shared" si="53"/>
        <v>0</v>
      </c>
      <c r="BQ121" s="1">
        <f t="shared" si="53"/>
        <v>0</v>
      </c>
      <c r="BR121" s="1">
        <f t="shared" si="53"/>
        <v>0</v>
      </c>
    </row>
    <row r="122" spans="3:70" ht="14.25" customHeight="1">
      <c r="C122" s="97"/>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f>AJ122</f>
        <v>0</v>
      </c>
      <c r="BG122" s="1">
        <f t="shared" ref="BG122:BR122" si="54">BF122</f>
        <v>0</v>
      </c>
      <c r="BH122" s="1">
        <f t="shared" si="54"/>
        <v>0</v>
      </c>
      <c r="BI122" s="1">
        <f t="shared" si="54"/>
        <v>0</v>
      </c>
      <c r="BJ122" s="1">
        <f t="shared" si="54"/>
        <v>0</v>
      </c>
      <c r="BK122" s="1">
        <f t="shared" si="54"/>
        <v>0</v>
      </c>
      <c r="BL122" s="1">
        <f t="shared" si="54"/>
        <v>0</v>
      </c>
      <c r="BM122" s="1">
        <f t="shared" si="54"/>
        <v>0</v>
      </c>
      <c r="BN122" s="1">
        <f t="shared" si="54"/>
        <v>0</v>
      </c>
      <c r="BO122" s="1">
        <f t="shared" si="54"/>
        <v>0</v>
      </c>
      <c r="BP122" s="1">
        <f t="shared" si="54"/>
        <v>0</v>
      </c>
      <c r="BQ122" s="1">
        <f t="shared" si="54"/>
        <v>0</v>
      </c>
      <c r="BR122" s="1">
        <f t="shared" si="54"/>
        <v>0</v>
      </c>
    </row>
    <row r="123" spans="3:70" ht="14.25" customHeight="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row>
    <row r="124" spans="3:70" ht="14.25" customHeight="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row>
    <row r="125" spans="3:70" ht="14.25" customHeight="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row>
    <row r="126" spans="3:70" ht="14.25" customHeight="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row>
    <row r="127" spans="3:70" ht="14.25" customHeight="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row>
    <row r="128" spans="3:70" ht="14.25" customHeight="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row>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P40" r:id="rId1" xr:uid="{00000000-0004-0000-0B00-000000000000}"/>
  </hyperlinks>
  <pageMargins left="0.7" right="0.7" top="0.75" bottom="0.75" header="0" footer="0"/>
  <pageSetup orientation="portrait"/>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BG1009"/>
  <sheetViews>
    <sheetView tabSelected="1" workbookViewId="0">
      <selection activeCell="A4" sqref="A4"/>
    </sheetView>
  </sheetViews>
  <sheetFormatPr defaultColWidth="14.44140625" defaultRowHeight="15" customHeight="1"/>
  <cols>
    <col min="1" max="1" width="8.6640625" customWidth="1"/>
    <col min="2" max="2" width="40.88671875" customWidth="1"/>
    <col min="3" max="3" width="15.6640625" customWidth="1"/>
    <col min="4" max="4" width="35.6640625" customWidth="1"/>
    <col min="5" max="10" width="8.6640625" customWidth="1"/>
    <col min="11" max="11" width="12.5546875" customWidth="1"/>
    <col min="12" max="13" width="8.6640625" customWidth="1"/>
    <col min="14" max="14" width="12.5546875" customWidth="1"/>
    <col min="15" max="18" width="8.6640625" customWidth="1"/>
    <col min="19" max="19" width="10.44140625" customWidth="1"/>
    <col min="20" max="59" width="8.6640625" customWidth="1"/>
  </cols>
  <sheetData>
    <row r="1" spans="1:59" ht="43.2">
      <c r="A1" s="298" t="s">
        <v>440</v>
      </c>
      <c r="B1" s="299" t="s">
        <v>441</v>
      </c>
      <c r="C1" s="299" t="s">
        <v>442</v>
      </c>
      <c r="D1" s="299" t="s">
        <v>443</v>
      </c>
      <c r="E1" s="300" t="s">
        <v>444</v>
      </c>
      <c r="F1" s="299" t="s">
        <v>618</v>
      </c>
      <c r="G1" s="383">
        <v>2018</v>
      </c>
      <c r="H1" s="383">
        <v>2019</v>
      </c>
      <c r="I1" s="383">
        <v>2020</v>
      </c>
      <c r="J1" s="383">
        <v>2021</v>
      </c>
      <c r="K1" s="309">
        <v>2022</v>
      </c>
      <c r="L1" s="309">
        <v>2023</v>
      </c>
      <c r="M1" s="309">
        <v>2024</v>
      </c>
      <c r="N1" s="309">
        <v>2025</v>
      </c>
      <c r="O1" s="309">
        <v>2026</v>
      </c>
      <c r="P1" s="309">
        <v>2027</v>
      </c>
      <c r="Q1" s="309">
        <v>2028</v>
      </c>
      <c r="R1" s="309">
        <v>2029</v>
      </c>
      <c r="S1" s="309">
        <v>2030</v>
      </c>
      <c r="T1" s="309">
        <v>2031</v>
      </c>
      <c r="U1" s="309">
        <v>2032</v>
      </c>
      <c r="V1" s="309">
        <v>2033</v>
      </c>
      <c r="W1" s="309">
        <v>2034</v>
      </c>
      <c r="X1" s="309">
        <v>2035</v>
      </c>
      <c r="Y1" s="309">
        <v>2036</v>
      </c>
      <c r="Z1" s="309">
        <v>2037</v>
      </c>
      <c r="AA1" s="309">
        <v>2038</v>
      </c>
      <c r="AB1" s="309">
        <v>2039</v>
      </c>
      <c r="AC1" s="309">
        <v>2040</v>
      </c>
      <c r="AD1" s="309">
        <v>2041</v>
      </c>
      <c r="AE1" s="309">
        <v>2042</v>
      </c>
      <c r="AF1" s="309">
        <v>2043</v>
      </c>
      <c r="AG1" s="309">
        <v>2044</v>
      </c>
      <c r="AH1" s="309">
        <v>2045</v>
      </c>
      <c r="AI1" s="309">
        <v>2046</v>
      </c>
      <c r="AJ1" s="309">
        <v>2047</v>
      </c>
      <c r="AK1" s="309">
        <v>2048</v>
      </c>
      <c r="AL1" s="309">
        <v>2049</v>
      </c>
      <c r="AM1" s="309">
        <v>2050</v>
      </c>
      <c r="AN1" s="309">
        <v>2051</v>
      </c>
      <c r="AO1" s="309">
        <v>2052</v>
      </c>
      <c r="AP1" s="309">
        <v>2053</v>
      </c>
      <c r="AQ1" s="309">
        <v>2054</v>
      </c>
      <c r="AR1" s="309">
        <v>2055</v>
      </c>
      <c r="AS1" s="309">
        <v>2056</v>
      </c>
      <c r="AT1" s="309">
        <v>2057</v>
      </c>
      <c r="AU1" s="309">
        <v>2058</v>
      </c>
      <c r="AV1" s="309">
        <v>2059</v>
      </c>
      <c r="AW1" s="309">
        <v>2060</v>
      </c>
      <c r="AX1" s="309">
        <v>2061</v>
      </c>
      <c r="AY1" s="309">
        <v>2062</v>
      </c>
      <c r="AZ1" s="309">
        <v>2063</v>
      </c>
      <c r="BA1" s="309">
        <v>2064</v>
      </c>
      <c r="BB1" s="309">
        <v>2065</v>
      </c>
      <c r="BC1" s="309">
        <v>2066</v>
      </c>
      <c r="BD1" s="309">
        <v>2067</v>
      </c>
      <c r="BE1" s="309">
        <v>2068</v>
      </c>
      <c r="BF1" s="309">
        <v>2069</v>
      </c>
      <c r="BG1" s="313">
        <v>2070</v>
      </c>
    </row>
    <row r="2" spans="1:59" ht="14.4">
      <c r="A2" s="384" t="s">
        <v>457</v>
      </c>
      <c r="B2" s="385" t="s">
        <v>619</v>
      </c>
      <c r="C2" s="385" t="s">
        <v>620</v>
      </c>
      <c r="D2" s="386" t="s">
        <v>621</v>
      </c>
      <c r="E2" s="386" t="s">
        <v>462</v>
      </c>
      <c r="F2" s="386" t="s">
        <v>462</v>
      </c>
      <c r="G2" s="387">
        <v>0.12379999999999999</v>
      </c>
      <c r="H2" s="388">
        <v>0.11799999999999999</v>
      </c>
      <c r="I2" s="388">
        <v>0.12039999999999999</v>
      </c>
      <c r="J2" s="388">
        <v>0.1191</v>
      </c>
      <c r="K2" s="30">
        <f>Generation_output!F3*'Net Zero 2050'!I16</f>
        <v>0.35415197999998116</v>
      </c>
      <c r="L2" s="30">
        <f>Generation_output!G3*'Net Zero 2050'!J16</f>
        <v>0.62207270399997328</v>
      </c>
      <c r="M2" s="30">
        <f>Generation_output!H3*'Net Zero 2050'!K16</f>
        <v>0.91240579499996477</v>
      </c>
      <c r="N2" s="30">
        <f>Generation_output!I3*'Net Zero 2050'!L16</f>
        <v>1.2168899999999594</v>
      </c>
      <c r="O2" s="30">
        <f>Generation_output!J3*'Net Zero 2050'!M16</f>
        <v>1.7932416000000002</v>
      </c>
      <c r="P2" s="30">
        <f>Generation_output!K3*'Net Zero 2050'!N16</f>
        <v>2.3091599999999999</v>
      </c>
      <c r="Q2" s="30">
        <f>Generation_output!L3*'Net Zero 2050'!O16</f>
        <v>2.9867838</v>
      </c>
      <c r="R2" s="30">
        <f>Generation_output!M3*'Net Zero 2050'!P16</f>
        <v>3.6744640999999998</v>
      </c>
      <c r="S2" s="30">
        <f>Generation_output!N3*'Net Zero 2050'!Q16</f>
        <v>5.1769536</v>
      </c>
      <c r="T2" s="30">
        <f>Generation_output!O3*'Net Zero 2050'!R16</f>
        <v>7.7140439999999995</v>
      </c>
      <c r="U2" s="30">
        <f>Generation_output!P3*'Net Zero 2050'!S16</f>
        <v>11.401670500000002</v>
      </c>
      <c r="V2" s="30">
        <f>Generation_output!Q3*'Net Zero 2050'!T16</f>
        <v>15.358364999999999</v>
      </c>
      <c r="W2" s="30">
        <f>Generation_output!R3*'Net Zero 2050'!U16</f>
        <v>18.160299999999999</v>
      </c>
      <c r="X2" s="30">
        <f>Generation_output!S3*'Net Zero 2050'!V16</f>
        <v>21.009170000000001</v>
      </c>
      <c r="Y2" s="30">
        <f>Generation_output!T3*'Net Zero 2050'!W16</f>
        <v>23.410394999999998</v>
      </c>
      <c r="Z2" s="30">
        <f>Generation_output!U3*'Net Zero 2050'!X16</f>
        <v>25.865839999999999</v>
      </c>
      <c r="AA2" s="30">
        <f>Generation_output!V3*'Net Zero 2050'!Y16</f>
        <v>28.561360000000004</v>
      </c>
      <c r="AB2" s="30">
        <f>Generation_output!W3*'Net Zero 2050'!Z16</f>
        <v>31.330080000000002</v>
      </c>
      <c r="AC2" s="30">
        <f>Generation_output!X3*'Net Zero 2050'!AA16</f>
        <v>34.284246000000003</v>
      </c>
      <c r="AD2" s="30">
        <f>Generation_output!Y3*'Net Zero 2050'!AB16</f>
        <v>36.308492999999999</v>
      </c>
      <c r="AE2" s="30">
        <f>Generation_output!Z3*'Net Zero 2050'!AC16</f>
        <v>38.486700000000006</v>
      </c>
      <c r="AF2" s="30">
        <f>Generation_output!AA3*'Net Zero 2050'!AD16</f>
        <v>40.511300499999997</v>
      </c>
      <c r="AG2" s="30">
        <f>Generation_output!AB3*'Net Zero 2050'!AE16</f>
        <v>42.821981999999998</v>
      </c>
      <c r="AH2" s="30">
        <f>Generation_output!AC3*'Net Zero 2050'!AF16</f>
        <v>44.265981599999996</v>
      </c>
      <c r="AI2" s="30">
        <f>Generation_output!AD3*'Net Zero 2050'!AG16</f>
        <v>45.811129799999996</v>
      </c>
      <c r="AJ2" s="30">
        <f>Generation_output!AE3*'Net Zero 2050'!AH16</f>
        <v>47.035872499999996</v>
      </c>
      <c r="AK2" s="30">
        <f>Generation_output!AF3*'Net Zero 2050'!AI16</f>
        <v>48.313216799999999</v>
      </c>
      <c r="AL2" s="30">
        <f>Generation_output!AG3*'Net Zero 2050'!AJ16</f>
        <v>49.794295599999998</v>
      </c>
      <c r="AM2" s="30">
        <f>Generation_output!AH3*'Net Zero 2050'!AK16</f>
        <v>51.097255199999999</v>
      </c>
      <c r="AN2" s="30">
        <f>Generation_output!AI3*'Net Zero 2050'!AL16</f>
        <v>53.073401699999998</v>
      </c>
      <c r="AO2" s="30">
        <f>Generation_output!AJ3*'Net Zero 2050'!AM16</f>
        <v>54.386350499999999</v>
      </c>
      <c r="AP2" s="30">
        <f>Generation_output!AK3*'Net Zero 2050'!AN16</f>
        <v>55.7101398</v>
      </c>
      <c r="AQ2" s="30">
        <f>Generation_output!AL3*'Net Zero 2050'!AO16</f>
        <v>57.040477199999998</v>
      </c>
      <c r="AR2" s="30">
        <f>Generation_output!AM3*'Net Zero 2050'!AP16</f>
        <v>58.428827699999999</v>
      </c>
      <c r="AS2" s="30">
        <f>Generation_output!AN3*'Net Zero 2050'!AQ16</f>
        <v>59.859927000000006</v>
      </c>
      <c r="AT2" s="30">
        <f>Generation_output!AO3*'Net Zero 2050'!AR16</f>
        <v>61.287938399999994</v>
      </c>
      <c r="AU2" s="30">
        <f>Generation_output!AP3*'Net Zero 2050'!AS16</f>
        <v>62.7189063</v>
      </c>
      <c r="AV2" s="30">
        <f>Generation_output!AQ3*'Net Zero 2050'!AT16</f>
        <v>64.190673899999993</v>
      </c>
      <c r="AW2" s="30">
        <f>Generation_output!AR3*'Net Zero 2050'!AU16</f>
        <v>65.695225800000003</v>
      </c>
      <c r="AX2" s="30">
        <f>Generation_output!AS3*'Net Zero 2050'!AV16</f>
        <v>67.228707599999993</v>
      </c>
      <c r="AY2" s="30">
        <f>Generation_output!AT3*'Net Zero 2050'!AW16</f>
        <v>68.791688699999995</v>
      </c>
      <c r="AZ2" s="30">
        <f>Generation_output!AU3*'Net Zero 2050'!AX16</f>
        <v>70.373941799999997</v>
      </c>
      <c r="BA2" s="30">
        <f>Generation_output!AV3*'Net Zero 2050'!AY16</f>
        <v>71.992877399999998</v>
      </c>
      <c r="BB2" s="30">
        <f>Generation_output!AW3*'Net Zero 2050'!AZ16</f>
        <v>73.6420569</v>
      </c>
      <c r="BC2" s="30">
        <f>Generation_output!AX3*'Net Zero 2050'!BA16</f>
        <v>75.328553999999997</v>
      </c>
      <c r="BD2" s="30">
        <f>Generation_output!AY3*'Net Zero 2050'!BB16</f>
        <v>77.044134299999996</v>
      </c>
      <c r="BE2" s="30">
        <f>Generation_output!AZ3*'Net Zero 2050'!BC16</f>
        <v>78.797864399999995</v>
      </c>
      <c r="BF2" s="30">
        <f>Generation_output!BA3*'Net Zero 2050'!BD16</f>
        <v>80.575684499999994</v>
      </c>
      <c r="BG2" s="30">
        <f>Generation_output!BB3*'Net Zero 2050'!BE16</f>
        <v>82.382478300000002</v>
      </c>
    </row>
    <row r="3" spans="1:59" ht="14.4">
      <c r="A3" s="338" t="s">
        <v>457</v>
      </c>
      <c r="B3" s="329" t="s">
        <v>619</v>
      </c>
      <c r="C3" s="329" t="s">
        <v>280</v>
      </c>
      <c r="D3" s="386" t="s">
        <v>621</v>
      </c>
      <c r="E3" s="386" t="s">
        <v>462</v>
      </c>
      <c r="F3" s="386" t="s">
        <v>462</v>
      </c>
      <c r="G3" s="387">
        <v>0.26250000000000001</v>
      </c>
      <c r="H3" s="388">
        <v>0.28489999999999999</v>
      </c>
      <c r="I3" s="388">
        <v>0.25519999999999998</v>
      </c>
      <c r="J3" s="388">
        <v>0.21390000000000001</v>
      </c>
      <c r="K3" s="30">
        <f>Generation_output!F3*'Net Zero 2050'!I17</f>
        <v>0.18161640000000001</v>
      </c>
      <c r="L3" s="30">
        <f>Generation_output!G3*'Net Zero 2050'!J17</f>
        <v>0.37701375999999998</v>
      </c>
      <c r="M3" s="30">
        <f>Generation_output!H3*'Net Zero 2050'!K17</f>
        <v>0.58864890000000003</v>
      </c>
      <c r="N3" s="30">
        <f>Generation_output!I3*'Net Zero 2050'!L17</f>
        <v>0.81125999999999998</v>
      </c>
      <c r="O3" s="30">
        <f>Generation_output!J3*'Net Zero 2050'!M17</f>
        <v>1.054848</v>
      </c>
      <c r="P3" s="30">
        <f>Generation_output!K3*'Net Zero 2050'!N17</f>
        <v>1.31952</v>
      </c>
      <c r="Q3" s="30">
        <f>Generation_output!L3*'Net Zero 2050'!O17</f>
        <v>1.6082682000000001</v>
      </c>
      <c r="R3" s="30">
        <f>Generation_output!M3*'Net Zero 2050'!P17</f>
        <v>1.7779664999999998</v>
      </c>
      <c r="S3" s="30">
        <f>Generation_output!N3*'Net Zero 2050'!Q17</f>
        <v>2.0954336000000002</v>
      </c>
      <c r="T3" s="30">
        <f>Generation_output!O3*'Net Zero 2050'!R17</f>
        <v>2.3142131999999997</v>
      </c>
      <c r="U3" s="30">
        <f>Generation_output!P3*'Net Zero 2050'!S17</f>
        <v>2.6827460000000003</v>
      </c>
      <c r="V3" s="30">
        <f>Generation_output!Q3*'Net Zero 2050'!T17</f>
        <v>3.0716729999999997</v>
      </c>
      <c r="W3" s="30">
        <f>Generation_output!R3*'Net Zero 2050'!U17</f>
        <v>3.3414951999999998</v>
      </c>
      <c r="X3" s="30">
        <f>Generation_output!S3*'Net Zero 2050'!V17</f>
        <v>3.7516374999999997</v>
      </c>
      <c r="Y3" s="30">
        <f>Generation_output!T3*'Net Zero 2050'!W17</f>
        <v>4.0578018</v>
      </c>
      <c r="Z3" s="30">
        <f>Generation_output!U3*'Net Zero 2050'!X17</f>
        <v>4.3648604999999998</v>
      </c>
      <c r="AA3" s="30">
        <f>Generation_output!V3*'Net Zero 2050'!Y17</f>
        <v>4.704224</v>
      </c>
      <c r="AB3" s="30">
        <f>Generation_output!W3*'Net Zero 2050'!Z17</f>
        <v>4.8735680000000006</v>
      </c>
      <c r="AC3" s="30">
        <f>Generation_output!X3*'Net Zero 2050'!AA17</f>
        <v>5.2328586000000001</v>
      </c>
      <c r="AD3" s="30">
        <f>Generation_output!Y3*'Net Zero 2050'!AB17</f>
        <v>5.3997245999999999</v>
      </c>
      <c r="AE3" s="30">
        <f>Generation_output!Z3*'Net Zero 2050'!AC17</f>
        <v>5.5805715000000005</v>
      </c>
      <c r="AF3" s="30">
        <f>Generation_output!AA3*'Net Zero 2050'!AD17</f>
        <v>5.7308668999999997</v>
      </c>
      <c r="AG3" s="30">
        <f>Generation_output!AB3*'Net Zero 2050'!AE17</f>
        <v>5.9135118000000002</v>
      </c>
      <c r="AH3" s="30">
        <f>Generation_output!AC3*'Net Zero 2050'!AF17</f>
        <v>6.0552522</v>
      </c>
      <c r="AI3" s="30">
        <f>Generation_output!AD3*'Net Zero 2050'!AG17</f>
        <v>6.2080503</v>
      </c>
      <c r="AJ3" s="30">
        <f>Generation_output!AE3*'Net Zero 2050'!AH17</f>
        <v>6.5631449999999996</v>
      </c>
      <c r="AK3" s="30">
        <f>Generation_output!AF3*'Net Zero 2050'!AI17</f>
        <v>6.7101689999999996</v>
      </c>
      <c r="AL3" s="30">
        <f>Generation_output!AG3*'Net Zero 2050'!AJ17</f>
        <v>6.8524259999999995</v>
      </c>
      <c r="AM3" s="30">
        <f>Generation_output!AH3*'Net Zero 2050'!AK17</f>
        <v>6.9996239999999998</v>
      </c>
      <c r="AN3" s="30">
        <f>Generation_output!AI3*'Net Zero 2050'!AL17</f>
        <v>7.7550176000000004</v>
      </c>
      <c r="AO3" s="30">
        <f>Generation_output!AJ3*'Net Zero 2050'!AM17</f>
        <v>7.9468639999999997</v>
      </c>
      <c r="AP3" s="30">
        <f>Generation_output!AK3*'Net Zero 2050'!AN17</f>
        <v>8.1402944000000002</v>
      </c>
      <c r="AQ3" s="30">
        <f>Generation_output!AL3*'Net Zero 2050'!AO17</f>
        <v>8.3346815999999997</v>
      </c>
      <c r="AR3" s="30">
        <f>Generation_output!AM3*'Net Zero 2050'!AP17</f>
        <v>8.8043438999999992</v>
      </c>
      <c r="AS3" s="30">
        <f>Generation_output!AN3*'Net Zero 2050'!AQ17</f>
        <v>9.0199890000000007</v>
      </c>
      <c r="AT3" s="30">
        <f>Generation_output!AO3*'Net Zero 2050'!AR17</f>
        <v>9.2351688000000003</v>
      </c>
      <c r="AU3" s="30">
        <f>Generation_output!AP3*'Net Zero 2050'!AS17</f>
        <v>9.4507940999999995</v>
      </c>
      <c r="AV3" s="30">
        <f>Generation_output!AQ3*'Net Zero 2050'!AT17</f>
        <v>9.672567299999999</v>
      </c>
      <c r="AW3" s="30">
        <f>Generation_output!AR3*'Net Zero 2050'!AU17</f>
        <v>9.8992806000000009</v>
      </c>
      <c r="AX3" s="30">
        <f>Generation_output!AS3*'Net Zero 2050'!AV17</f>
        <v>10.1303532</v>
      </c>
      <c r="AY3" s="30">
        <f>Generation_output!AT3*'Net Zero 2050'!AW17</f>
        <v>10.365870900000001</v>
      </c>
      <c r="AZ3" s="30">
        <f>Generation_output!AU3*'Net Zero 2050'!AX17</f>
        <v>10.604292600000001</v>
      </c>
      <c r="BA3" s="30">
        <f>Generation_output!AV3*'Net Zero 2050'!AY17</f>
        <v>10.8482418</v>
      </c>
      <c r="BB3" s="30">
        <f>Generation_output!AW3*'Net Zero 2050'!AZ17</f>
        <v>11.433013400000002</v>
      </c>
      <c r="BC3" s="30">
        <f>Generation_output!AX3*'Net Zero 2050'!BA17</f>
        <v>11.694844000000002</v>
      </c>
      <c r="BD3" s="30">
        <f>Generation_output!AY3*'Net Zero 2050'!BB17</f>
        <v>11.9611898</v>
      </c>
      <c r="BE3" s="30">
        <f>Generation_output!AZ3*'Net Zero 2050'!BC17</f>
        <v>12.2334584</v>
      </c>
      <c r="BF3" s="30">
        <f>Generation_output!BA3*'Net Zero 2050'!BD17</f>
        <v>12.509467000000001</v>
      </c>
      <c r="BG3" s="30">
        <f>Generation_output!BB3*'Net Zero 2050'!BE17</f>
        <v>11.285271</v>
      </c>
    </row>
    <row r="4" spans="1:59" ht="14.4">
      <c r="A4" s="384" t="s">
        <v>457</v>
      </c>
      <c r="B4" s="385" t="s">
        <v>619</v>
      </c>
      <c r="C4" s="389" t="s">
        <v>622</v>
      </c>
      <c r="D4" s="386" t="s">
        <v>621</v>
      </c>
      <c r="E4" s="386" t="s">
        <v>462</v>
      </c>
      <c r="F4" s="386" t="s">
        <v>462</v>
      </c>
      <c r="G4" s="390">
        <v>0</v>
      </c>
      <c r="H4" s="391">
        <v>0</v>
      </c>
      <c r="I4" s="391">
        <v>0</v>
      </c>
      <c r="J4" s="391">
        <v>0</v>
      </c>
      <c r="K4" s="30">
        <f>Generation_output!F3*'Net Zero 2050'!I18</f>
        <v>0.11351024999997741</v>
      </c>
      <c r="L4" s="30">
        <f>Generation_output!G3*'Net Zero 2050'!J18</f>
        <v>0.23563359999999497</v>
      </c>
      <c r="M4" s="30">
        <f>Generation_output!H3*'Net Zero 2050'!K18</f>
        <v>0.36790556250001394</v>
      </c>
      <c r="N4" s="30">
        <f>Generation_output!I3*'Net Zero 2050'!L18</f>
        <v>0.50703750000000003</v>
      </c>
      <c r="O4" s="30">
        <f>Generation_output!J3*'Net Zero 2050'!M18</f>
        <v>0.73839360000000009</v>
      </c>
      <c r="P4" s="30">
        <f>Generation_output!K3*'Net Zero 2050'!N18</f>
        <v>0.98963999999999985</v>
      </c>
      <c r="Q4" s="30">
        <f>Generation_output!L3*'Net Zero 2050'!O18</f>
        <v>1.2636392999999999</v>
      </c>
      <c r="R4" s="30">
        <f>Generation_output!M3*'Net Zero 2050'!P18</f>
        <v>1.5409042999999998</v>
      </c>
      <c r="S4" s="30">
        <f>Generation_output!N3*'Net Zero 2050'!Q18</f>
        <v>1.8489119999999999</v>
      </c>
      <c r="T4" s="30">
        <f>Generation_output!O3*'Net Zero 2050'!R18</f>
        <v>2.0570784</v>
      </c>
      <c r="U4" s="30">
        <f>Generation_output!P3*'Net Zero 2050'!S18</f>
        <v>2.2803341000000001</v>
      </c>
      <c r="V4" s="30">
        <f>Generation_output!Q3*'Net Zero 2050'!T18</f>
        <v>2.5131869999999998</v>
      </c>
      <c r="W4" s="30">
        <f>Generation_output!R3*'Net Zero 2050'!U18</f>
        <v>2.7603655999999996</v>
      </c>
      <c r="X4" s="30">
        <f>Generation_output!S3*'Net Zero 2050'!V18</f>
        <v>3.0013099999999997</v>
      </c>
      <c r="Y4" s="30">
        <f>Generation_output!T3*'Net Zero 2050'!W18</f>
        <v>3.2774553000000002</v>
      </c>
      <c r="Z4" s="30">
        <f>Generation_output!U3*'Net Zero 2050'!X18</f>
        <v>3.3948915</v>
      </c>
      <c r="AA4" s="30">
        <f>Generation_output!V3*'Net Zero 2050'!Y18</f>
        <v>3.6961759999999999</v>
      </c>
      <c r="AB4" s="30">
        <f>Generation_output!W3*'Net Zero 2050'!Z18</f>
        <v>3.8292320000000002</v>
      </c>
      <c r="AC4" s="30">
        <f>Generation_output!X3*'Net Zero 2050'!AA18</f>
        <v>4.1141095200000004</v>
      </c>
      <c r="AD4" s="30">
        <f>Generation_output!Y3*'Net Zero 2050'!AB18</f>
        <v>4.2825401999999997</v>
      </c>
      <c r="AE4" s="30">
        <f>Generation_output!Z3*'Net Zero 2050'!AC18</f>
        <v>4.4259705</v>
      </c>
      <c r="AF4" s="30">
        <f>Generation_output!AA3*'Net Zero 2050'!AD18</f>
        <v>4.5451702999999997</v>
      </c>
      <c r="AG4" s="30">
        <f>Generation_output!AB3*'Net Zero 2050'!AE18</f>
        <v>4.6900265999999995</v>
      </c>
      <c r="AH4" s="30">
        <f>Generation_output!AC3*'Net Zero 2050'!AF18</f>
        <v>4.9068423000000001</v>
      </c>
      <c r="AI4" s="30">
        <f>Generation_output!AD3*'Net Zero 2050'!AG18</f>
        <v>5.0520685199999997</v>
      </c>
      <c r="AJ4" s="30">
        <f>Generation_output!AE3*'Net Zero 2050'!AH18</f>
        <v>5.1848845499999996</v>
      </c>
      <c r="AK4" s="30">
        <f>Generation_output!AF3*'Net Zero 2050'!AI18</f>
        <v>5.3234007400000003</v>
      </c>
      <c r="AL4" s="30">
        <f>Generation_output!AG3*'Net Zero 2050'!AJ18</f>
        <v>5.4590993800000005</v>
      </c>
      <c r="AM4" s="30">
        <f>Generation_output!AH3*'Net Zero 2050'!AK18</f>
        <v>5.5996991999999999</v>
      </c>
      <c r="AN4" s="30">
        <f>Generation_output!AI3*'Net Zero 2050'!AL18</f>
        <v>5.8283804150000007</v>
      </c>
      <c r="AO4" s="30">
        <f>Generation_output!AJ3*'Net Zero 2050'!AM18</f>
        <v>5.9849819500000008</v>
      </c>
      <c r="AP4" s="30">
        <f>Generation_output!AK3*'Net Zero 2050'!AN18</f>
        <v>6.1433784300000012</v>
      </c>
      <c r="AQ4" s="30">
        <f>Generation_output!AL3*'Net Zero 2050'!AO18</f>
        <v>6.3031029600000013</v>
      </c>
      <c r="AR4" s="30">
        <f>Generation_output!AM3*'Net Zero 2050'!AP18</f>
        <v>6.4698587750000014</v>
      </c>
      <c r="AS4" s="30">
        <f>Generation_output!AN3*'Net Zero 2050'!AQ18</f>
        <v>6.6419919000000034</v>
      </c>
      <c r="AT4" s="30">
        <f>Generation_output!AO3*'Net Zero 2050'!AR18</f>
        <v>6.8144351600000022</v>
      </c>
      <c r="AU4" s="30">
        <f>Generation_output!AP3*'Net Zero 2050'!AS18</f>
        <v>6.9878598800000029</v>
      </c>
      <c r="AV4" s="30">
        <f>Generation_output!AQ3*'Net Zero 2050'!AT18</f>
        <v>7.1664930450000037</v>
      </c>
      <c r="AW4" s="30">
        <f>Generation_output!AR3*'Net Zero 2050'!AU18</f>
        <v>7.3494659000000047</v>
      </c>
      <c r="AX4" s="30">
        <f>Generation_output!AS3*'Net Zero 2050'!AV18</f>
        <v>7.5363688200000043</v>
      </c>
      <c r="AY4" s="30">
        <f>Generation_output!AT3*'Net Zero 2050'!AW18</f>
        <v>7.7272855800000055</v>
      </c>
      <c r="AZ4" s="30">
        <f>Generation_output!AU3*'Net Zero 2050'!AX18</f>
        <v>7.9210852300000063</v>
      </c>
      <c r="BA4" s="30">
        <f>Generation_output!AV3*'Net Zero 2050'!AY18</f>
        <v>8.1197446200000076</v>
      </c>
      <c r="BB4" s="30">
        <f>Generation_output!AW3*'Net Zero 2050'!AZ18</f>
        <v>8.0703624000000005</v>
      </c>
      <c r="BC4" s="30">
        <f>Generation_output!AX3*'Net Zero 2050'!BA18</f>
        <v>8.2723823000000003</v>
      </c>
      <c r="BD4" s="30">
        <f>Generation_output!AY3*'Net Zero 2050'!BB18</f>
        <v>8.47837277</v>
      </c>
      <c r="BE4" s="30">
        <f>Generation_output!AZ3*'Net Zero 2050'!BC18</f>
        <v>8.6893535400000008</v>
      </c>
      <c r="BF4" s="30">
        <f>Generation_output!BA3*'Net Zero 2050'!BD18</f>
        <v>8.903797100000002</v>
      </c>
      <c r="BG4" s="30">
        <f>Generation_output!BB3*'Net Zero 2050'!BE18</f>
        <v>9.4043925000000002</v>
      </c>
    </row>
    <row r="5" spans="1:59" ht="14.4">
      <c r="A5" s="384" t="s">
        <v>457</v>
      </c>
      <c r="B5" s="385" t="s">
        <v>623</v>
      </c>
      <c r="C5" s="389" t="s">
        <v>622</v>
      </c>
      <c r="D5" s="386" t="s">
        <v>621</v>
      </c>
      <c r="E5" s="386" t="s">
        <v>462</v>
      </c>
      <c r="F5" s="386" t="s">
        <v>462</v>
      </c>
      <c r="G5" s="390">
        <v>0</v>
      </c>
      <c r="H5" s="391">
        <v>0</v>
      </c>
      <c r="I5" s="391">
        <v>0</v>
      </c>
      <c r="J5" s="391">
        <v>0</v>
      </c>
      <c r="K5" s="30">
        <f t="shared" ref="K5:BG5" si="0">K4*1.01</f>
        <v>0.11464535249997719</v>
      </c>
      <c r="L5" s="30">
        <f t="shared" si="0"/>
        <v>0.23798993599999493</v>
      </c>
      <c r="M5" s="30">
        <f t="shared" si="0"/>
        <v>0.37158461812501409</v>
      </c>
      <c r="N5" s="30">
        <f t="shared" si="0"/>
        <v>0.51210787499999999</v>
      </c>
      <c r="O5" s="30">
        <f t="shared" si="0"/>
        <v>0.74577753600000007</v>
      </c>
      <c r="P5" s="30">
        <f t="shared" si="0"/>
        <v>0.99953639999999988</v>
      </c>
      <c r="Q5" s="30">
        <f t="shared" si="0"/>
        <v>1.2762756929999999</v>
      </c>
      <c r="R5" s="30">
        <f t="shared" si="0"/>
        <v>1.5563133429999998</v>
      </c>
      <c r="S5" s="30">
        <f t="shared" si="0"/>
        <v>1.8674011199999998</v>
      </c>
      <c r="T5" s="30">
        <f t="shared" si="0"/>
        <v>2.0776491840000002</v>
      </c>
      <c r="U5" s="30">
        <f t="shared" si="0"/>
        <v>2.3031374410000001</v>
      </c>
      <c r="V5" s="30">
        <f t="shared" si="0"/>
        <v>2.5383188699999999</v>
      </c>
      <c r="W5" s="30">
        <f t="shared" si="0"/>
        <v>2.7879692559999998</v>
      </c>
      <c r="X5" s="30">
        <f t="shared" si="0"/>
        <v>3.0313230999999998</v>
      </c>
      <c r="Y5" s="30">
        <f t="shared" si="0"/>
        <v>3.3102298530000001</v>
      </c>
      <c r="Z5" s="30">
        <f t="shared" si="0"/>
        <v>3.4288404149999998</v>
      </c>
      <c r="AA5" s="30">
        <f t="shared" si="0"/>
        <v>3.73313776</v>
      </c>
      <c r="AB5" s="30">
        <f t="shared" si="0"/>
        <v>3.8675243200000002</v>
      </c>
      <c r="AC5" s="30">
        <f t="shared" si="0"/>
        <v>4.1552506152000008</v>
      </c>
      <c r="AD5" s="30">
        <f t="shared" si="0"/>
        <v>4.3253656019999998</v>
      </c>
      <c r="AE5" s="30">
        <f t="shared" si="0"/>
        <v>4.470230205</v>
      </c>
      <c r="AF5" s="30">
        <f t="shared" si="0"/>
        <v>4.590622003</v>
      </c>
      <c r="AG5" s="30">
        <f t="shared" si="0"/>
        <v>4.7369268659999992</v>
      </c>
      <c r="AH5" s="30">
        <f t="shared" si="0"/>
        <v>4.9559107230000006</v>
      </c>
      <c r="AI5" s="30">
        <f t="shared" si="0"/>
        <v>5.1025892052000001</v>
      </c>
      <c r="AJ5" s="30">
        <f t="shared" si="0"/>
        <v>5.2367333954999999</v>
      </c>
      <c r="AK5" s="30">
        <f t="shared" si="0"/>
        <v>5.3766347474000007</v>
      </c>
      <c r="AL5" s="30">
        <f t="shared" si="0"/>
        <v>5.5136903738000003</v>
      </c>
      <c r="AM5" s="30">
        <f t="shared" si="0"/>
        <v>5.6556961919999997</v>
      </c>
      <c r="AN5" s="30">
        <f t="shared" si="0"/>
        <v>5.8866642191500009</v>
      </c>
      <c r="AO5" s="30">
        <f t="shared" si="0"/>
        <v>6.0448317695000009</v>
      </c>
      <c r="AP5" s="30">
        <f t="shared" si="0"/>
        <v>6.2048122143000013</v>
      </c>
      <c r="AQ5" s="30">
        <f t="shared" si="0"/>
        <v>6.3661339896000015</v>
      </c>
      <c r="AR5" s="30">
        <f t="shared" si="0"/>
        <v>6.5345573627500011</v>
      </c>
      <c r="AS5" s="30">
        <f t="shared" si="0"/>
        <v>6.7084118190000037</v>
      </c>
      <c r="AT5" s="30">
        <f t="shared" si="0"/>
        <v>6.8825795116000021</v>
      </c>
      <c r="AU5" s="30">
        <f t="shared" si="0"/>
        <v>7.0577384788000028</v>
      </c>
      <c r="AV5" s="30">
        <f t="shared" si="0"/>
        <v>7.2381579754500036</v>
      </c>
      <c r="AW5" s="30">
        <f t="shared" si="0"/>
        <v>7.4229605590000052</v>
      </c>
      <c r="AX5" s="30">
        <f t="shared" si="0"/>
        <v>7.6117325082000047</v>
      </c>
      <c r="AY5" s="30">
        <f t="shared" si="0"/>
        <v>7.804558435800006</v>
      </c>
      <c r="AZ5" s="30">
        <f t="shared" si="0"/>
        <v>8.0002960823000056</v>
      </c>
      <c r="BA5" s="30">
        <f t="shared" si="0"/>
        <v>8.2009420662000085</v>
      </c>
      <c r="BB5" s="30">
        <f t="shared" si="0"/>
        <v>8.1510660240000004</v>
      </c>
      <c r="BC5" s="30">
        <f t="shared" si="0"/>
        <v>8.3551061230000006</v>
      </c>
      <c r="BD5" s="30">
        <f t="shared" si="0"/>
        <v>8.5631564976999996</v>
      </c>
      <c r="BE5" s="30">
        <f t="shared" si="0"/>
        <v>8.7762470754000006</v>
      </c>
      <c r="BF5" s="30">
        <f t="shared" si="0"/>
        <v>8.9928350710000018</v>
      </c>
      <c r="BG5" s="30">
        <f t="shared" si="0"/>
        <v>9.4984364249999995</v>
      </c>
    </row>
    <row r="6" spans="1:59" ht="14.4">
      <c r="A6" s="389" t="s">
        <v>457</v>
      </c>
      <c r="B6" s="392" t="s">
        <v>619</v>
      </c>
      <c r="C6" s="392" t="s">
        <v>100</v>
      </c>
      <c r="D6" s="392" t="s">
        <v>621</v>
      </c>
      <c r="E6" s="392" t="s">
        <v>462</v>
      </c>
      <c r="F6" s="392" t="s">
        <v>462</v>
      </c>
      <c r="G6" s="387">
        <v>3.5324</v>
      </c>
      <c r="H6" s="388">
        <v>2.39</v>
      </c>
      <c r="I6" s="388">
        <v>1.9516</v>
      </c>
      <c r="J6" s="388">
        <v>1.5744</v>
      </c>
      <c r="K6" s="30">
        <f>Generation_output!F3*'Net Zero 2050'!I19</f>
        <v>2.7242459999999999</v>
      </c>
      <c r="L6" s="30">
        <f>Generation_output!G3*'Net Zero 2050'!J19</f>
        <v>2.3563360000000002</v>
      </c>
      <c r="M6" s="30">
        <f>Generation_output!H3*'Net Zero 2050'!K19</f>
        <v>1.9621629999999999</v>
      </c>
      <c r="N6" s="30">
        <f>Generation_output!I3*'Net Zero 2050'!L19</f>
        <v>1.62252</v>
      </c>
      <c r="O6" s="30">
        <f>Generation_output!J3*'Net Zero 2050'!M19</f>
        <v>1.3713024</v>
      </c>
      <c r="P6" s="30">
        <f>Generation_output!K3*'Net Zero 2050'!N19</f>
        <v>1.26454</v>
      </c>
      <c r="Q6" s="30">
        <f>Generation_output!L3*'Net Zero 2050'!O19</f>
        <v>1.148763</v>
      </c>
      <c r="R6" s="30">
        <f>Generation_output!M3*'Net Zero 2050'!P19</f>
        <v>1.0667798999999998</v>
      </c>
      <c r="S6" s="30">
        <f>Generation_output!N3*'Net Zero 2050'!Q19</f>
        <v>0.98608640000000003</v>
      </c>
      <c r="T6" s="30">
        <f>Generation_output!O3*'Net Zero 2050'!R19</f>
        <v>1.0285392</v>
      </c>
      <c r="U6" s="30">
        <f>Generation_output!P3*'Net Zero 2050'!S19</f>
        <v>1.0730984000000001</v>
      </c>
      <c r="V6" s="30">
        <f>Generation_output!Q3*'Net Zero 2050'!T19</f>
        <v>1.1169720000000001</v>
      </c>
      <c r="W6" s="30">
        <f>Generation_output!R3*'Net Zero 2050'!U19</f>
        <v>1.1622592</v>
      </c>
      <c r="X6" s="30">
        <f>Generation_output!S3*'Net Zero 2050'!V19</f>
        <v>1.0504585</v>
      </c>
      <c r="Y6" s="30">
        <f>Generation_output!T3*'Net Zero 2050'!W19</f>
        <v>1.0924851</v>
      </c>
      <c r="Z6" s="30">
        <f>Generation_output!U3*'Net Zero 2050'!X19</f>
        <v>1.1316305</v>
      </c>
      <c r="AA6" s="30">
        <f>Generation_output!V3*'Net Zero 2050'!Y19</f>
        <v>1.176056</v>
      </c>
      <c r="AB6" s="30">
        <f>Generation_output!W3*'Net Zero 2050'!Z19</f>
        <v>1.2183920000000001</v>
      </c>
      <c r="AC6" s="30">
        <f>Generation_output!X3*'Net Zero 2050'!AA19</f>
        <v>1.0826604</v>
      </c>
      <c r="AD6" s="30">
        <f>Generation_output!Y3*'Net Zero 2050'!AB19</f>
        <v>1.1171844</v>
      </c>
      <c r="AE6" s="30">
        <f>Generation_output!Z3*'Net Zero 2050'!AC19</f>
        <v>1.154601</v>
      </c>
      <c r="AF6" s="30">
        <f>Generation_output!AA3*'Net Zero 2050'!AD19</f>
        <v>0.98808049999999992</v>
      </c>
      <c r="AG6" s="30">
        <f>Generation_output!AB3*'Net Zero 2050'!AE19</f>
        <v>1.019571</v>
      </c>
      <c r="AH6" s="30">
        <f>Generation_output!AC3*'Net Zero 2050'!AF19</f>
        <v>1.044009</v>
      </c>
      <c r="AI6" s="30">
        <f>Generation_output!AD3*'Net Zero 2050'!AG19</f>
        <v>1.0703535</v>
      </c>
      <c r="AJ6" s="30">
        <f>Generation_output!AE3*'Net Zero 2050'!AH19</f>
        <v>0.87508600000000003</v>
      </c>
      <c r="AK6" s="30">
        <f>Generation_output!AF3*'Net Zero 2050'!AI19</f>
        <v>0.89468920000000007</v>
      </c>
      <c r="AL6" s="30">
        <f>Generation_output!AG3*'Net Zero 2050'!AJ19</f>
        <v>0.91365680000000005</v>
      </c>
      <c r="AM6" s="30">
        <f>Generation_output!AH3*'Net Zero 2050'!AK19</f>
        <v>0</v>
      </c>
      <c r="AN6" s="30">
        <f>Generation_output!AI3*'Net Zero 2050'!AL19</f>
        <v>0</v>
      </c>
      <c r="AO6" s="30">
        <f>Generation_output!AJ3*'Net Zero 2050'!AM19</f>
        <v>0</v>
      </c>
      <c r="AP6" s="30">
        <f>Generation_output!AK3*'Net Zero 2050'!AN19</f>
        <v>0</v>
      </c>
      <c r="AQ6" s="30">
        <f>Generation_output!AL3*'Net Zero 2050'!AO19</f>
        <v>0</v>
      </c>
      <c r="AR6" s="30">
        <f>Generation_output!AM3*'Net Zero 2050'!AP19</f>
        <v>0</v>
      </c>
      <c r="AS6" s="30">
        <f>Generation_output!AN3*'Net Zero 2050'!AQ19</f>
        <v>0</v>
      </c>
      <c r="AT6" s="30">
        <f>Generation_output!AO3*'Net Zero 2050'!AR19</f>
        <v>0</v>
      </c>
      <c r="AU6" s="30">
        <f>Generation_output!AP3*'Net Zero 2050'!AS19</f>
        <v>0</v>
      </c>
      <c r="AV6" s="30">
        <f>Generation_output!AQ3*'Net Zero 2050'!AT19</f>
        <v>0</v>
      </c>
      <c r="AW6" s="30">
        <f>Generation_output!AR3*'Net Zero 2050'!AU19</f>
        <v>0</v>
      </c>
      <c r="AX6" s="30">
        <f>Generation_output!AS3*'Net Zero 2050'!AV19</f>
        <v>0</v>
      </c>
      <c r="AY6" s="30">
        <f>Generation_output!AT3*'Net Zero 2050'!AW19</f>
        <v>0</v>
      </c>
      <c r="AZ6" s="30">
        <f>Generation_output!AU3*'Net Zero 2050'!AX19</f>
        <v>0</v>
      </c>
      <c r="BA6" s="30">
        <f>Generation_output!AV3*'Net Zero 2050'!AY19</f>
        <v>0</v>
      </c>
      <c r="BB6" s="30">
        <f>Generation_output!AW3*'Net Zero 2050'!AZ19</f>
        <v>0</v>
      </c>
      <c r="BC6" s="30">
        <f>Generation_output!AX3*'Net Zero 2050'!BA19</f>
        <v>0</v>
      </c>
      <c r="BD6" s="30">
        <f>Generation_output!AY3*'Net Zero 2050'!BB19</f>
        <v>0</v>
      </c>
      <c r="BE6" s="30">
        <f>Generation_output!AZ3*'Net Zero 2050'!BC19</f>
        <v>0</v>
      </c>
      <c r="BF6" s="30">
        <f>Generation_output!BA3*'Net Zero 2050'!BD19</f>
        <v>0</v>
      </c>
      <c r="BG6" s="30">
        <f>Generation_output!BB3*'Net Zero 2050'!BE19</f>
        <v>0</v>
      </c>
    </row>
    <row r="7" spans="1:59" ht="14.4">
      <c r="A7" s="390" t="s">
        <v>457</v>
      </c>
      <c r="B7" s="391" t="s">
        <v>619</v>
      </c>
      <c r="C7" s="393" t="s">
        <v>624</v>
      </c>
      <c r="D7" s="386" t="s">
        <v>621</v>
      </c>
      <c r="E7" s="386" t="s">
        <v>462</v>
      </c>
      <c r="F7" s="386" t="s">
        <v>462</v>
      </c>
      <c r="G7" s="387">
        <v>0</v>
      </c>
      <c r="H7" s="387">
        <v>0</v>
      </c>
      <c r="I7" s="387">
        <v>0</v>
      </c>
      <c r="J7" s="387">
        <v>0</v>
      </c>
      <c r="K7" s="30">
        <v>0</v>
      </c>
      <c r="L7" s="30">
        <f>Generation_output!G3*'Net Zero 2050'!J21</f>
        <v>0.27333497599999995</v>
      </c>
      <c r="M7" s="30">
        <f>Generation_output!H3*'Net Zero 2050'!K21</f>
        <v>0.66713541999999992</v>
      </c>
      <c r="N7" s="30">
        <f>Generation_output!I3*'Net Zero 2050'!L21</f>
        <v>1.0039342500000001</v>
      </c>
      <c r="O7" s="30">
        <f>Generation_output!J3*'Net Zero 2050'!M21</f>
        <v>1.3713024</v>
      </c>
      <c r="P7" s="30">
        <f>Generation_output!K3*'Net Zero 2050'!N21</f>
        <v>1.8033440000000001</v>
      </c>
      <c r="Q7" s="30">
        <f>Generation_output!L3*'Net Zero 2050'!O21</f>
        <v>2.2515754800000001</v>
      </c>
      <c r="R7" s="30">
        <f>Generation_output!M3*'Net Zero 2050'!P21</f>
        <v>2.79733396</v>
      </c>
      <c r="S7" s="30">
        <f>Generation_output!N3*'Net Zero 2050'!Q21</f>
        <v>3.3773459200000002</v>
      </c>
      <c r="T7" s="30">
        <f>Generation_output!O3*'Net Zero 2050'!R21</f>
        <v>3.9984461399999995</v>
      </c>
      <c r="U7" s="30">
        <f>Generation_output!P3*'Net Zero 2050'!S21</f>
        <v>4.6277368500000007</v>
      </c>
      <c r="V7" s="30">
        <f>Generation_output!Q3*'Net Zero 2050'!T21</f>
        <v>5.1659954999999993</v>
      </c>
      <c r="W7" s="30">
        <f>Generation_output!R3*'Net Zero 2050'!U21</f>
        <v>5.7095983200000004</v>
      </c>
      <c r="X7" s="30">
        <f>Generation_output!S3*'Net Zero 2050'!V21</f>
        <v>6.1076658499999992</v>
      </c>
      <c r="Y7" s="30">
        <f>Generation_output!T3*'Net Zero 2050'!W21</f>
        <v>6.5549106000000004</v>
      </c>
      <c r="Z7" s="30">
        <f>Generation_output!U3*'Net Zero 2050'!X21</f>
        <v>6.8706137500000004</v>
      </c>
      <c r="AA7" s="30">
        <f>Generation_output!V3*'Net Zero 2050'!Y21</f>
        <v>7.3251488</v>
      </c>
      <c r="AB7" s="30">
        <f>Generation_output!W3*'Net Zero 2050'!Z21</f>
        <v>7.7628976000000005</v>
      </c>
      <c r="AC7" s="30">
        <f>Generation_output!X3*'Net Zero 2050'!AA21</f>
        <v>8.08386432</v>
      </c>
      <c r="AD7" s="30">
        <f>Generation_output!Y3*'Net Zero 2050'!AB21</f>
        <v>8.4347422199999986</v>
      </c>
      <c r="AE7" s="30">
        <f>Generation_output!Z3*'Net Zero 2050'!AC21</f>
        <v>9.02513115</v>
      </c>
      <c r="AF7" s="30">
        <f>Generation_output!AA3*'Net Zero 2050'!AD21</f>
        <v>9.6436656799999998</v>
      </c>
      <c r="AG7" s="30">
        <f>Generation_output!AB3*'Net Zero 2050'!AE21</f>
        <v>10.33844994</v>
      </c>
      <c r="AH7" s="30">
        <f>Generation_output!AC3*'Net Zero 2050'!AF21</f>
        <v>11.15001612</v>
      </c>
      <c r="AI7" s="30">
        <f>Generation_output!AD3*'Net Zero 2050'!AG21</f>
        <v>11.987959199999999</v>
      </c>
      <c r="AJ7" s="30">
        <f>Generation_output!AE3*'Net Zero 2050'!AH21</f>
        <v>12.6449927</v>
      </c>
      <c r="AK7" s="30">
        <f>Generation_output!AF3*'Net Zero 2050'!AI21</f>
        <v>13.397970770000001</v>
      </c>
      <c r="AL7" s="30">
        <f>Generation_output!AG3*'Net Zero 2050'!AJ21</f>
        <v>14.024631880000001</v>
      </c>
      <c r="AM7" s="30">
        <f>Generation_output!AH3*'Net Zero 2050'!AK21</f>
        <v>14.442557519999999</v>
      </c>
      <c r="AN7" s="30">
        <f>Generation_output!AI3*'Net Zero 2050'!AL21</f>
        <v>15.001112169999999</v>
      </c>
      <c r="AO7" s="30">
        <f>Generation_output!AJ3*'Net Zero 2050'!AM21</f>
        <v>15.372215049999998</v>
      </c>
      <c r="AP7" s="30">
        <f>Generation_output!AK3*'Net Zero 2050'!AN21</f>
        <v>15.746381979999999</v>
      </c>
      <c r="AQ7" s="30">
        <f>Generation_output!AL3*'Net Zero 2050'!AO21</f>
        <v>16.122399720000001</v>
      </c>
      <c r="AR7" s="30">
        <f>Generation_output!AM3*'Net Zero 2050'!AP21</f>
        <v>16.514814769999997</v>
      </c>
      <c r="AS7" s="30">
        <f>Generation_output!AN3*'Net Zero 2050'!AQ21</f>
        <v>16.919312699999999</v>
      </c>
      <c r="AT7" s="30">
        <v>17</v>
      </c>
      <c r="AU7" s="30">
        <v>17</v>
      </c>
      <c r="AV7" s="30">
        <v>17</v>
      </c>
      <c r="AW7" s="30">
        <v>17</v>
      </c>
      <c r="AX7" s="30">
        <v>17</v>
      </c>
      <c r="AY7" s="30">
        <v>17</v>
      </c>
      <c r="AZ7" s="30">
        <v>17</v>
      </c>
      <c r="BA7" s="30">
        <v>17</v>
      </c>
      <c r="BB7" s="30">
        <v>17</v>
      </c>
      <c r="BC7" s="30">
        <v>17</v>
      </c>
      <c r="BD7" s="30">
        <v>17</v>
      </c>
      <c r="BE7" s="30">
        <v>17</v>
      </c>
      <c r="BF7" s="30">
        <v>17</v>
      </c>
      <c r="BG7" s="30">
        <v>17</v>
      </c>
    </row>
    <row r="8" spans="1:59" ht="14.4">
      <c r="A8" s="390" t="s">
        <v>457</v>
      </c>
      <c r="B8" s="391" t="s">
        <v>619</v>
      </c>
      <c r="C8" s="393" t="s">
        <v>103</v>
      </c>
      <c r="D8" s="386" t="s">
        <v>621</v>
      </c>
      <c r="E8" s="386" t="s">
        <v>462</v>
      </c>
      <c r="F8" s="386" t="s">
        <v>462</v>
      </c>
      <c r="G8" s="390">
        <v>0</v>
      </c>
      <c r="H8" s="391">
        <v>0</v>
      </c>
      <c r="I8" s="391">
        <v>0</v>
      </c>
      <c r="J8" s="391">
        <v>0</v>
      </c>
      <c r="K8" s="30">
        <f>Generation_output!F3*'Net Zero 2050'!I20</f>
        <v>0</v>
      </c>
      <c r="L8" s="30">
        <f>Generation_output!G3*'Net Zero 2050'!J20</f>
        <v>0</v>
      </c>
      <c r="M8" s="30">
        <f>Generation_output!H3*'Net Zero 2050'!K20</f>
        <v>0</v>
      </c>
      <c r="N8" s="30">
        <f>Generation_output!I3*'Net Zero 2050'!L20</f>
        <v>0</v>
      </c>
      <c r="O8" s="30">
        <f>Generation_output!J3*'Net Zero 2050'!M20</f>
        <v>0</v>
      </c>
      <c r="P8" s="30">
        <f>Generation_output!K3*'Net Zero 2050'!N20</f>
        <v>0</v>
      </c>
      <c r="Q8" s="30">
        <f>Generation_output!L3*'Net Zero 2050'!O20</f>
        <v>0.57438149999999999</v>
      </c>
      <c r="R8" s="30">
        <f>Generation_output!M3*'Net Zero 2050'!P20</f>
        <v>0.5926555</v>
      </c>
      <c r="S8" s="30">
        <f>Generation_output!N3*'Net Zero 2050'!Q20</f>
        <v>0.61630400000000007</v>
      </c>
      <c r="T8" s="30">
        <f>Generation_output!O3*'Net Zero 2050'!R20</f>
        <v>0.64283699999999999</v>
      </c>
      <c r="U8" s="30">
        <f>Generation_output!P3*'Net Zero 2050'!S20</f>
        <v>0.67068650000000007</v>
      </c>
      <c r="V8" s="30">
        <f>Generation_output!Q3*'Net Zero 2050'!T20</f>
        <v>1.1169720000000001</v>
      </c>
      <c r="W8" s="30">
        <f>Generation_output!R3*'Net Zero 2050'!U20</f>
        <v>1.1622592</v>
      </c>
      <c r="X8" s="30">
        <f>Generation_output!S3*'Net Zero 2050'!V20</f>
        <v>1.2005239999999999</v>
      </c>
      <c r="Y8" s="30">
        <f>Generation_output!T3*'Net Zero 2050'!W20</f>
        <v>1.2485544</v>
      </c>
      <c r="Z8" s="30">
        <f>Generation_output!U3*'Net Zero 2050'!X20</f>
        <v>1.2932919999999999</v>
      </c>
      <c r="AA8" s="30">
        <f>Generation_output!V3*'Net Zero 2050'!Y20</f>
        <v>1.3440640000000001</v>
      </c>
      <c r="AB8" s="30">
        <f>Generation_output!W3*'Net Zero 2050'!Z20</f>
        <v>1.3924480000000001</v>
      </c>
      <c r="AC8" s="30">
        <f>Generation_output!X3*'Net Zero 2050'!AA20</f>
        <v>1.85856702</v>
      </c>
      <c r="AD8" s="30">
        <f>Generation_output!Y3*'Net Zero 2050'!AB20</f>
        <v>1.9178332199999999</v>
      </c>
      <c r="AE8" s="30">
        <f>Generation_output!Z3*'Net Zero 2050'!AC20</f>
        <v>1.9820650500000001</v>
      </c>
      <c r="AF8" s="30">
        <f>Generation_output!AA3*'Net Zero 2050'!AD20</f>
        <v>2.03544583</v>
      </c>
      <c r="AG8" s="30">
        <f>Generation_output!AB3*'Net Zero 2050'!AE20</f>
        <v>2.10031626</v>
      </c>
      <c r="AH8" s="30">
        <f>Generation_output!AC3*'Net Zero 2050'!AF20</f>
        <v>2.1506585399999998</v>
      </c>
      <c r="AI8" s="30">
        <f>Generation_output!AD3*'Net Zero 2050'!AG20</f>
        <v>2.2049282099999998</v>
      </c>
      <c r="AJ8" s="30">
        <f>Generation_output!AE3*'Net Zero 2050'!AH20</f>
        <v>2.25334645</v>
      </c>
      <c r="AK8" s="30">
        <f>Generation_output!AF3*'Net Zero 2050'!AI20</f>
        <v>2.3038246899999999</v>
      </c>
      <c r="AL8" s="30">
        <f>Generation_output!AG3*'Net Zero 2050'!AJ20</f>
        <v>2.3526662599999999</v>
      </c>
      <c r="AM8" s="30">
        <f>Generation_output!AH3*'Net Zero 2050'!AK20</f>
        <v>2.40320424</v>
      </c>
      <c r="AN8" s="30">
        <f>Generation_output!AI3*'Net Zero 2050'!AL20</f>
        <v>2.49614629</v>
      </c>
      <c r="AO8" s="30">
        <f>Generation_output!AJ3*'Net Zero 2050'!AM20</f>
        <v>2.5578968500000001</v>
      </c>
      <c r="AP8" s="30">
        <f>Generation_output!AK3*'Net Zero 2050'!AN20</f>
        <v>2.62015726</v>
      </c>
      <c r="AQ8" s="30">
        <f>Generation_output!AL3*'Net Zero 2050'!AO20</f>
        <v>2.6827256400000001</v>
      </c>
      <c r="AR8" s="30">
        <f>Generation_output!AM3*'Net Zero 2050'!AP20</f>
        <v>2.7480224899999999</v>
      </c>
      <c r="AS8" s="30">
        <f>Generation_output!AN3*'Net Zero 2050'!AQ20</f>
        <v>2.8153299000000005</v>
      </c>
      <c r="AT8" s="30">
        <f>Generation_output!AO3*'Net Zero 2050'!AR20</f>
        <v>2.8824920799999996</v>
      </c>
      <c r="AU8" s="30">
        <f>Generation_output!AP3*'Net Zero 2050'!AS20</f>
        <v>2.94979331</v>
      </c>
      <c r="AV8" s="30">
        <f>Generation_output!AQ3*'Net Zero 2050'!AT20</f>
        <v>3.0190134299999998</v>
      </c>
      <c r="AW8" s="30">
        <f>Generation_output!AR3*'Net Zero 2050'!AU20</f>
        <v>3.0897754600000003</v>
      </c>
      <c r="AX8" s="30">
        <f>Generation_output!AS3*'Net Zero 2050'!AV20</f>
        <v>3.1618981199999996</v>
      </c>
      <c r="AY8" s="30">
        <f>Generation_output!AT3*'Net Zero 2050'!AW20</f>
        <v>3.2354081900000002</v>
      </c>
      <c r="AZ8" s="30">
        <f>Generation_output!AU3*'Net Zero 2050'!AX20</f>
        <v>3.3098246599999999</v>
      </c>
      <c r="BA8" s="30">
        <f>Generation_output!AV3*'Net Zero 2050'!AY20</f>
        <v>3.3859663800000002</v>
      </c>
      <c r="BB8" s="30">
        <f>Generation_output!AW3*'Net Zero 2050'!AZ20</f>
        <v>3.4635305300000003</v>
      </c>
      <c r="BC8" s="30">
        <f>Generation_output!AX3*'Net Zero 2050'!BA20</f>
        <v>3.5428497999999999</v>
      </c>
      <c r="BD8" s="30">
        <f>Generation_output!AY3*'Net Zero 2050'!BB20</f>
        <v>3.6235369099999999</v>
      </c>
      <c r="BE8" s="30">
        <f>Generation_output!AZ3*'Net Zero 2050'!BC20</f>
        <v>3.7060182799999999</v>
      </c>
      <c r="BF8" s="30">
        <f>Generation_output!BA3*'Net Zero 2050'!BD20</f>
        <v>3.7896326500000002</v>
      </c>
      <c r="BG8" s="30">
        <f>Generation_output!BB3*'Net Zero 2050'!BE20</f>
        <v>3.8746097100000001</v>
      </c>
    </row>
    <row r="9" spans="1:59" ht="14.4">
      <c r="A9" s="390"/>
      <c r="B9" s="391"/>
      <c r="C9" s="393"/>
      <c r="D9" s="386"/>
      <c r="E9" s="386"/>
      <c r="F9" s="386"/>
      <c r="G9" s="390"/>
      <c r="H9" s="391"/>
      <c r="I9" s="391"/>
      <c r="J9" s="39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row>
    <row r="10" spans="1:59" ht="14.4">
      <c r="A10" s="384" t="s">
        <v>551</v>
      </c>
      <c r="B10" s="385" t="s">
        <v>619</v>
      </c>
      <c r="C10" s="385" t="s">
        <v>277</v>
      </c>
      <c r="D10" s="386" t="s">
        <v>621</v>
      </c>
      <c r="E10" s="386" t="s">
        <v>462</v>
      </c>
      <c r="F10" s="386" t="s">
        <v>462</v>
      </c>
      <c r="G10" s="387">
        <v>0.12379999999999999</v>
      </c>
      <c r="H10" s="388">
        <v>0.11799999999999999</v>
      </c>
      <c r="I10" s="388">
        <v>0.12039999999999999</v>
      </c>
      <c r="J10" s="388">
        <v>0.1191</v>
      </c>
      <c r="K10" s="30">
        <f>Generation_output!F2*'Net Zero 2070'!G16</f>
        <v>0.36396289799999998</v>
      </c>
      <c r="L10" s="30">
        <f>Generation_output!G2*'Net Zero 2070'!H16</f>
        <v>0.63977456399999999</v>
      </c>
      <c r="M10" s="30">
        <f>Generation_output!H2*'Net Zero 2070'!I16</f>
        <v>0.94040111999999987</v>
      </c>
      <c r="N10" s="30">
        <f>Generation_output!I2*'Net Zero 2070'!J16</f>
        <v>1.2577187999999999</v>
      </c>
      <c r="O10" s="30">
        <f>Generation_output!J2*'Net Zero 2070'!K16</f>
        <v>1.8527416000000003</v>
      </c>
      <c r="P10" s="30">
        <f>Generation_output!K2*'Net Zero 2070'!L16</f>
        <v>2.4172103999999996</v>
      </c>
      <c r="Q10" s="30">
        <f>Generation_output!L2*'Net Zero 2070'!M16</f>
        <v>2.9439357999999998</v>
      </c>
      <c r="R10" s="30">
        <f>Generation_output!M2*'Net Zero 2070'!N16</f>
        <v>3.6304565000000002</v>
      </c>
      <c r="S10" s="30">
        <f>Generation_output!N2*'Net Zero 2070'!O16</f>
        <v>4.3898723999999998</v>
      </c>
      <c r="T10" s="30">
        <f>Generation_output!O2*'Net Zero 2070'!P16</f>
        <v>6.1068959999999999</v>
      </c>
      <c r="U10" s="30">
        <f>Generation_output!P2*'Net Zero 2070'!Q16</f>
        <v>8.0930102999999995</v>
      </c>
      <c r="V10" s="30">
        <f>Generation_output!Q2*'Net Zero 2070'!R16</f>
        <v>10.0878335</v>
      </c>
      <c r="W10" s="30">
        <f>Generation_output!R2*'Net Zero 2070'!S16</f>
        <v>12.366834399999998</v>
      </c>
      <c r="X10" s="30">
        <f>Generation_output!S2*'Net Zero 2070'!T16</f>
        <v>14.583095799999999</v>
      </c>
      <c r="Y10" s="30">
        <f>Generation_output!T2*'Net Zero 2070'!U16</f>
        <v>16.75483492</v>
      </c>
      <c r="Z10" s="30">
        <f>Generation_output!U2*'Net Zero 2070'!V16</f>
        <v>18.986481920000003</v>
      </c>
      <c r="AA10" s="30">
        <f>Generation_output!V2*'Net Zero 2070'!W16</f>
        <v>21.4348551</v>
      </c>
      <c r="AB10" s="30">
        <f>Generation_output!W2*'Net Zero 2070'!X16</f>
        <v>23.952549440000002</v>
      </c>
      <c r="AC10" s="30">
        <f>Generation_output!X2*'Net Zero 2070'!Y16</f>
        <v>26.630248499999997</v>
      </c>
      <c r="AD10" s="30">
        <f>Generation_output!Y2*'Net Zero 2070'!Z16</f>
        <v>29.219448959999998</v>
      </c>
      <c r="AE10" s="30">
        <f>Generation_output!Z2*'Net Zero 2070'!AA16</f>
        <v>31.974449959999998</v>
      </c>
      <c r="AF10" s="30">
        <f>Generation_output!AA2*'Net Zero 2070'!AB16</f>
        <v>34.618602340000002</v>
      </c>
      <c r="AG10" s="30">
        <f>Generation_output!AB2*'Net Zero 2070'!AC16</f>
        <v>37.483729260000004</v>
      </c>
      <c r="AH10" s="30">
        <f>Generation_output!AC2*'Net Zero 2070'!AD16</f>
        <v>40.177145299999999</v>
      </c>
      <c r="AI10" s="30">
        <f>Generation_output!AD2*'Net Zero 2070'!AE16</f>
        <v>41.850728920000002</v>
      </c>
      <c r="AJ10" s="30">
        <f>Generation_output!AE2*'Net Zero 2070'!AF16</f>
        <v>43.42282866</v>
      </c>
      <c r="AK10" s="30">
        <f>Generation_output!AF2*'Net Zero 2070'!AG16</f>
        <v>45.088239379999997</v>
      </c>
      <c r="AL10" s="30">
        <f>Generation_output!AG2*'Net Zero 2070'!AH16</f>
        <v>46.734775259999999</v>
      </c>
      <c r="AM10" s="30">
        <f>Generation_output!AH2*'Net Zero 2070'!AI16</f>
        <v>48.438841199999999</v>
      </c>
      <c r="AN10" s="30">
        <f>Generation_output!AI2*'Net Zero 2070'!AJ16</f>
        <v>49.701499999999996</v>
      </c>
      <c r="AO10" s="30">
        <f>Generation_output!AJ2*'Net Zero 2070'!AK16</f>
        <v>50.942099999999996</v>
      </c>
      <c r="AP10" s="30">
        <f>Generation_output!AK2*'Net Zero 2070'!AL16</f>
        <v>52.067582000000002</v>
      </c>
      <c r="AQ10" s="30">
        <f>Generation_output!AL2*'Net Zero 2070'!AM16</f>
        <v>53.497389599999998</v>
      </c>
      <c r="AR10" s="30">
        <f>Generation_output!AM2*'Net Zero 2070'!AN16</f>
        <v>54.847813299999999</v>
      </c>
      <c r="AS10" s="30">
        <f>Generation_output!AN2*'Net Zero 2070'!AO16</f>
        <v>56.178948799999993</v>
      </c>
      <c r="AT10" s="30">
        <f>Generation_output!AO2*'Net Zero 2070'!AP16</f>
        <v>57.529241400000004</v>
      </c>
      <c r="AU10" s="30">
        <f>Generation_output!AP2*'Net Zero 2070'!AQ16</f>
        <v>58.865795999999996</v>
      </c>
      <c r="AV10" s="30">
        <f>Generation_output!AQ2*'Net Zero 2070'!AR16</f>
        <v>59.945446000000004</v>
      </c>
      <c r="AW10" s="30">
        <f>Generation_output!AR2*'Net Zero 2070'!AS16</f>
        <v>61.244006200000008</v>
      </c>
      <c r="AX10" s="30">
        <f>Generation_output!AS2*'Net Zero 2070'!AT16</f>
        <v>62.590102800000004</v>
      </c>
      <c r="AY10" s="30">
        <f>Generation_output!AT2*'Net Zero 2070'!AU16</f>
        <v>63.925581400000006</v>
      </c>
      <c r="AZ10" s="30">
        <f>Generation_output!AU2*'Net Zero 2070'!AV16</f>
        <v>65.278169599999998</v>
      </c>
      <c r="BA10" s="30">
        <f>Generation_output!AV2*'Net Zero 2070'!AW16</f>
        <v>66.630735000000001</v>
      </c>
      <c r="BB10" s="30">
        <f>Generation_output!AW2*'Net Zero 2070'!AX16</f>
        <v>68.046272200000004</v>
      </c>
      <c r="BC10" s="30">
        <f>Generation_output!AX2*'Net Zero 2070'!AY16</f>
        <v>69.422411199999999</v>
      </c>
      <c r="BD10" s="30">
        <f>Generation_output!AY2*'Net Zero 2070'!AZ16</f>
        <v>70.498300400000005</v>
      </c>
      <c r="BE10" s="30">
        <f>Generation_output!AZ2*'Net Zero 2070'!BA16</f>
        <v>71.907506400000003</v>
      </c>
      <c r="BF10" s="30">
        <f>Generation_output!BA2*'Net Zero 2070'!BB16</f>
        <v>73.360447699999995</v>
      </c>
      <c r="BG10" s="30">
        <f>Generation_output!BB2*'Net Zero 2070'!BC16</f>
        <v>74.817643000000004</v>
      </c>
    </row>
    <row r="11" spans="1:59" ht="14.4">
      <c r="A11" s="338" t="s">
        <v>551</v>
      </c>
      <c r="B11" s="329" t="s">
        <v>619</v>
      </c>
      <c r="C11" s="329" t="s">
        <v>280</v>
      </c>
      <c r="D11" s="386" t="s">
        <v>621</v>
      </c>
      <c r="E11" s="386" t="s">
        <v>462</v>
      </c>
      <c r="F11" s="386" t="s">
        <v>462</v>
      </c>
      <c r="G11" s="387">
        <v>0.26250000000000001</v>
      </c>
      <c r="H11" s="388">
        <v>0.28489999999999999</v>
      </c>
      <c r="I11" s="388">
        <v>0.25519999999999998</v>
      </c>
      <c r="J11" s="388">
        <v>0.21390000000000001</v>
      </c>
      <c r="K11" s="30">
        <f>Generation_output!F2*'Net Zero 2070'!G17</f>
        <v>0.18664764</v>
      </c>
      <c r="L11" s="30">
        <f>Generation_output!G2*'Net Zero 2070'!H17</f>
        <v>0.38774216</v>
      </c>
      <c r="M11" s="30">
        <f>Generation_output!H2*'Net Zero 2070'!I17</f>
        <v>0.50559199999999993</v>
      </c>
      <c r="N11" s="30">
        <f>Generation_output!I2*'Net Zero 2070'!J17</f>
        <v>0.78607424999999997</v>
      </c>
      <c r="O11" s="30">
        <f>Generation_output!J2*'Net Zero 2070'!K17</f>
        <v>0.98086319999999994</v>
      </c>
      <c r="P11" s="30">
        <f>Generation_output!K2*'Net Zero 2070'!L17</f>
        <v>1.2086051999999998</v>
      </c>
      <c r="Q11" s="30">
        <f>Generation_output!L2*'Net Zero 2070'!M17</f>
        <v>1.3587396</v>
      </c>
      <c r="R11" s="30">
        <f>Generation_output!M2*'Net Zero 2070'!N17</f>
        <v>1.639561</v>
      </c>
      <c r="S11" s="30">
        <f>Generation_output!N2*'Net Zero 2070'!O17</f>
        <v>1.9510544000000001</v>
      </c>
      <c r="T11" s="30">
        <f>Generation_output!O2*'Net Zero 2070'!P17</f>
        <v>2.1628590000000001</v>
      </c>
      <c r="U11" s="30">
        <f>Generation_output!P2*'Net Zero 2070'!Q17</f>
        <v>2.5207736999999999</v>
      </c>
      <c r="V11" s="30">
        <f>Generation_output!Q2*'Net Zero 2070'!R17</f>
        <v>2.7637900000000002</v>
      </c>
      <c r="W11" s="30">
        <f>Generation_output!R2*'Net Zero 2070'!S17</f>
        <v>3.0198084000000001</v>
      </c>
      <c r="X11" s="30">
        <f>Generation_output!S2*'Net Zero 2070'!T17</f>
        <v>3.2737561999999998</v>
      </c>
      <c r="Y11" s="30">
        <f>Generation_output!T2*'Net Zero 2070'!U17</f>
        <v>3.5615637999999996</v>
      </c>
      <c r="Z11" s="30">
        <f>Generation_output!U2*'Net Zero 2070'!V17</f>
        <v>3.8486112000000001</v>
      </c>
      <c r="AA11" s="30">
        <f>Generation_output!V2*'Net Zero 2070'!W17</f>
        <v>4.1669625000000003</v>
      </c>
      <c r="AB11" s="30">
        <f>Generation_output!W2*'Net Zero 2070'!X17</f>
        <v>4.4867888000000002</v>
      </c>
      <c r="AC11" s="30">
        <f>Generation_output!X2*'Net Zero 2070'!Y17</f>
        <v>4.8256154999999996</v>
      </c>
      <c r="AD11" s="30">
        <f>Generation_output!Y2*'Net Zero 2070'!Z17</f>
        <v>4.9743072000000002</v>
      </c>
      <c r="AE11" s="30">
        <f>Generation_output!Z2*'Net Zero 2070'!AA17</f>
        <v>5.2276895000000003</v>
      </c>
      <c r="AF11" s="30">
        <f>Generation_output!AA2*'Net Zero 2070'!AB17</f>
        <v>5.4517483999999996</v>
      </c>
      <c r="AG11" s="30">
        <f>Generation_output!AB2*'Net Zero 2070'!AC17</f>
        <v>5.6005571999999999</v>
      </c>
      <c r="AH11" s="30">
        <f>Generation_output!AC2*'Net Zero 2070'!AD17</f>
        <v>5.7104571999999996</v>
      </c>
      <c r="AI11" s="30">
        <f>Generation_output!AD2*'Net Zero 2070'!AE17</f>
        <v>5.8532488000000003</v>
      </c>
      <c r="AJ11" s="30">
        <f>Generation_output!AE2*'Net Zero 2070'!AF17</f>
        <v>6.0843196500000003</v>
      </c>
      <c r="AK11" s="30">
        <f>Generation_output!AF2*'Net Zero 2070'!AG17</f>
        <v>6.21982005</v>
      </c>
      <c r="AL11" s="30">
        <f>Generation_output!AG2*'Net Zero 2070'!AH17</f>
        <v>6.3486229500000002</v>
      </c>
      <c r="AM11" s="30">
        <f>Generation_output!AH2*'Net Zero 2070'!AI17</f>
        <v>6.5949596000000001</v>
      </c>
      <c r="AN11" s="30">
        <f>Generation_output!AI2*'Net Zero 2070'!AJ17</f>
        <v>6.7352500000000006</v>
      </c>
      <c r="AO11" s="30">
        <f>Generation_output!AJ2*'Net Zero 2070'!AK17</f>
        <v>6.8712600000000004</v>
      </c>
      <c r="AP11" s="30">
        <f>Generation_output!AK2*'Net Zero 2070'!AL17</f>
        <v>7.0230692000000001</v>
      </c>
      <c r="AQ11" s="30">
        <f>Generation_output!AL2*'Net Zero 2070'!AM17</f>
        <v>7.430193</v>
      </c>
      <c r="AR11" s="30">
        <f>Generation_output!AM2*'Net Zero 2070'!AN17</f>
        <v>7.5826469999999997</v>
      </c>
      <c r="AS11" s="30">
        <f>Generation_output!AN2*'Net Zero 2070'!AO17</f>
        <v>7.7310479999999995</v>
      </c>
      <c r="AT11" s="30">
        <f>Generation_output!AO2*'Net Zero 2070'!AP17</f>
        <v>8.1434086000000008</v>
      </c>
      <c r="AU11" s="30">
        <f>Generation_output!AP2*'Net Zero 2070'!AQ17</f>
        <v>8.2947258000000001</v>
      </c>
      <c r="AV11" s="30">
        <f>Generation_output!AQ2*'Net Zero 2070'!AR17</f>
        <v>8.7193376000000011</v>
      </c>
      <c r="AW11" s="30">
        <f>Generation_output!AR2*'Net Zero 2070'!AS17</f>
        <v>8.8679104000000013</v>
      </c>
      <c r="AX11" s="30">
        <f>Generation_output!AS2*'Net Zero 2070'!AT17</f>
        <v>9.0219968000000001</v>
      </c>
      <c r="AY11" s="30">
        <f>Generation_output!AT2*'Net Zero 2070'!AU17</f>
        <v>9.4598394000000017</v>
      </c>
      <c r="AZ11" s="30">
        <f>Generation_output!AU2*'Net Zero 2070'!AV17</f>
        <v>9.6168731999999988</v>
      </c>
      <c r="BA11" s="30">
        <f>Generation_output!AV2*'Net Zero 2070'!AW17</f>
        <v>9.7725077999999996</v>
      </c>
      <c r="BB11" s="30">
        <f>Generation_output!AW2*'Net Zero 2070'!AX17</f>
        <v>9.9359601000000008</v>
      </c>
      <c r="BC11" s="30">
        <f>Generation_output!AX2*'Net Zero 2070'!AY17</f>
        <v>10.398070400000002</v>
      </c>
      <c r="BD11" s="30">
        <f>Generation_output!AY2*'Net Zero 2070'!AZ17</f>
        <v>10.559216800000002</v>
      </c>
      <c r="BE11" s="30">
        <f>Generation_output!AZ2*'Net Zero 2070'!BA17</f>
        <v>10.7230492</v>
      </c>
      <c r="BF11" s="30">
        <f>Generation_output!BA2*'Net Zero 2070'!BB17</f>
        <v>10.891944199999999</v>
      </c>
      <c r="BG11" s="30">
        <f>Generation_output!BB2*'Net Zero 2070'!BC17</f>
        <v>11.059999400000001</v>
      </c>
    </row>
    <row r="12" spans="1:59" ht="14.4">
      <c r="A12" s="384" t="s">
        <v>551</v>
      </c>
      <c r="B12" s="385" t="s">
        <v>619</v>
      </c>
      <c r="C12" s="389" t="s">
        <v>622</v>
      </c>
      <c r="D12" s="386" t="s">
        <v>621</v>
      </c>
      <c r="E12" s="386" t="s">
        <v>462</v>
      </c>
      <c r="F12" s="386" t="s">
        <v>462</v>
      </c>
      <c r="G12" s="390">
        <v>0</v>
      </c>
      <c r="H12" s="391">
        <v>0</v>
      </c>
      <c r="I12" s="391">
        <v>0</v>
      </c>
      <c r="J12" s="391">
        <v>0</v>
      </c>
      <c r="K12" s="30">
        <f>Generation_output!F2*'Net Zero 2070'!G18</f>
        <v>0.11198858399999999</v>
      </c>
      <c r="L12" s="30">
        <f>Generation_output!G2*'Net Zero 2070'!H18</f>
        <v>0.19387108</v>
      </c>
      <c r="M12" s="30">
        <f>Generation_output!H2*'Net Zero 2070'!I18</f>
        <v>0.35391439999999996</v>
      </c>
      <c r="N12" s="30">
        <f>Generation_output!I2*'Net Zero 2070'!J18</f>
        <v>0.47164454999999994</v>
      </c>
      <c r="O12" s="30">
        <f>Generation_output!J2*'Net Zero 2070'!K18</f>
        <v>0.65390880000000007</v>
      </c>
      <c r="P12" s="30">
        <f>Generation_output!K2*'Net Zero 2070'!L18</f>
        <v>0.76911240000000003</v>
      </c>
      <c r="Q12" s="30">
        <f>Generation_output!L2*'Net Zero 2070'!M18</f>
        <v>0.90582640000000003</v>
      </c>
      <c r="R12" s="30">
        <f>Generation_output!M2*'Net Zero 2070'!N18</f>
        <v>1.1711150000000001</v>
      </c>
      <c r="S12" s="30">
        <f>Generation_output!N2*'Net Zero 2070'!O18</f>
        <v>1.4632908</v>
      </c>
      <c r="T12" s="30">
        <f>Generation_output!O2*'Net Zero 2070'!P18</f>
        <v>1.7811780000000002</v>
      </c>
      <c r="U12" s="30">
        <f>Generation_output!P2*'Net Zero 2070'!Q18</f>
        <v>1.9900845</v>
      </c>
      <c r="V12" s="30">
        <f>Generation_output!Q2*'Net Zero 2070'!R18</f>
        <v>2.2110320000000003</v>
      </c>
      <c r="W12" s="30">
        <f>Generation_output!R2*'Net Zero 2070'!S18</f>
        <v>2.4446068000000003</v>
      </c>
      <c r="X12" s="30">
        <f>Generation_output!S2*'Net Zero 2070'!T18</f>
        <v>2.6785277999999995</v>
      </c>
      <c r="Y12" s="30">
        <f>Generation_output!T2*'Net Zero 2070'!U18</f>
        <v>2.9421613999999998</v>
      </c>
      <c r="Z12" s="30">
        <f>Generation_output!U2*'Net Zero 2070'!V18</f>
        <v>3.207176</v>
      </c>
      <c r="AA12" s="30">
        <f>Generation_output!V2*'Net Zero 2070'!W18</f>
        <v>3.4169092500000002</v>
      </c>
      <c r="AB12" s="30">
        <f>Generation_output!W2*'Net Zero 2070'!X18</f>
        <v>3.6584585600000001</v>
      </c>
      <c r="AC12" s="30">
        <f>Generation_output!X2*'Net Zero 2070'!Y18</f>
        <v>3.8962376999999999</v>
      </c>
      <c r="AD12" s="30">
        <f>Generation_output!Y2*'Net Zero 2070'!Z18</f>
        <v>4.0347158399999996</v>
      </c>
      <c r="AE12" s="30">
        <f>Generation_output!Z2*'Net Zero 2070'!AA18</f>
        <v>4.2011613800000003</v>
      </c>
      <c r="AF12" s="30">
        <f>Generation_output!AA2*'Net Zero 2070'!AB18</f>
        <v>4.34192819</v>
      </c>
      <c r="AG12" s="30">
        <f>Generation_output!AB2*'Net Zero 2070'!AC18</f>
        <v>4.5004477500000002</v>
      </c>
      <c r="AH12" s="30">
        <f>Generation_output!AC2*'Net Zero 2070'!AD18</f>
        <v>4.6295492300000003</v>
      </c>
      <c r="AI12" s="30">
        <f>Generation_output!AD2*'Net Zero 2070'!AE18</f>
        <v>4.8080258000000002</v>
      </c>
      <c r="AJ12" s="30">
        <f>Generation_output!AE2*'Net Zero 2070'!AF18</f>
        <v>4.9528496799999999</v>
      </c>
      <c r="AK12" s="30">
        <f>Generation_output!AF2*'Net Zero 2070'!AG18</f>
        <v>5.1286235499999995</v>
      </c>
      <c r="AL12" s="30">
        <f>Generation_output!AG2*'Net Zero 2070'!AH18</f>
        <v>5.2793811899999996</v>
      </c>
      <c r="AM12" s="30">
        <f>Generation_output!AH2*'Net Zero 2070'!AI18</f>
        <v>5.4124151200000004</v>
      </c>
      <c r="AN12" s="30">
        <f>Generation_output!AI2*'Net Zero 2070'!AJ18</f>
        <v>5.5507750000000007</v>
      </c>
      <c r="AO12" s="30">
        <f>Generation_output!AJ2*'Net Zero 2070'!AK18</f>
        <v>5.6865600000000001</v>
      </c>
      <c r="AP12" s="30">
        <f>Generation_output!AK2*'Net Zero 2070'!AL18</f>
        <v>5.8364126800000005</v>
      </c>
      <c r="AQ12" s="30">
        <f>Generation_output!AL2*'Net Zero 2070'!AM18</f>
        <v>5.9936890199999997</v>
      </c>
      <c r="AR12" s="30">
        <f>Generation_output!AM2*'Net Zero 2070'!AN18</f>
        <v>6.1419440699999992</v>
      </c>
      <c r="AS12" s="30">
        <f>Generation_output!AN2*'Net Zero 2070'!AO18</f>
        <v>6.2621488799999989</v>
      </c>
      <c r="AT12" s="30">
        <f>Generation_output!AO2*'Net Zero 2070'!AP18</f>
        <v>6.4096506400000006</v>
      </c>
      <c r="AU12" s="30">
        <f>Generation_output!AP2*'Net Zero 2070'!AQ18</f>
        <v>6.5287519200000004</v>
      </c>
      <c r="AV12" s="30">
        <f>Generation_output!AQ2*'Net Zero 2070'!AR18</f>
        <v>6.6757428500000007</v>
      </c>
      <c r="AW12" s="30">
        <f>Generation_output!AR2*'Net Zero 2070'!AS18</f>
        <v>6.789493900000001</v>
      </c>
      <c r="AX12" s="30">
        <f>Generation_output!AS2*'Net Zero 2070'!AT18</f>
        <v>6.935660040000001</v>
      </c>
      <c r="AY12" s="30">
        <f>Generation_output!AT2*'Net Zero 2070'!AU18</f>
        <v>7.0518802800000007</v>
      </c>
      <c r="AZ12" s="30">
        <f>Generation_output!AU2*'Net Zero 2070'!AV18</f>
        <v>7.1980838799999995</v>
      </c>
      <c r="BA12" s="30">
        <f>Generation_output!AV2*'Net Zero 2070'!AW18</f>
        <v>7.3145740199999993</v>
      </c>
      <c r="BB12" s="30">
        <f>Generation_output!AW2*'Net Zero 2070'!AX18</f>
        <v>7.4369155899999999</v>
      </c>
      <c r="BC12" s="30">
        <f>Generation_output!AX2*'Net Zero 2070'!AY18</f>
        <v>7.5538923200000001</v>
      </c>
      <c r="BD12" s="30">
        <f>Generation_output!AY2*'Net Zero 2070'!AZ18</f>
        <v>7.7020169599999999</v>
      </c>
      <c r="BE12" s="30">
        <f>Generation_output!AZ2*'Net Zero 2070'!BA18</f>
        <v>7.8215182399999996</v>
      </c>
      <c r="BF12" s="30">
        <f>Generation_output!BA2*'Net Zero 2070'!BB18</f>
        <v>7.9447122399999994</v>
      </c>
      <c r="BG12" s="30">
        <f>Generation_output!BB2*'Net Zero 2070'!BC18</f>
        <v>8.0672936800000006</v>
      </c>
    </row>
    <row r="13" spans="1:59" ht="14.4">
      <c r="A13" s="384" t="s">
        <v>551</v>
      </c>
      <c r="B13" s="385" t="s">
        <v>623</v>
      </c>
      <c r="C13" s="389" t="s">
        <v>622</v>
      </c>
      <c r="D13" s="386" t="s">
        <v>621</v>
      </c>
      <c r="E13" s="386" t="s">
        <v>462</v>
      </c>
      <c r="F13" s="386" t="s">
        <v>462</v>
      </c>
      <c r="G13" s="390">
        <v>0</v>
      </c>
      <c r="H13" s="391">
        <v>0</v>
      </c>
      <c r="I13" s="391">
        <v>0</v>
      </c>
      <c r="J13" s="391">
        <v>0</v>
      </c>
      <c r="K13" s="30">
        <f t="shared" ref="K13:BG13" si="1">K12*1.01</f>
        <v>0.11310846983999999</v>
      </c>
      <c r="L13" s="30">
        <f t="shared" si="1"/>
        <v>0.19580979079999999</v>
      </c>
      <c r="M13" s="30">
        <f t="shared" si="1"/>
        <v>0.35745354399999996</v>
      </c>
      <c r="N13" s="30">
        <f t="shared" si="1"/>
        <v>0.47636099549999994</v>
      </c>
      <c r="O13" s="30">
        <f t="shared" si="1"/>
        <v>0.66044788800000009</v>
      </c>
      <c r="P13" s="30">
        <f t="shared" si="1"/>
        <v>0.77680352400000008</v>
      </c>
      <c r="Q13" s="30">
        <f t="shared" si="1"/>
        <v>0.91488466400000001</v>
      </c>
      <c r="R13" s="30">
        <f t="shared" si="1"/>
        <v>1.1828261500000001</v>
      </c>
      <c r="S13" s="30">
        <f t="shared" si="1"/>
        <v>1.4779237080000001</v>
      </c>
      <c r="T13" s="30">
        <f t="shared" si="1"/>
        <v>1.7989897800000001</v>
      </c>
      <c r="U13" s="30">
        <f t="shared" si="1"/>
        <v>2.009985345</v>
      </c>
      <c r="V13" s="30">
        <f t="shared" si="1"/>
        <v>2.2331423200000002</v>
      </c>
      <c r="W13" s="30">
        <f t="shared" si="1"/>
        <v>2.4690528680000003</v>
      </c>
      <c r="X13" s="30">
        <f t="shared" si="1"/>
        <v>2.7053130779999996</v>
      </c>
      <c r="Y13" s="30">
        <f t="shared" si="1"/>
        <v>2.9715830139999997</v>
      </c>
      <c r="Z13" s="30">
        <f t="shared" si="1"/>
        <v>3.23924776</v>
      </c>
      <c r="AA13" s="30">
        <f t="shared" si="1"/>
        <v>3.4510783425000002</v>
      </c>
      <c r="AB13" s="30">
        <f t="shared" si="1"/>
        <v>3.6950431456000001</v>
      </c>
      <c r="AC13" s="30">
        <f t="shared" si="1"/>
        <v>3.9352000769999997</v>
      </c>
      <c r="AD13" s="30">
        <f t="shared" si="1"/>
        <v>4.0750629984</v>
      </c>
      <c r="AE13" s="30">
        <f t="shared" si="1"/>
        <v>4.2431729938</v>
      </c>
      <c r="AF13" s="30">
        <f t="shared" si="1"/>
        <v>4.3853474719000003</v>
      </c>
      <c r="AG13" s="30">
        <f t="shared" si="1"/>
        <v>4.5454522275000002</v>
      </c>
      <c r="AH13" s="30">
        <f t="shared" si="1"/>
        <v>4.6758447222999999</v>
      </c>
      <c r="AI13" s="30">
        <f t="shared" si="1"/>
        <v>4.8561060579999999</v>
      </c>
      <c r="AJ13" s="30">
        <f t="shared" si="1"/>
        <v>5.0023781767999997</v>
      </c>
      <c r="AK13" s="30">
        <f t="shared" si="1"/>
        <v>5.1799097854999996</v>
      </c>
      <c r="AL13" s="30">
        <f t="shared" si="1"/>
        <v>5.3321750018999996</v>
      </c>
      <c r="AM13" s="30">
        <f t="shared" si="1"/>
        <v>5.4665392712000003</v>
      </c>
      <c r="AN13" s="30">
        <f t="shared" si="1"/>
        <v>5.606282750000001</v>
      </c>
      <c r="AO13" s="30">
        <f t="shared" si="1"/>
        <v>5.7434256000000001</v>
      </c>
      <c r="AP13" s="30">
        <f t="shared" si="1"/>
        <v>5.8947768068000004</v>
      </c>
      <c r="AQ13" s="30">
        <f t="shared" si="1"/>
        <v>6.0536259102000001</v>
      </c>
      <c r="AR13" s="30">
        <f t="shared" si="1"/>
        <v>6.2033635106999991</v>
      </c>
      <c r="AS13" s="30">
        <f t="shared" si="1"/>
        <v>6.3247703687999985</v>
      </c>
      <c r="AT13" s="30">
        <f t="shared" si="1"/>
        <v>6.4737471464000009</v>
      </c>
      <c r="AU13" s="30">
        <f t="shared" si="1"/>
        <v>6.5940394392000004</v>
      </c>
      <c r="AV13" s="30">
        <f t="shared" si="1"/>
        <v>6.7425002785000006</v>
      </c>
      <c r="AW13" s="30">
        <f t="shared" si="1"/>
        <v>6.8573888390000013</v>
      </c>
      <c r="AX13" s="30">
        <f t="shared" si="1"/>
        <v>7.0050166404000009</v>
      </c>
      <c r="AY13" s="30">
        <f t="shared" si="1"/>
        <v>7.1223990828000003</v>
      </c>
      <c r="AZ13" s="30">
        <f t="shared" si="1"/>
        <v>7.2700647187999996</v>
      </c>
      <c r="BA13" s="30">
        <f t="shared" si="1"/>
        <v>7.3877197601999995</v>
      </c>
      <c r="BB13" s="30">
        <f t="shared" si="1"/>
        <v>7.5112847459000003</v>
      </c>
      <c r="BC13" s="30">
        <f t="shared" si="1"/>
        <v>7.6294312432</v>
      </c>
      <c r="BD13" s="30">
        <f t="shared" si="1"/>
        <v>7.7790371295999998</v>
      </c>
      <c r="BE13" s="30">
        <f t="shared" si="1"/>
        <v>7.8997334223999998</v>
      </c>
      <c r="BF13" s="30">
        <f t="shared" si="1"/>
        <v>8.0241593623999989</v>
      </c>
      <c r="BG13" s="30">
        <f t="shared" si="1"/>
        <v>8.1479666167999998</v>
      </c>
    </row>
    <row r="14" spans="1:59" ht="14.4">
      <c r="A14" s="389" t="s">
        <v>551</v>
      </c>
      <c r="B14" s="392" t="s">
        <v>619</v>
      </c>
      <c r="C14" s="392" t="s">
        <v>100</v>
      </c>
      <c r="D14" s="392" t="s">
        <v>621</v>
      </c>
      <c r="E14" s="392" t="s">
        <v>462</v>
      </c>
      <c r="F14" s="392" t="s">
        <v>462</v>
      </c>
      <c r="G14" s="387">
        <v>3.5324</v>
      </c>
      <c r="H14" s="388">
        <v>2.39</v>
      </c>
      <c r="I14" s="388">
        <v>1.9516</v>
      </c>
      <c r="J14" s="388">
        <v>1.5744</v>
      </c>
      <c r="K14" s="30">
        <f>Generation_output!F2*'Net Zero 2070'!G19</f>
        <v>2.7997145999999997</v>
      </c>
      <c r="L14" s="30">
        <f>Generation_output!G2*'Net Zero 2070'!H19</f>
        <v>2.6172595800000003</v>
      </c>
      <c r="M14" s="30">
        <f>Generation_output!H2*'Net Zero 2070'!I19</f>
        <v>2.4268415999999999</v>
      </c>
      <c r="N14" s="30">
        <f>Generation_output!I2*'Net Zero 2070'!J19</f>
        <v>2.2010079</v>
      </c>
      <c r="O14" s="30">
        <f>Generation_output!J2*'Net Zero 2070'!K19</f>
        <v>2.0162187999999999</v>
      </c>
      <c r="P14" s="30">
        <f>Generation_output!K2*'Net Zero 2070'!L19</f>
        <v>1.8129078000000001</v>
      </c>
      <c r="Q14" s="30">
        <f>Generation_output!L2*'Net Zero 2070'!M19</f>
        <v>1.6984245</v>
      </c>
      <c r="R14" s="30">
        <f>Generation_output!M2*'Net Zero 2070'!N19</f>
        <v>1.5692941000000002</v>
      </c>
      <c r="S14" s="30">
        <f>Generation_output!N2*'Net Zero 2070'!O19</f>
        <v>1.5608435200000002</v>
      </c>
      <c r="T14" s="30">
        <f>Generation_output!O2*'Net Zero 2070'!P19</f>
        <v>1.526724</v>
      </c>
      <c r="U14" s="30">
        <f>Generation_output!P2*'Net Zero 2070'!Q19</f>
        <v>1.5920676</v>
      </c>
      <c r="V14" s="30">
        <f>Generation_output!Q2*'Net Zero 2070'!R19</f>
        <v>1.6582740000000002</v>
      </c>
      <c r="W14" s="30">
        <f>Generation_output!R2*'Net Zero 2070'!S19</f>
        <v>1.5818043999999998</v>
      </c>
      <c r="X14" s="30">
        <f>Generation_output!S2*'Net Zero 2070'!T19</f>
        <v>1.6368780999999999</v>
      </c>
      <c r="Y14" s="30">
        <f>Generation_output!T2*'Net Zero 2070'!U19</f>
        <v>1.7033565999999998</v>
      </c>
      <c r="Z14" s="30">
        <f>Generation_output!U2*'Net Zero 2070'!V19</f>
        <v>1.6837674</v>
      </c>
      <c r="AA14" s="30">
        <f>Generation_output!V2*'Net Zero 2070'!W19</f>
        <v>1.7501242500000003</v>
      </c>
      <c r="AB14" s="30">
        <f>Generation_output!W2*'Net Zero 2070'!X19</f>
        <v>1.8119724000000001</v>
      </c>
      <c r="AC14" s="30">
        <f>Generation_output!X2*'Net Zero 2070'!Y19</f>
        <v>1.6085384999999999</v>
      </c>
      <c r="AD14" s="30">
        <f>Generation_output!Y2*'Net Zero 2070'!Z19</f>
        <v>1.6581023999999998</v>
      </c>
      <c r="AE14" s="30">
        <f>Generation_output!Z2*'Net Zero 2070'!AA19</f>
        <v>1.7108801999999999</v>
      </c>
      <c r="AF14" s="30">
        <f>Generation_output!AA2*'Net Zero 2070'!AB19</f>
        <v>1.4602897499999998</v>
      </c>
      <c r="AG14" s="30">
        <f>Generation_output!AB2*'Net Zero 2070'!AC19</f>
        <v>1.50014925</v>
      </c>
      <c r="AH14" s="30">
        <f>Generation_output!AC2*'Net Zero 2070'!AD19</f>
        <v>1.6315591999999999</v>
      </c>
      <c r="AI14" s="30">
        <f>Generation_output!AD2*'Net Zero 2070'!AE19</f>
        <v>1.5678345</v>
      </c>
      <c r="AJ14" s="30">
        <f>Generation_output!AE2*'Net Zero 2070'!AF19</f>
        <v>1.2809094000000001</v>
      </c>
      <c r="AK14" s="30">
        <f>Generation_output!AF2*'Net Zero 2070'!AG19</f>
        <v>1.3094357999999999</v>
      </c>
      <c r="AL14" s="30">
        <f>Generation_output!AG2*'Net Zero 2070'!AH19</f>
        <v>1.3365522000000001</v>
      </c>
      <c r="AM14" s="30">
        <f>Generation_output!AH2*'Net Zero 2070'!AI19</f>
        <v>1.137062</v>
      </c>
      <c r="AN14" s="30">
        <f>Generation_output!AI2*'Net Zero 2070'!AJ19</f>
        <v>1.1612500000000001</v>
      </c>
      <c r="AO14" s="30">
        <f>Generation_output!AJ2*'Net Zero 2070'!AK19</f>
        <v>1.1847000000000001</v>
      </c>
      <c r="AP14" s="30">
        <f>Generation_output!AK2*'Net Zero 2070'!AL19</f>
        <v>1.210874</v>
      </c>
      <c r="AQ14" s="30">
        <f>Generation_output!AL2*'Net Zero 2070'!AM19</f>
        <v>1.2383655</v>
      </c>
      <c r="AR14" s="30">
        <f>Generation_output!AM2*'Net Zero 2070'!AN19</f>
        <v>1.2637745</v>
      </c>
      <c r="AS14" s="30">
        <f>Generation_output!AN2*'Net Zero 2070'!AO19</f>
        <v>1.288508</v>
      </c>
      <c r="AT14" s="30">
        <f>Generation_output!AO2*'Net Zero 2070'!AP19</f>
        <v>1.3134530000000002</v>
      </c>
      <c r="AU14" s="30">
        <f>Generation_output!AP2*'Net Zero 2070'!AQ19</f>
        <v>1.0702872000000001</v>
      </c>
      <c r="AV14" s="30">
        <f>Generation_output!AQ2*'Net Zero 2070'!AR19</f>
        <v>1.0899172000000001</v>
      </c>
      <c r="AW14" s="30">
        <f>Generation_output!AR2*'Net Zero 2070'!AS19</f>
        <v>1.1084888000000002</v>
      </c>
      <c r="AX14" s="30">
        <f>Generation_output!AS2*'Net Zero 2070'!AT19</f>
        <v>1.1277496</v>
      </c>
      <c r="AY14" s="30">
        <f>Generation_output!AT2*'Net Zero 2070'!AU19</f>
        <v>1.1466472000000001</v>
      </c>
      <c r="AZ14" s="30">
        <f>Generation_output!AU2*'Net Zero 2070'!AV19</f>
        <v>1.1656815999999999</v>
      </c>
      <c r="BA14" s="30">
        <f>Generation_output!AV2*'Net Zero 2070'!AW19</f>
        <v>1.1845463999999999</v>
      </c>
      <c r="BB14" s="30">
        <f>Generation_output!AW2*'Net Zero 2070'!AX19</f>
        <v>1.2043588000000001</v>
      </c>
      <c r="BC14" s="30">
        <f>Generation_output!AX2*'Net Zero 2070'!AY19</f>
        <v>1.2233024000000001</v>
      </c>
      <c r="BD14" s="30">
        <f>Generation_output!AY2*'Net Zero 2070'!AZ19</f>
        <v>1.2422607999999999</v>
      </c>
      <c r="BE14" s="30">
        <f>Generation_output!AZ2*'Net Zero 2070'!BA19</f>
        <v>1.2615352</v>
      </c>
      <c r="BF14" s="30">
        <f>Generation_output!BA2*'Net Zero 2070'!BB19</f>
        <v>1.2814052</v>
      </c>
      <c r="BG14" s="30">
        <f>Generation_output!BB2*'Net Zero 2070'!BC19</f>
        <v>1.3011764000000001</v>
      </c>
    </row>
    <row r="15" spans="1:59" ht="14.4">
      <c r="A15" s="390" t="s">
        <v>551</v>
      </c>
      <c r="B15" s="391" t="s">
        <v>619</v>
      </c>
      <c r="C15" s="393" t="s">
        <v>624</v>
      </c>
      <c r="D15" s="386" t="s">
        <v>621</v>
      </c>
      <c r="E15" s="386" t="s">
        <v>462</v>
      </c>
      <c r="F15" s="386" t="s">
        <v>462</v>
      </c>
      <c r="G15" s="387">
        <v>0</v>
      </c>
      <c r="H15" s="387">
        <v>0</v>
      </c>
      <c r="I15" s="387">
        <v>0</v>
      </c>
      <c r="J15" s="387">
        <v>0</v>
      </c>
      <c r="K15" s="30">
        <v>0</v>
      </c>
      <c r="L15" s="30">
        <f>Generation_output!G2*'Net Zero 2070'!H21</f>
        <v>0.29080662000000002</v>
      </c>
      <c r="M15" s="30">
        <f>Generation_output!H2*'Net Zero 2070'!I21</f>
        <v>0.50559199999999993</v>
      </c>
      <c r="N15" s="30">
        <f>Generation_output!I2*'Net Zero 2070'!J21</f>
        <v>0.73366929999999997</v>
      </c>
      <c r="O15" s="30">
        <f>Generation_output!J2*'Net Zero 2070'!K21</f>
        <v>0.87187840000000005</v>
      </c>
      <c r="P15" s="30">
        <f>Generation_output!K2*'Net Zero 2070'!L21</f>
        <v>0.98885879999999993</v>
      </c>
      <c r="Q15" s="30">
        <f>Generation_output!L2*'Net Zero 2070'!M21</f>
        <v>1.1322830000000002</v>
      </c>
      <c r="R15" s="30">
        <f>Generation_output!M2*'Net Zero 2070'!N21</f>
        <v>1.2882264999999999</v>
      </c>
      <c r="S15" s="30">
        <f>Generation_output!N2*'Net Zero 2070'!O21</f>
        <v>1.5852317</v>
      </c>
      <c r="T15" s="30">
        <f>Generation_output!O2*'Net Zero 2070'!P21</f>
        <v>1.7811780000000002</v>
      </c>
      <c r="U15" s="30">
        <f>Generation_output!P2*'Net Zero 2070'!Q21</f>
        <v>2.1227568000000003</v>
      </c>
      <c r="V15" s="30">
        <f>Generation_output!Q2*'Net Zero 2070'!R21</f>
        <v>2.4874109999999998</v>
      </c>
      <c r="W15" s="30">
        <f>Generation_output!R2*'Net Zero 2070'!S21</f>
        <v>2.8760080000000001</v>
      </c>
      <c r="X15" s="30">
        <f>Generation_output!S2*'Net Zero 2070'!T21</f>
        <v>3.2737561999999998</v>
      </c>
      <c r="Y15" s="30">
        <f>Generation_output!T2*'Net Zero 2070'!U21</f>
        <v>3.8557799399999992</v>
      </c>
      <c r="Z15" s="30">
        <f>Generation_output!U2*'Net Zero 2070'!V21</f>
        <v>4.4579746399999998</v>
      </c>
      <c r="AA15" s="30">
        <f>Generation_output!V2*'Net Zero 2070'!W21</f>
        <v>5.1003620999999999</v>
      </c>
      <c r="AB15" s="30">
        <f>Generation_output!W2*'Net Zero 2070'!X21</f>
        <v>5.6602566400000009</v>
      </c>
      <c r="AC15" s="30">
        <f>Generation_output!X2*'Net Zero 2070'!Y21</f>
        <v>6.1124463000000002</v>
      </c>
      <c r="AD15" s="30">
        <f>Generation_output!Y2*'Net Zero 2070'!Z21</f>
        <v>6.8166431999999997</v>
      </c>
      <c r="AE15" s="30">
        <f>Generation_output!Z2*'Net Zero 2070'!AA21</f>
        <v>7.4518337600000004</v>
      </c>
      <c r="AF15" s="30">
        <f>Generation_output!AA2*'Net Zero 2070'!AB21</f>
        <v>7.9050351799999996</v>
      </c>
      <c r="AG15" s="30">
        <f>Generation_output!AB2*'Net Zero 2070'!AC21</f>
        <v>8.4008358000000012</v>
      </c>
      <c r="AH15" s="30">
        <f>Generation_output!AC2*'Net Zero 2070'!AD21</f>
        <v>8.9939700899999995</v>
      </c>
      <c r="AI15" s="30">
        <f>Generation_output!AD2*'Net Zero 2070'!AE21</f>
        <v>9.53243376</v>
      </c>
      <c r="AJ15" s="30">
        <f>Generation_output!AE2*'Net Zero 2070'!AF21</f>
        <v>9.9483963400000004</v>
      </c>
      <c r="AK15" s="30">
        <f>Generation_output!AF2*'Net Zero 2070'!AG21</f>
        <v>10.410014609999999</v>
      </c>
      <c r="AL15" s="30">
        <f>Generation_output!AG2*'Net Zero 2070'!AH21</f>
        <v>10.93745217</v>
      </c>
      <c r="AM15" s="30">
        <f>Generation_output!AH2*'Net Zero 2070'!AI21</f>
        <v>11.50706744</v>
      </c>
      <c r="AN15" s="30">
        <f>Generation_output!AI2*'Net Zero 2070'!AJ21</f>
        <v>11.914425</v>
      </c>
      <c r="AO15" s="30">
        <f>Generation_output!AJ2*'Net Zero 2070'!AK21</f>
        <v>12.320879999999999</v>
      </c>
      <c r="AP15" s="30">
        <f>Generation_output!AK2*'Net Zero 2070'!AL21</f>
        <v>12.714176999999999</v>
      </c>
      <c r="AQ15" s="30">
        <f>Generation_output!AL2*'Net Zero 2070'!AM21</f>
        <v>13.225743540000002</v>
      </c>
      <c r="AR15" s="30">
        <f>Generation_output!AM2*'Net Zero 2070'!AN21</f>
        <v>13.598213619999999</v>
      </c>
      <c r="AS15" s="30">
        <f>Generation_output!AN2*'Net Zero 2070'!AO21</f>
        <v>13.94165656</v>
      </c>
      <c r="AT15" s="30">
        <f>Generation_output!AO2*'Net Zero 2070'!AP21</f>
        <v>14.395444880000001</v>
      </c>
      <c r="AU15" s="30">
        <f>Generation_output!AP2*'Net Zero 2070'!AQ21</f>
        <v>14.76996336</v>
      </c>
      <c r="AV15" s="30">
        <f>Generation_output!AQ2*'Net Zero 2070'!AR21</f>
        <v>15.177097010000001</v>
      </c>
      <c r="AW15" s="30">
        <f>Generation_output!AR2*'Net Zero 2070'!AS21</f>
        <v>15.601979860000002</v>
      </c>
      <c r="AX15" s="30">
        <f>Generation_output!AS2*'Net Zero 2070'!AT21</f>
        <v>16.042238060000003</v>
      </c>
      <c r="AY15" s="30">
        <f>Generation_output!AT2*'Net Zero 2070'!AU21</f>
        <v>16.36838878</v>
      </c>
      <c r="AZ15" s="30">
        <f>Generation_output!AU2*'Net Zero 2070'!AV21</f>
        <v>16.785815039999999</v>
      </c>
      <c r="BA15" s="30">
        <v>17</v>
      </c>
      <c r="BB15" s="30">
        <v>17</v>
      </c>
      <c r="BC15" s="30">
        <v>17</v>
      </c>
      <c r="BD15" s="30">
        <v>17</v>
      </c>
      <c r="BE15" s="30">
        <v>17</v>
      </c>
      <c r="BF15" s="30">
        <v>17</v>
      </c>
      <c r="BG15" s="30">
        <v>17</v>
      </c>
    </row>
    <row r="16" spans="1:59" ht="14.4">
      <c r="A16" s="390" t="s">
        <v>551</v>
      </c>
      <c r="B16" s="391" t="s">
        <v>619</v>
      </c>
      <c r="C16" s="393" t="s">
        <v>103</v>
      </c>
      <c r="D16" s="386" t="s">
        <v>621</v>
      </c>
      <c r="E16" s="386" t="s">
        <v>462</v>
      </c>
      <c r="F16" s="386" t="s">
        <v>462</v>
      </c>
      <c r="G16" s="390">
        <v>0</v>
      </c>
      <c r="H16" s="391">
        <v>0</v>
      </c>
      <c r="I16" s="391">
        <v>0</v>
      </c>
      <c r="J16" s="391">
        <v>0</v>
      </c>
      <c r="K16" s="30">
        <f>Generation_output!F2*'Net Zero 2070'!G20</f>
        <v>0</v>
      </c>
      <c r="L16" s="30">
        <f>Generation_output!G2*'Net Zero 2070'!H20</f>
        <v>0</v>
      </c>
      <c r="M16" s="30">
        <f>Generation_output!H2*'Net Zero 2070'!I20</f>
        <v>0</v>
      </c>
      <c r="N16" s="30">
        <f>Generation_output!I2*'Net Zero 2070'!J20</f>
        <v>0</v>
      </c>
      <c r="O16" s="30">
        <f>Generation_output!J2*'Net Zero 2070'!K20</f>
        <v>0</v>
      </c>
      <c r="P16" s="30">
        <f>Generation_output!K2*'Net Zero 2070'!L20</f>
        <v>0</v>
      </c>
      <c r="Q16" s="30">
        <f>Generation_output!L2*'Net Zero 2070'!M20</f>
        <v>0.56614150000000008</v>
      </c>
      <c r="R16" s="30">
        <f>Generation_output!M2*'Net Zero 2070'!N20</f>
        <v>0.58555750000000006</v>
      </c>
      <c r="S16" s="30">
        <f>Generation_output!N2*'Net Zero 2070'!O20</f>
        <v>0.60970449999999998</v>
      </c>
      <c r="T16" s="30">
        <f>Generation_output!O2*'Net Zero 2070'!P20</f>
        <v>0.63613500000000001</v>
      </c>
      <c r="U16" s="30">
        <f>Generation_output!P2*'Net Zero 2070'!Q20</f>
        <v>0.66336150000000005</v>
      </c>
      <c r="V16" s="30">
        <f>Generation_output!Q2*'Net Zero 2070'!R20</f>
        <v>1.1055160000000002</v>
      </c>
      <c r="W16" s="30">
        <f>Generation_output!R2*'Net Zero 2070'!S20</f>
        <v>1.1504032</v>
      </c>
      <c r="X16" s="30">
        <f>Generation_output!S2*'Net Zero 2070'!T20</f>
        <v>1.1904568</v>
      </c>
      <c r="Y16" s="30">
        <f>Generation_output!T2*'Net Zero 2070'!U20</f>
        <v>1.2388047999999998</v>
      </c>
      <c r="Z16" s="30">
        <f>Generation_output!U2*'Net Zero 2070'!V20</f>
        <v>1.2828704</v>
      </c>
      <c r="AA16" s="30">
        <f>Generation_output!V2*'Net Zero 2070'!W20</f>
        <v>1.3334280000000001</v>
      </c>
      <c r="AB16" s="30">
        <f>Generation_output!W2*'Net Zero 2070'!X20</f>
        <v>1.3805504000000002</v>
      </c>
      <c r="AC16" s="30">
        <f>Generation_output!X2*'Net Zero 2070'!Y20</f>
        <v>1.8408829499999999</v>
      </c>
      <c r="AD16" s="30">
        <f>Generation_output!Y2*'Net Zero 2070'!Z20</f>
        <v>1.8976060800000001</v>
      </c>
      <c r="AE16" s="30">
        <f>Generation_output!Z2*'Net Zero 2070'!AA20</f>
        <v>1.95800734</v>
      </c>
      <c r="AF16" s="30">
        <f>Generation_output!AA2*'Net Zero 2070'!AB20</f>
        <v>2.0054645899999999</v>
      </c>
      <c r="AG16" s="30">
        <f>Generation_output!AB2*'Net Zero 2070'!AC20</f>
        <v>2.06020497</v>
      </c>
      <c r="AH16" s="30">
        <f>Generation_output!AC2*'Net Zero 2070'!AD20</f>
        <v>2.1006324699999999</v>
      </c>
      <c r="AI16" s="30">
        <f>Generation_output!AD2*'Net Zero 2070'!AE20</f>
        <v>2.15315938</v>
      </c>
      <c r="AJ16" s="30">
        <f>Generation_output!AE2*'Net Zero 2070'!AF20</f>
        <v>2.1988944699999999</v>
      </c>
      <c r="AK16" s="30">
        <f>Generation_output!AF2*'Net Zero 2070'!AG20</f>
        <v>2.2478647899999999</v>
      </c>
      <c r="AL16" s="30">
        <f>Generation_output!AG2*'Net Zero 2070'!AH20</f>
        <v>2.29441461</v>
      </c>
      <c r="AM16" s="30">
        <f>Generation_output!AH2*'Net Zero 2070'!AI20</f>
        <v>2.3423477199999998</v>
      </c>
      <c r="AN16" s="30">
        <f>Generation_output!AI2*'Net Zero 2070'!AJ20</f>
        <v>2.3921749999999999</v>
      </c>
      <c r="AO16" s="30">
        <f>Generation_output!AJ2*'Net Zero 2070'!AK20</f>
        <v>2.4404819999999998</v>
      </c>
      <c r="AP16" s="30">
        <f>Generation_output!AK2*'Net Zero 2070'!AL20</f>
        <v>2.4944004400000002</v>
      </c>
      <c r="AQ16" s="30">
        <f>Generation_output!AL2*'Net Zero 2070'!AM20</f>
        <v>2.5510329299999999</v>
      </c>
      <c r="AR16" s="30">
        <f>Generation_output!AM2*'Net Zero 2070'!AN20</f>
        <v>2.60337547</v>
      </c>
      <c r="AS16" s="30">
        <f>Generation_output!AN2*'Net Zero 2070'!AO20</f>
        <v>2.6543264799999999</v>
      </c>
      <c r="AT16" s="30">
        <f>Generation_output!AO2*'Net Zero 2070'!AP20</f>
        <v>2.7057131800000001</v>
      </c>
      <c r="AU16" s="30">
        <f>Generation_output!AP2*'Net Zero 2070'!AQ20</f>
        <v>2.7559895399999998</v>
      </c>
      <c r="AV16" s="30">
        <f>Generation_output!AQ2*'Net Zero 2070'!AR20</f>
        <v>2.8065367900000004</v>
      </c>
      <c r="AW16" s="30">
        <f>Generation_output!AR2*'Net Zero 2070'!AS20</f>
        <v>2.8543586600000004</v>
      </c>
      <c r="AX16" s="30">
        <f>Generation_output!AS2*'Net Zero 2070'!AT20</f>
        <v>2.9039552200000003</v>
      </c>
      <c r="AY16" s="30">
        <f>Generation_output!AT2*'Net Zero 2070'!AU20</f>
        <v>2.9526165400000002</v>
      </c>
      <c r="AZ16" s="30">
        <f>Generation_output!AU2*'Net Zero 2070'!AV20</f>
        <v>3.0016301199999997</v>
      </c>
      <c r="BA16" s="30">
        <f>Generation_output!AV2*'Net Zero 2070'!AW20</f>
        <v>3.05020698</v>
      </c>
      <c r="BB16" s="30">
        <f>Generation_output!AW2*'Net Zero 2070'!AX20</f>
        <v>3.1012239099999999</v>
      </c>
      <c r="BC16" s="30">
        <f>Generation_output!AX2*'Net Zero 2070'!AY20</f>
        <v>3.1500036800000002</v>
      </c>
      <c r="BD16" s="30">
        <f>Generation_output!AY2*'Net Zero 2070'!AZ20</f>
        <v>3.1988215600000003</v>
      </c>
      <c r="BE16" s="30">
        <f>Generation_output!AZ2*'Net Zero 2070'!BA20</f>
        <v>3.2484531400000001</v>
      </c>
      <c r="BF16" s="30">
        <f>Generation_output!BA2*'Net Zero 2070'!BB20</f>
        <v>3.29961839</v>
      </c>
      <c r="BG16" s="30">
        <f>Generation_output!BB2*'Net Zero 2070'!BC20</f>
        <v>3.3505292300000002</v>
      </c>
    </row>
    <row r="17" spans="1:59" ht="14.4">
      <c r="A17" s="390"/>
      <c r="B17" s="391"/>
      <c r="C17" s="393"/>
      <c r="D17" s="386"/>
      <c r="E17" s="386"/>
      <c r="F17" s="386"/>
      <c r="G17" s="390"/>
      <c r="H17" s="391"/>
      <c r="I17" s="391"/>
      <c r="J17" s="391"/>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row>
    <row r="18" spans="1:59" ht="14.4">
      <c r="A18" s="390" t="s">
        <v>554</v>
      </c>
      <c r="B18" s="391" t="s">
        <v>619</v>
      </c>
      <c r="C18" s="390" t="s">
        <v>625</v>
      </c>
      <c r="D18" s="386" t="s">
        <v>621</v>
      </c>
      <c r="E18" s="386" t="s">
        <v>462</v>
      </c>
      <c r="F18" s="386" t="s">
        <v>462</v>
      </c>
      <c r="G18" s="387">
        <v>6.1117999999999997</v>
      </c>
      <c r="H18" s="388">
        <v>6.0220000000000002</v>
      </c>
      <c r="I18" s="388">
        <v>5.8303000000000003</v>
      </c>
      <c r="J18" s="388">
        <v>6.18</v>
      </c>
      <c r="K18" s="390">
        <f>AVERAGE($G18:$J18)*(1-'Políticas anunciadas'!I$29)</f>
        <v>6.0360250000000004</v>
      </c>
      <c r="L18" s="390">
        <f>AVERAGE($G18:$J18)*(1-'Políticas anunciadas'!J$29)</f>
        <v>5.2915819166665186</v>
      </c>
      <c r="M18" s="390">
        <f>AVERAGE($G18:$J18)*(1-'Políticas anunciadas'!K$29)</f>
        <v>4.5471388333332587</v>
      </c>
      <c r="N18" s="390">
        <f>AVERAGE($G18:$J18)*(1-'Políticas anunciadas'!L$29)</f>
        <v>3.8026957500000003</v>
      </c>
      <c r="O18" s="390">
        <f>AVERAGE($G18:$J18)*(1-'Políticas anunciadas'!M$29)</f>
        <v>3.8026957500000003</v>
      </c>
      <c r="P18" s="390">
        <f>AVERAGE($G18:$J18)*(1-'Políticas anunciadas'!N$29)</f>
        <v>3.8026957500000003</v>
      </c>
      <c r="Q18" s="390">
        <f>AVERAGE($G18:$J18)*(1-'Políticas anunciadas'!O$29)</f>
        <v>3.8026957500000003</v>
      </c>
      <c r="R18" s="390">
        <f>AVERAGE($G18:$J18)*(1-'Políticas anunciadas'!P$29)</f>
        <v>3.8026957500000003</v>
      </c>
      <c r="S18" s="390">
        <f>AVERAGE($G18:$J18)*(1-'Políticas anunciadas'!Q$29)</f>
        <v>3.8026957500000003</v>
      </c>
      <c r="T18" s="390">
        <f>AVERAGE($G18:$J18)*(1-'Políticas anunciadas'!R$29)</f>
        <v>3.8026957500000003</v>
      </c>
      <c r="U18" s="390">
        <f>AVERAGE($G18:$J18)*(1-'Políticas anunciadas'!S$29)</f>
        <v>3.8026957500000003</v>
      </c>
      <c r="V18" s="390">
        <f>AVERAGE($G18:$J18)*(1-'Políticas anunciadas'!T$29)</f>
        <v>3.8026957500000003</v>
      </c>
      <c r="W18" s="390">
        <f>AVERAGE($G18:$J18)*(1-'Políticas anunciadas'!U$29)</f>
        <v>3.8026957500000003</v>
      </c>
      <c r="X18" s="390">
        <f>AVERAGE($G18:$J18)*(1-'Políticas anunciadas'!V$29)</f>
        <v>3.8026957500000003</v>
      </c>
      <c r="Y18" s="390">
        <f>AVERAGE($G18:$J18)*(1-'Políticas anunciadas'!W$29)</f>
        <v>3.8026957500000003</v>
      </c>
      <c r="Z18" s="390">
        <f>AVERAGE($G18:$J18)*(1-'Políticas anunciadas'!X$29)</f>
        <v>3.8026957500000003</v>
      </c>
      <c r="AA18" s="390">
        <f>AVERAGE($G18:$J18)*(1-'Políticas anunciadas'!Y$29)</f>
        <v>3.8026957500000003</v>
      </c>
      <c r="AB18" s="390">
        <f>AVERAGE($G18:$J18)*(1-'Políticas anunciadas'!Z$29)</f>
        <v>3.8026957500000003</v>
      </c>
      <c r="AC18" s="390">
        <f>AVERAGE($G18:$J18)*(1-'Políticas anunciadas'!AA$29)</f>
        <v>3.8026957500000003</v>
      </c>
      <c r="AD18" s="390">
        <f>AVERAGE($G18:$J18)*(1-'Políticas anunciadas'!AB$29)</f>
        <v>3.8026957500000003</v>
      </c>
      <c r="AE18" s="390">
        <f>AVERAGE($G18:$J18)*(1-'Políticas anunciadas'!AC$29)</f>
        <v>3.8026957500000003</v>
      </c>
      <c r="AF18" s="390">
        <f>AVERAGE($G18:$J18)*(1-'Políticas anunciadas'!AD$29)</f>
        <v>3.8026957500000003</v>
      </c>
      <c r="AG18" s="390">
        <f>AVERAGE($G18:$J18)*(1-'Políticas anunciadas'!AE$29)</f>
        <v>3.8026957500000003</v>
      </c>
      <c r="AH18" s="390">
        <f>AVERAGE($G18:$J18)*(1-'Políticas anunciadas'!AF$29)</f>
        <v>3.8026957500000003</v>
      </c>
      <c r="AI18" s="390">
        <f>AVERAGE($G18:$J18)*(1-'Políticas anunciadas'!AG$29)</f>
        <v>3.8026957500000003</v>
      </c>
      <c r="AJ18" s="390">
        <f>AVERAGE($G18:$J18)*(1-'Políticas anunciadas'!AH$29)</f>
        <v>3.8026957500000003</v>
      </c>
      <c r="AK18" s="390">
        <f>AVERAGE($G18:$J18)*(1-'Políticas anunciadas'!AI$29)</f>
        <v>3.8026957500000003</v>
      </c>
      <c r="AL18" s="390">
        <f>AVERAGE($G18:$J18)*(1-'Políticas anunciadas'!AJ$29)</f>
        <v>3.8026957500000003</v>
      </c>
      <c r="AM18" s="390">
        <f>AVERAGE($G18:$J18)*(1-'Políticas anunciadas'!AK$29)</f>
        <v>3.8026957500000003</v>
      </c>
      <c r="AN18" s="390">
        <f>AVERAGE($G18:$J18)*(1-'Políticas anunciadas'!AL$29)</f>
        <v>3.8026957500000003</v>
      </c>
      <c r="AO18" s="390">
        <f>AVERAGE($G18:$J18)*(1-'Políticas anunciadas'!AM$29)</f>
        <v>3.8026957500000003</v>
      </c>
      <c r="AP18" s="390">
        <f>AVERAGE($G18:$J18)*(1-'Políticas anunciadas'!AN$29)</f>
        <v>3.8026957500000003</v>
      </c>
      <c r="AQ18" s="390">
        <f>AVERAGE($G18:$J18)*(1-'Políticas anunciadas'!AO$29)</f>
        <v>3.8026957500000003</v>
      </c>
      <c r="AR18" s="390">
        <f>AVERAGE($G18:$J18)*(1-'Políticas anunciadas'!AP$29)</f>
        <v>3.8026957500000003</v>
      </c>
      <c r="AS18" s="390">
        <f>AVERAGE($G18:$J18)*(1-'Políticas anunciadas'!AQ$29)</f>
        <v>3.8026957500000003</v>
      </c>
      <c r="AT18" s="390">
        <f>AVERAGE($G18:$J18)*(1-'Políticas anunciadas'!AR$29)</f>
        <v>3.8026957500000003</v>
      </c>
      <c r="AU18" s="390">
        <f>AVERAGE($G18:$J18)*(1-'Políticas anunciadas'!AS$29)</f>
        <v>3.8026957500000003</v>
      </c>
      <c r="AV18" s="390">
        <f>AVERAGE($G18:$J18)*(1-'Políticas anunciadas'!AT$29)</f>
        <v>3.8026957500000003</v>
      </c>
      <c r="AW18" s="390">
        <f>AVERAGE($G18:$J18)*(1-'Políticas anunciadas'!AU$29)</f>
        <v>3.8026957500000003</v>
      </c>
      <c r="AX18" s="390">
        <f>AVERAGE($G18:$J18)*(1-'Políticas anunciadas'!AV$29)</f>
        <v>3.8026957500000003</v>
      </c>
      <c r="AY18" s="390">
        <f>AVERAGE($G18:$J18)*(1-'Políticas anunciadas'!AW$29)</f>
        <v>3.8026957500000003</v>
      </c>
      <c r="AZ18" s="390">
        <f>AVERAGE($G18:$J18)*(1-'Políticas anunciadas'!AX$29)</f>
        <v>3.8026957500000003</v>
      </c>
      <c r="BA18" s="390">
        <f>AVERAGE($G18:$J18)*(1-'Políticas anunciadas'!AY$29)</f>
        <v>3.8026957500000003</v>
      </c>
      <c r="BB18" s="390">
        <f>AVERAGE($G18:$J18)*(1-'Políticas anunciadas'!AZ$29)</f>
        <v>3.8026957500000003</v>
      </c>
      <c r="BC18" s="390">
        <f>AVERAGE($G18:$J18)*(1-'Políticas anunciadas'!BA$29)</f>
        <v>3.8026957500000003</v>
      </c>
      <c r="BD18" s="390">
        <f>AVERAGE($G18:$J18)*(1-'Políticas anunciadas'!BB$29)</f>
        <v>3.8026957500000003</v>
      </c>
      <c r="BE18" s="390">
        <f>AVERAGE($G18:$J18)*(1-'Políticas anunciadas'!BC$29)</f>
        <v>3.8026957500000003</v>
      </c>
      <c r="BF18" s="390">
        <f>AVERAGE($G18:$J18)*(1-'Políticas anunciadas'!BD$29)</f>
        <v>3.8026957500000003</v>
      </c>
      <c r="BG18" s="390">
        <f>AVERAGE($G18:$J18)*(1-'Políticas anunciadas'!BE$29)</f>
        <v>3.8026957500000003</v>
      </c>
    </row>
    <row r="19" spans="1:59" ht="14.4">
      <c r="A19" s="390" t="s">
        <v>554</v>
      </c>
      <c r="B19" s="391" t="s">
        <v>619</v>
      </c>
      <c r="C19" s="394" t="s">
        <v>626</v>
      </c>
      <c r="D19" s="386" t="s">
        <v>621</v>
      </c>
      <c r="E19" s="386" t="s">
        <v>462</v>
      </c>
      <c r="F19" s="386" t="s">
        <v>462</v>
      </c>
      <c r="G19" s="395">
        <v>4.58E-2</v>
      </c>
      <c r="H19" s="396">
        <v>2.6700000000000002E-2</v>
      </c>
      <c r="I19" s="396">
        <v>2.3699999999999999E-2</v>
      </c>
      <c r="J19" s="396">
        <v>6.8999999999999999E-3</v>
      </c>
      <c r="K19" s="390">
        <f>AVERAGE($G19:$J19)*(1-'Políticas anunciadas'!I$29)</f>
        <v>2.5775000000000003E-2</v>
      </c>
      <c r="L19" s="390">
        <f>AVERAGE($G19:$J19)*(1-'Políticas anunciadas'!J$29)</f>
        <v>2.2596083333332701E-2</v>
      </c>
      <c r="M19" s="390">
        <f>AVERAGE($G19:$J19)*(1-'Políticas anunciadas'!K$29)</f>
        <v>1.941716666666635E-2</v>
      </c>
      <c r="N19" s="390">
        <f>AVERAGE($G19:$J19)*(1-'Políticas anunciadas'!L$29)</f>
        <v>1.6238250000000003E-2</v>
      </c>
      <c r="O19" s="390">
        <f>AVERAGE($G19:$J19)*(1-'Políticas anunciadas'!M$29)</f>
        <v>1.6238250000000003E-2</v>
      </c>
      <c r="P19" s="390">
        <f>AVERAGE($G19:$J19)*(1-'Políticas anunciadas'!N$29)</f>
        <v>1.6238250000000003E-2</v>
      </c>
      <c r="Q19" s="390">
        <f>AVERAGE($G19:$J19)*(1-'Políticas anunciadas'!O$29)</f>
        <v>1.6238250000000003E-2</v>
      </c>
      <c r="R19" s="390">
        <f>AVERAGE($G19:$J19)*(1-'Políticas anunciadas'!P$29)</f>
        <v>1.6238250000000003E-2</v>
      </c>
      <c r="S19" s="390">
        <f>AVERAGE($G19:$J19)*(1-'Políticas anunciadas'!Q$29)</f>
        <v>1.6238250000000003E-2</v>
      </c>
      <c r="T19" s="390">
        <f>AVERAGE($G19:$J19)*(1-'Políticas anunciadas'!R$29)</f>
        <v>1.6238250000000003E-2</v>
      </c>
      <c r="U19" s="390">
        <f>AVERAGE($G19:$J19)*(1-'Políticas anunciadas'!S$29)</f>
        <v>1.6238250000000003E-2</v>
      </c>
      <c r="V19" s="390">
        <f>AVERAGE($G19:$J19)*(1-'Políticas anunciadas'!T$29)</f>
        <v>1.6238250000000003E-2</v>
      </c>
      <c r="W19" s="390">
        <f>AVERAGE($G19:$J19)*(1-'Políticas anunciadas'!U$29)</f>
        <v>1.6238250000000003E-2</v>
      </c>
      <c r="X19" s="390">
        <f>AVERAGE($G19:$J19)*(1-'Políticas anunciadas'!V$29)</f>
        <v>1.6238250000000003E-2</v>
      </c>
      <c r="Y19" s="390">
        <f>AVERAGE($G19:$J19)*(1-'Políticas anunciadas'!W$29)</f>
        <v>1.6238250000000003E-2</v>
      </c>
      <c r="Z19" s="390">
        <f>AVERAGE($G19:$J19)*(1-'Políticas anunciadas'!X$29)</f>
        <v>1.6238250000000003E-2</v>
      </c>
      <c r="AA19" s="390">
        <f>AVERAGE($G19:$J19)*(1-'Políticas anunciadas'!Y$29)</f>
        <v>1.6238250000000003E-2</v>
      </c>
      <c r="AB19" s="390">
        <f>AVERAGE($G19:$J19)*(1-'Políticas anunciadas'!Z$29)</f>
        <v>1.6238250000000003E-2</v>
      </c>
      <c r="AC19" s="390">
        <f>AVERAGE($G19:$J19)*(1-'Políticas anunciadas'!AA$29)</f>
        <v>1.6238250000000003E-2</v>
      </c>
      <c r="AD19" s="390">
        <f>AVERAGE($G19:$J19)*(1-'Políticas anunciadas'!AB$29)</f>
        <v>1.6238250000000003E-2</v>
      </c>
      <c r="AE19" s="390">
        <f>AVERAGE($G19:$J19)*(1-'Políticas anunciadas'!AC$29)</f>
        <v>1.6238250000000003E-2</v>
      </c>
      <c r="AF19" s="390">
        <f>AVERAGE($G19:$J19)*(1-'Políticas anunciadas'!AD$29)</f>
        <v>1.6238250000000003E-2</v>
      </c>
      <c r="AG19" s="390">
        <f>AVERAGE($G19:$J19)*(1-'Políticas anunciadas'!AE$29)</f>
        <v>1.6238250000000003E-2</v>
      </c>
      <c r="AH19" s="390">
        <f>AVERAGE($G19:$J19)*(1-'Políticas anunciadas'!AF$29)</f>
        <v>1.6238250000000003E-2</v>
      </c>
      <c r="AI19" s="390">
        <f>AVERAGE($G19:$J19)*(1-'Políticas anunciadas'!AG$29)</f>
        <v>1.6238250000000003E-2</v>
      </c>
      <c r="AJ19" s="390">
        <f>AVERAGE($G19:$J19)*(1-'Políticas anunciadas'!AH$29)</f>
        <v>1.6238250000000003E-2</v>
      </c>
      <c r="AK19" s="390">
        <f>AVERAGE($G19:$J19)*(1-'Políticas anunciadas'!AI$29)</f>
        <v>1.6238250000000003E-2</v>
      </c>
      <c r="AL19" s="390">
        <f>AVERAGE($G19:$J19)*(1-'Políticas anunciadas'!AJ$29)</f>
        <v>1.6238250000000003E-2</v>
      </c>
      <c r="AM19" s="390">
        <f>AVERAGE($G19:$J19)*(1-'Políticas anunciadas'!AK$29)</f>
        <v>1.6238250000000003E-2</v>
      </c>
      <c r="AN19" s="390">
        <f>AVERAGE($G19:$J19)*(1-'Políticas anunciadas'!AL$29)</f>
        <v>1.6238250000000003E-2</v>
      </c>
      <c r="AO19" s="390">
        <f>AVERAGE($G19:$J19)*(1-'Políticas anunciadas'!AM$29)</f>
        <v>1.6238250000000003E-2</v>
      </c>
      <c r="AP19" s="390">
        <f>AVERAGE($G19:$J19)*(1-'Políticas anunciadas'!AN$29)</f>
        <v>1.6238250000000003E-2</v>
      </c>
      <c r="AQ19" s="390">
        <f>AVERAGE($G19:$J19)*(1-'Políticas anunciadas'!AO$29)</f>
        <v>1.6238250000000003E-2</v>
      </c>
      <c r="AR19" s="390">
        <f>AVERAGE($G19:$J19)*(1-'Políticas anunciadas'!AP$29)</f>
        <v>1.6238250000000003E-2</v>
      </c>
      <c r="AS19" s="390">
        <f>AVERAGE($G19:$J19)*(1-'Políticas anunciadas'!AQ$29)</f>
        <v>1.6238250000000003E-2</v>
      </c>
      <c r="AT19" s="390">
        <f>AVERAGE($G19:$J19)*(1-'Políticas anunciadas'!AR$29)</f>
        <v>1.6238250000000003E-2</v>
      </c>
      <c r="AU19" s="390">
        <f>AVERAGE($G19:$J19)*(1-'Políticas anunciadas'!AS$29)</f>
        <v>1.6238250000000003E-2</v>
      </c>
      <c r="AV19" s="390">
        <f>AVERAGE($G19:$J19)*(1-'Políticas anunciadas'!AT$29)</f>
        <v>1.6238250000000003E-2</v>
      </c>
      <c r="AW19" s="390">
        <f>AVERAGE($G19:$J19)*(1-'Políticas anunciadas'!AU$29)</f>
        <v>1.6238250000000003E-2</v>
      </c>
      <c r="AX19" s="390">
        <f>AVERAGE($G19:$J19)*(1-'Políticas anunciadas'!AV$29)</f>
        <v>1.6238250000000003E-2</v>
      </c>
      <c r="AY19" s="390">
        <f>AVERAGE($G19:$J19)*(1-'Políticas anunciadas'!AW$29)</f>
        <v>1.6238250000000003E-2</v>
      </c>
      <c r="AZ19" s="390">
        <f>AVERAGE($G19:$J19)*(1-'Políticas anunciadas'!AX$29)</f>
        <v>1.6238250000000003E-2</v>
      </c>
      <c r="BA19" s="390">
        <f>AVERAGE($G19:$J19)*(1-'Políticas anunciadas'!AY$29)</f>
        <v>1.6238250000000003E-2</v>
      </c>
      <c r="BB19" s="390">
        <f>AVERAGE($G19:$J19)*(1-'Políticas anunciadas'!AZ$29)</f>
        <v>1.6238250000000003E-2</v>
      </c>
      <c r="BC19" s="390">
        <f>AVERAGE($G19:$J19)*(1-'Políticas anunciadas'!BA$29)</f>
        <v>1.6238250000000003E-2</v>
      </c>
      <c r="BD19" s="390">
        <f>AVERAGE($G19:$J19)*(1-'Políticas anunciadas'!BB$29)</f>
        <v>1.6238250000000003E-2</v>
      </c>
      <c r="BE19" s="390">
        <f>AVERAGE($G19:$J19)*(1-'Políticas anunciadas'!BC$29)</f>
        <v>1.6238250000000003E-2</v>
      </c>
      <c r="BF19" s="390">
        <f>AVERAGE($G19:$J19)*(1-'Políticas anunciadas'!BD$29)</f>
        <v>1.6238250000000003E-2</v>
      </c>
      <c r="BG19" s="390">
        <f>AVERAGE($G19:$J19)*(1-'Políticas anunciadas'!BE$29)</f>
        <v>1.6238250000000003E-2</v>
      </c>
    </row>
    <row r="20" spans="1:59" ht="14.4">
      <c r="A20" s="390" t="s">
        <v>554</v>
      </c>
      <c r="B20" s="391" t="s">
        <v>619</v>
      </c>
      <c r="C20" s="338" t="s">
        <v>627</v>
      </c>
      <c r="D20" s="386" t="s">
        <v>621</v>
      </c>
      <c r="E20" s="386" t="s">
        <v>462</v>
      </c>
      <c r="F20" s="386" t="s">
        <v>462</v>
      </c>
      <c r="G20" s="395">
        <v>0.55889999999999995</v>
      </c>
      <c r="H20" s="396">
        <v>0.54859999999999998</v>
      </c>
      <c r="I20" s="396">
        <v>0.48880000000000001</v>
      </c>
      <c r="J20" s="396">
        <v>0.4985</v>
      </c>
      <c r="K20" s="390">
        <f>AVERAGE($G20:$J20)*(1-'Políticas anunciadas'!I$29)</f>
        <v>0.52369999999999994</v>
      </c>
      <c r="L20" s="390">
        <f>AVERAGE($G20:$J20)*(1-'Políticas anunciadas'!J$29)</f>
        <v>0.45911033333332041</v>
      </c>
      <c r="M20" s="390">
        <f>AVERAGE($G20:$J20)*(1-'Políticas anunciadas'!K$29)</f>
        <v>0.39452066666666014</v>
      </c>
      <c r="N20" s="390">
        <f>AVERAGE($G20:$J20)*(1-'Políticas anunciadas'!L$29)</f>
        <v>0.32993099999999997</v>
      </c>
      <c r="O20" s="390">
        <f>AVERAGE($G20:$J20)*(1-'Políticas anunciadas'!M$29)</f>
        <v>0.32993099999999997</v>
      </c>
      <c r="P20" s="390">
        <f>AVERAGE($G20:$J20)*(1-'Políticas anunciadas'!N$29)</f>
        <v>0.32993099999999997</v>
      </c>
      <c r="Q20" s="390">
        <f>AVERAGE($G20:$J20)*(1-'Políticas anunciadas'!O$29)</f>
        <v>0.32993099999999997</v>
      </c>
      <c r="R20" s="390">
        <f>AVERAGE($G20:$J20)*(1-'Políticas anunciadas'!P$29)</f>
        <v>0.32993099999999997</v>
      </c>
      <c r="S20" s="390">
        <f>AVERAGE($G20:$J20)*(1-'Políticas anunciadas'!Q$29)</f>
        <v>0.32993099999999997</v>
      </c>
      <c r="T20" s="390">
        <f>AVERAGE($G20:$J20)*(1-'Políticas anunciadas'!R$29)</f>
        <v>0.32993099999999997</v>
      </c>
      <c r="U20" s="390">
        <f>AVERAGE($G20:$J20)*(1-'Políticas anunciadas'!S$29)</f>
        <v>0.32993099999999997</v>
      </c>
      <c r="V20" s="390">
        <f>AVERAGE($G20:$J20)*(1-'Políticas anunciadas'!T$29)</f>
        <v>0.32993099999999997</v>
      </c>
      <c r="W20" s="390">
        <f>AVERAGE($G20:$J20)*(1-'Políticas anunciadas'!U$29)</f>
        <v>0.32993099999999997</v>
      </c>
      <c r="X20" s="390">
        <f>AVERAGE($G20:$J20)*(1-'Políticas anunciadas'!V$29)</f>
        <v>0.32993099999999997</v>
      </c>
      <c r="Y20" s="390">
        <f>AVERAGE($G20:$J20)*(1-'Políticas anunciadas'!W$29)</f>
        <v>0.32993099999999997</v>
      </c>
      <c r="Z20" s="390">
        <f>AVERAGE($G20:$J20)*(1-'Políticas anunciadas'!X$29)</f>
        <v>0.32993099999999997</v>
      </c>
      <c r="AA20" s="390">
        <f>AVERAGE($G20:$J20)*(1-'Políticas anunciadas'!Y$29)</f>
        <v>0.32993099999999997</v>
      </c>
      <c r="AB20" s="390">
        <f>AVERAGE($G20:$J20)*(1-'Políticas anunciadas'!Z$29)</f>
        <v>0.32993099999999997</v>
      </c>
      <c r="AC20" s="390">
        <f>AVERAGE($G20:$J20)*(1-'Políticas anunciadas'!AA$29)</f>
        <v>0.32993099999999997</v>
      </c>
      <c r="AD20" s="390">
        <f>AVERAGE($G20:$J20)*(1-'Políticas anunciadas'!AB$29)</f>
        <v>0.32993099999999997</v>
      </c>
      <c r="AE20" s="390">
        <f>AVERAGE($G20:$J20)*(1-'Políticas anunciadas'!AC$29)</f>
        <v>0.32993099999999997</v>
      </c>
      <c r="AF20" s="390">
        <f>AVERAGE($G20:$J20)*(1-'Políticas anunciadas'!AD$29)</f>
        <v>0.32993099999999997</v>
      </c>
      <c r="AG20" s="390">
        <f>AVERAGE($G20:$J20)*(1-'Políticas anunciadas'!AE$29)</f>
        <v>0.32993099999999997</v>
      </c>
      <c r="AH20" s="390">
        <f>AVERAGE($G20:$J20)*(1-'Políticas anunciadas'!AF$29)</f>
        <v>0.32993099999999997</v>
      </c>
      <c r="AI20" s="390">
        <f>AVERAGE($G20:$J20)*(1-'Políticas anunciadas'!AG$29)</f>
        <v>0.32993099999999997</v>
      </c>
      <c r="AJ20" s="390">
        <f>AVERAGE($G20:$J20)*(1-'Políticas anunciadas'!AH$29)</f>
        <v>0.32993099999999997</v>
      </c>
      <c r="AK20" s="390">
        <f>AVERAGE($G20:$J20)*(1-'Políticas anunciadas'!AI$29)</f>
        <v>0.32993099999999997</v>
      </c>
      <c r="AL20" s="390">
        <f>AVERAGE($G20:$J20)*(1-'Políticas anunciadas'!AJ$29)</f>
        <v>0.32993099999999997</v>
      </c>
      <c r="AM20" s="390">
        <f>AVERAGE($G20:$J20)*(1-'Políticas anunciadas'!AK$29)</f>
        <v>0.32993099999999997</v>
      </c>
      <c r="AN20" s="390">
        <f>AVERAGE($G20:$J20)*(1-'Políticas anunciadas'!AL$29)</f>
        <v>0.32993099999999997</v>
      </c>
      <c r="AO20" s="390">
        <f>AVERAGE($G20:$J20)*(1-'Políticas anunciadas'!AM$29)</f>
        <v>0.32993099999999997</v>
      </c>
      <c r="AP20" s="390">
        <f>AVERAGE($G20:$J20)*(1-'Políticas anunciadas'!AN$29)</f>
        <v>0.32993099999999997</v>
      </c>
      <c r="AQ20" s="390">
        <f>AVERAGE($G20:$J20)*(1-'Políticas anunciadas'!AO$29)</f>
        <v>0.32993099999999997</v>
      </c>
      <c r="AR20" s="390">
        <f>AVERAGE($G20:$J20)*(1-'Políticas anunciadas'!AP$29)</f>
        <v>0.32993099999999997</v>
      </c>
      <c r="AS20" s="390">
        <f>AVERAGE($G20:$J20)*(1-'Políticas anunciadas'!AQ$29)</f>
        <v>0.32993099999999997</v>
      </c>
      <c r="AT20" s="390">
        <f>AVERAGE($G20:$J20)*(1-'Políticas anunciadas'!AR$29)</f>
        <v>0.32993099999999997</v>
      </c>
      <c r="AU20" s="390">
        <f>AVERAGE($G20:$J20)*(1-'Políticas anunciadas'!AS$29)</f>
        <v>0.32993099999999997</v>
      </c>
      <c r="AV20" s="390">
        <f>AVERAGE($G20:$J20)*(1-'Políticas anunciadas'!AT$29)</f>
        <v>0.32993099999999997</v>
      </c>
      <c r="AW20" s="390">
        <f>AVERAGE($G20:$J20)*(1-'Políticas anunciadas'!AU$29)</f>
        <v>0.32993099999999997</v>
      </c>
      <c r="AX20" s="390">
        <f>AVERAGE($G20:$J20)*(1-'Políticas anunciadas'!AV$29)</f>
        <v>0.32993099999999997</v>
      </c>
      <c r="AY20" s="390">
        <f>AVERAGE($G20:$J20)*(1-'Políticas anunciadas'!AW$29)</f>
        <v>0.32993099999999997</v>
      </c>
      <c r="AZ20" s="390">
        <f>AVERAGE($G20:$J20)*(1-'Políticas anunciadas'!AX$29)</f>
        <v>0.32993099999999997</v>
      </c>
      <c r="BA20" s="390">
        <f>AVERAGE($G20:$J20)*(1-'Políticas anunciadas'!AY$29)</f>
        <v>0.32993099999999997</v>
      </c>
      <c r="BB20" s="390">
        <f>AVERAGE($G20:$J20)*(1-'Políticas anunciadas'!AZ$29)</f>
        <v>0.32993099999999997</v>
      </c>
      <c r="BC20" s="390">
        <f>AVERAGE($G20:$J20)*(1-'Políticas anunciadas'!BA$29)</f>
        <v>0.32993099999999997</v>
      </c>
      <c r="BD20" s="390">
        <f>AVERAGE($G20:$J20)*(1-'Políticas anunciadas'!BB$29)</f>
        <v>0.32993099999999997</v>
      </c>
      <c r="BE20" s="390">
        <f>AVERAGE($G20:$J20)*(1-'Políticas anunciadas'!BC$29)</f>
        <v>0.32993099999999997</v>
      </c>
      <c r="BF20" s="390">
        <f>AVERAGE($G20:$J20)*(1-'Políticas anunciadas'!BD$29)</f>
        <v>0.32993099999999997</v>
      </c>
      <c r="BG20" s="390">
        <f>AVERAGE($G20:$J20)*(1-'Políticas anunciadas'!BE$29)</f>
        <v>0.32993099999999997</v>
      </c>
    </row>
    <row r="21" spans="1:59" ht="14.4">
      <c r="A21" s="390" t="s">
        <v>554</v>
      </c>
      <c r="B21" s="391" t="s">
        <v>619</v>
      </c>
      <c r="C21" s="394" t="s">
        <v>628</v>
      </c>
      <c r="D21" s="386" t="s">
        <v>621</v>
      </c>
      <c r="E21" s="386" t="s">
        <v>462</v>
      </c>
      <c r="F21" s="386" t="s">
        <v>462</v>
      </c>
      <c r="G21" s="395">
        <v>3.3464</v>
      </c>
      <c r="H21" s="396">
        <v>4.5650000000000004</v>
      </c>
      <c r="I21" s="396">
        <v>4.3478000000000003</v>
      </c>
      <c r="J21" s="396">
        <v>4.2096</v>
      </c>
      <c r="K21" s="390">
        <f>AVERAGE($G21:$J21)*(1-'Políticas anunciadas'!I$29)</f>
        <v>4.1172000000000004</v>
      </c>
      <c r="L21" s="390">
        <f>AVERAGE($G21:$J21)*(1-'Políticas anunciadas'!J$29)</f>
        <v>3.609411999999899</v>
      </c>
      <c r="M21" s="390">
        <f>AVERAGE($G21:$J21)*(1-'Políticas anunciadas'!K$29)</f>
        <v>3.1016239999999495</v>
      </c>
      <c r="N21" s="390">
        <f>AVERAGE($G21:$J21)*(1-'Políticas anunciadas'!L$29)</f>
        <v>2.5938360000000005</v>
      </c>
      <c r="O21" s="390">
        <f>AVERAGE($G21:$J21)*(1-'Políticas anunciadas'!M$29)</f>
        <v>2.5938360000000005</v>
      </c>
      <c r="P21" s="390">
        <f>AVERAGE($G21:$J21)*(1-'Políticas anunciadas'!N$29)</f>
        <v>2.5938360000000005</v>
      </c>
      <c r="Q21" s="390">
        <f>AVERAGE($G21:$J21)*(1-'Políticas anunciadas'!O$29)</f>
        <v>2.5938360000000005</v>
      </c>
      <c r="R21" s="390">
        <f>AVERAGE($G21:$J21)*(1-'Políticas anunciadas'!P$29)</f>
        <v>2.5938360000000005</v>
      </c>
      <c r="S21" s="390">
        <f>AVERAGE($G21:$J21)*(1-'Políticas anunciadas'!Q$29)</f>
        <v>2.5938360000000005</v>
      </c>
      <c r="T21" s="390">
        <f>AVERAGE($G21:$J21)*(1-'Políticas anunciadas'!R$29)</f>
        <v>2.5938360000000005</v>
      </c>
      <c r="U21" s="390">
        <f>AVERAGE($G21:$J21)*(1-'Políticas anunciadas'!S$29)</f>
        <v>2.5938360000000005</v>
      </c>
      <c r="V21" s="390">
        <f>AVERAGE($G21:$J21)*(1-'Políticas anunciadas'!T$29)</f>
        <v>2.5938360000000005</v>
      </c>
      <c r="W21" s="390">
        <f>AVERAGE($G21:$J21)*(1-'Políticas anunciadas'!U$29)</f>
        <v>2.5938360000000005</v>
      </c>
      <c r="X21" s="390">
        <f>AVERAGE($G21:$J21)*(1-'Políticas anunciadas'!V$29)</f>
        <v>2.5938360000000005</v>
      </c>
      <c r="Y21" s="390">
        <f>AVERAGE($G21:$J21)*(1-'Políticas anunciadas'!W$29)</f>
        <v>2.5938360000000005</v>
      </c>
      <c r="Z21" s="390">
        <f>AVERAGE($G21:$J21)*(1-'Políticas anunciadas'!X$29)</f>
        <v>2.5938360000000005</v>
      </c>
      <c r="AA21" s="390">
        <f>AVERAGE($G21:$J21)*(1-'Políticas anunciadas'!Y$29)</f>
        <v>2.5938360000000005</v>
      </c>
      <c r="AB21" s="390">
        <f>AVERAGE($G21:$J21)*(1-'Políticas anunciadas'!Z$29)</f>
        <v>2.5938360000000005</v>
      </c>
      <c r="AC21" s="390">
        <f>AVERAGE($G21:$J21)*(1-'Políticas anunciadas'!AA$29)</f>
        <v>2.5938360000000005</v>
      </c>
      <c r="AD21" s="390">
        <f>AVERAGE($G21:$J21)*(1-'Políticas anunciadas'!AB$29)</f>
        <v>2.5938360000000005</v>
      </c>
      <c r="AE21" s="390">
        <f>AVERAGE($G21:$J21)*(1-'Políticas anunciadas'!AC$29)</f>
        <v>2.5938360000000005</v>
      </c>
      <c r="AF21" s="390">
        <f>AVERAGE($G21:$J21)*(1-'Políticas anunciadas'!AD$29)</f>
        <v>2.5938360000000005</v>
      </c>
      <c r="AG21" s="390">
        <f>AVERAGE($G21:$J21)*(1-'Políticas anunciadas'!AE$29)</f>
        <v>2.5938360000000005</v>
      </c>
      <c r="AH21" s="390">
        <f>AVERAGE($G21:$J21)*(1-'Políticas anunciadas'!AF$29)</f>
        <v>2.5938360000000005</v>
      </c>
      <c r="AI21" s="390">
        <f>AVERAGE($G21:$J21)*(1-'Políticas anunciadas'!AG$29)</f>
        <v>2.5938360000000005</v>
      </c>
      <c r="AJ21" s="390">
        <f>AVERAGE($G21:$J21)*(1-'Políticas anunciadas'!AH$29)</f>
        <v>2.5938360000000005</v>
      </c>
      <c r="AK21" s="390">
        <f>AVERAGE($G21:$J21)*(1-'Políticas anunciadas'!AI$29)</f>
        <v>2.5938360000000005</v>
      </c>
      <c r="AL21" s="390">
        <f>AVERAGE($G21:$J21)*(1-'Políticas anunciadas'!AJ$29)</f>
        <v>2.5938360000000005</v>
      </c>
      <c r="AM21" s="390">
        <f>AVERAGE($G21:$J21)*(1-'Políticas anunciadas'!AK$29)</f>
        <v>2.5938360000000005</v>
      </c>
      <c r="AN21" s="390">
        <f>AVERAGE($G21:$J21)*(1-'Políticas anunciadas'!AL$29)</f>
        <v>2.5938360000000005</v>
      </c>
      <c r="AO21" s="390">
        <f>AVERAGE($G21:$J21)*(1-'Políticas anunciadas'!AM$29)</f>
        <v>2.5938360000000005</v>
      </c>
      <c r="AP21" s="390">
        <f>AVERAGE($G21:$J21)*(1-'Políticas anunciadas'!AN$29)</f>
        <v>2.5938360000000005</v>
      </c>
      <c r="AQ21" s="390">
        <f>AVERAGE($G21:$J21)*(1-'Políticas anunciadas'!AO$29)</f>
        <v>2.5938360000000005</v>
      </c>
      <c r="AR21" s="390">
        <f>AVERAGE($G21:$J21)*(1-'Políticas anunciadas'!AP$29)</f>
        <v>2.5938360000000005</v>
      </c>
      <c r="AS21" s="390">
        <f>AVERAGE($G21:$J21)*(1-'Políticas anunciadas'!AQ$29)</f>
        <v>2.5938360000000005</v>
      </c>
      <c r="AT21" s="390">
        <f>AVERAGE($G21:$J21)*(1-'Políticas anunciadas'!AR$29)</f>
        <v>2.5938360000000005</v>
      </c>
      <c r="AU21" s="390">
        <f>AVERAGE($G21:$J21)*(1-'Políticas anunciadas'!AS$29)</f>
        <v>2.5938360000000005</v>
      </c>
      <c r="AV21" s="390">
        <f>AVERAGE($G21:$J21)*(1-'Políticas anunciadas'!AT$29)</f>
        <v>2.5938360000000005</v>
      </c>
      <c r="AW21" s="390">
        <f>AVERAGE($G21:$J21)*(1-'Políticas anunciadas'!AU$29)</f>
        <v>2.5938360000000005</v>
      </c>
      <c r="AX21" s="390">
        <f>AVERAGE($G21:$J21)*(1-'Políticas anunciadas'!AV$29)</f>
        <v>2.5938360000000005</v>
      </c>
      <c r="AY21" s="390">
        <f>AVERAGE($G21:$J21)*(1-'Políticas anunciadas'!AW$29)</f>
        <v>2.5938360000000005</v>
      </c>
      <c r="AZ21" s="390">
        <f>AVERAGE($G21:$J21)*(1-'Políticas anunciadas'!AX$29)</f>
        <v>2.5938360000000005</v>
      </c>
      <c r="BA21" s="390">
        <f>AVERAGE($G21:$J21)*(1-'Políticas anunciadas'!AY$29)</f>
        <v>2.5938360000000005</v>
      </c>
      <c r="BB21" s="390">
        <f>AVERAGE($G21:$J21)*(1-'Políticas anunciadas'!AZ$29)</f>
        <v>2.5938360000000005</v>
      </c>
      <c r="BC21" s="390">
        <f>AVERAGE($G21:$J21)*(1-'Políticas anunciadas'!BA$29)</f>
        <v>2.5938360000000005</v>
      </c>
      <c r="BD21" s="390">
        <f>AVERAGE($G21:$J21)*(1-'Políticas anunciadas'!BB$29)</f>
        <v>2.5938360000000005</v>
      </c>
      <c r="BE21" s="390">
        <f>AVERAGE($G21:$J21)*(1-'Políticas anunciadas'!BC$29)</f>
        <v>2.5938360000000005</v>
      </c>
      <c r="BF21" s="390">
        <f>AVERAGE($G21:$J21)*(1-'Políticas anunciadas'!BD$29)</f>
        <v>2.5938360000000005</v>
      </c>
      <c r="BG21" s="390">
        <f>AVERAGE($G21:$J21)*(1-'Políticas anunciadas'!BE$29)</f>
        <v>2.5938360000000005</v>
      </c>
    </row>
    <row r="22" spans="1:59" ht="14.4">
      <c r="A22" s="390" t="s">
        <v>554</v>
      </c>
      <c r="B22" s="391" t="s">
        <v>619</v>
      </c>
      <c r="C22" s="338" t="s">
        <v>629</v>
      </c>
      <c r="D22" s="386" t="s">
        <v>621</v>
      </c>
      <c r="E22" s="386" t="s">
        <v>462</v>
      </c>
      <c r="F22" s="386" t="s">
        <v>462</v>
      </c>
      <c r="G22" s="395">
        <v>0.1046</v>
      </c>
      <c r="H22" s="396">
        <v>9.6500000000000002E-2</v>
      </c>
      <c r="I22" s="396">
        <v>1.7999999999999999E-2</v>
      </c>
      <c r="J22" s="396">
        <v>9.98E-2</v>
      </c>
      <c r="K22" s="390">
        <f>AVERAGE($G22:$J22)*(1-'Políticas anunciadas'!I$29)</f>
        <v>7.972499999999999E-2</v>
      </c>
      <c r="L22" s="390">
        <f>AVERAGE($G22:$J22)*(1-'Políticas anunciadas'!J$29)</f>
        <v>6.9892249999998032E-2</v>
      </c>
      <c r="M22" s="390">
        <f>AVERAGE($G22:$J22)*(1-'Políticas anunciadas'!K$29)</f>
        <v>6.005949999999901E-2</v>
      </c>
      <c r="N22" s="390">
        <f>AVERAGE($G22:$J22)*(1-'Políticas anunciadas'!L$29)</f>
        <v>5.0226749999999994E-2</v>
      </c>
      <c r="O22" s="390">
        <f>AVERAGE($G22:$J22)*(1-'Políticas anunciadas'!M$29)</f>
        <v>5.0226749999999994E-2</v>
      </c>
      <c r="P22" s="390">
        <f>AVERAGE($G22:$J22)*(1-'Políticas anunciadas'!N$29)</f>
        <v>5.0226749999999994E-2</v>
      </c>
      <c r="Q22" s="390">
        <f>AVERAGE($G22:$J22)*(1-'Políticas anunciadas'!O$29)</f>
        <v>5.0226749999999994E-2</v>
      </c>
      <c r="R22" s="390">
        <f>AVERAGE($G22:$J22)*(1-'Políticas anunciadas'!P$29)</f>
        <v>5.0226749999999994E-2</v>
      </c>
      <c r="S22" s="390">
        <f>AVERAGE($G22:$J22)*(1-'Políticas anunciadas'!Q$29)</f>
        <v>5.0226749999999994E-2</v>
      </c>
      <c r="T22" s="390">
        <f>AVERAGE($G22:$J22)*(1-'Políticas anunciadas'!R$29)</f>
        <v>5.0226749999999994E-2</v>
      </c>
      <c r="U22" s="390">
        <f>AVERAGE($G22:$J22)*(1-'Políticas anunciadas'!S$29)</f>
        <v>5.0226749999999994E-2</v>
      </c>
      <c r="V22" s="390">
        <f>AVERAGE($G22:$J22)*(1-'Políticas anunciadas'!T$29)</f>
        <v>5.0226749999999994E-2</v>
      </c>
      <c r="W22" s="390">
        <f>AVERAGE($G22:$J22)*(1-'Políticas anunciadas'!U$29)</f>
        <v>5.0226749999999994E-2</v>
      </c>
      <c r="X22" s="390">
        <f>AVERAGE($G22:$J22)*(1-'Políticas anunciadas'!V$29)</f>
        <v>5.0226749999999994E-2</v>
      </c>
      <c r="Y22" s="390">
        <f>AVERAGE($G22:$J22)*(1-'Políticas anunciadas'!W$29)</f>
        <v>5.0226749999999994E-2</v>
      </c>
      <c r="Z22" s="390">
        <f>AVERAGE($G22:$J22)*(1-'Políticas anunciadas'!X$29)</f>
        <v>5.0226749999999994E-2</v>
      </c>
      <c r="AA22" s="390">
        <f>AVERAGE($G22:$J22)*(1-'Políticas anunciadas'!Y$29)</f>
        <v>5.0226749999999994E-2</v>
      </c>
      <c r="AB22" s="390">
        <f>AVERAGE($G22:$J22)*(1-'Políticas anunciadas'!Z$29)</f>
        <v>5.0226749999999994E-2</v>
      </c>
      <c r="AC22" s="390">
        <f>AVERAGE($G22:$J22)*(1-'Políticas anunciadas'!AA$29)</f>
        <v>5.0226749999999994E-2</v>
      </c>
      <c r="AD22" s="390">
        <f>AVERAGE($G22:$J22)*(1-'Políticas anunciadas'!AB$29)</f>
        <v>5.0226749999999994E-2</v>
      </c>
      <c r="AE22" s="390">
        <f>AVERAGE($G22:$J22)*(1-'Políticas anunciadas'!AC$29)</f>
        <v>5.0226749999999994E-2</v>
      </c>
      <c r="AF22" s="390">
        <f>AVERAGE($G22:$J22)*(1-'Políticas anunciadas'!AD$29)</f>
        <v>5.0226749999999994E-2</v>
      </c>
      <c r="AG22" s="390">
        <f>AVERAGE($G22:$J22)*(1-'Políticas anunciadas'!AE$29)</f>
        <v>5.0226749999999994E-2</v>
      </c>
      <c r="AH22" s="390">
        <f>AVERAGE($G22:$J22)*(1-'Políticas anunciadas'!AF$29)</f>
        <v>5.0226749999999994E-2</v>
      </c>
      <c r="AI22" s="390">
        <f>AVERAGE($G22:$J22)*(1-'Políticas anunciadas'!AG$29)</f>
        <v>5.0226749999999994E-2</v>
      </c>
      <c r="AJ22" s="390">
        <f>AVERAGE($G22:$J22)*(1-'Políticas anunciadas'!AH$29)</f>
        <v>5.0226749999999994E-2</v>
      </c>
      <c r="AK22" s="390">
        <f>AVERAGE($G22:$J22)*(1-'Políticas anunciadas'!AI$29)</f>
        <v>5.0226749999999994E-2</v>
      </c>
      <c r="AL22" s="390">
        <f>AVERAGE($G22:$J22)*(1-'Políticas anunciadas'!AJ$29)</f>
        <v>5.0226749999999994E-2</v>
      </c>
      <c r="AM22" s="390">
        <f>AVERAGE($G22:$J22)*(1-'Políticas anunciadas'!AK$29)</f>
        <v>5.0226749999999994E-2</v>
      </c>
      <c r="AN22" s="390">
        <f>AVERAGE($G22:$J22)*(1-'Políticas anunciadas'!AL$29)</f>
        <v>5.0226749999999994E-2</v>
      </c>
      <c r="AO22" s="390">
        <f>AVERAGE($G22:$J22)*(1-'Políticas anunciadas'!AM$29)</f>
        <v>5.0226749999999994E-2</v>
      </c>
      <c r="AP22" s="390">
        <f>AVERAGE($G22:$J22)*(1-'Políticas anunciadas'!AN$29)</f>
        <v>5.0226749999999994E-2</v>
      </c>
      <c r="AQ22" s="390">
        <f>AVERAGE($G22:$J22)*(1-'Políticas anunciadas'!AO$29)</f>
        <v>5.0226749999999994E-2</v>
      </c>
      <c r="AR22" s="390">
        <f>AVERAGE($G22:$J22)*(1-'Políticas anunciadas'!AP$29)</f>
        <v>5.0226749999999994E-2</v>
      </c>
      <c r="AS22" s="390">
        <f>AVERAGE($G22:$J22)*(1-'Políticas anunciadas'!AQ$29)</f>
        <v>5.0226749999999994E-2</v>
      </c>
      <c r="AT22" s="390">
        <f>AVERAGE($G22:$J22)*(1-'Políticas anunciadas'!AR$29)</f>
        <v>5.0226749999999994E-2</v>
      </c>
      <c r="AU22" s="390">
        <f>AVERAGE($G22:$J22)*(1-'Políticas anunciadas'!AS$29)</f>
        <v>5.0226749999999994E-2</v>
      </c>
      <c r="AV22" s="390">
        <f>AVERAGE($G22:$J22)*(1-'Políticas anunciadas'!AT$29)</f>
        <v>5.0226749999999994E-2</v>
      </c>
      <c r="AW22" s="390">
        <f>AVERAGE($G22:$J22)*(1-'Políticas anunciadas'!AU$29)</f>
        <v>5.0226749999999994E-2</v>
      </c>
      <c r="AX22" s="390">
        <f>AVERAGE($G22:$J22)*(1-'Políticas anunciadas'!AV$29)</f>
        <v>5.0226749999999994E-2</v>
      </c>
      <c r="AY22" s="390">
        <f>AVERAGE($G22:$J22)*(1-'Políticas anunciadas'!AW$29)</f>
        <v>5.0226749999999994E-2</v>
      </c>
      <c r="AZ22" s="390">
        <f>AVERAGE($G22:$J22)*(1-'Políticas anunciadas'!AX$29)</f>
        <v>5.0226749999999994E-2</v>
      </c>
      <c r="BA22" s="390">
        <f>AVERAGE($G22:$J22)*(1-'Políticas anunciadas'!AY$29)</f>
        <v>5.0226749999999994E-2</v>
      </c>
      <c r="BB22" s="390">
        <f>AVERAGE($G22:$J22)*(1-'Políticas anunciadas'!AZ$29)</f>
        <v>5.0226749999999994E-2</v>
      </c>
      <c r="BC22" s="390">
        <f>AVERAGE($G22:$J22)*(1-'Políticas anunciadas'!BA$29)</f>
        <v>5.0226749999999994E-2</v>
      </c>
      <c r="BD22" s="390">
        <f>AVERAGE($G22:$J22)*(1-'Políticas anunciadas'!BB$29)</f>
        <v>5.0226749999999994E-2</v>
      </c>
      <c r="BE22" s="390">
        <f>AVERAGE($G22:$J22)*(1-'Políticas anunciadas'!BC$29)</f>
        <v>5.0226749999999994E-2</v>
      </c>
      <c r="BF22" s="390">
        <f>AVERAGE($G22:$J22)*(1-'Políticas anunciadas'!BD$29)</f>
        <v>5.0226749999999994E-2</v>
      </c>
      <c r="BG22" s="390">
        <f>AVERAGE($G22:$J22)*(1-'Políticas anunciadas'!BE$29)</f>
        <v>5.0226749999999994E-2</v>
      </c>
    </row>
    <row r="23" spans="1:59" ht="14.4">
      <c r="A23" s="390" t="s">
        <v>554</v>
      </c>
      <c r="B23" s="391" t="s">
        <v>619</v>
      </c>
      <c r="C23" s="394" t="s">
        <v>630</v>
      </c>
      <c r="D23" s="386" t="s">
        <v>621</v>
      </c>
      <c r="E23" s="386" t="s">
        <v>462</v>
      </c>
      <c r="F23" s="386" t="s">
        <v>462</v>
      </c>
      <c r="G23" s="395">
        <v>2.1347999999999998</v>
      </c>
      <c r="H23" s="396">
        <v>2.0259999999999998</v>
      </c>
      <c r="I23" s="396">
        <v>1.9598</v>
      </c>
      <c r="J23" s="396">
        <v>2.1863999999999999</v>
      </c>
      <c r="K23" s="390">
        <f>AVERAGE($G23:$J23)*(1-'Políticas anunciadas'!I$29)</f>
        <v>2.0767499999999997</v>
      </c>
      <c r="L23" s="390">
        <f>AVERAGE($G23:$J23)*(1-'Políticas anunciadas'!J$29)</f>
        <v>1.8206174999999485</v>
      </c>
      <c r="M23" s="390">
        <f>AVERAGE($G23:$J23)*(1-'Políticas anunciadas'!K$29)</f>
        <v>1.5644849999999741</v>
      </c>
      <c r="N23" s="390">
        <f>AVERAGE($G23:$J23)*(1-'Políticas anunciadas'!L$29)</f>
        <v>1.3083524999999998</v>
      </c>
      <c r="O23" s="390">
        <f>AVERAGE($G23:$J23)*(1-'Políticas anunciadas'!M$29)</f>
        <v>1.3083524999999998</v>
      </c>
      <c r="P23" s="390">
        <f>AVERAGE($G23:$J23)*(1-'Políticas anunciadas'!N$29)</f>
        <v>1.3083524999999998</v>
      </c>
      <c r="Q23" s="390">
        <f>AVERAGE($G23:$J23)*(1-'Políticas anunciadas'!O$29)</f>
        <v>1.3083524999999998</v>
      </c>
      <c r="R23" s="390">
        <f>AVERAGE($G23:$J23)*(1-'Políticas anunciadas'!P$29)</f>
        <v>1.3083524999999998</v>
      </c>
      <c r="S23" s="390">
        <f>AVERAGE($G23:$J23)*(1-'Políticas anunciadas'!Q$29)</f>
        <v>1.3083524999999998</v>
      </c>
      <c r="T23" s="390">
        <f>AVERAGE($G23:$J23)*(1-'Políticas anunciadas'!R$29)</f>
        <v>1.3083524999999998</v>
      </c>
      <c r="U23" s="390">
        <f>AVERAGE($G23:$J23)*(1-'Políticas anunciadas'!S$29)</f>
        <v>1.3083524999999998</v>
      </c>
      <c r="V23" s="390">
        <f>AVERAGE($G23:$J23)*(1-'Políticas anunciadas'!T$29)</f>
        <v>1.3083524999999998</v>
      </c>
      <c r="W23" s="390">
        <f>AVERAGE($G23:$J23)*(1-'Políticas anunciadas'!U$29)</f>
        <v>1.3083524999999998</v>
      </c>
      <c r="X23" s="390">
        <f>AVERAGE($G23:$J23)*(1-'Políticas anunciadas'!V$29)</f>
        <v>1.3083524999999998</v>
      </c>
      <c r="Y23" s="390">
        <f>AVERAGE($G23:$J23)*(1-'Políticas anunciadas'!W$29)</f>
        <v>1.3083524999999998</v>
      </c>
      <c r="Z23" s="390">
        <f>AVERAGE($G23:$J23)*(1-'Políticas anunciadas'!X$29)</f>
        <v>1.3083524999999998</v>
      </c>
      <c r="AA23" s="390">
        <f>AVERAGE($G23:$J23)*(1-'Políticas anunciadas'!Y$29)</f>
        <v>1.3083524999999998</v>
      </c>
      <c r="AB23" s="390">
        <f>AVERAGE($G23:$J23)*(1-'Políticas anunciadas'!Z$29)</f>
        <v>1.3083524999999998</v>
      </c>
      <c r="AC23" s="390">
        <f>AVERAGE($G23:$J23)*(1-'Políticas anunciadas'!AA$29)</f>
        <v>1.3083524999999998</v>
      </c>
      <c r="AD23" s="390">
        <f>AVERAGE($G23:$J23)*(1-'Políticas anunciadas'!AB$29)</f>
        <v>1.3083524999999998</v>
      </c>
      <c r="AE23" s="390">
        <f>AVERAGE($G23:$J23)*(1-'Políticas anunciadas'!AC$29)</f>
        <v>1.3083524999999998</v>
      </c>
      <c r="AF23" s="390">
        <f>AVERAGE($G23:$J23)*(1-'Políticas anunciadas'!AD$29)</f>
        <v>1.3083524999999998</v>
      </c>
      <c r="AG23" s="390">
        <f>AVERAGE($G23:$J23)*(1-'Políticas anunciadas'!AE$29)</f>
        <v>1.3083524999999998</v>
      </c>
      <c r="AH23" s="390">
        <f>AVERAGE($G23:$J23)*(1-'Políticas anunciadas'!AF$29)</f>
        <v>1.3083524999999998</v>
      </c>
      <c r="AI23" s="390">
        <f>AVERAGE($G23:$J23)*(1-'Políticas anunciadas'!AG$29)</f>
        <v>1.3083524999999998</v>
      </c>
      <c r="AJ23" s="390">
        <f>AVERAGE($G23:$J23)*(1-'Políticas anunciadas'!AH$29)</f>
        <v>1.3083524999999998</v>
      </c>
      <c r="AK23" s="390">
        <f>AVERAGE($G23:$J23)*(1-'Políticas anunciadas'!AI$29)</f>
        <v>1.3083524999999998</v>
      </c>
      <c r="AL23" s="390">
        <f>AVERAGE($G23:$J23)*(1-'Políticas anunciadas'!AJ$29)</f>
        <v>1.3083524999999998</v>
      </c>
      <c r="AM23" s="390">
        <f>AVERAGE($G23:$J23)*(1-'Políticas anunciadas'!AK$29)</f>
        <v>1.3083524999999998</v>
      </c>
      <c r="AN23" s="390">
        <f>AVERAGE($G23:$J23)*(1-'Políticas anunciadas'!AL$29)</f>
        <v>1.3083524999999998</v>
      </c>
      <c r="AO23" s="390">
        <f>AVERAGE($G23:$J23)*(1-'Políticas anunciadas'!AM$29)</f>
        <v>1.3083524999999998</v>
      </c>
      <c r="AP23" s="390">
        <f>AVERAGE($G23:$J23)*(1-'Políticas anunciadas'!AN$29)</f>
        <v>1.3083524999999998</v>
      </c>
      <c r="AQ23" s="390">
        <f>AVERAGE($G23:$J23)*(1-'Políticas anunciadas'!AO$29)</f>
        <v>1.3083524999999998</v>
      </c>
      <c r="AR23" s="390">
        <f>AVERAGE($G23:$J23)*(1-'Políticas anunciadas'!AP$29)</f>
        <v>1.3083524999999998</v>
      </c>
      <c r="AS23" s="390">
        <f>AVERAGE($G23:$J23)*(1-'Políticas anunciadas'!AQ$29)</f>
        <v>1.3083524999999998</v>
      </c>
      <c r="AT23" s="390">
        <f>AVERAGE($G23:$J23)*(1-'Políticas anunciadas'!AR$29)</f>
        <v>1.3083524999999998</v>
      </c>
      <c r="AU23" s="390">
        <f>AVERAGE($G23:$J23)*(1-'Políticas anunciadas'!AS$29)</f>
        <v>1.3083524999999998</v>
      </c>
      <c r="AV23" s="390">
        <f>AVERAGE($G23:$J23)*(1-'Políticas anunciadas'!AT$29)</f>
        <v>1.3083524999999998</v>
      </c>
      <c r="AW23" s="390">
        <f>AVERAGE($G23:$J23)*(1-'Políticas anunciadas'!AU$29)</f>
        <v>1.3083524999999998</v>
      </c>
      <c r="AX23" s="390">
        <f>AVERAGE($G23:$J23)*(1-'Políticas anunciadas'!AV$29)</f>
        <v>1.3083524999999998</v>
      </c>
      <c r="AY23" s="390">
        <f>AVERAGE($G23:$J23)*(1-'Políticas anunciadas'!AW$29)</f>
        <v>1.3083524999999998</v>
      </c>
      <c r="AZ23" s="390">
        <f>AVERAGE($G23:$J23)*(1-'Políticas anunciadas'!AX$29)</f>
        <v>1.3083524999999998</v>
      </c>
      <c r="BA23" s="390">
        <f>AVERAGE($G23:$J23)*(1-'Políticas anunciadas'!AY$29)</f>
        <v>1.3083524999999998</v>
      </c>
      <c r="BB23" s="390">
        <f>AVERAGE($G23:$J23)*(1-'Políticas anunciadas'!AZ$29)</f>
        <v>1.3083524999999998</v>
      </c>
      <c r="BC23" s="390">
        <f>AVERAGE($G23:$J23)*(1-'Políticas anunciadas'!BA$29)</f>
        <v>1.3083524999999998</v>
      </c>
      <c r="BD23" s="390">
        <f>AVERAGE($G23:$J23)*(1-'Políticas anunciadas'!BB$29)</f>
        <v>1.3083524999999998</v>
      </c>
      <c r="BE23" s="390">
        <f>AVERAGE($G23:$J23)*(1-'Políticas anunciadas'!BC$29)</f>
        <v>1.3083524999999998</v>
      </c>
      <c r="BF23" s="390">
        <f>AVERAGE($G23:$J23)*(1-'Políticas anunciadas'!BD$29)</f>
        <v>1.3083524999999998</v>
      </c>
      <c r="BG23" s="390">
        <f>AVERAGE($G23:$J23)*(1-'Políticas anunciadas'!BE$29)</f>
        <v>1.3083524999999998</v>
      </c>
    </row>
    <row r="24" spans="1:59" ht="14.4">
      <c r="A24" s="390" t="s">
        <v>554</v>
      </c>
      <c r="B24" s="391" t="s">
        <v>619</v>
      </c>
      <c r="C24" s="338" t="s">
        <v>631</v>
      </c>
      <c r="D24" s="386" t="s">
        <v>621</v>
      </c>
      <c r="E24" s="386" t="s">
        <v>462</v>
      </c>
      <c r="F24" s="386" t="s">
        <v>462</v>
      </c>
      <c r="G24" s="395">
        <v>0.53010000000000002</v>
      </c>
      <c r="H24" s="396">
        <v>0.48280000000000001</v>
      </c>
      <c r="I24" s="396">
        <v>0.46179999999999999</v>
      </c>
      <c r="J24" s="396">
        <v>0.62470000000000003</v>
      </c>
      <c r="K24" s="390">
        <f>AVERAGE($G24:$J24)*(1-'Políticas anunciadas'!I$29)</f>
        <v>0.52485000000000004</v>
      </c>
      <c r="L24" s="390">
        <f>AVERAGE($G24:$J24)*(1-'Políticas anunciadas'!J$29)</f>
        <v>0.46011849999998711</v>
      </c>
      <c r="M24" s="390">
        <f>AVERAGE($G24:$J24)*(1-'Políticas anunciadas'!K$29)</f>
        <v>0.39538699999999355</v>
      </c>
      <c r="N24" s="390">
        <f>AVERAGE($G24:$J24)*(1-'Políticas anunciadas'!L$29)</f>
        <v>0.33065550000000005</v>
      </c>
      <c r="O24" s="390">
        <f>AVERAGE($G24:$J24)*(1-'Políticas anunciadas'!M$29)</f>
        <v>0.33065550000000005</v>
      </c>
      <c r="P24" s="390">
        <f>AVERAGE($G24:$J24)*(1-'Políticas anunciadas'!N$29)</f>
        <v>0.33065550000000005</v>
      </c>
      <c r="Q24" s="390">
        <f>AVERAGE($G24:$J24)*(1-'Políticas anunciadas'!O$29)</f>
        <v>0.33065550000000005</v>
      </c>
      <c r="R24" s="390">
        <f>AVERAGE($G24:$J24)*(1-'Políticas anunciadas'!P$29)</f>
        <v>0.33065550000000005</v>
      </c>
      <c r="S24" s="390">
        <f>AVERAGE($G24:$J24)*(1-'Políticas anunciadas'!Q$29)</f>
        <v>0.33065550000000005</v>
      </c>
      <c r="T24" s="390">
        <f>AVERAGE($G24:$J24)*(1-'Políticas anunciadas'!R$29)</f>
        <v>0.33065550000000005</v>
      </c>
      <c r="U24" s="390">
        <f>AVERAGE($G24:$J24)*(1-'Políticas anunciadas'!S$29)</f>
        <v>0.33065550000000005</v>
      </c>
      <c r="V24" s="390">
        <f>AVERAGE($G24:$J24)*(1-'Políticas anunciadas'!T$29)</f>
        <v>0.33065550000000005</v>
      </c>
      <c r="W24" s="390">
        <f>AVERAGE($G24:$J24)*(1-'Políticas anunciadas'!U$29)</f>
        <v>0.33065550000000005</v>
      </c>
      <c r="X24" s="390">
        <f>AVERAGE($G24:$J24)*(1-'Políticas anunciadas'!V$29)</f>
        <v>0.33065550000000005</v>
      </c>
      <c r="Y24" s="390">
        <f>AVERAGE($G24:$J24)*(1-'Políticas anunciadas'!W$29)</f>
        <v>0.33065550000000005</v>
      </c>
      <c r="Z24" s="390">
        <f>AVERAGE($G24:$J24)*(1-'Políticas anunciadas'!X$29)</f>
        <v>0.33065550000000005</v>
      </c>
      <c r="AA24" s="390">
        <f>AVERAGE($G24:$J24)*(1-'Políticas anunciadas'!Y$29)</f>
        <v>0.33065550000000005</v>
      </c>
      <c r="AB24" s="390">
        <f>AVERAGE($G24:$J24)*(1-'Políticas anunciadas'!Z$29)</f>
        <v>0.33065550000000005</v>
      </c>
      <c r="AC24" s="390">
        <f>AVERAGE($G24:$J24)*(1-'Políticas anunciadas'!AA$29)</f>
        <v>0.33065550000000005</v>
      </c>
      <c r="AD24" s="390">
        <f>AVERAGE($G24:$J24)*(1-'Políticas anunciadas'!AB$29)</f>
        <v>0.33065550000000005</v>
      </c>
      <c r="AE24" s="390">
        <f>AVERAGE($G24:$J24)*(1-'Políticas anunciadas'!AC$29)</f>
        <v>0.33065550000000005</v>
      </c>
      <c r="AF24" s="390">
        <f>AVERAGE($G24:$J24)*(1-'Políticas anunciadas'!AD$29)</f>
        <v>0.33065550000000005</v>
      </c>
      <c r="AG24" s="390">
        <f>AVERAGE($G24:$J24)*(1-'Políticas anunciadas'!AE$29)</f>
        <v>0.33065550000000005</v>
      </c>
      <c r="AH24" s="390">
        <f>AVERAGE($G24:$J24)*(1-'Políticas anunciadas'!AF$29)</f>
        <v>0.33065550000000005</v>
      </c>
      <c r="AI24" s="390">
        <f>AVERAGE($G24:$J24)*(1-'Políticas anunciadas'!AG$29)</f>
        <v>0.33065550000000005</v>
      </c>
      <c r="AJ24" s="390">
        <f>AVERAGE($G24:$J24)*(1-'Políticas anunciadas'!AH$29)</f>
        <v>0.33065550000000005</v>
      </c>
      <c r="AK24" s="390">
        <f>AVERAGE($G24:$J24)*(1-'Políticas anunciadas'!AI$29)</f>
        <v>0.33065550000000005</v>
      </c>
      <c r="AL24" s="390">
        <f>AVERAGE($G24:$J24)*(1-'Políticas anunciadas'!AJ$29)</f>
        <v>0.33065550000000005</v>
      </c>
      <c r="AM24" s="390">
        <f>AVERAGE($G24:$J24)*(1-'Políticas anunciadas'!AK$29)</f>
        <v>0.33065550000000005</v>
      </c>
      <c r="AN24" s="390">
        <f>AVERAGE($G24:$J24)*(1-'Políticas anunciadas'!AL$29)</f>
        <v>0.33065550000000005</v>
      </c>
      <c r="AO24" s="390">
        <f>AVERAGE($G24:$J24)*(1-'Políticas anunciadas'!AM$29)</f>
        <v>0.33065550000000005</v>
      </c>
      <c r="AP24" s="390">
        <f>AVERAGE($G24:$J24)*(1-'Políticas anunciadas'!AN$29)</f>
        <v>0.33065550000000005</v>
      </c>
      <c r="AQ24" s="390">
        <f>AVERAGE($G24:$J24)*(1-'Políticas anunciadas'!AO$29)</f>
        <v>0.33065550000000005</v>
      </c>
      <c r="AR24" s="390">
        <f>AVERAGE($G24:$J24)*(1-'Políticas anunciadas'!AP$29)</f>
        <v>0.33065550000000005</v>
      </c>
      <c r="AS24" s="390">
        <f>AVERAGE($G24:$J24)*(1-'Políticas anunciadas'!AQ$29)</f>
        <v>0.33065550000000005</v>
      </c>
      <c r="AT24" s="390">
        <f>AVERAGE($G24:$J24)*(1-'Políticas anunciadas'!AR$29)</f>
        <v>0.33065550000000005</v>
      </c>
      <c r="AU24" s="390">
        <f>AVERAGE($G24:$J24)*(1-'Políticas anunciadas'!AS$29)</f>
        <v>0.33065550000000005</v>
      </c>
      <c r="AV24" s="390">
        <f>AVERAGE($G24:$J24)*(1-'Políticas anunciadas'!AT$29)</f>
        <v>0.33065550000000005</v>
      </c>
      <c r="AW24" s="390">
        <f>AVERAGE($G24:$J24)*(1-'Políticas anunciadas'!AU$29)</f>
        <v>0.33065550000000005</v>
      </c>
      <c r="AX24" s="390">
        <f>AVERAGE($G24:$J24)*(1-'Políticas anunciadas'!AV$29)</f>
        <v>0.33065550000000005</v>
      </c>
      <c r="AY24" s="390">
        <f>AVERAGE($G24:$J24)*(1-'Políticas anunciadas'!AW$29)</f>
        <v>0.33065550000000005</v>
      </c>
      <c r="AZ24" s="390">
        <f>AVERAGE($G24:$J24)*(1-'Políticas anunciadas'!AX$29)</f>
        <v>0.33065550000000005</v>
      </c>
      <c r="BA24" s="390">
        <f>AVERAGE($G24:$J24)*(1-'Políticas anunciadas'!AY$29)</f>
        <v>0.33065550000000005</v>
      </c>
      <c r="BB24" s="390">
        <f>AVERAGE($G24:$J24)*(1-'Políticas anunciadas'!AZ$29)</f>
        <v>0.33065550000000005</v>
      </c>
      <c r="BC24" s="390">
        <f>AVERAGE($G24:$J24)*(1-'Políticas anunciadas'!BA$29)</f>
        <v>0.33065550000000005</v>
      </c>
      <c r="BD24" s="390">
        <f>AVERAGE($G24:$J24)*(1-'Políticas anunciadas'!BB$29)</f>
        <v>0.33065550000000005</v>
      </c>
      <c r="BE24" s="390">
        <f>AVERAGE($G24:$J24)*(1-'Políticas anunciadas'!BC$29)</f>
        <v>0.33065550000000005</v>
      </c>
      <c r="BF24" s="390">
        <f>AVERAGE($G24:$J24)*(1-'Políticas anunciadas'!BD$29)</f>
        <v>0.33065550000000005</v>
      </c>
      <c r="BG24" s="390">
        <f>AVERAGE($G24:$J24)*(1-'Políticas anunciadas'!BE$29)</f>
        <v>0.33065550000000005</v>
      </c>
    </row>
    <row r="25" spans="1:59" ht="15.75" customHeight="1">
      <c r="A25" s="390" t="s">
        <v>554</v>
      </c>
      <c r="B25" s="391" t="s">
        <v>619</v>
      </c>
      <c r="C25" s="338" t="s">
        <v>632</v>
      </c>
      <c r="D25" s="386" t="s">
        <v>621</v>
      </c>
      <c r="E25" s="386" t="s">
        <v>462</v>
      </c>
      <c r="F25" s="386" t="s">
        <v>462</v>
      </c>
      <c r="G25" s="395">
        <v>0.25490000000000002</v>
      </c>
      <c r="H25" s="396">
        <v>0.23549999999999999</v>
      </c>
      <c r="I25" s="396">
        <v>0.24729999999999999</v>
      </c>
      <c r="J25" s="396">
        <v>0.25280000000000002</v>
      </c>
      <c r="K25" s="390">
        <f>AVERAGE($G25:$J25)*(1-'Políticas anunciadas'!I$29)</f>
        <v>0.24762500000000001</v>
      </c>
      <c r="L25" s="390">
        <f>AVERAGE($G25:$J25)*(1-'Políticas anunciadas'!J$29)</f>
        <v>0.21708458333332725</v>
      </c>
      <c r="M25" s="390">
        <f>AVERAGE($G25:$J25)*(1-'Políticas anunciadas'!K$29)</f>
        <v>0.18654416666666362</v>
      </c>
      <c r="N25" s="390">
        <f>AVERAGE($G25:$J25)*(1-'Políticas anunciadas'!L$29)</f>
        <v>0.15600375</v>
      </c>
      <c r="O25" s="390">
        <f>AVERAGE($G25:$J25)*(1-'Políticas anunciadas'!M$29)</f>
        <v>0.15600375</v>
      </c>
      <c r="P25" s="390">
        <f>AVERAGE($G25:$J25)*(1-'Políticas anunciadas'!N$29)</f>
        <v>0.15600375</v>
      </c>
      <c r="Q25" s="390">
        <f>AVERAGE($G25:$J25)*(1-'Políticas anunciadas'!O$29)</f>
        <v>0.15600375</v>
      </c>
      <c r="R25" s="390">
        <f>AVERAGE($G25:$J25)*(1-'Políticas anunciadas'!P$29)</f>
        <v>0.15600375</v>
      </c>
      <c r="S25" s="390">
        <f>AVERAGE($G25:$J25)*(1-'Políticas anunciadas'!Q$29)</f>
        <v>0.15600375</v>
      </c>
      <c r="T25" s="390">
        <f>AVERAGE($G25:$J25)*(1-'Políticas anunciadas'!R$29)</f>
        <v>0.15600375</v>
      </c>
      <c r="U25" s="390">
        <f>AVERAGE($G25:$J25)*(1-'Políticas anunciadas'!S$29)</f>
        <v>0.15600375</v>
      </c>
      <c r="V25" s="390">
        <f>AVERAGE($G25:$J25)*(1-'Políticas anunciadas'!T$29)</f>
        <v>0.15600375</v>
      </c>
      <c r="W25" s="390">
        <f>AVERAGE($G25:$J25)*(1-'Políticas anunciadas'!U$29)</f>
        <v>0.15600375</v>
      </c>
      <c r="X25" s="390">
        <f>AVERAGE($G25:$J25)*(1-'Políticas anunciadas'!V$29)</f>
        <v>0.15600375</v>
      </c>
      <c r="Y25" s="390">
        <f>AVERAGE($G25:$J25)*(1-'Políticas anunciadas'!W$29)</f>
        <v>0.15600375</v>
      </c>
      <c r="Z25" s="390">
        <f>AVERAGE($G25:$J25)*(1-'Políticas anunciadas'!X$29)</f>
        <v>0.15600375</v>
      </c>
      <c r="AA25" s="390">
        <f>AVERAGE($G25:$J25)*(1-'Políticas anunciadas'!Y$29)</f>
        <v>0.15600375</v>
      </c>
      <c r="AB25" s="390">
        <f>AVERAGE($G25:$J25)*(1-'Políticas anunciadas'!Z$29)</f>
        <v>0.15600375</v>
      </c>
      <c r="AC25" s="390">
        <f>AVERAGE($G25:$J25)*(1-'Políticas anunciadas'!AA$29)</f>
        <v>0.15600375</v>
      </c>
      <c r="AD25" s="390">
        <f>AVERAGE($G25:$J25)*(1-'Políticas anunciadas'!AB$29)</f>
        <v>0.15600375</v>
      </c>
      <c r="AE25" s="390">
        <f>AVERAGE($G25:$J25)*(1-'Políticas anunciadas'!AC$29)</f>
        <v>0.15600375</v>
      </c>
      <c r="AF25" s="390">
        <f>AVERAGE($G25:$J25)*(1-'Políticas anunciadas'!AD$29)</f>
        <v>0.15600375</v>
      </c>
      <c r="AG25" s="390">
        <f>AVERAGE($G25:$J25)*(1-'Políticas anunciadas'!AE$29)</f>
        <v>0.15600375</v>
      </c>
      <c r="AH25" s="390">
        <f>AVERAGE($G25:$J25)*(1-'Políticas anunciadas'!AF$29)</f>
        <v>0.15600375</v>
      </c>
      <c r="AI25" s="390">
        <f>AVERAGE($G25:$J25)*(1-'Políticas anunciadas'!AG$29)</f>
        <v>0.15600375</v>
      </c>
      <c r="AJ25" s="390">
        <f>AVERAGE($G25:$J25)*(1-'Políticas anunciadas'!AH$29)</f>
        <v>0.15600375</v>
      </c>
      <c r="AK25" s="390">
        <f>AVERAGE($G25:$J25)*(1-'Políticas anunciadas'!AI$29)</f>
        <v>0.15600375</v>
      </c>
      <c r="AL25" s="390">
        <f>AVERAGE($G25:$J25)*(1-'Políticas anunciadas'!AJ$29)</f>
        <v>0.15600375</v>
      </c>
      <c r="AM25" s="390">
        <f>AVERAGE($G25:$J25)*(1-'Políticas anunciadas'!AK$29)</f>
        <v>0.15600375</v>
      </c>
      <c r="AN25" s="390">
        <f>AVERAGE($G25:$J25)*(1-'Políticas anunciadas'!AL$29)</f>
        <v>0.15600375</v>
      </c>
      <c r="AO25" s="390">
        <f>AVERAGE($G25:$J25)*(1-'Políticas anunciadas'!AM$29)</f>
        <v>0.15600375</v>
      </c>
      <c r="AP25" s="390">
        <f>AVERAGE($G25:$J25)*(1-'Políticas anunciadas'!AN$29)</f>
        <v>0.15600375</v>
      </c>
      <c r="AQ25" s="390">
        <f>AVERAGE($G25:$J25)*(1-'Políticas anunciadas'!AO$29)</f>
        <v>0.15600375</v>
      </c>
      <c r="AR25" s="390">
        <f>AVERAGE($G25:$J25)*(1-'Políticas anunciadas'!AP$29)</f>
        <v>0.15600375</v>
      </c>
      <c r="AS25" s="390">
        <f>AVERAGE($G25:$J25)*(1-'Políticas anunciadas'!AQ$29)</f>
        <v>0.15600375</v>
      </c>
      <c r="AT25" s="390">
        <f>AVERAGE($G25:$J25)*(1-'Políticas anunciadas'!AR$29)</f>
        <v>0.15600375</v>
      </c>
      <c r="AU25" s="390">
        <f>AVERAGE($G25:$J25)*(1-'Políticas anunciadas'!AS$29)</f>
        <v>0.15600375</v>
      </c>
      <c r="AV25" s="390">
        <f>AVERAGE($G25:$J25)*(1-'Políticas anunciadas'!AT$29)</f>
        <v>0.15600375</v>
      </c>
      <c r="AW25" s="390">
        <f>AVERAGE($G25:$J25)*(1-'Políticas anunciadas'!AU$29)</f>
        <v>0.15600375</v>
      </c>
      <c r="AX25" s="390">
        <f>AVERAGE($G25:$J25)*(1-'Políticas anunciadas'!AV$29)</f>
        <v>0.15600375</v>
      </c>
      <c r="AY25" s="390">
        <f>AVERAGE($G25:$J25)*(1-'Políticas anunciadas'!AW$29)</f>
        <v>0.15600375</v>
      </c>
      <c r="AZ25" s="390">
        <f>AVERAGE($G25:$J25)*(1-'Políticas anunciadas'!AX$29)</f>
        <v>0.15600375</v>
      </c>
      <c r="BA25" s="390">
        <f>AVERAGE($G25:$J25)*(1-'Políticas anunciadas'!AY$29)</f>
        <v>0.15600375</v>
      </c>
      <c r="BB25" s="390">
        <f>AVERAGE($G25:$J25)*(1-'Políticas anunciadas'!AZ$29)</f>
        <v>0.15600375</v>
      </c>
      <c r="BC25" s="390">
        <f>AVERAGE($G25:$J25)*(1-'Políticas anunciadas'!BA$29)</f>
        <v>0.15600375</v>
      </c>
      <c r="BD25" s="390">
        <f>AVERAGE($G25:$J25)*(1-'Políticas anunciadas'!BB$29)</f>
        <v>0.15600375</v>
      </c>
      <c r="BE25" s="390">
        <f>AVERAGE($G25:$J25)*(1-'Políticas anunciadas'!BC$29)</f>
        <v>0.15600375</v>
      </c>
      <c r="BF25" s="390">
        <f>AVERAGE($G25:$J25)*(1-'Políticas anunciadas'!BD$29)</f>
        <v>0.15600375</v>
      </c>
      <c r="BG25" s="390">
        <f>AVERAGE($G25:$J25)*(1-'Políticas anunciadas'!BE$29)</f>
        <v>0.15600375</v>
      </c>
    </row>
    <row r="26" spans="1:59" ht="14.4">
      <c r="A26" s="384" t="s">
        <v>554</v>
      </c>
      <c r="B26" s="385" t="s">
        <v>619</v>
      </c>
      <c r="C26" s="385" t="s">
        <v>277</v>
      </c>
      <c r="D26" s="386" t="s">
        <v>621</v>
      </c>
      <c r="E26" s="386" t="s">
        <v>462</v>
      </c>
      <c r="F26" s="386" t="s">
        <v>462</v>
      </c>
      <c r="G26" s="387">
        <v>0.12379999999999999</v>
      </c>
      <c r="H26" s="388">
        <v>0.11799999999999999</v>
      </c>
      <c r="I26" s="388">
        <v>0.12039999999999999</v>
      </c>
      <c r="J26" s="388">
        <v>0.1191</v>
      </c>
      <c r="K26" s="30">
        <f>Generation_output!B4*'Políticas anunciadas'!I15</f>
        <v>1.0507035364285717</v>
      </c>
      <c r="L26" s="30">
        <f>Generation_output!C4*'Políticas anunciadas'!J15</f>
        <v>2.2208157485714293</v>
      </c>
      <c r="M26" s="30">
        <f>Generation_output!D4*'Políticas anunciadas'!K15</f>
        <v>3.1761142492857148</v>
      </c>
      <c r="N26" s="30">
        <f>Generation_output!E4*'Políticas anunciadas'!L15</f>
        <v>4.3332096857142863</v>
      </c>
      <c r="O26" s="30">
        <f>Generation_output!F4*'Políticas anunciadas'!M15</f>
        <v>4.841907719071429</v>
      </c>
      <c r="P26" s="30">
        <f>Generation_output!G4*'Políticas anunciadas'!N15</f>
        <v>5.9318515714285729</v>
      </c>
      <c r="Q26" s="30">
        <f>Generation_output!H4*'Políticas anunciadas'!O15</f>
        <v>7.0957562235000013</v>
      </c>
      <c r="R26" s="30">
        <f>Generation_output!I4*'Políticas anunciadas'!P15</f>
        <v>8.2564801832857171</v>
      </c>
      <c r="S26" s="30">
        <f>Generation_output!J4*'Políticas anunciadas'!Q15</f>
        <v>9.5073885089285746</v>
      </c>
      <c r="T26" s="30">
        <f>Generation_output!K4*'Políticas anunciadas'!R15</f>
        <v>10.833713151428576</v>
      </c>
      <c r="U26" s="30">
        <f>Generation_output!L4*'Políticas anunciadas'!S15</f>
        <v>12.255723857142863</v>
      </c>
      <c r="V26" s="30">
        <f>Generation_output!M4*'Políticas anunciadas'!T15</f>
        <v>13.620376928571435</v>
      </c>
      <c r="W26" s="30">
        <f>Generation_output!N4*'Políticas anunciadas'!U15</f>
        <v>15.108349808571434</v>
      </c>
      <c r="X26" s="30">
        <f>Generation_output!O4*'Políticas anunciadas'!V15</f>
        <v>16.261233600000001</v>
      </c>
      <c r="Y26" s="30">
        <f>Generation_output!P4*'Políticas anunciadas'!W15</f>
        <v>16.402958400000003</v>
      </c>
      <c r="Z26" s="30">
        <f>Generation_output!Q4*'Políticas anunciadas'!X15</f>
        <v>16.886726000000003</v>
      </c>
      <c r="AA26" s="30">
        <f>Generation_output!R4*'Políticas anunciadas'!Y15</f>
        <v>17.334559200000001</v>
      </c>
      <c r="AB26" s="30">
        <f>Generation_output!S4*'Políticas anunciadas'!Z15</f>
        <v>17.718648800000004</v>
      </c>
      <c r="AC26" s="30">
        <f>Generation_output!T4*'Políticas anunciadas'!AA15</f>
        <v>18.298927200000005</v>
      </c>
      <c r="AD26" s="30">
        <f>Generation_output!U4*'Políticas anunciadas'!AB15</f>
        <v>18.819458000000004</v>
      </c>
      <c r="AE26" s="30">
        <f>Generation_output!V4*'Políticas anunciadas'!AC15</f>
        <v>19.428108000000002</v>
      </c>
      <c r="AF26" s="30">
        <f>Generation_output!W4*'Políticas anunciadas'!AD15</f>
        <v>19.995702800000004</v>
      </c>
      <c r="AG26" s="30">
        <f>Generation_output!X4*'Políticas anunciadas'!AE15</f>
        <v>20.566050400000002</v>
      </c>
      <c r="AH26" s="30">
        <f>Generation_output!Y4*'Políticas anunciadas'!AF15</f>
        <v>21.121272400000002</v>
      </c>
      <c r="AI26" s="30">
        <f>Generation_output!Z4*'Políticas anunciadas'!AG15</f>
        <v>21.681171200000005</v>
      </c>
      <c r="AJ26" s="30">
        <f>Generation_output!AA4*'Políticas anunciadas'!AH15</f>
        <v>22.091989600000002</v>
      </c>
      <c r="AK26" s="30">
        <f>Generation_output!AB4*'Políticas anunciadas'!AI15</f>
        <v>22.535101600000001</v>
      </c>
      <c r="AL26" s="30">
        <f>Generation_output!AC4*'Políticas anunciadas'!AJ15</f>
        <v>22.808102400000003</v>
      </c>
      <c r="AM26" s="30">
        <f>Generation_output!AD4*'Políticas anunciadas'!AK15</f>
        <v>23.228422400000003</v>
      </c>
      <c r="AN26" s="30">
        <f>Generation_output!AE4*'Políticas anunciadas'!AL15</f>
        <v>23.589024400000003</v>
      </c>
      <c r="AO26" s="30">
        <f>Generation_output!AF4*'Políticas anunciadas'!AM15</f>
        <v>23.957855200000001</v>
      </c>
      <c r="AP26" s="30">
        <f>Generation_output!AG4*'Políticas anunciadas'!AN15</f>
        <v>24.322142400000001</v>
      </c>
      <c r="AQ26" s="30">
        <f>Generation_output!AH4*'Políticas anunciadas'!AO15</f>
        <v>24.687658000000006</v>
      </c>
      <c r="AR26" s="30">
        <f>Generation_output!AI4*'Políticas anunciadas'!AP15</f>
        <v>25.112122000000003</v>
      </c>
      <c r="AS26" s="30">
        <f>Generation_output!AJ4*'Políticas anunciadas'!AQ15</f>
        <v>25.523177200000003</v>
      </c>
      <c r="AT26" s="30">
        <f>Generation_output!AK4*'Políticas anunciadas'!AR15</f>
        <v>25.936422800000006</v>
      </c>
      <c r="AU26" s="30">
        <f>Generation_output!AL4*'Políticas anunciadas'!AS15</f>
        <v>26.348277200000002</v>
      </c>
      <c r="AV26" s="30">
        <f>Generation_output!AM4*'Políticas anunciadas'!AT15</f>
        <v>26.772534000000004</v>
      </c>
      <c r="AW26" s="30">
        <f>Generation_output!AN4*'Políticas anunciadas'!AU15</f>
        <v>27.192587600000003</v>
      </c>
      <c r="AX26" s="30">
        <f>Generation_output!AO4*'Políticas anunciadas'!AV15</f>
        <v>27.615468000000003</v>
      </c>
      <c r="AY26" s="30">
        <f>Generation_output!AP4*'Políticas anunciadas'!AW15</f>
        <v>28.038407600000003</v>
      </c>
      <c r="AZ26" s="30">
        <f>Generation_output!AQ4*'Políticas anunciadas'!AX15</f>
        <v>28.464988000000002</v>
      </c>
      <c r="BA26" s="30">
        <f>Generation_output!AR4*'Políticas anunciadas'!AY15</f>
        <v>28.899160800000004</v>
      </c>
      <c r="BB26" s="30">
        <f>Generation_output!AS4*'Políticas anunciadas'!AZ15</f>
        <v>29.337448000000006</v>
      </c>
      <c r="BC26" s="30">
        <f>Generation_output!AT4*'Políticas anunciadas'!BA15</f>
        <v>29.782558000000002</v>
      </c>
      <c r="BD26" s="30">
        <f>Generation_output!AU4*'Políticas anunciadas'!BB15</f>
        <v>30.227120400000004</v>
      </c>
      <c r="BE26" s="30">
        <f>Generation_output!AV4*'Políticas anunciadas'!BC15</f>
        <v>30.677070000000004</v>
      </c>
      <c r="BF26" s="30">
        <f>Generation_output!AW4*'Políticas anunciadas'!BD15</f>
        <v>31.132125600000006</v>
      </c>
      <c r="BG26" s="30">
        <f>Generation_output!AX4*'Políticas anunciadas'!BE15</f>
        <v>31.588468800000005</v>
      </c>
    </row>
    <row r="27" spans="1:59" ht="14.4">
      <c r="A27" s="384" t="s">
        <v>554</v>
      </c>
      <c r="B27" s="385" t="s">
        <v>619</v>
      </c>
      <c r="C27" s="389" t="s">
        <v>622</v>
      </c>
      <c r="D27" s="386" t="s">
        <v>621</v>
      </c>
      <c r="E27" s="386" t="s">
        <v>462</v>
      </c>
      <c r="F27" s="386" t="s">
        <v>462</v>
      </c>
      <c r="G27" s="390">
        <v>0</v>
      </c>
      <c r="H27" s="391">
        <v>0</v>
      </c>
      <c r="I27" s="391">
        <v>0</v>
      </c>
      <c r="J27" s="391">
        <v>0</v>
      </c>
      <c r="K27" s="30">
        <f>Generation_output!B4*'Políticas anunciadas'!I16</f>
        <v>1.5472467357142857E-2</v>
      </c>
      <c r="L27" s="30">
        <f>Generation_output!C4*'Políticas anunciadas'!J16</f>
        <v>3.1315513142857146E-2</v>
      </c>
      <c r="M27" s="30">
        <f>Generation_output!D4*'Políticas anunciadas'!K16</f>
        <v>4.4079814071428566E-2</v>
      </c>
      <c r="N27" s="30">
        <f>Generation_output!E4*'Políticas anunciadas'!L16</f>
        <v>5.9644511428571419E-2</v>
      </c>
      <c r="O27" s="30">
        <f>Generation_output!F4*'Políticas anunciadas'!M16</f>
        <v>6.6310697792857129E-2</v>
      </c>
      <c r="P27" s="30">
        <f>Generation_output!G4*'Políticas anunciadas'!N16</f>
        <v>8.0961042857142854E-2</v>
      </c>
      <c r="Q27" s="30">
        <f>Generation_output!H4*'Políticas anunciadas'!O16</f>
        <v>9.6608887549999981E-2</v>
      </c>
      <c r="R27" s="30">
        <f>Generation_output!I4*'Políticas anunciadas'!P16</f>
        <v>0.11220380427142856</v>
      </c>
      <c r="S27" s="30">
        <f>Generation_output!J4*'Políticas anunciadas'!Q16</f>
        <v>0.12901615060714283</v>
      </c>
      <c r="T27" s="30">
        <f>Generation_output!K4*'Políticas anunciadas'!R16</f>
        <v>0.14684337685714283</v>
      </c>
      <c r="U27" s="30">
        <f>Generation_output!L4*'Políticas anunciadas'!S16</f>
        <v>0.16595901428571427</v>
      </c>
      <c r="V27" s="30">
        <f>Generation_output!M4*'Políticas anunciadas'!T16</f>
        <v>0.18429100714285709</v>
      </c>
      <c r="W27" s="30">
        <f>Generation_output!N4*'Políticas anunciadas'!U16</f>
        <v>0.20428567114285709</v>
      </c>
      <c r="X27" s="30">
        <f>Generation_output!O4*'Políticas anunciadas'!V16</f>
        <v>0.21974640000000001</v>
      </c>
      <c r="Y27" s="30">
        <f>Generation_output!P4*'Políticas anunciadas'!W16</f>
        <v>0.22166159999999999</v>
      </c>
      <c r="Z27" s="30">
        <f>Generation_output!Q4*'Políticas anunciadas'!X16</f>
        <v>0.22819900000000001</v>
      </c>
      <c r="AA27" s="30">
        <f>Generation_output!R4*'Políticas anunciadas'!Y16</f>
        <v>0.23425080000000001</v>
      </c>
      <c r="AB27" s="30">
        <f>Generation_output!S4*'Políticas anunciadas'!Z16</f>
        <v>0.23944120000000002</v>
      </c>
      <c r="AC27" s="30">
        <f>Generation_output!T4*'Políticas anunciadas'!AA16</f>
        <v>0.24728280000000002</v>
      </c>
      <c r="AD27" s="30">
        <f>Generation_output!U4*'Políticas anunciadas'!AB16</f>
        <v>0.25431700000000002</v>
      </c>
      <c r="AE27" s="30">
        <f>Generation_output!V4*'Políticas anunciadas'!AC16</f>
        <v>0.262542</v>
      </c>
      <c r="AF27" s="30">
        <f>Generation_output!W4*'Políticas anunciadas'!AD16</f>
        <v>0.27021220000000001</v>
      </c>
      <c r="AG27" s="30">
        <f>Generation_output!X4*'Políticas anunciadas'!AE16</f>
        <v>0.27791959999999999</v>
      </c>
      <c r="AH27" s="30">
        <f>Generation_output!Y4*'Políticas anunciadas'!AF16</f>
        <v>0.28542259999999997</v>
      </c>
      <c r="AI27" s="30">
        <f>Generation_output!Z4*'Políticas anunciadas'!AG16</f>
        <v>0.29298880000000005</v>
      </c>
      <c r="AJ27" s="30">
        <f>Generation_output!AA4*'Políticas anunciadas'!AH16</f>
        <v>0.29854039999999998</v>
      </c>
      <c r="AK27" s="30">
        <f>Generation_output!AB4*'Políticas anunciadas'!AI16</f>
        <v>0.30452839999999998</v>
      </c>
      <c r="AL27" s="30">
        <f>Generation_output!AC4*'Políticas anunciadas'!AJ16</f>
        <v>0.30821760000000004</v>
      </c>
      <c r="AM27" s="30">
        <f>Generation_output!AD4*'Políticas anunciadas'!AK16</f>
        <v>0.3138976</v>
      </c>
      <c r="AN27" s="30">
        <f>Generation_output!AE4*'Políticas anunciadas'!AL16</f>
        <v>0.31877060000000002</v>
      </c>
      <c r="AO27" s="30">
        <f>Generation_output!AF4*'Políticas anunciadas'!AM16</f>
        <v>0.32375480000000001</v>
      </c>
      <c r="AP27" s="30">
        <f>Generation_output!AG4*'Políticas anunciadas'!AN16</f>
        <v>0.32867760000000001</v>
      </c>
      <c r="AQ27" s="30">
        <f>Generation_output!AH4*'Políticas anunciadas'!AO16</f>
        <v>0.33361700000000005</v>
      </c>
      <c r="AR27" s="30">
        <f>Generation_output!AI4*'Políticas anunciadas'!AP16</f>
        <v>0.33935300000000002</v>
      </c>
      <c r="AS27" s="30">
        <f>Generation_output!AJ4*'Políticas anunciadas'!AQ16</f>
        <v>0.34490780000000004</v>
      </c>
      <c r="AT27" s="30">
        <f>Generation_output!AK4*'Políticas anunciadas'!AR16</f>
        <v>0.35049220000000003</v>
      </c>
      <c r="AU27" s="30">
        <f>Generation_output!AL4*'Políticas anunciadas'!AS16</f>
        <v>0.35605779999999998</v>
      </c>
      <c r="AV27" s="30">
        <f>Generation_output!AM4*'Políticas anunciadas'!AT16</f>
        <v>0.36179100000000003</v>
      </c>
      <c r="AW27" s="30">
        <f>Generation_output!AN4*'Políticas anunciadas'!AU16</f>
        <v>0.3674674</v>
      </c>
      <c r="AX27" s="30">
        <f>Generation_output!AO4*'Políticas anunciadas'!AV16</f>
        <v>0.37318200000000001</v>
      </c>
      <c r="AY27" s="30">
        <f>Generation_output!AP4*'Políticas anunciadas'!AW16</f>
        <v>0.3788974</v>
      </c>
      <c r="AZ27" s="30">
        <f>Generation_output!AQ4*'Políticas anunciadas'!AX16</f>
        <v>0.384662</v>
      </c>
      <c r="BA27" s="30">
        <f>Generation_output!AR4*'Políticas anunciadas'!AY16</f>
        <v>0.39052920000000002</v>
      </c>
      <c r="BB27" s="30">
        <f>Generation_output!AS4*'Políticas anunciadas'!AZ16</f>
        <v>0.39645200000000003</v>
      </c>
      <c r="BC27" s="30">
        <f>Generation_output!AT4*'Políticas anunciadas'!BA16</f>
        <v>0.40246700000000002</v>
      </c>
      <c r="BD27" s="30">
        <f>Generation_output!AU4*'Políticas anunciadas'!BB16</f>
        <v>0.40847460000000002</v>
      </c>
      <c r="BE27" s="30">
        <f>Generation_output!AV4*'Políticas anunciadas'!BC16</f>
        <v>0.41455500000000001</v>
      </c>
      <c r="BF27" s="30">
        <f>Generation_output!AW4*'Políticas anunciadas'!BD16</f>
        <v>0.42070440000000003</v>
      </c>
      <c r="BG27" s="30">
        <f>Generation_output!AX4*'Políticas anunciadas'!BE16</f>
        <v>0.42687120000000001</v>
      </c>
    </row>
    <row r="28" spans="1:59" ht="14.4">
      <c r="A28" s="384" t="s">
        <v>457</v>
      </c>
      <c r="B28" s="385" t="s">
        <v>623</v>
      </c>
      <c r="C28" s="389" t="s">
        <v>622</v>
      </c>
      <c r="D28" s="386" t="s">
        <v>621</v>
      </c>
      <c r="E28" s="386" t="s">
        <v>462</v>
      </c>
      <c r="F28" s="386" t="s">
        <v>462</v>
      </c>
      <c r="G28" s="390">
        <v>0</v>
      </c>
      <c r="H28" s="391">
        <v>0</v>
      </c>
      <c r="I28" s="391">
        <v>0</v>
      </c>
      <c r="J28" s="391">
        <v>0</v>
      </c>
      <c r="K28" s="30">
        <f t="shared" ref="K28:BG28" si="2">K27*1.01</f>
        <v>1.5627192030714287E-2</v>
      </c>
      <c r="L28" s="30">
        <f t="shared" si="2"/>
        <v>3.1628668274285718E-2</v>
      </c>
      <c r="M28" s="30">
        <f t="shared" si="2"/>
        <v>4.4520612212142853E-2</v>
      </c>
      <c r="N28" s="30">
        <f t="shared" si="2"/>
        <v>6.0240956542857133E-2</v>
      </c>
      <c r="O28" s="30">
        <f t="shared" si="2"/>
        <v>6.6973804770785697E-2</v>
      </c>
      <c r="P28" s="30">
        <f t="shared" si="2"/>
        <v>8.1770653285714284E-2</v>
      </c>
      <c r="Q28" s="30">
        <f t="shared" si="2"/>
        <v>9.7574976425499976E-2</v>
      </c>
      <c r="R28" s="30">
        <f t="shared" si="2"/>
        <v>0.11332584231414285</v>
      </c>
      <c r="S28" s="30">
        <f t="shared" si="2"/>
        <v>0.13030631211321425</v>
      </c>
      <c r="T28" s="30">
        <f t="shared" si="2"/>
        <v>0.14831181062571425</v>
      </c>
      <c r="U28" s="30">
        <f t="shared" si="2"/>
        <v>0.1676186044285714</v>
      </c>
      <c r="V28" s="30">
        <f t="shared" si="2"/>
        <v>0.18613391721428565</v>
      </c>
      <c r="W28" s="30">
        <f t="shared" si="2"/>
        <v>0.20632852785428565</v>
      </c>
      <c r="X28" s="30">
        <f t="shared" si="2"/>
        <v>0.22194386400000002</v>
      </c>
      <c r="Y28" s="30">
        <f t="shared" si="2"/>
        <v>0.22387821599999999</v>
      </c>
      <c r="Z28" s="30">
        <f t="shared" si="2"/>
        <v>0.23048099000000002</v>
      </c>
      <c r="AA28" s="30">
        <f t="shared" si="2"/>
        <v>0.236593308</v>
      </c>
      <c r="AB28" s="30">
        <f t="shared" si="2"/>
        <v>0.24183561200000003</v>
      </c>
      <c r="AC28" s="30">
        <f t="shared" si="2"/>
        <v>0.24975562800000004</v>
      </c>
      <c r="AD28" s="30">
        <f t="shared" si="2"/>
        <v>0.25686017</v>
      </c>
      <c r="AE28" s="30">
        <f t="shared" si="2"/>
        <v>0.26516741999999999</v>
      </c>
      <c r="AF28" s="30">
        <f t="shared" si="2"/>
        <v>0.27291432200000004</v>
      </c>
      <c r="AG28" s="30">
        <f t="shared" si="2"/>
        <v>0.28069879599999997</v>
      </c>
      <c r="AH28" s="30">
        <f t="shared" si="2"/>
        <v>0.28827682599999999</v>
      </c>
      <c r="AI28" s="30">
        <f t="shared" si="2"/>
        <v>0.29591868800000004</v>
      </c>
      <c r="AJ28" s="30">
        <f t="shared" si="2"/>
        <v>0.30152580400000001</v>
      </c>
      <c r="AK28" s="30">
        <f t="shared" si="2"/>
        <v>0.30757368399999996</v>
      </c>
      <c r="AL28" s="30">
        <f t="shared" si="2"/>
        <v>0.31129977600000003</v>
      </c>
      <c r="AM28" s="30">
        <f t="shared" si="2"/>
        <v>0.31703657600000001</v>
      </c>
      <c r="AN28" s="30">
        <f t="shared" si="2"/>
        <v>0.32195830600000003</v>
      </c>
      <c r="AO28" s="30">
        <f t="shared" si="2"/>
        <v>0.32699234799999999</v>
      </c>
      <c r="AP28" s="30">
        <f t="shared" si="2"/>
        <v>0.33196437600000001</v>
      </c>
      <c r="AQ28" s="30">
        <f t="shared" si="2"/>
        <v>0.33695317000000008</v>
      </c>
      <c r="AR28" s="30">
        <f t="shared" si="2"/>
        <v>0.34274652999999999</v>
      </c>
      <c r="AS28" s="30">
        <f t="shared" si="2"/>
        <v>0.34835687800000004</v>
      </c>
      <c r="AT28" s="30">
        <f t="shared" si="2"/>
        <v>0.35399712200000005</v>
      </c>
      <c r="AU28" s="30">
        <f t="shared" si="2"/>
        <v>0.35961837799999996</v>
      </c>
      <c r="AV28" s="30">
        <f t="shared" si="2"/>
        <v>0.36540891000000003</v>
      </c>
      <c r="AW28" s="30">
        <f t="shared" si="2"/>
        <v>0.37114207399999999</v>
      </c>
      <c r="AX28" s="30">
        <f t="shared" si="2"/>
        <v>0.37691382000000001</v>
      </c>
      <c r="AY28" s="30">
        <f t="shared" si="2"/>
        <v>0.382686374</v>
      </c>
      <c r="AZ28" s="30">
        <f t="shared" si="2"/>
        <v>0.38850862000000003</v>
      </c>
      <c r="BA28" s="30">
        <f t="shared" si="2"/>
        <v>0.39443449200000003</v>
      </c>
      <c r="BB28" s="30">
        <f t="shared" si="2"/>
        <v>0.40041652000000005</v>
      </c>
      <c r="BC28" s="30">
        <f t="shared" si="2"/>
        <v>0.40649167000000003</v>
      </c>
      <c r="BD28" s="30">
        <f t="shared" si="2"/>
        <v>0.41255934600000005</v>
      </c>
      <c r="BE28" s="30">
        <f t="shared" si="2"/>
        <v>0.41870055</v>
      </c>
      <c r="BF28" s="30">
        <f t="shared" si="2"/>
        <v>0.42491144400000003</v>
      </c>
      <c r="BG28" s="30">
        <f t="shared" si="2"/>
        <v>0.43113991200000001</v>
      </c>
    </row>
    <row r="29" spans="1:59" ht="14.4">
      <c r="A29" s="389" t="s">
        <v>554</v>
      </c>
      <c r="B29" s="392" t="s">
        <v>619</v>
      </c>
      <c r="C29" s="392" t="s">
        <v>100</v>
      </c>
      <c r="D29" s="392" t="s">
        <v>621</v>
      </c>
      <c r="E29" s="392" t="s">
        <v>462</v>
      </c>
      <c r="F29" s="392" t="s">
        <v>462</v>
      </c>
      <c r="G29" s="387">
        <v>3.5324</v>
      </c>
      <c r="H29" s="388">
        <v>2.39</v>
      </c>
      <c r="I29" s="388">
        <v>1.9516</v>
      </c>
      <c r="J29" s="388">
        <v>1.5744</v>
      </c>
      <c r="K29" s="30">
        <f>Generation_output!B4*'Políticas anunciadas'!I23</f>
        <v>3.0957882385714286</v>
      </c>
      <c r="L29" s="30">
        <f>Generation_output!C4*'Políticas anunciadas'!J23</f>
        <v>3.2091218514285713</v>
      </c>
      <c r="M29" s="30">
        <f>Generation_output!D4*'Políticas anunciadas'!K23</f>
        <v>2.8926942757142857</v>
      </c>
      <c r="N29" s="30">
        <f>Generation_output!E4*'Políticas anunciadas'!L23</f>
        <v>2.7594569142857139</v>
      </c>
      <c r="O29" s="30">
        <f>Generation_output!F4*'Políticas anunciadas'!M23</f>
        <v>2.2766457684285712</v>
      </c>
      <c r="P29" s="30">
        <f>Generation_output!G4*'Políticas anunciadas'!N23</f>
        <v>2.1245659285714282</v>
      </c>
      <c r="Q29" s="30">
        <f>Generation_output!H4*'Políticas anunciadas'!O23</f>
        <v>1.9702502189999995</v>
      </c>
      <c r="R29" s="30">
        <f>Generation_output!I4*'Políticas anunciadas'!P23</f>
        <v>1.7919322017142854</v>
      </c>
      <c r="S29" s="30">
        <f>Generation_output!J4*'Políticas anunciadas'!Q23</f>
        <v>1.613590423571428</v>
      </c>
      <c r="T29" s="30">
        <f>Generation_output!K4*'Políticas anunciadas'!R23</f>
        <v>1.427562848571428</v>
      </c>
      <c r="U29" s="30">
        <f>Generation_output!L4*'Políticas anunciadas'!S23</f>
        <v>1.2336111428571421</v>
      </c>
      <c r="V29" s="30">
        <f>Generation_output!M4*'Políticas anunciadas'!T23</f>
        <v>1.0172005714285706</v>
      </c>
      <c r="W29" s="30">
        <f>Generation_output!N4*'Políticas anunciadas'!U23</f>
        <v>0.79579589142857043</v>
      </c>
      <c r="X29" s="30">
        <f>Generation_output!O4*'Políticas anunciadas'!V23</f>
        <v>0.54936600000000002</v>
      </c>
      <c r="Y29" s="30">
        <f>Generation_output!P4*'Políticas anunciadas'!W23</f>
        <v>0.55415400000000004</v>
      </c>
      <c r="Z29" s="30">
        <f>Generation_output!Q4*'Políticas anunciadas'!X23</f>
        <v>0.57049749999999999</v>
      </c>
      <c r="AA29" s="30">
        <f>Generation_output!R4*'Políticas anunciadas'!Y23</f>
        <v>0.58562700000000001</v>
      </c>
      <c r="AB29" s="30">
        <f>Generation_output!S4*'Políticas anunciadas'!Z23</f>
        <v>0.598603</v>
      </c>
      <c r="AC29" s="30">
        <f>Generation_output!T4*'Políticas anunciadas'!AA23</f>
        <v>0.61820700000000006</v>
      </c>
      <c r="AD29" s="30">
        <f>Generation_output!U4*'Políticas anunciadas'!AB23</f>
        <v>0.63579249999999998</v>
      </c>
      <c r="AE29" s="30">
        <f>Generation_output!V4*'Políticas anunciadas'!AC23</f>
        <v>0.65635499999999991</v>
      </c>
      <c r="AF29" s="30">
        <f>Generation_output!W4*'Políticas anunciadas'!AD23</f>
        <v>0.67553050000000003</v>
      </c>
      <c r="AG29" s="30">
        <f>Generation_output!X4*'Políticas anunciadas'!AE23</f>
        <v>0.69479900000000006</v>
      </c>
      <c r="AH29" s="30">
        <f>Generation_output!Y4*'Políticas anunciadas'!AF23</f>
        <v>0.71355650000000004</v>
      </c>
      <c r="AI29" s="30">
        <f>Generation_output!Z4*'Políticas anunciadas'!AG23</f>
        <v>0.73247200000000012</v>
      </c>
      <c r="AJ29" s="30">
        <f>Generation_output!AA4*'Políticas anunciadas'!AH23</f>
        <v>0.74635099999999999</v>
      </c>
      <c r="AK29" s="30">
        <f>Generation_output!AB4*'Políticas anunciadas'!AI23</f>
        <v>0.76132099999999991</v>
      </c>
      <c r="AL29" s="30">
        <f>Generation_output!AC4*'Políticas anunciadas'!AJ23</f>
        <v>0.77054400000000001</v>
      </c>
      <c r="AM29" s="30">
        <f>Generation_output!AD4*'Políticas anunciadas'!AK23</f>
        <v>0.784744</v>
      </c>
      <c r="AN29" s="30">
        <f>Generation_output!AE4*'Políticas anunciadas'!AL23</f>
        <v>0.79692649999999998</v>
      </c>
      <c r="AO29" s="30">
        <f>Generation_output!AF4*'Políticas anunciadas'!AM23</f>
        <v>0.80938699999999997</v>
      </c>
      <c r="AP29" s="30">
        <f>Generation_output!AG4*'Políticas anunciadas'!AN23</f>
        <v>0.82169399999999992</v>
      </c>
      <c r="AQ29" s="30">
        <f>Generation_output!AH4*'Políticas anunciadas'!AO23</f>
        <v>0.83404250000000002</v>
      </c>
      <c r="AR29" s="30">
        <f>Generation_output!AI4*'Políticas anunciadas'!AP23</f>
        <v>0.84838250000000004</v>
      </c>
      <c r="AS29" s="30">
        <f>Generation_output!AJ4*'Políticas anunciadas'!AQ23</f>
        <v>0.86226950000000002</v>
      </c>
      <c r="AT29" s="30">
        <f>Generation_output!AK4*'Políticas anunciadas'!AR23</f>
        <v>0.87623050000000013</v>
      </c>
      <c r="AU29" s="30">
        <f>Generation_output!AL4*'Políticas anunciadas'!AS23</f>
        <v>0.89014450000000001</v>
      </c>
      <c r="AV29" s="30">
        <f>Generation_output!AM4*'Políticas anunciadas'!AT23</f>
        <v>0.90447750000000005</v>
      </c>
      <c r="AW29" s="30">
        <f>Generation_output!AN4*'Políticas anunciadas'!AU23</f>
        <v>0.9186685</v>
      </c>
      <c r="AX29" s="30">
        <f>Generation_output!AO4*'Políticas anunciadas'!AV23</f>
        <v>0.93295500000000009</v>
      </c>
      <c r="AY29" s="30">
        <f>Generation_output!AP4*'Políticas anunciadas'!AW23</f>
        <v>0.94724350000000002</v>
      </c>
      <c r="AZ29" s="30">
        <f>Generation_output!AQ4*'Políticas anunciadas'!AX23</f>
        <v>0.96165499999999993</v>
      </c>
      <c r="BA29" s="30">
        <f>Generation_output!AR4*'Políticas anunciadas'!AY23</f>
        <v>0.97632300000000005</v>
      </c>
      <c r="BB29" s="30">
        <f>Generation_output!AS4*'Políticas anunciadas'!AZ23</f>
        <v>0.99113000000000007</v>
      </c>
      <c r="BC29" s="30">
        <f>Generation_output!AT4*'Políticas anunciadas'!BA23</f>
        <v>1.0061674999999999</v>
      </c>
      <c r="BD29" s="30">
        <f>Generation_output!AU4*'Políticas anunciadas'!BB23</f>
        <v>1.0211865</v>
      </c>
      <c r="BE29" s="30">
        <f>Generation_output!AV4*'Políticas anunciadas'!BC23</f>
        <v>1.0363875</v>
      </c>
      <c r="BF29" s="30">
        <f>Generation_output!AW4*'Políticas anunciadas'!BD23</f>
        <v>1.0517610000000002</v>
      </c>
      <c r="BG29" s="30">
        <f>Generation_output!AX4*'Políticas anunciadas'!BE23</f>
        <v>1.067178</v>
      </c>
    </row>
    <row r="30" spans="1:59" ht="14.4">
      <c r="A30" s="30"/>
      <c r="B30" s="391"/>
      <c r="C30" s="393"/>
      <c r="D30" s="397"/>
      <c r="E30" s="397"/>
      <c r="F30" s="397"/>
      <c r="G30" s="387"/>
      <c r="H30" s="388"/>
      <c r="I30" s="388"/>
      <c r="J30" s="388"/>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row>
    <row r="31" spans="1:59" ht="15.75" customHeight="1">
      <c r="A31" s="30" t="s">
        <v>554</v>
      </c>
      <c r="B31" s="391" t="s">
        <v>619</v>
      </c>
      <c r="C31" s="398" t="s">
        <v>277</v>
      </c>
      <c r="D31" s="1"/>
      <c r="E31" s="1"/>
      <c r="F31" s="397" t="s">
        <v>633</v>
      </c>
      <c r="G31" s="399">
        <v>0.12379999999999999</v>
      </c>
      <c r="H31" s="399">
        <v>0.11799999999999999</v>
      </c>
      <c r="I31" s="399">
        <v>0.12039999999999999</v>
      </c>
      <c r="J31" s="399">
        <v>0.1191</v>
      </c>
      <c r="K31" s="400">
        <v>0.1201</v>
      </c>
      <c r="L31" s="400">
        <v>0.1239</v>
      </c>
      <c r="M31" s="400">
        <v>0.12479999999999999</v>
      </c>
      <c r="N31" s="400">
        <v>0.1283</v>
      </c>
      <c r="O31" s="400">
        <v>0.13159999999999999</v>
      </c>
      <c r="P31" s="400">
        <v>0.1358</v>
      </c>
      <c r="Q31" s="400">
        <v>0.13569999999999999</v>
      </c>
      <c r="R31" s="400">
        <v>0.1386</v>
      </c>
      <c r="S31" s="400">
        <v>0.14249999999999999</v>
      </c>
      <c r="T31" s="400">
        <v>0.14499999999999999</v>
      </c>
      <c r="U31" s="400">
        <v>0.14910000000000001</v>
      </c>
      <c r="V31" s="400">
        <v>0.15340000000000001</v>
      </c>
      <c r="W31" s="400">
        <v>0.15740000000000001</v>
      </c>
      <c r="X31" s="400">
        <v>0.16109999999999999</v>
      </c>
      <c r="Y31" s="400">
        <v>0.1656</v>
      </c>
      <c r="Z31" s="400">
        <v>0.16930000000000001</v>
      </c>
      <c r="AA31" s="400">
        <v>0.17349999999999999</v>
      </c>
      <c r="AB31" s="400">
        <v>0.1777</v>
      </c>
      <c r="AC31" s="400">
        <v>0.18190000000000001</v>
      </c>
      <c r="AD31" s="400">
        <v>0.18590000000000001</v>
      </c>
      <c r="AE31" s="400">
        <v>0.19009999999999999</v>
      </c>
      <c r="AF31" s="400">
        <v>0.19320000000000001</v>
      </c>
      <c r="AG31" s="400">
        <v>0.19739999999999999</v>
      </c>
      <c r="AH31" s="400">
        <v>0.2009</v>
      </c>
      <c r="AI31" s="400">
        <v>0.20530000000000001</v>
      </c>
      <c r="AJ31" s="400">
        <v>0.20880000000000001</v>
      </c>
      <c r="AK31" s="400">
        <v>0.21240000000000001</v>
      </c>
      <c r="AL31" s="400">
        <v>0.216</v>
      </c>
      <c r="AM31" s="400">
        <v>0.21970000000000001</v>
      </c>
      <c r="AN31" s="400">
        <v>0.2273</v>
      </c>
      <c r="AO31" s="400">
        <v>0.23130000000000001</v>
      </c>
      <c r="AP31" s="400">
        <v>0.23519999999999999</v>
      </c>
      <c r="AQ31" s="400">
        <v>0.2392</v>
      </c>
      <c r="AR31" s="400">
        <v>0.24329999999999999</v>
      </c>
      <c r="AS31" s="400">
        <v>0.24740000000000001</v>
      </c>
      <c r="AT31" s="400">
        <v>0.2515</v>
      </c>
      <c r="AU31" s="400">
        <v>0.2555</v>
      </c>
      <c r="AV31" s="400">
        <v>0.2596</v>
      </c>
      <c r="AW31" s="400">
        <v>0.26379999999999998</v>
      </c>
      <c r="AX31" s="400">
        <v>0.26800000000000002</v>
      </c>
      <c r="AY31" s="400">
        <v>0.27229999999999999</v>
      </c>
      <c r="AZ31" s="400">
        <v>0.27650000000000002</v>
      </c>
      <c r="BA31" s="400">
        <v>0.28079999999999999</v>
      </c>
      <c r="BB31" s="400">
        <v>0.28510000000000002</v>
      </c>
      <c r="BC31" s="400">
        <v>0.28949999999999998</v>
      </c>
      <c r="BD31" s="400">
        <v>0.29380000000000001</v>
      </c>
      <c r="BE31" s="400">
        <v>0.29820000000000002</v>
      </c>
      <c r="BF31" s="400">
        <v>0.30270000000000002</v>
      </c>
      <c r="BG31" s="400">
        <v>0.30719999999999997</v>
      </c>
    </row>
    <row r="32" spans="1:59" ht="15.75" customHeight="1">
      <c r="A32" s="30" t="s">
        <v>554</v>
      </c>
      <c r="B32" s="391" t="s">
        <v>619</v>
      </c>
      <c r="C32" s="398" t="s">
        <v>277</v>
      </c>
      <c r="D32" s="1"/>
      <c r="E32" s="1"/>
      <c r="F32" s="397" t="s">
        <v>634</v>
      </c>
      <c r="G32" s="1">
        <f t="shared" ref="G32:L32" si="3">G31</f>
        <v>0.12379999999999999</v>
      </c>
      <c r="H32" s="1">
        <f t="shared" si="3"/>
        <v>0.11799999999999999</v>
      </c>
      <c r="I32" s="1">
        <f t="shared" si="3"/>
        <v>0.12039999999999999</v>
      </c>
      <c r="J32" s="1">
        <f t="shared" si="3"/>
        <v>0.1191</v>
      </c>
      <c r="K32" s="1">
        <f t="shared" si="3"/>
        <v>0.1201</v>
      </c>
      <c r="L32" s="1">
        <f t="shared" si="3"/>
        <v>0.1239</v>
      </c>
      <c r="M32" s="1">
        <f t="shared" ref="M32:BG32" si="4">M31*1.7</f>
        <v>0.21215999999999999</v>
      </c>
      <c r="N32" s="1">
        <f t="shared" si="4"/>
        <v>0.21811</v>
      </c>
      <c r="O32" s="1">
        <f t="shared" si="4"/>
        <v>0.22371999999999997</v>
      </c>
      <c r="P32" s="1">
        <f t="shared" si="4"/>
        <v>0.23086000000000001</v>
      </c>
      <c r="Q32" s="1">
        <f t="shared" si="4"/>
        <v>0.23068999999999998</v>
      </c>
      <c r="R32" s="1">
        <f t="shared" si="4"/>
        <v>0.23562</v>
      </c>
      <c r="S32" s="1">
        <f t="shared" si="4"/>
        <v>0.24224999999999997</v>
      </c>
      <c r="T32" s="1">
        <f t="shared" si="4"/>
        <v>0.24649999999999997</v>
      </c>
      <c r="U32" s="1">
        <f t="shared" si="4"/>
        <v>0.25347000000000003</v>
      </c>
      <c r="V32" s="1">
        <f t="shared" si="4"/>
        <v>0.26078000000000001</v>
      </c>
      <c r="W32" s="1">
        <f t="shared" si="4"/>
        <v>0.26758000000000004</v>
      </c>
      <c r="X32" s="1">
        <f t="shared" si="4"/>
        <v>0.27387</v>
      </c>
      <c r="Y32" s="1">
        <f t="shared" si="4"/>
        <v>0.28151999999999999</v>
      </c>
      <c r="Z32" s="1">
        <f t="shared" si="4"/>
        <v>0.28781000000000001</v>
      </c>
      <c r="AA32" s="1">
        <f t="shared" si="4"/>
        <v>0.29494999999999999</v>
      </c>
      <c r="AB32" s="1">
        <f t="shared" si="4"/>
        <v>0.30208999999999997</v>
      </c>
      <c r="AC32" s="1">
        <f t="shared" si="4"/>
        <v>0.30923</v>
      </c>
      <c r="AD32" s="1">
        <f t="shared" si="4"/>
        <v>0.31603000000000003</v>
      </c>
      <c r="AE32" s="1">
        <f t="shared" si="4"/>
        <v>0.32316999999999996</v>
      </c>
      <c r="AF32" s="1">
        <f t="shared" si="4"/>
        <v>0.32844000000000001</v>
      </c>
      <c r="AG32" s="1">
        <f t="shared" si="4"/>
        <v>0.33557999999999999</v>
      </c>
      <c r="AH32" s="1">
        <f t="shared" si="4"/>
        <v>0.34153</v>
      </c>
      <c r="AI32" s="1">
        <f t="shared" si="4"/>
        <v>0.34900999999999999</v>
      </c>
      <c r="AJ32" s="1">
        <f t="shared" si="4"/>
        <v>0.35496</v>
      </c>
      <c r="AK32" s="1">
        <f t="shared" si="4"/>
        <v>0.36108000000000001</v>
      </c>
      <c r="AL32" s="1">
        <f t="shared" si="4"/>
        <v>0.36719999999999997</v>
      </c>
      <c r="AM32" s="1">
        <f t="shared" si="4"/>
        <v>0.37348999999999999</v>
      </c>
      <c r="AN32" s="1">
        <f t="shared" si="4"/>
        <v>0.38640999999999998</v>
      </c>
      <c r="AO32" s="1">
        <f t="shared" si="4"/>
        <v>0.39321</v>
      </c>
      <c r="AP32" s="1">
        <f t="shared" si="4"/>
        <v>0.39983999999999997</v>
      </c>
      <c r="AQ32" s="1">
        <f t="shared" si="4"/>
        <v>0.40664</v>
      </c>
      <c r="AR32" s="1">
        <f t="shared" si="4"/>
        <v>0.41360999999999998</v>
      </c>
      <c r="AS32" s="1">
        <f t="shared" si="4"/>
        <v>0.42058000000000001</v>
      </c>
      <c r="AT32" s="1">
        <f t="shared" si="4"/>
        <v>0.42754999999999999</v>
      </c>
      <c r="AU32" s="1">
        <f t="shared" si="4"/>
        <v>0.43435000000000001</v>
      </c>
      <c r="AV32" s="1">
        <f t="shared" si="4"/>
        <v>0.44131999999999999</v>
      </c>
      <c r="AW32" s="1">
        <f t="shared" si="4"/>
        <v>0.44845999999999997</v>
      </c>
      <c r="AX32" s="1">
        <f t="shared" si="4"/>
        <v>0.4556</v>
      </c>
      <c r="AY32" s="1">
        <f t="shared" si="4"/>
        <v>0.46290999999999999</v>
      </c>
      <c r="AZ32" s="1">
        <f t="shared" si="4"/>
        <v>0.47005000000000002</v>
      </c>
      <c r="BA32" s="1">
        <f t="shared" si="4"/>
        <v>0.47735999999999995</v>
      </c>
      <c r="BB32" s="1">
        <f t="shared" si="4"/>
        <v>0.48467000000000005</v>
      </c>
      <c r="BC32" s="1">
        <f t="shared" si="4"/>
        <v>0.49214999999999998</v>
      </c>
      <c r="BD32" s="1">
        <f t="shared" si="4"/>
        <v>0.49946000000000002</v>
      </c>
      <c r="BE32" s="1">
        <f t="shared" si="4"/>
        <v>0.50694000000000006</v>
      </c>
      <c r="BF32" s="1">
        <f t="shared" si="4"/>
        <v>0.51458999999999999</v>
      </c>
      <c r="BG32" s="1">
        <f t="shared" si="4"/>
        <v>0.52223999999999993</v>
      </c>
    </row>
    <row r="33" spans="1:59" ht="15.75" customHeight="1">
      <c r="A33" s="30" t="s">
        <v>554</v>
      </c>
      <c r="B33" s="391" t="s">
        <v>619</v>
      </c>
      <c r="C33" s="398" t="s">
        <v>277</v>
      </c>
      <c r="D33" s="1"/>
      <c r="E33" s="1"/>
      <c r="F33" s="397" t="s">
        <v>635</v>
      </c>
      <c r="G33" s="1">
        <f t="shared" ref="G33:BG33" si="5">G32*1.01</f>
        <v>0.12503799999999998</v>
      </c>
      <c r="H33" s="1">
        <f t="shared" si="5"/>
        <v>0.11917999999999999</v>
      </c>
      <c r="I33" s="1">
        <f t="shared" si="5"/>
        <v>0.12160399999999999</v>
      </c>
      <c r="J33" s="1">
        <f t="shared" si="5"/>
        <v>0.120291</v>
      </c>
      <c r="K33" s="1">
        <f t="shared" si="5"/>
        <v>0.12130100000000001</v>
      </c>
      <c r="L33" s="1">
        <f t="shared" si="5"/>
        <v>0.125139</v>
      </c>
      <c r="M33" s="1">
        <f t="shared" si="5"/>
        <v>0.21428159999999999</v>
      </c>
      <c r="N33" s="1">
        <f t="shared" si="5"/>
        <v>0.22029109999999999</v>
      </c>
      <c r="O33" s="1">
        <f t="shared" si="5"/>
        <v>0.22595719999999997</v>
      </c>
      <c r="P33" s="1">
        <f t="shared" si="5"/>
        <v>0.2331686</v>
      </c>
      <c r="Q33" s="1">
        <f t="shared" si="5"/>
        <v>0.23299689999999998</v>
      </c>
      <c r="R33" s="1">
        <f t="shared" si="5"/>
        <v>0.2379762</v>
      </c>
      <c r="S33" s="1">
        <f t="shared" si="5"/>
        <v>0.24467249999999996</v>
      </c>
      <c r="T33" s="1">
        <f t="shared" si="5"/>
        <v>0.24896499999999996</v>
      </c>
      <c r="U33" s="1">
        <f t="shared" si="5"/>
        <v>0.25600470000000003</v>
      </c>
      <c r="V33" s="1">
        <f t="shared" si="5"/>
        <v>0.26338780000000001</v>
      </c>
      <c r="W33" s="1">
        <f t="shared" si="5"/>
        <v>0.27025580000000005</v>
      </c>
      <c r="X33" s="1">
        <f t="shared" si="5"/>
        <v>0.27660869999999999</v>
      </c>
      <c r="Y33" s="1">
        <f t="shared" si="5"/>
        <v>0.28433520000000001</v>
      </c>
      <c r="Z33" s="1">
        <f t="shared" si="5"/>
        <v>0.2906881</v>
      </c>
      <c r="AA33" s="1">
        <f t="shared" si="5"/>
        <v>0.29789949999999998</v>
      </c>
      <c r="AB33" s="1">
        <f t="shared" si="5"/>
        <v>0.30511089999999996</v>
      </c>
      <c r="AC33" s="1">
        <f t="shared" si="5"/>
        <v>0.3123223</v>
      </c>
      <c r="AD33" s="1">
        <f t="shared" si="5"/>
        <v>0.31919030000000004</v>
      </c>
      <c r="AE33" s="1">
        <f t="shared" si="5"/>
        <v>0.32640169999999996</v>
      </c>
      <c r="AF33" s="1">
        <f t="shared" si="5"/>
        <v>0.33172440000000003</v>
      </c>
      <c r="AG33" s="1">
        <f t="shared" si="5"/>
        <v>0.33893580000000001</v>
      </c>
      <c r="AH33" s="1">
        <f t="shared" si="5"/>
        <v>0.34494530000000001</v>
      </c>
      <c r="AI33" s="1">
        <f t="shared" si="5"/>
        <v>0.35250009999999998</v>
      </c>
      <c r="AJ33" s="1">
        <f t="shared" si="5"/>
        <v>0.35850959999999998</v>
      </c>
      <c r="AK33" s="1">
        <f t="shared" si="5"/>
        <v>0.36469080000000004</v>
      </c>
      <c r="AL33" s="1">
        <f t="shared" si="5"/>
        <v>0.37087199999999998</v>
      </c>
      <c r="AM33" s="1">
        <f t="shared" si="5"/>
        <v>0.37722489999999997</v>
      </c>
      <c r="AN33" s="1">
        <f t="shared" si="5"/>
        <v>0.39027409999999996</v>
      </c>
      <c r="AO33" s="1">
        <f t="shared" si="5"/>
        <v>0.3971421</v>
      </c>
      <c r="AP33" s="1">
        <f t="shared" si="5"/>
        <v>0.40383839999999999</v>
      </c>
      <c r="AQ33" s="1">
        <f t="shared" si="5"/>
        <v>0.41070640000000003</v>
      </c>
      <c r="AR33" s="1">
        <f t="shared" si="5"/>
        <v>0.41774609999999995</v>
      </c>
      <c r="AS33" s="1">
        <f t="shared" si="5"/>
        <v>0.42478579999999999</v>
      </c>
      <c r="AT33" s="1">
        <f t="shared" si="5"/>
        <v>0.43182549999999997</v>
      </c>
      <c r="AU33" s="1">
        <f t="shared" si="5"/>
        <v>0.43869350000000001</v>
      </c>
      <c r="AV33" s="1">
        <f t="shared" si="5"/>
        <v>0.4457332</v>
      </c>
      <c r="AW33" s="1">
        <f t="shared" si="5"/>
        <v>0.45294459999999998</v>
      </c>
      <c r="AX33" s="1">
        <f t="shared" si="5"/>
        <v>0.46015600000000001</v>
      </c>
      <c r="AY33" s="1">
        <f t="shared" si="5"/>
        <v>0.46753909999999999</v>
      </c>
      <c r="AZ33" s="1">
        <f t="shared" si="5"/>
        <v>0.47475050000000002</v>
      </c>
      <c r="BA33" s="1">
        <f t="shared" si="5"/>
        <v>0.48213359999999994</v>
      </c>
      <c r="BB33" s="1">
        <f t="shared" si="5"/>
        <v>0.48951670000000003</v>
      </c>
      <c r="BC33" s="1">
        <f t="shared" si="5"/>
        <v>0.4970715</v>
      </c>
      <c r="BD33" s="1">
        <f t="shared" si="5"/>
        <v>0.50445459999999998</v>
      </c>
      <c r="BE33" s="1">
        <f t="shared" si="5"/>
        <v>0.51200940000000006</v>
      </c>
      <c r="BF33" s="1">
        <f t="shared" si="5"/>
        <v>0.51973590000000003</v>
      </c>
      <c r="BG33" s="1">
        <f t="shared" si="5"/>
        <v>0.52746239999999989</v>
      </c>
    </row>
    <row r="34" spans="1:59" ht="15.75" customHeight="1">
      <c r="A34" s="30" t="s">
        <v>554</v>
      </c>
      <c r="B34" s="391" t="s">
        <v>619</v>
      </c>
      <c r="C34" s="401" t="s">
        <v>280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row>
    <row r="35" spans="1:59" ht="15.75" customHeight="1">
      <c r="A35" s="30" t="s">
        <v>554</v>
      </c>
      <c r="B35" s="391" t="s">
        <v>619</v>
      </c>
      <c r="C35" s="401" t="s">
        <v>280</v>
      </c>
      <c r="D35" s="1"/>
      <c r="E35" s="1"/>
      <c r="F35" s="397" t="s">
        <v>633</v>
      </c>
      <c r="G35" s="399">
        <v>0.26250000000000001</v>
      </c>
      <c r="H35" s="399">
        <v>0.28489999999999999</v>
      </c>
      <c r="I35" s="399">
        <v>0.25519999999999998</v>
      </c>
      <c r="J35" s="399">
        <v>0.21390000000000001</v>
      </c>
      <c r="K35" s="400">
        <v>0.25369999999999998</v>
      </c>
      <c r="L35" s="400">
        <v>0.26169999999999999</v>
      </c>
      <c r="M35" s="400">
        <v>0.2636</v>
      </c>
      <c r="N35" s="400">
        <v>0.27079999999999999</v>
      </c>
      <c r="O35" s="400">
        <v>0.27800000000000002</v>
      </c>
      <c r="P35" s="400">
        <v>0.28670000000000001</v>
      </c>
      <c r="Q35" s="400">
        <v>0.28649999999999998</v>
      </c>
      <c r="R35" s="400">
        <v>0.2928</v>
      </c>
      <c r="S35" s="400">
        <v>0.30080000000000001</v>
      </c>
      <c r="T35" s="400">
        <v>0.30620000000000003</v>
      </c>
      <c r="U35" s="400">
        <v>0.31480000000000002</v>
      </c>
      <c r="V35" s="400">
        <v>0.32390000000000002</v>
      </c>
      <c r="W35" s="400">
        <v>0.33250000000000002</v>
      </c>
      <c r="X35" s="400">
        <v>0.3402</v>
      </c>
      <c r="Y35" s="400">
        <v>0.34960000000000002</v>
      </c>
      <c r="Z35" s="400">
        <v>0.3574</v>
      </c>
      <c r="AA35" s="400">
        <v>0.36630000000000001</v>
      </c>
      <c r="AB35" s="400">
        <v>0.37530000000000002</v>
      </c>
      <c r="AC35" s="400">
        <v>0.3841</v>
      </c>
      <c r="AD35" s="400">
        <v>0.39250000000000002</v>
      </c>
      <c r="AE35" s="400">
        <v>0.40139999999999998</v>
      </c>
      <c r="AF35" s="400">
        <v>0.40799999999999997</v>
      </c>
      <c r="AG35" s="400">
        <v>0.41689999999999999</v>
      </c>
      <c r="AH35" s="400">
        <v>0.42420000000000002</v>
      </c>
      <c r="AI35" s="400">
        <v>0.43359999999999999</v>
      </c>
      <c r="AJ35" s="400">
        <v>0.441</v>
      </c>
      <c r="AK35" s="400">
        <v>0.4486</v>
      </c>
      <c r="AL35" s="400">
        <v>0.45610000000000001</v>
      </c>
      <c r="AM35" s="400">
        <v>0.46389999999999998</v>
      </c>
      <c r="AN35" s="400">
        <v>0.48</v>
      </c>
      <c r="AO35" s="400">
        <v>0.48830000000000001</v>
      </c>
      <c r="AP35" s="400">
        <v>0.49669999999999997</v>
      </c>
      <c r="AQ35" s="400">
        <v>0.50509999999999999</v>
      </c>
      <c r="AR35" s="400">
        <v>0.51380000000000003</v>
      </c>
      <c r="AS35" s="400">
        <v>0.52239999999999998</v>
      </c>
      <c r="AT35" s="400">
        <v>0.53100000000000003</v>
      </c>
      <c r="AU35" s="400">
        <v>0.53959999999999997</v>
      </c>
      <c r="AV35" s="400">
        <v>0.54820000000000002</v>
      </c>
      <c r="AW35" s="400">
        <v>0.55700000000000005</v>
      </c>
      <c r="AX35" s="400">
        <v>0.56589999999999996</v>
      </c>
      <c r="AY35" s="400">
        <v>0.57489999999999997</v>
      </c>
      <c r="AZ35" s="400">
        <v>0.58379999999999999</v>
      </c>
      <c r="BA35" s="400">
        <v>0.59289999999999998</v>
      </c>
      <c r="BB35" s="400">
        <v>0.60209999999999997</v>
      </c>
      <c r="BC35" s="400">
        <v>0.61119999999999997</v>
      </c>
      <c r="BD35" s="400">
        <v>0.62050000000000005</v>
      </c>
      <c r="BE35" s="400">
        <v>0.62980000000000003</v>
      </c>
      <c r="BF35" s="400">
        <v>0.6391</v>
      </c>
      <c r="BG35" s="400">
        <v>0.64859999999999995</v>
      </c>
    </row>
    <row r="36" spans="1:59" ht="15.75" customHeight="1">
      <c r="A36" s="30" t="s">
        <v>554</v>
      </c>
      <c r="B36" s="391" t="s">
        <v>619</v>
      </c>
      <c r="C36" s="401" t="s">
        <v>280</v>
      </c>
      <c r="D36" s="1"/>
      <c r="E36" s="1"/>
      <c r="F36" s="397" t="s">
        <v>634</v>
      </c>
      <c r="G36" s="1">
        <f t="shared" ref="G36:L36" si="6">G35</f>
        <v>0.26250000000000001</v>
      </c>
      <c r="H36" s="1">
        <f t="shared" si="6"/>
        <v>0.28489999999999999</v>
      </c>
      <c r="I36" s="1">
        <f t="shared" si="6"/>
        <v>0.25519999999999998</v>
      </c>
      <c r="J36" s="1">
        <f t="shared" si="6"/>
        <v>0.21390000000000001</v>
      </c>
      <c r="K36" s="1">
        <f t="shared" si="6"/>
        <v>0.25369999999999998</v>
      </c>
      <c r="L36" s="1">
        <f t="shared" si="6"/>
        <v>0.26169999999999999</v>
      </c>
      <c r="M36" s="1">
        <f t="shared" ref="M36:BG36" si="7">M35*1.15</f>
        <v>0.30313999999999997</v>
      </c>
      <c r="N36" s="1">
        <f t="shared" si="7"/>
        <v>0.31141999999999997</v>
      </c>
      <c r="O36" s="1">
        <f t="shared" si="7"/>
        <v>0.31969999999999998</v>
      </c>
      <c r="P36" s="1">
        <f t="shared" si="7"/>
        <v>0.32970499999999997</v>
      </c>
      <c r="Q36" s="1">
        <f t="shared" si="7"/>
        <v>0.32947499999999996</v>
      </c>
      <c r="R36" s="1">
        <f t="shared" si="7"/>
        <v>0.33671999999999996</v>
      </c>
      <c r="S36" s="1">
        <f t="shared" si="7"/>
        <v>0.34592000000000001</v>
      </c>
      <c r="T36" s="1">
        <f t="shared" si="7"/>
        <v>0.35213</v>
      </c>
      <c r="U36" s="1">
        <f t="shared" si="7"/>
        <v>0.36202000000000001</v>
      </c>
      <c r="V36" s="1">
        <f t="shared" si="7"/>
        <v>0.37248500000000001</v>
      </c>
      <c r="W36" s="1">
        <f t="shared" si="7"/>
        <v>0.38237499999999996</v>
      </c>
      <c r="X36" s="1">
        <f t="shared" si="7"/>
        <v>0.39122999999999997</v>
      </c>
      <c r="Y36" s="1">
        <f t="shared" si="7"/>
        <v>0.40204000000000001</v>
      </c>
      <c r="Z36" s="1">
        <f t="shared" si="7"/>
        <v>0.41100999999999999</v>
      </c>
      <c r="AA36" s="1">
        <f t="shared" si="7"/>
        <v>0.42124499999999998</v>
      </c>
      <c r="AB36" s="1">
        <f t="shared" si="7"/>
        <v>0.43159500000000001</v>
      </c>
      <c r="AC36" s="1">
        <f t="shared" si="7"/>
        <v>0.44171499999999997</v>
      </c>
      <c r="AD36" s="1">
        <f t="shared" si="7"/>
        <v>0.45137499999999997</v>
      </c>
      <c r="AE36" s="1">
        <f t="shared" si="7"/>
        <v>0.46160999999999996</v>
      </c>
      <c r="AF36" s="1">
        <f t="shared" si="7"/>
        <v>0.46919999999999995</v>
      </c>
      <c r="AG36" s="1">
        <f t="shared" si="7"/>
        <v>0.47943499999999994</v>
      </c>
      <c r="AH36" s="1">
        <f t="shared" si="7"/>
        <v>0.48782999999999999</v>
      </c>
      <c r="AI36" s="1">
        <f t="shared" si="7"/>
        <v>0.49863999999999997</v>
      </c>
      <c r="AJ36" s="1">
        <f t="shared" si="7"/>
        <v>0.50714999999999999</v>
      </c>
      <c r="AK36" s="1">
        <f t="shared" si="7"/>
        <v>0.51588999999999996</v>
      </c>
      <c r="AL36" s="1">
        <f t="shared" si="7"/>
        <v>0.52451499999999995</v>
      </c>
      <c r="AM36" s="1">
        <f t="shared" si="7"/>
        <v>0.53348499999999999</v>
      </c>
      <c r="AN36" s="1">
        <f t="shared" si="7"/>
        <v>0.55199999999999994</v>
      </c>
      <c r="AO36" s="1">
        <f t="shared" si="7"/>
        <v>0.56154499999999996</v>
      </c>
      <c r="AP36" s="1">
        <f t="shared" si="7"/>
        <v>0.57120499999999996</v>
      </c>
      <c r="AQ36" s="1">
        <f t="shared" si="7"/>
        <v>0.58086499999999996</v>
      </c>
      <c r="AR36" s="1">
        <f t="shared" si="7"/>
        <v>0.59087000000000001</v>
      </c>
      <c r="AS36" s="1">
        <f t="shared" si="7"/>
        <v>0.60075999999999996</v>
      </c>
      <c r="AT36" s="1">
        <f t="shared" si="7"/>
        <v>0.61065000000000003</v>
      </c>
      <c r="AU36" s="1">
        <f t="shared" si="7"/>
        <v>0.62053999999999987</v>
      </c>
      <c r="AV36" s="1">
        <f t="shared" si="7"/>
        <v>0.63042999999999993</v>
      </c>
      <c r="AW36" s="1">
        <f t="shared" si="7"/>
        <v>0.64055000000000006</v>
      </c>
      <c r="AX36" s="1">
        <f t="shared" si="7"/>
        <v>0.65078499999999995</v>
      </c>
      <c r="AY36" s="1">
        <f t="shared" si="7"/>
        <v>0.66113499999999992</v>
      </c>
      <c r="AZ36" s="1">
        <f t="shared" si="7"/>
        <v>0.67136999999999991</v>
      </c>
      <c r="BA36" s="1">
        <f t="shared" si="7"/>
        <v>0.68183499999999997</v>
      </c>
      <c r="BB36" s="1">
        <f t="shared" si="7"/>
        <v>0.69241499999999989</v>
      </c>
      <c r="BC36" s="1">
        <f t="shared" si="7"/>
        <v>0.70287999999999995</v>
      </c>
      <c r="BD36" s="1">
        <f t="shared" si="7"/>
        <v>0.71357499999999996</v>
      </c>
      <c r="BE36" s="1">
        <f t="shared" si="7"/>
        <v>0.72426999999999997</v>
      </c>
      <c r="BF36" s="1">
        <f t="shared" si="7"/>
        <v>0.73496499999999998</v>
      </c>
      <c r="BG36" s="1">
        <f t="shared" si="7"/>
        <v>0.74588999999999994</v>
      </c>
    </row>
    <row r="37" spans="1:59" ht="15.75" customHeight="1">
      <c r="A37" s="1"/>
      <c r="B37" s="1"/>
      <c r="C37" s="1"/>
      <c r="D37" s="1"/>
      <c r="E37" s="1"/>
      <c r="F37" s="397" t="s">
        <v>635</v>
      </c>
      <c r="G37" s="1">
        <f t="shared" ref="G37:BG37" si="8">G36*1.01</f>
        <v>0.265125</v>
      </c>
      <c r="H37" s="1">
        <f t="shared" si="8"/>
        <v>0.28774899999999998</v>
      </c>
      <c r="I37" s="1">
        <f t="shared" si="8"/>
        <v>0.25775199999999998</v>
      </c>
      <c r="J37" s="1">
        <f t="shared" si="8"/>
        <v>0.21603900000000001</v>
      </c>
      <c r="K37" s="1">
        <f t="shared" si="8"/>
        <v>0.25623699999999999</v>
      </c>
      <c r="L37" s="1">
        <f t="shared" si="8"/>
        <v>0.26431699999999997</v>
      </c>
      <c r="M37" s="1">
        <f t="shared" si="8"/>
        <v>0.30617139999999998</v>
      </c>
      <c r="N37" s="1">
        <f t="shared" si="8"/>
        <v>0.31453419999999999</v>
      </c>
      <c r="O37" s="1">
        <f t="shared" si="8"/>
        <v>0.32289699999999999</v>
      </c>
      <c r="P37" s="1">
        <f t="shared" si="8"/>
        <v>0.33300204999999999</v>
      </c>
      <c r="Q37" s="1">
        <f t="shared" si="8"/>
        <v>0.33276974999999998</v>
      </c>
      <c r="R37" s="1">
        <f t="shared" si="8"/>
        <v>0.34008719999999998</v>
      </c>
      <c r="S37" s="1">
        <f t="shared" si="8"/>
        <v>0.3493792</v>
      </c>
      <c r="T37" s="1">
        <f t="shared" si="8"/>
        <v>0.3556513</v>
      </c>
      <c r="U37" s="1">
        <f t="shared" si="8"/>
        <v>0.36564020000000003</v>
      </c>
      <c r="V37" s="1">
        <f t="shared" si="8"/>
        <v>0.37620985000000001</v>
      </c>
      <c r="W37" s="1">
        <f t="shared" si="8"/>
        <v>0.38619874999999998</v>
      </c>
      <c r="X37" s="1">
        <f t="shared" si="8"/>
        <v>0.39514229999999995</v>
      </c>
      <c r="Y37" s="1">
        <f t="shared" si="8"/>
        <v>0.40606039999999999</v>
      </c>
      <c r="Z37" s="1">
        <f t="shared" si="8"/>
        <v>0.41512009999999999</v>
      </c>
      <c r="AA37" s="1">
        <f t="shared" si="8"/>
        <v>0.42545744999999996</v>
      </c>
      <c r="AB37" s="1">
        <f t="shared" si="8"/>
        <v>0.43591095000000002</v>
      </c>
      <c r="AC37" s="1">
        <f t="shared" si="8"/>
        <v>0.44613214999999995</v>
      </c>
      <c r="AD37" s="1">
        <f t="shared" si="8"/>
        <v>0.45588874999999995</v>
      </c>
      <c r="AE37" s="1">
        <f t="shared" si="8"/>
        <v>0.46622609999999998</v>
      </c>
      <c r="AF37" s="1">
        <f t="shared" si="8"/>
        <v>0.47389199999999998</v>
      </c>
      <c r="AG37" s="1">
        <f t="shared" si="8"/>
        <v>0.48422934999999995</v>
      </c>
      <c r="AH37" s="1">
        <f t="shared" si="8"/>
        <v>0.49270829999999999</v>
      </c>
      <c r="AI37" s="1">
        <f t="shared" si="8"/>
        <v>0.50362640000000003</v>
      </c>
      <c r="AJ37" s="1">
        <f t="shared" si="8"/>
        <v>0.5122215</v>
      </c>
      <c r="AK37" s="1">
        <f t="shared" si="8"/>
        <v>0.52104889999999993</v>
      </c>
      <c r="AL37" s="1">
        <f t="shared" si="8"/>
        <v>0.52976014999999999</v>
      </c>
      <c r="AM37" s="1">
        <f t="shared" si="8"/>
        <v>0.53881984999999999</v>
      </c>
      <c r="AN37" s="1">
        <f t="shared" si="8"/>
        <v>0.5575199999999999</v>
      </c>
      <c r="AO37" s="1">
        <f t="shared" si="8"/>
        <v>0.56716044999999993</v>
      </c>
      <c r="AP37" s="1">
        <f t="shared" si="8"/>
        <v>0.57691704999999993</v>
      </c>
      <c r="AQ37" s="1">
        <f t="shared" si="8"/>
        <v>0.58667364999999994</v>
      </c>
      <c r="AR37" s="1">
        <f t="shared" si="8"/>
        <v>0.5967787</v>
      </c>
      <c r="AS37" s="1">
        <f t="shared" si="8"/>
        <v>0.60676759999999996</v>
      </c>
      <c r="AT37" s="1">
        <f t="shared" si="8"/>
        <v>0.61675650000000004</v>
      </c>
      <c r="AU37" s="1">
        <f t="shared" si="8"/>
        <v>0.6267453999999999</v>
      </c>
      <c r="AV37" s="1">
        <f t="shared" si="8"/>
        <v>0.63673429999999998</v>
      </c>
      <c r="AW37" s="1">
        <f t="shared" si="8"/>
        <v>0.64695550000000002</v>
      </c>
      <c r="AX37" s="1">
        <f t="shared" si="8"/>
        <v>0.65729284999999993</v>
      </c>
      <c r="AY37" s="1">
        <f t="shared" si="8"/>
        <v>0.66774634999999993</v>
      </c>
      <c r="AZ37" s="1">
        <f t="shared" si="8"/>
        <v>0.67808369999999996</v>
      </c>
      <c r="BA37" s="1">
        <f t="shared" si="8"/>
        <v>0.68865334999999994</v>
      </c>
      <c r="BB37" s="1">
        <f t="shared" si="8"/>
        <v>0.69933914999999991</v>
      </c>
      <c r="BC37" s="1">
        <f t="shared" si="8"/>
        <v>0.70990880000000001</v>
      </c>
      <c r="BD37" s="1">
        <f t="shared" si="8"/>
        <v>0.72071074999999996</v>
      </c>
      <c r="BE37" s="1">
        <f t="shared" si="8"/>
        <v>0.73151270000000002</v>
      </c>
      <c r="BF37" s="1">
        <f t="shared" si="8"/>
        <v>0.74231464999999996</v>
      </c>
      <c r="BG37" s="1">
        <f t="shared" si="8"/>
        <v>0.75334889999999999</v>
      </c>
    </row>
    <row r="38" spans="1:59" ht="15.75" customHeight="1">
      <c r="A38" s="1" t="s">
        <v>554</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row>
    <row r="39" spans="1:5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row>
    <row r="40" spans="1:59"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row>
    <row r="41" spans="1:59"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row>
    <row r="42" spans="1:59"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row>
    <row r="43" spans="1:59"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row>
    <row r="44" spans="1:59"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row>
    <row r="45" spans="1:59"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row>
    <row r="46" spans="1:59"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row>
    <row r="47" spans="1:59"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row>
    <row r="48" spans="1:59"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row>
    <row r="49" spans="1:5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row>
    <row r="50" spans="1:59"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row>
    <row r="52" spans="1:59"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row>
    <row r="53" spans="1:59"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row>
    <row r="54" spans="1:59"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row>
    <row r="55" spans="1:59"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row>
    <row r="56" spans="1:59"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row>
    <row r="57" spans="1:59"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row>
    <row r="58" spans="1:59"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row>
    <row r="59" spans="1: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row>
    <row r="60" spans="1:59"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row>
    <row r="61" spans="1:59"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row>
    <row r="62" spans="1:59"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row>
    <row r="63" spans="1:59"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row>
    <row r="64" spans="1:59"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row>
    <row r="65" spans="1:59"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row>
    <row r="66" spans="1:59"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row>
    <row r="67" spans="1:59"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row>
    <row r="68" spans="1:59"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row>
    <row r="69" spans="1:5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row>
    <row r="70" spans="1:59"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row>
    <row r="71" spans="1:59"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row>
    <row r="72" spans="1:59"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row>
    <row r="73" spans="1:59"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row>
    <row r="74" spans="1:59"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row>
    <row r="75" spans="1:59"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row>
    <row r="76" spans="1:59"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row>
    <row r="77" spans="1:59"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row>
    <row r="78" spans="1:59"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row>
    <row r="79" spans="1:5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row>
    <row r="80" spans="1:59"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row>
    <row r="81" spans="1:59"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row>
    <row r="82" spans="1:59"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row>
    <row r="83" spans="1:59"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row>
    <row r="84" spans="1:59"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row>
    <row r="85" spans="1:59"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row>
    <row r="86" spans="1:59"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row>
    <row r="87" spans="1:59"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row>
    <row r="88" spans="1:59"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row>
    <row r="89" spans="1:5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row>
    <row r="90" spans="1:59"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row>
    <row r="91" spans="1:59"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row>
    <row r="92" spans="1:59"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row>
    <row r="93" spans="1:59"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row>
    <row r="94" spans="1:59"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row>
    <row r="95" spans="1:59"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row>
    <row r="96" spans="1:59"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row>
    <row r="97" spans="1:59"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row>
    <row r="98" spans="1:59"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row>
    <row r="99" spans="1:5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row>
    <row r="100" spans="1:59"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row>
    <row r="101" spans="1:59"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row>
    <row r="102" spans="1:59"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row>
    <row r="103" spans="1:59"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row>
    <row r="104" spans="1:59"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row>
    <row r="105" spans="1:59"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row>
    <row r="106" spans="1:59"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row>
    <row r="107" spans="1:59"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row>
    <row r="108" spans="1:59"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row>
    <row r="109" spans="1:5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row>
    <row r="110" spans="1:59"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row>
    <row r="111" spans="1:59"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row>
    <row r="112" spans="1:59"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row>
    <row r="113" spans="1:59"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row>
    <row r="114" spans="1:59"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row>
    <row r="115" spans="1:59"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row>
    <row r="116" spans="1:59"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row>
    <row r="117" spans="1:59"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row>
    <row r="118" spans="1:59"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row>
    <row r="119" spans="1:5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row>
    <row r="120" spans="1:59"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row>
    <row r="121" spans="1:59"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row>
    <row r="122" spans="1:59"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row>
    <row r="123" spans="1:59"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row>
    <row r="124" spans="1:59"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row>
    <row r="125" spans="1:59"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row>
    <row r="126" spans="1:59"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row>
    <row r="127" spans="1:59"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row>
    <row r="128" spans="1:59"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row>
    <row r="129" spans="1:5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row>
    <row r="130" spans="1:59"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row>
    <row r="131" spans="1:59"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row>
    <row r="132" spans="1:59"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row>
    <row r="133" spans="1:59"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row>
    <row r="134" spans="1:59"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row>
    <row r="135" spans="1:59"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row>
    <row r="136" spans="1:59"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row>
    <row r="137" spans="1:59"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row>
    <row r="138" spans="1:59"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row>
    <row r="139" spans="1:5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row>
    <row r="140" spans="1:59"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row>
    <row r="141" spans="1:59"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row>
    <row r="142" spans="1:59"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row>
    <row r="143" spans="1:59"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row>
    <row r="144" spans="1:59"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row>
    <row r="145" spans="1:59"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row>
    <row r="146" spans="1:59"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row>
    <row r="147" spans="1:59"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row>
    <row r="148" spans="1:59"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row>
    <row r="149" spans="1:5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row>
    <row r="150" spans="1:59"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row>
    <row r="151" spans="1:59"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row>
    <row r="152" spans="1:59"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row>
    <row r="153" spans="1:59"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row>
    <row r="154" spans="1:59"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row>
    <row r="155" spans="1:59"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row>
    <row r="156" spans="1:59"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row>
    <row r="157" spans="1:59"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row>
    <row r="158" spans="1:59"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row>
    <row r="159" spans="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row>
    <row r="160" spans="1:59"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row>
    <row r="161" spans="1:59"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row>
    <row r="162" spans="1:59"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row>
    <row r="163" spans="1:59"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row>
    <row r="164" spans="1:59"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row>
    <row r="165" spans="1:59"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row>
    <row r="166" spans="1:59"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row>
    <row r="167" spans="1:59"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row>
    <row r="168" spans="1:59"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row>
    <row r="169" spans="1:5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row>
    <row r="170" spans="1:59"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row>
    <row r="171" spans="1:59"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row>
    <row r="172" spans="1:59"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row>
    <row r="173" spans="1:59"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row>
    <row r="174" spans="1:59"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row>
    <row r="175" spans="1:59"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row>
    <row r="176" spans="1:59"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row>
    <row r="177" spans="1:59"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row>
    <row r="178" spans="1:59"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row>
    <row r="179" spans="1:5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row>
    <row r="180" spans="1:59"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row>
    <row r="181" spans="1:59"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row>
    <row r="182" spans="1:59"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row>
    <row r="183" spans="1:59"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row>
    <row r="184" spans="1:59"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row>
    <row r="185" spans="1:59"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row>
    <row r="186" spans="1:59"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row>
    <row r="187" spans="1:59"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row>
    <row r="188" spans="1:59"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row>
    <row r="189" spans="1:5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row>
    <row r="190" spans="1:59"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row>
    <row r="191" spans="1:59"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row>
    <row r="192" spans="1:59"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row>
    <row r="193" spans="1:59"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row>
    <row r="194" spans="1:59"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row>
    <row r="195" spans="1:59"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row>
    <row r="196" spans="1:59"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row>
    <row r="197" spans="1:59"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row>
    <row r="198" spans="1:59"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row>
    <row r="199" spans="1:5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row>
    <row r="200" spans="1:59"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row>
    <row r="201" spans="1:59"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row>
    <row r="202" spans="1:59"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row>
    <row r="203" spans="1:59"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row>
    <row r="204" spans="1:59"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row>
    <row r="205" spans="1:59"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row>
    <row r="206" spans="1:59"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row>
    <row r="207" spans="1:59"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row>
    <row r="208" spans="1:59"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row>
    <row r="209" spans="1:5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row>
    <row r="210" spans="1:59"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row>
    <row r="211" spans="1:59"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row>
    <row r="212" spans="1:59"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row>
    <row r="213" spans="1:59"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row>
    <row r="214" spans="1:59"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row>
    <row r="215" spans="1:59"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row>
    <row r="216" spans="1:59"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row>
    <row r="217" spans="1:59"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row>
    <row r="218" spans="1:59"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row>
    <row r="219" spans="1:5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row>
    <row r="220" spans="1:59"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row>
    <row r="221" spans="1:59"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row>
    <row r="222" spans="1:59"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row>
    <row r="223" spans="1:59"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row>
    <row r="224" spans="1:59"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row>
    <row r="225" spans="1:59"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row>
    <row r="226" spans="1:59"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row>
    <row r="227" spans="1:59"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row>
    <row r="228" spans="1:59"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row>
    <row r="229" spans="1:5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row>
    <row r="230" spans="1:59"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row>
    <row r="231" spans="1:59"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row>
    <row r="232" spans="1:59"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row>
    <row r="233" spans="1:59"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row>
    <row r="234" spans="1:59"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row>
    <row r="235" spans="1:59"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row>
    <row r="236" spans="1:59"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row>
    <row r="237" spans="1:59"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row>
    <row r="238" spans="1:59"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row>
    <row r="239" spans="1:5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row>
    <row r="240" spans="1:59"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row>
    <row r="241" spans="1:59"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row>
    <row r="242" spans="1:59"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row>
    <row r="243" spans="1:59"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row>
    <row r="244" spans="1:59"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row>
    <row r="245" spans="1:59"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row>
    <row r="246" spans="1:59"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row>
    <row r="247" spans="1:59"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row>
    <row r="248" spans="1:59"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row>
    <row r="249" spans="1:5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row>
    <row r="250" spans="1:59"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row>
    <row r="251" spans="1:59"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row>
    <row r="252" spans="1:59"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row>
    <row r="253" spans="1:59"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row>
    <row r="254" spans="1:59"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row>
    <row r="255" spans="1:59"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row>
    <row r="256" spans="1:59"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row>
    <row r="257" spans="1:59"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row>
    <row r="258" spans="1:59"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row>
    <row r="259" spans="1: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row>
    <row r="260" spans="1:59"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row>
    <row r="261" spans="1:59"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row>
    <row r="262" spans="1:59"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row>
    <row r="263" spans="1:59"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row>
    <row r="264" spans="1:59"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row>
    <row r="265" spans="1:59"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row>
    <row r="266" spans="1:59"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row>
    <row r="267" spans="1:59"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row>
    <row r="268" spans="1:59"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row>
    <row r="269" spans="1:5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row>
    <row r="270" spans="1:59"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row>
    <row r="271" spans="1:59"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row>
    <row r="272" spans="1:59"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row>
    <row r="273" spans="1:59"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row>
    <row r="274" spans="1:59"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row>
    <row r="275" spans="1:59"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row>
    <row r="276" spans="1:59"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row>
    <row r="277" spans="1:59"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row>
    <row r="278" spans="1:59"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row>
    <row r="279" spans="1:5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row>
    <row r="280" spans="1:59"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row>
    <row r="281" spans="1:59"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row>
    <row r="282" spans="1:59"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row>
    <row r="283" spans="1:59"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row>
    <row r="284" spans="1:59"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row>
    <row r="285" spans="1:59"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row>
    <row r="286" spans="1:59"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row>
    <row r="287" spans="1:59"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row>
    <row r="288" spans="1:59"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row>
    <row r="289" spans="1:5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row>
    <row r="290" spans="1:59"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row>
    <row r="291" spans="1:59"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row>
    <row r="292" spans="1:59"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row>
    <row r="293" spans="1:59"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row>
    <row r="294" spans="1:59"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row>
    <row r="295" spans="1:59"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row>
    <row r="296" spans="1:59"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row>
    <row r="297" spans="1:59"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row>
    <row r="298" spans="1:59"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row>
    <row r="299" spans="1:5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row>
    <row r="300" spans="1:59"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row>
    <row r="301" spans="1:59"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row>
    <row r="302" spans="1:59"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row>
    <row r="303" spans="1:59"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row>
    <row r="304" spans="1:59"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row>
    <row r="305" spans="1:59"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row>
    <row r="306" spans="1:59"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row>
    <row r="307" spans="1:59"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row>
    <row r="308" spans="1:59"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row>
    <row r="309" spans="1:5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row>
    <row r="310" spans="1:59"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row>
    <row r="311" spans="1:59"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row>
    <row r="312" spans="1:59"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row>
    <row r="313" spans="1:59"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row>
    <row r="314" spans="1:59"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row>
    <row r="315" spans="1:59"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row>
    <row r="316" spans="1:59"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row>
    <row r="317" spans="1:59"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row>
    <row r="318" spans="1:59"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row>
    <row r="319" spans="1:5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row>
    <row r="320" spans="1:59"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row>
    <row r="321" spans="1:59"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row>
    <row r="322" spans="1:59"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row>
    <row r="323" spans="1:59"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row>
    <row r="324" spans="1:59"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row>
    <row r="325" spans="1:59"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row>
    <row r="326" spans="1:59"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row>
    <row r="327" spans="1:59"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row>
    <row r="328" spans="1:59"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row>
    <row r="329" spans="1:5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row>
    <row r="330" spans="1:59"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row>
    <row r="331" spans="1:59"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row>
    <row r="332" spans="1:59"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row>
    <row r="333" spans="1:59"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row>
    <row r="334" spans="1:59"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row>
    <row r="335" spans="1:59"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row>
    <row r="336" spans="1:59"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row>
    <row r="337" spans="1:59"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row>
    <row r="338" spans="1:59"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row>
    <row r="339" spans="1:5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row>
    <row r="340" spans="1:59"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row>
    <row r="341" spans="1:59"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row>
    <row r="342" spans="1:59"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row>
    <row r="343" spans="1:59"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row>
    <row r="344" spans="1:59"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row>
    <row r="345" spans="1:59"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row>
    <row r="346" spans="1:59"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row>
    <row r="347" spans="1:59"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row>
    <row r="348" spans="1:59"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row>
    <row r="349" spans="1:5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row>
    <row r="350" spans="1:59"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row>
    <row r="351" spans="1:59"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row>
    <row r="352" spans="1:59"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row>
    <row r="353" spans="1:59"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row>
    <row r="354" spans="1:59"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row>
    <row r="355" spans="1:59"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row>
    <row r="356" spans="1:59"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row>
    <row r="357" spans="1:59"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row>
    <row r="358" spans="1:59"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row>
    <row r="359" spans="1: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row>
    <row r="360" spans="1:59"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row>
    <row r="361" spans="1:59"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row>
    <row r="362" spans="1:59"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row>
    <row r="363" spans="1:59"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row>
    <row r="364" spans="1:59"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row>
    <row r="365" spans="1:59"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row>
    <row r="366" spans="1:59"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row>
    <row r="367" spans="1:59"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row>
    <row r="368" spans="1:59"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row>
    <row r="369" spans="1:5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row>
    <row r="370" spans="1:59"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row>
    <row r="371" spans="1:59"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row>
    <row r="372" spans="1:59"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row>
    <row r="373" spans="1:59"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row>
    <row r="374" spans="1:59"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row>
    <row r="375" spans="1:59"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row>
    <row r="376" spans="1:59"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row>
    <row r="377" spans="1:59"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row>
    <row r="378" spans="1:59"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row>
    <row r="379" spans="1:5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row>
    <row r="380" spans="1:59"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row>
    <row r="381" spans="1:59"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row>
    <row r="382" spans="1:59"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row>
    <row r="383" spans="1:59"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row>
    <row r="384" spans="1:59"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row>
    <row r="385" spans="1:59"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row>
    <row r="386" spans="1:59"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row>
    <row r="387" spans="1:59"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row>
    <row r="388" spans="1:59"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row>
    <row r="389" spans="1:5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row>
    <row r="390" spans="1:59"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row>
    <row r="391" spans="1:59"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row>
    <row r="392" spans="1:59"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row>
    <row r="393" spans="1:59"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row>
    <row r="394" spans="1:59"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row>
    <row r="395" spans="1:59"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row>
    <row r="396" spans="1:59"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row>
    <row r="397" spans="1:59"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row>
    <row r="398" spans="1:59"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row>
    <row r="399" spans="1:5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row>
    <row r="400" spans="1:59"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row>
    <row r="401" spans="1:59"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row>
    <row r="402" spans="1:59"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row>
    <row r="403" spans="1:59"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row>
    <row r="404" spans="1:59"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row>
    <row r="405" spans="1:59"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row>
    <row r="406" spans="1:59"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row>
    <row r="407" spans="1:59"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row>
    <row r="408" spans="1:59"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row>
    <row r="409" spans="1:5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row>
    <row r="410" spans="1:59"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row>
    <row r="411" spans="1:59"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row>
    <row r="412" spans="1:59"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row>
    <row r="413" spans="1:59"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row>
    <row r="414" spans="1:59"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row>
    <row r="415" spans="1:59"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row>
    <row r="416" spans="1:59"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row>
    <row r="417" spans="1:59"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row>
    <row r="418" spans="1:59"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row>
    <row r="419" spans="1:5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row>
    <row r="420" spans="1:59"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row>
    <row r="421" spans="1:59"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row>
    <row r="422" spans="1:59"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row>
    <row r="423" spans="1:59"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row>
    <row r="424" spans="1:59"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row>
    <row r="425" spans="1:59"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row>
    <row r="426" spans="1:59"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row>
    <row r="427" spans="1:59"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row>
    <row r="428" spans="1:59"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row>
    <row r="429" spans="1:5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row>
    <row r="430" spans="1:59"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row>
    <row r="431" spans="1:59"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row>
    <row r="432" spans="1:59"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row>
    <row r="433" spans="1:59"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row>
    <row r="434" spans="1:59"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row>
    <row r="435" spans="1:59"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row>
    <row r="436" spans="1:59"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row>
    <row r="437" spans="1:59"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row>
    <row r="438" spans="1:59"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row>
    <row r="439" spans="1:5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row>
    <row r="440" spans="1:59"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row>
    <row r="441" spans="1:59"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row>
    <row r="442" spans="1:59"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row>
    <row r="443" spans="1:59"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row>
    <row r="444" spans="1:59"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row>
    <row r="445" spans="1:59"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row>
    <row r="446" spans="1:59"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row>
    <row r="447" spans="1:59"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row>
    <row r="448" spans="1:59"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row>
    <row r="449" spans="1:5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row>
    <row r="450" spans="1:59"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row>
    <row r="451" spans="1:59"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row>
    <row r="452" spans="1:59"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row>
    <row r="453" spans="1:59"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row>
    <row r="454" spans="1:59"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row>
    <row r="455" spans="1:59"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row>
    <row r="456" spans="1:59"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row>
    <row r="457" spans="1:59"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row>
    <row r="458" spans="1:59"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row>
    <row r="459" spans="1: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row>
    <row r="460" spans="1:59"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row>
    <row r="461" spans="1:59"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row>
    <row r="462" spans="1:59"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row>
    <row r="463" spans="1:59"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row>
    <row r="464" spans="1:59"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row>
    <row r="465" spans="1:59"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row>
    <row r="466" spans="1:59"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row>
    <row r="467" spans="1:59"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row>
    <row r="468" spans="1:59"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row>
    <row r="469" spans="1:5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row>
    <row r="470" spans="1:59"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row>
    <row r="471" spans="1:59"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row>
    <row r="472" spans="1:59"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row>
    <row r="473" spans="1:59"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row>
    <row r="474" spans="1:59"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row>
    <row r="475" spans="1:59"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row>
    <row r="476" spans="1:59"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row>
    <row r="477" spans="1:59"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row>
    <row r="478" spans="1:59"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row>
    <row r="479" spans="1:5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row>
    <row r="480" spans="1:59"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row>
    <row r="481" spans="1:59"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row>
    <row r="482" spans="1:59"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row>
    <row r="483" spans="1:59"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row>
    <row r="484" spans="1:59"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row>
    <row r="485" spans="1:59"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row>
    <row r="486" spans="1:59"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row>
    <row r="487" spans="1:59"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row>
    <row r="488" spans="1:59"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row>
    <row r="489" spans="1:5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row>
    <row r="490" spans="1:59"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row>
    <row r="491" spans="1:59"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row>
    <row r="492" spans="1:59"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row>
    <row r="493" spans="1:59"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row>
    <row r="494" spans="1:59"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row>
    <row r="495" spans="1:59"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row>
    <row r="496" spans="1:59"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row>
    <row r="497" spans="1:59"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row>
    <row r="498" spans="1:59"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row>
    <row r="499" spans="1:5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row>
    <row r="500" spans="1:59"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row>
    <row r="501" spans="1:59"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row>
    <row r="502" spans="1:59"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row>
    <row r="503" spans="1:59"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row>
    <row r="504" spans="1:59"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row>
    <row r="505" spans="1:59"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row>
    <row r="506" spans="1:59"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row>
    <row r="507" spans="1:59"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row>
    <row r="508" spans="1:59"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row>
    <row r="509" spans="1:5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row>
    <row r="510" spans="1:59"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row>
    <row r="511" spans="1:59"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row>
    <row r="512" spans="1:59"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row>
    <row r="513" spans="1:59"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row>
    <row r="514" spans="1:59"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row>
    <row r="515" spans="1:59"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row>
    <row r="516" spans="1:59"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row>
    <row r="517" spans="1:59"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row>
    <row r="518" spans="1:59"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row>
    <row r="519" spans="1:5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row>
    <row r="520" spans="1:59"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row>
    <row r="521" spans="1:59"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row>
    <row r="522" spans="1:59"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row>
    <row r="523" spans="1:59"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row>
    <row r="524" spans="1:59"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row>
    <row r="525" spans="1:59"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row>
    <row r="526" spans="1:59"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row>
    <row r="527" spans="1:59"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row>
    <row r="528" spans="1:59"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row>
    <row r="529" spans="1:5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row>
    <row r="530" spans="1:59"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row>
    <row r="531" spans="1:59"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row>
    <row r="532" spans="1:59"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row>
    <row r="533" spans="1:59"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row>
    <row r="534" spans="1:59"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row>
    <row r="535" spans="1:59"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row>
    <row r="536" spans="1:59"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row>
    <row r="537" spans="1:59"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row>
    <row r="538" spans="1:59"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row>
    <row r="539" spans="1:5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row>
    <row r="540" spans="1:59"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row>
    <row r="541" spans="1:59"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row>
    <row r="542" spans="1:59"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row>
    <row r="543" spans="1:59"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row>
    <row r="544" spans="1:59"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row>
    <row r="545" spans="1:59"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row>
    <row r="546" spans="1:59"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row>
    <row r="547" spans="1:59"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row>
    <row r="548" spans="1:59"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row>
    <row r="549" spans="1:5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row>
    <row r="550" spans="1:59"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row>
    <row r="551" spans="1:59"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row>
    <row r="552" spans="1:59"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row>
    <row r="553" spans="1:59"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row>
    <row r="554" spans="1:59"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row>
    <row r="555" spans="1:59"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row>
    <row r="556" spans="1:59"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row>
    <row r="557" spans="1:59"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row>
    <row r="558" spans="1:59"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row>
    <row r="559" spans="1: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row>
    <row r="560" spans="1:59"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row>
    <row r="561" spans="1:59"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row>
    <row r="562" spans="1:59"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row>
    <row r="563" spans="1:59"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row>
    <row r="564" spans="1:59"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row>
    <row r="565" spans="1:59"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row>
    <row r="566" spans="1:59"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row>
    <row r="567" spans="1:59"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row>
    <row r="568" spans="1:59"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row>
    <row r="569" spans="1:5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row>
    <row r="570" spans="1:59"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row>
    <row r="571" spans="1:59"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row>
    <row r="572" spans="1:59"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row>
    <row r="573" spans="1:59"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row>
    <row r="574" spans="1:59"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row>
    <row r="575" spans="1:59"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row>
    <row r="576" spans="1:59"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row>
    <row r="577" spans="1:59"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row>
    <row r="578" spans="1:59"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row>
    <row r="579" spans="1:5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row>
    <row r="580" spans="1:59"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row>
    <row r="581" spans="1:59"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row>
    <row r="582" spans="1:59"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row>
    <row r="583" spans="1:59"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row>
    <row r="584" spans="1:59"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row>
    <row r="585" spans="1:59"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row>
    <row r="586" spans="1:59"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row>
    <row r="587" spans="1:59"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row>
    <row r="588" spans="1:59"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row>
    <row r="589" spans="1:5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row>
    <row r="590" spans="1:59"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row>
    <row r="591" spans="1:59"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row>
    <row r="592" spans="1:59"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row>
    <row r="593" spans="1:59"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row>
    <row r="594" spans="1:59"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row>
    <row r="595" spans="1:59"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row>
    <row r="596" spans="1:59"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row>
    <row r="597" spans="1:59"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row>
    <row r="598" spans="1:59"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row>
    <row r="599" spans="1:5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row>
    <row r="600" spans="1:59"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row>
    <row r="601" spans="1:59"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row>
    <row r="602" spans="1:59"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row>
    <row r="603" spans="1:59"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row>
    <row r="604" spans="1:59"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row>
    <row r="605" spans="1:59"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row>
    <row r="606" spans="1:59"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row>
    <row r="607" spans="1:59"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row>
    <row r="608" spans="1:59"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row>
    <row r="609" spans="1:5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row>
    <row r="610" spans="1:59"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row>
    <row r="611" spans="1:59"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row>
    <row r="612" spans="1:59"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row>
    <row r="613" spans="1:59"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row>
    <row r="614" spans="1:59"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row>
    <row r="615" spans="1:59"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row>
    <row r="616" spans="1:59"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row>
    <row r="617" spans="1:59"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row>
    <row r="618" spans="1:59"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row>
    <row r="619" spans="1:5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row>
    <row r="620" spans="1:59"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row>
    <row r="621" spans="1:59"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row>
    <row r="622" spans="1:59"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row>
    <row r="623" spans="1:59"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row>
    <row r="624" spans="1:59"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row>
    <row r="625" spans="1:59"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row>
    <row r="626" spans="1:59"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row>
    <row r="627" spans="1:59"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row>
    <row r="628" spans="1:59"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row>
    <row r="629" spans="1:5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row>
    <row r="630" spans="1:59"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row>
    <row r="631" spans="1:59"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row>
    <row r="632" spans="1:59"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row>
    <row r="633" spans="1:59"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row>
    <row r="634" spans="1:59"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row>
    <row r="635" spans="1:59"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row>
    <row r="636" spans="1:59"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row>
    <row r="637" spans="1:59"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row>
    <row r="638" spans="1:59"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row>
    <row r="639" spans="1:5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row>
    <row r="640" spans="1:59"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row>
    <row r="641" spans="1:59"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row>
    <row r="642" spans="1:59"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row>
    <row r="643" spans="1:59"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row>
    <row r="644" spans="1:59"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row>
    <row r="645" spans="1:59"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row>
    <row r="646" spans="1:59"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row>
    <row r="647" spans="1:59"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row>
    <row r="648" spans="1:59"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row>
    <row r="649" spans="1:5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row>
    <row r="650" spans="1:59"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row>
    <row r="651" spans="1:59"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row>
    <row r="652" spans="1:59"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row>
    <row r="653" spans="1:59"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row>
    <row r="654" spans="1:59"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row>
    <row r="655" spans="1:59"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row>
    <row r="656" spans="1:59"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row>
    <row r="657" spans="1:59"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row>
    <row r="658" spans="1:59"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row>
    <row r="659" spans="1: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row>
    <row r="660" spans="1:59"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row>
    <row r="661" spans="1:59"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row>
    <row r="662" spans="1:59"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row>
    <row r="663" spans="1:59"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row>
    <row r="664" spans="1:59"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row>
    <row r="665" spans="1:59"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row>
    <row r="666" spans="1:59"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row>
    <row r="667" spans="1:59"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row>
    <row r="668" spans="1:59"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row>
    <row r="669" spans="1:5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row>
    <row r="670" spans="1:59"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row>
    <row r="671" spans="1:59"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row>
    <row r="672" spans="1:59"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row>
    <row r="673" spans="1:59"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row>
    <row r="674" spans="1:59"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row>
    <row r="675" spans="1:59"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row>
    <row r="676" spans="1:59"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row>
    <row r="677" spans="1:59"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row>
    <row r="678" spans="1:59"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row>
    <row r="679" spans="1:5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row>
    <row r="680" spans="1:59"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row>
    <row r="681" spans="1:59"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row>
    <row r="682" spans="1:59"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row>
    <row r="683" spans="1:59"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row>
    <row r="684" spans="1:59"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row>
    <row r="685" spans="1:59"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row>
    <row r="686" spans="1:59"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row>
    <row r="687" spans="1:59"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row>
    <row r="688" spans="1:59"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row>
    <row r="689" spans="1:5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row>
    <row r="690" spans="1:59"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row>
    <row r="691" spans="1:59"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row>
    <row r="692" spans="1:59"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row>
    <row r="693" spans="1:59"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row>
    <row r="694" spans="1:59"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row>
    <row r="695" spans="1:59"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row>
    <row r="696" spans="1:59"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row>
    <row r="697" spans="1:59"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row>
    <row r="698" spans="1:59"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row>
    <row r="699" spans="1:5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row>
    <row r="700" spans="1:59"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row>
    <row r="701" spans="1:59"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row>
    <row r="702" spans="1:59"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row>
    <row r="703" spans="1:59"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row>
    <row r="704" spans="1:59"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row>
    <row r="705" spans="1:59"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row>
    <row r="706" spans="1:59"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row>
    <row r="707" spans="1:59"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row>
    <row r="708" spans="1:59"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row>
    <row r="709" spans="1:5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row>
    <row r="710" spans="1:59"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row>
    <row r="711" spans="1:59"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row>
    <row r="712" spans="1:59"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row>
    <row r="713" spans="1:59"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row>
    <row r="714" spans="1:59"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row>
    <row r="715" spans="1:59"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row>
    <row r="716" spans="1:59"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row>
    <row r="717" spans="1:59"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row>
    <row r="718" spans="1:59"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row>
    <row r="719" spans="1:5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row>
    <row r="720" spans="1:59"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row>
    <row r="721" spans="1:59"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row>
    <row r="722" spans="1:59"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row>
    <row r="723" spans="1:59"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row>
    <row r="724" spans="1:59"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row>
    <row r="725" spans="1:59"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row>
    <row r="726" spans="1:59"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row>
    <row r="727" spans="1:59"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row>
    <row r="728" spans="1:59"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row>
    <row r="729" spans="1:5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row>
    <row r="730" spans="1:59"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row>
    <row r="731" spans="1:59"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row>
    <row r="732" spans="1:59"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row>
    <row r="733" spans="1:59"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row>
    <row r="734" spans="1:59"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row>
    <row r="735" spans="1:59"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row>
    <row r="736" spans="1:59"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row>
    <row r="737" spans="1:59"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row>
    <row r="738" spans="1:59"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row>
    <row r="739" spans="1:5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row>
    <row r="740" spans="1:59"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row>
    <row r="741" spans="1:59"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row>
    <row r="742" spans="1:59"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row>
    <row r="743" spans="1:59"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row>
    <row r="744" spans="1:59"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row>
    <row r="745" spans="1:59"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row>
    <row r="746" spans="1:59"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row>
    <row r="747" spans="1:59"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row>
    <row r="748" spans="1:59"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row>
    <row r="749" spans="1:5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row>
    <row r="750" spans="1:59"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row>
    <row r="751" spans="1:59"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row>
    <row r="752" spans="1:59"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row>
    <row r="753" spans="1:59"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row>
    <row r="754" spans="1:59"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row>
    <row r="755" spans="1:59"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row>
    <row r="756" spans="1:59"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row>
    <row r="757" spans="1:59"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row>
    <row r="758" spans="1:59"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row>
    <row r="759" spans="1: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row>
    <row r="760" spans="1:59"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row>
    <row r="761" spans="1:59"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row>
    <row r="762" spans="1:59"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row>
    <row r="763" spans="1:59"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row>
    <row r="764" spans="1:59"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row>
    <row r="765" spans="1:59"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row>
    <row r="766" spans="1:59"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row>
    <row r="767" spans="1:59"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row>
    <row r="768" spans="1:59"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row>
    <row r="769" spans="1:5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row>
    <row r="770" spans="1:59"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row>
    <row r="771" spans="1:59"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row>
    <row r="772" spans="1:59"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row>
    <row r="773" spans="1:59"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row>
    <row r="774" spans="1:59"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row>
    <row r="775" spans="1:59"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row>
    <row r="776" spans="1:59"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row>
    <row r="777" spans="1:59"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row>
    <row r="778" spans="1:59"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row>
    <row r="779" spans="1:5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row>
    <row r="780" spans="1:59"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row>
    <row r="781" spans="1:59"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row>
    <row r="782" spans="1:59"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row>
    <row r="783" spans="1:59"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row>
    <row r="784" spans="1:59"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row>
    <row r="785" spans="1:59"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row>
    <row r="786" spans="1:59"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row>
    <row r="787" spans="1:59"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row>
    <row r="788" spans="1:59"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row>
    <row r="789" spans="1:5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row>
    <row r="790" spans="1:59"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row>
    <row r="791" spans="1:59"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row>
    <row r="792" spans="1:59"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row>
    <row r="793" spans="1:59"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row>
    <row r="794" spans="1:59"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row>
    <row r="795" spans="1:59"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row>
    <row r="796" spans="1:59"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row>
    <row r="797" spans="1:59"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row>
    <row r="798" spans="1:59"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row>
    <row r="799" spans="1:5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row>
    <row r="800" spans="1:59"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row>
    <row r="801" spans="1:59"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row>
    <row r="802" spans="1:59"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row>
    <row r="803" spans="1:59"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row>
    <row r="804" spans="1:59"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row>
    <row r="805" spans="1:59"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row>
    <row r="806" spans="1:59"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row>
    <row r="807" spans="1:59"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row>
    <row r="808" spans="1:59"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row>
    <row r="809" spans="1:5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row>
    <row r="810" spans="1:59"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row>
    <row r="811" spans="1:59"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row>
    <row r="812" spans="1:59"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row>
    <row r="813" spans="1:59"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row>
    <row r="814" spans="1:59"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row>
    <row r="815" spans="1:59"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row>
    <row r="816" spans="1:59"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row>
    <row r="817" spans="1:59"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row>
    <row r="818" spans="1:59"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row>
    <row r="819" spans="1:5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row>
    <row r="820" spans="1:59"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row>
    <row r="821" spans="1:59"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row>
    <row r="822" spans="1:59"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row>
    <row r="823" spans="1:59"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row>
    <row r="824" spans="1:59"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row>
    <row r="825" spans="1:59"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row>
    <row r="826" spans="1:59"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row>
    <row r="827" spans="1:59"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row>
    <row r="828" spans="1:59"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row>
    <row r="829" spans="1:5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row>
    <row r="830" spans="1:59"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row>
    <row r="831" spans="1:59"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row>
    <row r="832" spans="1:59"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row>
    <row r="833" spans="1:59"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row>
    <row r="834" spans="1:59"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row>
    <row r="835" spans="1:59"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row>
    <row r="836" spans="1:59"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row>
    <row r="837" spans="1:59"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row>
    <row r="838" spans="1:59"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row>
    <row r="839" spans="1:5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row>
    <row r="840" spans="1:59"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row>
    <row r="841" spans="1:59"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row>
    <row r="842" spans="1:59"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row>
    <row r="843" spans="1:59"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row>
    <row r="844" spans="1:59"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row>
    <row r="845" spans="1:59"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row>
    <row r="846" spans="1:59"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row>
    <row r="847" spans="1:59"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row>
    <row r="848" spans="1:59"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row>
    <row r="849" spans="1:5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row>
    <row r="850" spans="1:59"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row>
    <row r="851" spans="1:59"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row>
    <row r="852" spans="1:59"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row>
    <row r="853" spans="1:59"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row>
    <row r="854" spans="1:59"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row>
    <row r="855" spans="1:59"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row>
    <row r="856" spans="1:59"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row>
    <row r="857" spans="1:59"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row>
    <row r="858" spans="1:59"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row>
    <row r="859" spans="1: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row>
    <row r="860" spans="1:59"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row>
    <row r="861" spans="1:59"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row>
    <row r="862" spans="1:59"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row>
    <row r="863" spans="1:59"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row>
    <row r="864" spans="1:59"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row>
    <row r="865" spans="1:59"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row>
    <row r="866" spans="1:59"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row>
    <row r="867" spans="1:59"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row>
    <row r="868" spans="1:59"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row>
    <row r="869" spans="1:5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row>
    <row r="870" spans="1:59"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row>
    <row r="871" spans="1:59"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row>
    <row r="872" spans="1:59"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row>
    <row r="873" spans="1:59"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row>
    <row r="874" spans="1:59"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row>
    <row r="875" spans="1:59"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row>
    <row r="876" spans="1:59"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row>
    <row r="877" spans="1:59"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row>
    <row r="878" spans="1:59"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row>
    <row r="879" spans="1:5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row>
    <row r="880" spans="1:59"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row>
    <row r="881" spans="1:59"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row>
    <row r="882" spans="1:59"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row>
    <row r="883" spans="1:59"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row>
    <row r="884" spans="1:59"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row>
    <row r="885" spans="1:59"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row>
    <row r="886" spans="1:59"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row>
    <row r="887" spans="1:59"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row>
    <row r="888" spans="1:59"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row>
    <row r="889" spans="1:5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row>
    <row r="890" spans="1:59"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row>
    <row r="891" spans="1:59"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row>
    <row r="892" spans="1:59"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row>
    <row r="893" spans="1:59"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row>
    <row r="894" spans="1:59"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row>
    <row r="895" spans="1:59"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row>
    <row r="896" spans="1:59"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row>
    <row r="897" spans="1:59"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row>
    <row r="898" spans="1:59"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row>
    <row r="899" spans="1:5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row>
    <row r="900" spans="1:59"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row>
    <row r="901" spans="1:59"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row>
    <row r="902" spans="1:59"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row>
    <row r="903" spans="1:59"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row>
    <row r="904" spans="1:59"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row>
    <row r="905" spans="1:59"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row>
    <row r="906" spans="1:59"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row>
    <row r="907" spans="1:59"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row>
    <row r="908" spans="1:59"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row>
    <row r="909" spans="1:5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row>
    <row r="910" spans="1:59"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row>
    <row r="911" spans="1:59"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row>
    <row r="912" spans="1:59"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row>
    <row r="913" spans="1:59"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row>
    <row r="914" spans="1:59"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row>
    <row r="915" spans="1:59"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row>
    <row r="916" spans="1:59"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row>
    <row r="917" spans="1:59"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row>
    <row r="918" spans="1:59"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row>
    <row r="919" spans="1:5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row>
    <row r="920" spans="1:59"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row>
    <row r="921" spans="1:59"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row>
    <row r="922" spans="1:59"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row>
    <row r="923" spans="1:59"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row>
    <row r="924" spans="1:59"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row>
    <row r="925" spans="1:59"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row>
    <row r="926" spans="1:59"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row>
    <row r="927" spans="1:59"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row>
    <row r="928" spans="1:59"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row>
    <row r="929" spans="1:5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row>
    <row r="930" spans="1:59"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row>
    <row r="931" spans="1:59"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row>
    <row r="932" spans="1:59"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row>
    <row r="933" spans="1:59"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row>
    <row r="934" spans="1:59"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row>
    <row r="935" spans="1:59"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row>
    <row r="936" spans="1:59"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row>
    <row r="937" spans="1:59"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row>
    <row r="938" spans="1:59"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row>
    <row r="939" spans="1:5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row>
    <row r="940" spans="1:59"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row>
    <row r="941" spans="1:59"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row>
    <row r="942" spans="1:59"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row>
    <row r="943" spans="1:59"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row>
    <row r="944" spans="1:59"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row>
    <row r="945" spans="1:59"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row>
    <row r="946" spans="1:59"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row>
    <row r="947" spans="1:59"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row>
    <row r="948" spans="1:59"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row>
    <row r="949" spans="1:5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row>
    <row r="950" spans="1:59"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row>
    <row r="951" spans="1:59"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row>
    <row r="952" spans="1:59"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row>
    <row r="953" spans="1:59"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row>
    <row r="954" spans="1:59"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row>
    <row r="955" spans="1:59"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row>
    <row r="956" spans="1:59"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row>
    <row r="957" spans="1:59"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row>
    <row r="958" spans="1:59"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row>
    <row r="959" spans="1: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row>
    <row r="960" spans="1:59"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row>
    <row r="961" spans="1:59"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row>
    <row r="962" spans="1:59"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row>
    <row r="963" spans="1:59"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row>
    <row r="964" spans="1:59"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row>
    <row r="965" spans="1:59"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row>
    <row r="966" spans="1:59"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row>
    <row r="967" spans="1:59"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row>
    <row r="968" spans="1:59"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row>
    <row r="969" spans="1:5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row>
    <row r="970" spans="1:59"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row>
    <row r="971" spans="1:59"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row>
    <row r="972" spans="1:59"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row>
    <row r="973" spans="1:59"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row>
    <row r="974" spans="1:59"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row>
    <row r="975" spans="1:59"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row>
    <row r="976" spans="1:59"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row>
    <row r="977" spans="1:59"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row>
    <row r="978" spans="1:59"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row>
    <row r="979" spans="1:5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row>
    <row r="980" spans="1:59"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row>
    <row r="981" spans="1:59"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row>
    <row r="982" spans="1:59"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row>
    <row r="983" spans="1:59"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row>
    <row r="984" spans="1:59"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row>
    <row r="985" spans="1:59"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row>
    <row r="986" spans="1:59"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row>
    <row r="987" spans="1:59"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row>
    <row r="988" spans="1:59"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row>
    <row r="989" spans="1:5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row>
    <row r="990" spans="1:59"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row>
    <row r="991" spans="1:59"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row>
    <row r="992" spans="1:59"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row>
    <row r="993" spans="1:59"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row>
    <row r="994" spans="1:59"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row>
    <row r="995" spans="1:59"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row>
    <row r="996" spans="1:59"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row>
    <row r="997" spans="1:59"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row>
    <row r="998" spans="1:59"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row>
    <row r="999" spans="1:5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row>
    <row r="1000" spans="1:59"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row>
    <row r="1001" spans="1:59"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row>
    <row r="1002" spans="1:59"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row>
    <row r="1003" spans="1:59"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row>
    <row r="1004" spans="1:59"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row>
    <row r="1005" spans="1:59"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row>
    <row r="1006" spans="1:59"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row>
    <row r="1007" spans="1:59"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row>
    <row r="1008" spans="1:59"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row>
    <row r="1009" spans="1:59" ht="1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1000"/>
  <sheetViews>
    <sheetView workbookViewId="0"/>
  </sheetViews>
  <sheetFormatPr defaultColWidth="14.44140625" defaultRowHeight="15" customHeight="1"/>
  <cols>
    <col min="1" max="10" width="17.88671875" customWidth="1"/>
    <col min="11" max="14" width="8.6640625" customWidth="1"/>
    <col min="15" max="15" width="9.33203125" customWidth="1"/>
    <col min="16" max="65" width="8.6640625" customWidth="1"/>
  </cols>
  <sheetData>
    <row r="1" spans="1:65" ht="28.8">
      <c r="A1" s="298" t="s">
        <v>440</v>
      </c>
      <c r="B1" s="299" t="s">
        <v>441</v>
      </c>
      <c r="C1" s="299" t="s">
        <v>442</v>
      </c>
      <c r="D1" s="300" t="s">
        <v>443</v>
      </c>
      <c r="E1" s="300" t="s">
        <v>444</v>
      </c>
      <c r="F1" s="299" t="s">
        <v>445</v>
      </c>
      <c r="G1" s="301" t="s">
        <v>446</v>
      </c>
      <c r="H1" s="302" t="s">
        <v>447</v>
      </c>
      <c r="I1" s="303" t="s">
        <v>448</v>
      </c>
      <c r="J1" s="304" t="s">
        <v>449</v>
      </c>
      <c r="K1" s="402">
        <v>2018</v>
      </c>
      <c r="L1" s="402">
        <v>2019</v>
      </c>
      <c r="M1" s="402">
        <v>2020</v>
      </c>
      <c r="N1" s="402">
        <v>2021</v>
      </c>
      <c r="O1" s="299">
        <v>2022</v>
      </c>
      <c r="P1" s="299">
        <v>2023</v>
      </c>
      <c r="Q1" s="299">
        <v>2024</v>
      </c>
      <c r="R1" s="299">
        <v>2025</v>
      </c>
      <c r="S1" s="299">
        <v>2026</v>
      </c>
      <c r="T1" s="299">
        <v>2027</v>
      </c>
      <c r="U1" s="299">
        <v>2028</v>
      </c>
      <c r="V1" s="299">
        <v>2029</v>
      </c>
      <c r="W1" s="299">
        <v>2030</v>
      </c>
      <c r="X1" s="299">
        <v>2031</v>
      </c>
      <c r="Y1" s="299">
        <v>2032</v>
      </c>
      <c r="Z1" s="299">
        <v>2033</v>
      </c>
      <c r="AA1" s="299">
        <v>2034</v>
      </c>
      <c r="AB1" s="299">
        <v>2035</v>
      </c>
      <c r="AC1" s="299">
        <v>2036</v>
      </c>
      <c r="AD1" s="299">
        <v>2037</v>
      </c>
      <c r="AE1" s="299">
        <v>2038</v>
      </c>
      <c r="AF1" s="299">
        <v>2039</v>
      </c>
      <c r="AG1" s="299">
        <v>2040</v>
      </c>
      <c r="AH1" s="299">
        <v>2041</v>
      </c>
      <c r="AI1" s="299">
        <v>2042</v>
      </c>
      <c r="AJ1" s="299">
        <v>2043</v>
      </c>
      <c r="AK1" s="299">
        <v>2044</v>
      </c>
      <c r="AL1" s="299">
        <v>2045</v>
      </c>
      <c r="AM1" s="299">
        <v>2046</v>
      </c>
      <c r="AN1" s="299">
        <v>2047</v>
      </c>
      <c r="AO1" s="299">
        <v>2048</v>
      </c>
      <c r="AP1" s="299">
        <v>2049</v>
      </c>
      <c r="AQ1" s="305">
        <v>2050</v>
      </c>
      <c r="AR1" s="306">
        <v>2051</v>
      </c>
      <c r="AS1" s="300">
        <v>2052</v>
      </c>
      <c r="AT1" s="300">
        <v>2053</v>
      </c>
      <c r="AU1" s="300">
        <v>2054</v>
      </c>
      <c r="AV1" s="300">
        <v>2055</v>
      </c>
      <c r="AW1" s="300">
        <v>2056</v>
      </c>
      <c r="AX1" s="300">
        <v>2057</v>
      </c>
      <c r="AY1" s="300">
        <v>2058</v>
      </c>
      <c r="AZ1" s="300">
        <v>2059</v>
      </c>
      <c r="BA1" s="300">
        <v>2060</v>
      </c>
      <c r="BB1" s="300">
        <v>2061</v>
      </c>
      <c r="BC1" s="300">
        <v>2062</v>
      </c>
      <c r="BD1" s="300">
        <v>2063</v>
      </c>
      <c r="BE1" s="300">
        <v>2064</v>
      </c>
      <c r="BF1" s="300">
        <v>2065</v>
      </c>
      <c r="BG1" s="300">
        <v>2066</v>
      </c>
      <c r="BH1" s="300">
        <v>2067</v>
      </c>
      <c r="BI1" s="300">
        <v>2068</v>
      </c>
      <c r="BJ1" s="300">
        <v>2069</v>
      </c>
      <c r="BK1" s="305">
        <v>2070</v>
      </c>
      <c r="BL1" s="1"/>
      <c r="BM1" s="1"/>
    </row>
    <row r="2" spans="1:65" ht="43.2">
      <c r="A2" s="403" t="s">
        <v>554</v>
      </c>
      <c r="B2" s="404" t="s">
        <v>636</v>
      </c>
      <c r="C2" s="404" t="s">
        <v>637</v>
      </c>
      <c r="D2" s="405" t="s">
        <v>638</v>
      </c>
      <c r="E2" s="404" t="s">
        <v>462</v>
      </c>
      <c r="F2" s="404" t="s">
        <v>463</v>
      </c>
      <c r="G2" s="406" t="s">
        <v>464</v>
      </c>
      <c r="H2" s="407" t="s">
        <v>44</v>
      </c>
      <c r="I2" s="408" t="s">
        <v>44</v>
      </c>
      <c r="J2" s="409" t="s">
        <v>44</v>
      </c>
      <c r="K2" s="410">
        <v>1.128575672</v>
      </c>
      <c r="L2" s="410">
        <v>1.1363423580000001</v>
      </c>
      <c r="M2" s="410">
        <v>1.1466088889999999</v>
      </c>
      <c r="N2" s="410">
        <v>1.1393414610000001</v>
      </c>
      <c r="O2" s="411">
        <f>1/(1-'Políticas anunciadas'!I31)</f>
        <v>1.1095084877399313</v>
      </c>
      <c r="P2" s="411">
        <f>1/(1-'Políticas anunciadas'!J31)</f>
        <v>1.1053387863380126</v>
      </c>
      <c r="Q2" s="411">
        <f>1/(1-'Políticas anunciadas'!K31)</f>
        <v>1.1029006286533583</v>
      </c>
      <c r="R2" s="411">
        <f>1/(1-'Políticas anunciadas'!L31)</f>
        <v>1.1009578333149841</v>
      </c>
      <c r="S2" s="411">
        <f>1/(1-'Políticas anunciadas'!M31)</f>
        <v>1.0992634934593823</v>
      </c>
      <c r="T2" s="411">
        <f>1/(1-'Políticas anunciadas'!N31)</f>
        <v>1.097935880544576</v>
      </c>
      <c r="U2" s="411">
        <f>1/(1-'Políticas anunciadas'!O31)</f>
        <v>1.097935880544576</v>
      </c>
      <c r="V2" s="411">
        <f>1/(1-'Políticas anunciadas'!P31)</f>
        <v>1.097935880544576</v>
      </c>
      <c r="W2" s="411">
        <f>1/(1-'Políticas anunciadas'!Q31)</f>
        <v>1.097935880544576</v>
      </c>
      <c r="X2" s="411">
        <f>1/(1-'Políticas anunciadas'!R31)</f>
        <v>1.097935880544576</v>
      </c>
      <c r="Y2" s="411">
        <f>1/(1-'Políticas anunciadas'!S31)</f>
        <v>1.097935880544576</v>
      </c>
      <c r="Z2" s="411">
        <f>1/(1-'Políticas anunciadas'!T31)</f>
        <v>1.097935880544576</v>
      </c>
      <c r="AA2" s="411">
        <f>1/(1-'Políticas anunciadas'!U31)</f>
        <v>1.097935880544576</v>
      </c>
      <c r="AB2" s="411">
        <f>1/(1-'Políticas anunciadas'!V31)</f>
        <v>1.097935880544576</v>
      </c>
      <c r="AC2" s="411">
        <f>1/(1-'Políticas anunciadas'!W31)</f>
        <v>1.097935880544576</v>
      </c>
      <c r="AD2" s="411">
        <f>1/(1-'Políticas anunciadas'!X31)</f>
        <v>1.097935880544576</v>
      </c>
      <c r="AE2" s="411">
        <f>1/(1-'Políticas anunciadas'!Y31)</f>
        <v>1.097935880544576</v>
      </c>
      <c r="AF2" s="411">
        <f>1/(1-'Políticas anunciadas'!Z31)</f>
        <v>1.097935880544576</v>
      </c>
      <c r="AG2" s="411">
        <f>1/(1-'Políticas anunciadas'!AA31)</f>
        <v>1.097935880544576</v>
      </c>
      <c r="AH2" s="411">
        <f>1/(1-'Políticas anunciadas'!AB31)</f>
        <v>1.097935880544576</v>
      </c>
      <c r="AI2" s="411">
        <f>1/(1-'Políticas anunciadas'!AC31)</f>
        <v>1.097935880544576</v>
      </c>
      <c r="AJ2" s="411">
        <f>1/(1-'Políticas anunciadas'!AD31)</f>
        <v>1.097935880544576</v>
      </c>
      <c r="AK2" s="411">
        <f>1/(1-'Políticas anunciadas'!AE31)</f>
        <v>1.097935880544576</v>
      </c>
      <c r="AL2" s="411">
        <f>1/(1-'Políticas anunciadas'!AF31)</f>
        <v>1.097935880544576</v>
      </c>
      <c r="AM2" s="411">
        <f>1/(1-'Políticas anunciadas'!AG31)</f>
        <v>1.097935880544576</v>
      </c>
      <c r="AN2" s="411">
        <f>1/(1-'Políticas anunciadas'!AH31)</f>
        <v>1.097935880544576</v>
      </c>
      <c r="AO2" s="411">
        <f>1/(1-'Políticas anunciadas'!AI31)</f>
        <v>1.097935880544576</v>
      </c>
      <c r="AP2" s="411">
        <f>1/(1-'Políticas anunciadas'!AJ31)</f>
        <v>1.097935880544576</v>
      </c>
      <c r="AQ2" s="411">
        <f>1/(1-'Políticas anunciadas'!AK31)</f>
        <v>1.097935880544576</v>
      </c>
      <c r="AR2" s="411">
        <f>1/(1-'Políticas anunciadas'!AL31)</f>
        <v>1.097935880544576</v>
      </c>
      <c r="AS2" s="411">
        <f>1/(1-'Políticas anunciadas'!AM31)</f>
        <v>1.097935880544576</v>
      </c>
      <c r="AT2" s="411">
        <f>1/(1-'Políticas anunciadas'!AN31)</f>
        <v>1.097935880544576</v>
      </c>
      <c r="AU2" s="411">
        <f>1/(1-'Políticas anunciadas'!AO31)</f>
        <v>1.097935880544576</v>
      </c>
      <c r="AV2" s="411">
        <f>1/(1-'Políticas anunciadas'!AP31)</f>
        <v>1.097935880544576</v>
      </c>
      <c r="AW2" s="411">
        <f>1/(1-'Políticas anunciadas'!AQ31)</f>
        <v>1.097935880544576</v>
      </c>
      <c r="AX2" s="411">
        <f>1/(1-'Políticas anunciadas'!AR31)</f>
        <v>1.097935880544576</v>
      </c>
      <c r="AY2" s="411">
        <f>1/(1-'Políticas anunciadas'!AS31)</f>
        <v>1.097935880544576</v>
      </c>
      <c r="AZ2" s="411">
        <f>1/(1-'Políticas anunciadas'!AT31)</f>
        <v>1.097935880544576</v>
      </c>
      <c r="BA2" s="411">
        <f>1/(1-'Políticas anunciadas'!AU31)</f>
        <v>1.097935880544576</v>
      </c>
      <c r="BB2" s="411">
        <f>1/(1-'Políticas anunciadas'!AV31)</f>
        <v>1.097935880544576</v>
      </c>
      <c r="BC2" s="411">
        <f>1/(1-'Políticas anunciadas'!AW31)</f>
        <v>1.097935880544576</v>
      </c>
      <c r="BD2" s="411">
        <f>1/(1-'Políticas anunciadas'!AX31)</f>
        <v>1.097935880544576</v>
      </c>
      <c r="BE2" s="411">
        <f>1/(1-'Políticas anunciadas'!AY31)</f>
        <v>1.097935880544576</v>
      </c>
      <c r="BF2" s="411">
        <f>1/(1-'Políticas anunciadas'!AZ31)</f>
        <v>1.097935880544576</v>
      </c>
      <c r="BG2" s="411">
        <f>1/(1-'Políticas anunciadas'!BA31)</f>
        <v>1.097935880544576</v>
      </c>
      <c r="BH2" s="411">
        <f>1/(1-'Políticas anunciadas'!BB31)</f>
        <v>1.097935880544576</v>
      </c>
      <c r="BI2" s="411">
        <f>1/(1-'Políticas anunciadas'!BC31)</f>
        <v>1.097935880544576</v>
      </c>
      <c r="BJ2" s="411">
        <f>1/(1-'Políticas anunciadas'!BD31)</f>
        <v>1.097935880544576</v>
      </c>
      <c r="BK2" s="411">
        <f>1/(1-'Políticas anunciadas'!BE31)</f>
        <v>1.097935880544576</v>
      </c>
      <c r="BL2" s="1"/>
      <c r="BM2" s="1"/>
    </row>
    <row r="3" spans="1:65" ht="43.2">
      <c r="A3" s="403" t="s">
        <v>457</v>
      </c>
      <c r="B3" s="404" t="s">
        <v>636</v>
      </c>
      <c r="C3" s="404" t="s">
        <v>637</v>
      </c>
      <c r="D3" s="405" t="s">
        <v>638</v>
      </c>
      <c r="E3" s="404" t="s">
        <v>462</v>
      </c>
      <c r="F3" s="404" t="s">
        <v>463</v>
      </c>
      <c r="G3" s="406" t="s">
        <v>464</v>
      </c>
      <c r="H3" s="407" t="s">
        <v>44</v>
      </c>
      <c r="I3" s="408" t="s">
        <v>44</v>
      </c>
      <c r="J3" s="409" t="s">
        <v>44</v>
      </c>
      <c r="K3" s="410">
        <v>1.128575672</v>
      </c>
      <c r="L3" s="410">
        <v>1.1363423580000001</v>
      </c>
      <c r="M3" s="410">
        <v>1.1466088889999999</v>
      </c>
      <c r="N3" s="410">
        <v>1.1393414610000001</v>
      </c>
      <c r="O3" s="411">
        <f>1/(1-'Net Zero 2050'!I23)</f>
        <v>1.1026574043444701</v>
      </c>
      <c r="P3" s="411">
        <f>1/(1-'Net Zero 2050'!J23)</f>
        <v>1.0999890001099988</v>
      </c>
      <c r="Q3" s="411">
        <f>1/(1-'Net Zero 2050'!K23)</f>
        <v>1.0978153474585575</v>
      </c>
      <c r="R3" s="411">
        <f>1/(1-'Net Zero 2050'!L23)</f>
        <v>1.096371011950444</v>
      </c>
      <c r="S3" s="411">
        <f>1/(1-'Net Zero 2050'!M23)</f>
        <v>1.0953363269181173</v>
      </c>
      <c r="T3" s="411">
        <f>1/(1-'Net Zero 2050'!N23)</f>
        <v>1.0943035929839473</v>
      </c>
      <c r="U3" s="411">
        <f>1/(1-'Net Zero 2050'!O23)</f>
        <v>1.0932728046343745</v>
      </c>
      <c r="V3" s="411">
        <f>1/(1-'Net Zero 2050'!P23)</f>
        <v>1.0922439563765938</v>
      </c>
      <c r="W3" s="411">
        <f>1/(1-'Net Zero 2050'!Q23)</f>
        <v>1.0912170427384582</v>
      </c>
      <c r="X3" s="411">
        <f>1/(1-'Net Zero 2050'!R23)</f>
        <v>1.0907245292307188</v>
      </c>
      <c r="Y3" s="411">
        <f>1/(1-'Net Zero 2050'!S23)</f>
        <v>1.0902324601077589</v>
      </c>
      <c r="Z3" s="411">
        <f>1/(1-'Net Zero 2050'!T23)</f>
        <v>1.0897408347684112</v>
      </c>
      <c r="AA3" s="411">
        <f>1/(1-'Net Zero 2050'!U23)</f>
        <v>1.0892496526125919</v>
      </c>
      <c r="AB3" s="411">
        <f>1/(1-'Net Zero 2050'!V23)</f>
        <v>1.0887589130412982</v>
      </c>
      <c r="AC3" s="411">
        <f>1/(1-'Net Zero 2050'!W23)</f>
        <v>1.0885664445079437</v>
      </c>
      <c r="AD3" s="411">
        <f>1/(1-'Net Zero 2050'!X23)</f>
        <v>1.0883740440109346</v>
      </c>
      <c r="AE3" s="411">
        <f>1/(1-'Net Zero 2050'!Y23)</f>
        <v>1.0881817115142021</v>
      </c>
      <c r="AF3" s="411">
        <f>1/(1-'Net Zero 2050'!Z23)</f>
        <v>1.0879894469817024</v>
      </c>
      <c r="AG3" s="411">
        <f>1/(1-'Net Zero 2050'!AA23)</f>
        <v>1.0877972503774171</v>
      </c>
      <c r="AH3" s="411">
        <f>1/(1-'Net Zero 2050'!AB23)</f>
        <v>1.0877019439410898</v>
      </c>
      <c r="AI3" s="411">
        <f>1/(1-'Net Zero 2050'!AC23)</f>
        <v>1.0876066542036851</v>
      </c>
      <c r="AJ3" s="411">
        <f>1/(1-'Net Zero 2050'!AD23)</f>
        <v>1.0875113811608146</v>
      </c>
      <c r="AK3" s="411">
        <f>1/(1-'Net Zero 2050'!AE23)</f>
        <v>1.0874161248080911</v>
      </c>
      <c r="AL3" s="411">
        <f>1/(1-'Net Zero 2050'!AF23)</f>
        <v>1.0873208851411298</v>
      </c>
      <c r="AM3" s="411">
        <f>1/(1-'Net Zero 2050'!AG23)</f>
        <v>1.0873018963083296</v>
      </c>
      <c r="AN3" s="411">
        <f>1/(1-'Net Zero 2050'!AH23)</f>
        <v>1.0872829081387549</v>
      </c>
      <c r="AO3" s="411">
        <f>1/(1-'Net Zero 2050'!AI23)</f>
        <v>1.0872639206323709</v>
      </c>
      <c r="AP3" s="411">
        <f>1/(1-'Net Zero 2050'!AJ23)</f>
        <v>1.087244933789143</v>
      </c>
      <c r="AQ3" s="411">
        <f>1/(1-'Net Zero 2050'!AK23)</f>
        <v>1.0872259476090362</v>
      </c>
      <c r="AR3" s="411">
        <f>1/(1-'Net Zero 2050'!AL23)</f>
        <v>1.0872259476090362</v>
      </c>
      <c r="AS3" s="411">
        <f>1/(1-'Net Zero 2050'!AM23)</f>
        <v>1.0872259476090362</v>
      </c>
      <c r="AT3" s="411">
        <f>1/(1-'Net Zero 2050'!AN23)</f>
        <v>1.0872259476090362</v>
      </c>
      <c r="AU3" s="411">
        <f>1/(1-'Net Zero 2050'!AO23)</f>
        <v>1.0872259476090362</v>
      </c>
      <c r="AV3" s="411">
        <f>1/(1-'Net Zero 2050'!AP23)</f>
        <v>1.0872259476090362</v>
      </c>
      <c r="AW3" s="411">
        <f>1/(1-'Net Zero 2050'!AQ23)</f>
        <v>1.0872259476090362</v>
      </c>
      <c r="AX3" s="411">
        <f>1/(1-'Net Zero 2050'!AR23)</f>
        <v>1.0872259476090362</v>
      </c>
      <c r="AY3" s="411">
        <f>1/(1-'Net Zero 2050'!AS23)</f>
        <v>1.0872259476090362</v>
      </c>
      <c r="AZ3" s="411">
        <f>1/(1-'Net Zero 2050'!AT23)</f>
        <v>1.0872259476090362</v>
      </c>
      <c r="BA3" s="411">
        <f>1/(1-'Net Zero 2050'!AU23)</f>
        <v>1.0872259476090362</v>
      </c>
      <c r="BB3" s="411">
        <f>1/(1-'Net Zero 2050'!AV23)</f>
        <v>1.0872259476090362</v>
      </c>
      <c r="BC3" s="411">
        <f>1/(1-'Net Zero 2050'!AW23)</f>
        <v>1.0872259476090362</v>
      </c>
      <c r="BD3" s="411">
        <f>1/(1-'Net Zero 2050'!AX23)</f>
        <v>1.0872259476090362</v>
      </c>
      <c r="BE3" s="411">
        <f>1/(1-'Net Zero 2050'!AY23)</f>
        <v>1.0872259476090362</v>
      </c>
      <c r="BF3" s="411">
        <f>1/(1-'Net Zero 2050'!AZ23)</f>
        <v>1.0872259476090362</v>
      </c>
      <c r="BG3" s="411">
        <f>1/(1-'Net Zero 2050'!BA23)</f>
        <v>1.0872259476090362</v>
      </c>
      <c r="BH3" s="411">
        <f>1/(1-'Net Zero 2050'!BB23)</f>
        <v>1.0872259476090362</v>
      </c>
      <c r="BI3" s="411">
        <f>1/(1-'Net Zero 2050'!BC23)</f>
        <v>1.0872259476090362</v>
      </c>
      <c r="BJ3" s="411">
        <f>1/(1-'Net Zero 2050'!BD23)</f>
        <v>1.0872259476090362</v>
      </c>
      <c r="BK3" s="411">
        <f>1/(1-'Net Zero 2050'!BE23)</f>
        <v>1.0872259476090362</v>
      </c>
      <c r="BL3" s="1"/>
      <c r="BM3" s="1"/>
    </row>
    <row r="4" spans="1:65" ht="43.2">
      <c r="A4" s="403" t="s">
        <v>639</v>
      </c>
      <c r="B4" s="404" t="s">
        <v>636</v>
      </c>
      <c r="C4" s="404" t="s">
        <v>637</v>
      </c>
      <c r="D4" s="405" t="s">
        <v>638</v>
      </c>
      <c r="E4" s="404" t="s">
        <v>462</v>
      </c>
      <c r="F4" s="404" t="s">
        <v>463</v>
      </c>
      <c r="G4" s="406" t="s">
        <v>464</v>
      </c>
      <c r="H4" s="407" t="s">
        <v>44</v>
      </c>
      <c r="I4" s="408" t="s">
        <v>44</v>
      </c>
      <c r="J4" s="409" t="s">
        <v>44</v>
      </c>
      <c r="K4" s="410">
        <v>1.128575672</v>
      </c>
      <c r="L4" s="410">
        <v>1.1363423580000001</v>
      </c>
      <c r="M4" s="410">
        <v>1.1466088889999999</v>
      </c>
      <c r="N4" s="410">
        <v>1.1393414610000001</v>
      </c>
      <c r="O4" s="411">
        <f>1/(1-'Net Zero 2070'!G23)</f>
        <v>1.1026574043444701</v>
      </c>
      <c r="P4" s="411">
        <f>1/(1-'Net Zero 2070'!H23)</f>
        <v>1.0999890001099988</v>
      </c>
      <c r="Q4" s="411">
        <f>1/(1-'Net Zero 2070'!I23)</f>
        <v>1.0978153474585575</v>
      </c>
      <c r="R4" s="411">
        <f>1/(1-'Net Zero 2070'!J23)</f>
        <v>1.096371011950444</v>
      </c>
      <c r="S4" s="411">
        <f>1/(1-'Net Zero 2070'!K23)</f>
        <v>1.095890410958904</v>
      </c>
      <c r="T4" s="411">
        <f>1/(1-'Net Zero 2070'!L23)</f>
        <v>1.0950503723171265</v>
      </c>
      <c r="U4" s="411">
        <f>1/(1-'Net Zero 2070'!M23)</f>
        <v>1.0946907498631637</v>
      </c>
      <c r="V4" s="411">
        <f>1/(1-'Net Zero 2070'!N23)</f>
        <v>1.0940919037199124</v>
      </c>
      <c r="W4" s="411">
        <f>1/(1-'Net Zero 2070'!O23)</f>
        <v>1.0936132983377078</v>
      </c>
      <c r="X4" s="411">
        <f>1/(1-'Net Zero 2070'!P23)</f>
        <v>1.0931351114997814</v>
      </c>
      <c r="Y4" s="411">
        <f>1/(1-'Net Zero 2070'!Q23)</f>
        <v>1.0928961748633879</v>
      </c>
      <c r="Z4" s="411">
        <f>1/(1-'Net Zero 2070'!R23)</f>
        <v>1.0924186148131965</v>
      </c>
      <c r="AA4" s="411">
        <f>1/(1-'Net Zero 2070'!S23)</f>
        <v>1.09217999126256</v>
      </c>
      <c r="AB4" s="411">
        <f>1/(1-'Net Zero 2070'!T23)</f>
        <v>1.0919414719371043</v>
      </c>
      <c r="AC4" s="411">
        <f>1/(1-'Net Zero 2070'!U23)</f>
        <v>1.0917030567685588</v>
      </c>
      <c r="AD4" s="411">
        <f>1/(1-'Net Zero 2070'!V23)</f>
        <v>1.0914647456887143</v>
      </c>
      <c r="AE4" s="411">
        <f>1/(1-'Net Zero 2070'!W23)</f>
        <v>1.0912265386294195</v>
      </c>
      <c r="AF4" s="411">
        <f>1/(1-'Net Zero 2070'!X23)</f>
        <v>1.0911074740861975</v>
      </c>
      <c r="AG4" s="411">
        <f>1/(1-'Net Zero 2070'!Y23)</f>
        <v>1.0908694229300753</v>
      </c>
      <c r="AH4" s="411">
        <f>1/(1-'Net Zero 2070'!Z23)</f>
        <v>1.0907504363001745</v>
      </c>
      <c r="AI4" s="411">
        <f>1/(1-'Net Zero 2070'!AA23)</f>
        <v>1.0906314756243864</v>
      </c>
      <c r="AJ4" s="411">
        <f>1/(1-'Net Zero 2070'!AB23)</f>
        <v>1.0905125408942202</v>
      </c>
      <c r="AK4" s="411">
        <f>1/(1-'Net Zero 2070'!AC23)</f>
        <v>1.0903936321011884</v>
      </c>
      <c r="AL4" s="411">
        <f>1/(1-'Net Zero 2070'!AD23)</f>
        <v>1.0901558922925978</v>
      </c>
      <c r="AM4" s="411">
        <f>1/(1-'Net Zero 2070'!AE23)</f>
        <v>1.0900370612600829</v>
      </c>
      <c r="AN4" s="411">
        <f>1/(1-'Net Zero 2070'!AF23)</f>
        <v>1.0899182561307903</v>
      </c>
      <c r="AO4" s="411">
        <f>1/(1-'Net Zero 2070'!AG23)</f>
        <v>1.0897994768962511</v>
      </c>
      <c r="AP4" s="411">
        <f>1/(1-'Net Zero 2070'!AH23)</f>
        <v>1.0895619960775769</v>
      </c>
      <c r="AQ4" s="411">
        <f>1/(1-'Net Zero 2070'!AI23)</f>
        <v>1.0894432944765227</v>
      </c>
      <c r="AR4" s="411">
        <f>1/(1-'Net Zero 2070'!AJ23)</f>
        <v>1.0893246187363834</v>
      </c>
      <c r="AS4" s="411">
        <f>1/(1-'Net Zero 2070'!AK23)</f>
        <v>1.0892059688487092</v>
      </c>
      <c r="AT4" s="411">
        <f>1/(1-'Net Zero 2070'!AL23)</f>
        <v>1.0890873448050533</v>
      </c>
      <c r="AU4" s="411">
        <f>1/(1-'Net Zero 2070'!AM23)</f>
        <v>1.0889687465969726</v>
      </c>
      <c r="AV4" s="411">
        <f>1/(1-'Net Zero 2070'!AN23)</f>
        <v>1.0888501742160279</v>
      </c>
      <c r="AW4" s="411">
        <f>1/(1-'Net Zero 2070'!AO23)</f>
        <v>1.0887316276537833</v>
      </c>
      <c r="AX4" s="411">
        <f>1/(1-'Net Zero 2070'!AP23)</f>
        <v>1.0887316276537833</v>
      </c>
      <c r="AY4" s="411">
        <f>1/(1-'Net Zero 2070'!AQ23)</f>
        <v>1.0886131069018072</v>
      </c>
      <c r="AZ4" s="411">
        <f>1/(1-'Net Zero 2070'!AR23)</f>
        <v>1.088494611951671</v>
      </c>
      <c r="BA4" s="411">
        <f>1/(1-'Net Zero 2070'!AS23)</f>
        <v>1.0883761427949499</v>
      </c>
      <c r="BB4" s="411">
        <f>1/(1-'Net Zero 2070'!AT23)</f>
        <v>1.0882576994232234</v>
      </c>
      <c r="BC4" s="411">
        <f>1/(1-'Net Zero 2070'!AU23)</f>
        <v>1.088139281828074</v>
      </c>
      <c r="BD4" s="411">
        <f>1/(1-'Net Zero 2070'!AV23)</f>
        <v>1.088139281828074</v>
      </c>
      <c r="BE4" s="411">
        <f>1/(1-'Net Zero 2070'!AW23)</f>
        <v>1.0880208900010879</v>
      </c>
      <c r="BF4" s="411">
        <f>1/(1-'Net Zero 2070'!AX23)</f>
        <v>1.0879025239338556</v>
      </c>
      <c r="BG4" s="411">
        <f>1/(1-'Net Zero 2070'!AY23)</f>
        <v>1.0879025239338556</v>
      </c>
      <c r="BH4" s="411">
        <f>1/(1-'Net Zero 2070'!AZ23)</f>
        <v>1.0879025239338556</v>
      </c>
      <c r="BI4" s="411">
        <f>1/(1-'Net Zero 2070'!BA23)</f>
        <v>1.0877841836179702</v>
      </c>
      <c r="BJ4" s="411">
        <f>1/(1-'Net Zero 2070'!BB23)</f>
        <v>1.0877841836179702</v>
      </c>
      <c r="BK4" s="411">
        <f>1/(1-'Net Zero 2070'!BC23)</f>
        <v>1.0876658690450294</v>
      </c>
      <c r="BL4" s="1"/>
      <c r="BM4" s="1"/>
    </row>
    <row r="5" spans="1:65" ht="14.4">
      <c r="A5" s="1" t="s">
        <v>457</v>
      </c>
      <c r="B5" s="1" t="s">
        <v>640</v>
      </c>
      <c r="C5" s="1" t="s">
        <v>641</v>
      </c>
      <c r="D5" s="1" t="s">
        <v>642</v>
      </c>
      <c r="E5" s="1"/>
      <c r="F5" s="1"/>
      <c r="G5" s="1" t="s">
        <v>463</v>
      </c>
      <c r="H5" s="1" t="s">
        <v>464</v>
      </c>
      <c r="I5" s="1"/>
      <c r="J5" s="1"/>
      <c r="K5" s="1">
        <v>7.4099999999999999E-2</v>
      </c>
      <c r="L5" s="1">
        <v>7.4099999999999999E-2</v>
      </c>
      <c r="M5" s="1">
        <v>7.4099999999999999E-2</v>
      </c>
      <c r="N5" s="1">
        <v>7.4099999999999999E-2</v>
      </c>
      <c r="O5" s="1">
        <f>$N5*Biocombustibles!D$8</f>
        <v>7.0394999999999999E-2</v>
      </c>
      <c r="P5" s="1">
        <f>$N5*Biocombustibles!E$8</f>
        <v>6.9653999999999994E-2</v>
      </c>
      <c r="Q5" s="1">
        <f>$N5*Biocombustibles!F$8</f>
        <v>6.9061200000000003E-2</v>
      </c>
      <c r="R5" s="1">
        <f>$N5*Biocombustibles!G$8</f>
        <v>6.8171999999999996E-2</v>
      </c>
      <c r="S5" s="1">
        <f>$N5*Biocombustibles!H$8</f>
        <v>6.7801500000000001E-2</v>
      </c>
      <c r="T5" s="1">
        <f>$N5*Biocombustibles!I$8</f>
        <v>6.7282800000000004E-2</v>
      </c>
      <c r="U5" s="1">
        <f>$N5*Biocombustibles!J$8</f>
        <v>6.6764100000000007E-2</v>
      </c>
      <c r="V5" s="1">
        <f>$N5*Biocombustibles!K$8</f>
        <v>6.6097199999999995E-2</v>
      </c>
      <c r="W5" s="1">
        <f>$N5*Biocombustibles!L$8</f>
        <v>6.5578499999999998E-2</v>
      </c>
      <c r="X5" s="1">
        <f>$N5*Biocombustibles!M$8</f>
        <v>6.5208000000000002E-2</v>
      </c>
      <c r="Y5" s="1">
        <f>$N5*Biocombustibles!N$8</f>
        <v>6.4763399999999999E-2</v>
      </c>
      <c r="Z5" s="1">
        <f>$N5*Biocombustibles!O$8</f>
        <v>6.4615199999999998E-2</v>
      </c>
      <c r="AA5" s="1">
        <f>$N5*Biocombustibles!P$8</f>
        <v>6.4318799999999995E-2</v>
      </c>
      <c r="AB5" s="1">
        <f>$N5*Biocombustibles!Q$8</f>
        <v>6.4022399999999993E-2</v>
      </c>
      <c r="AC5" s="1">
        <f>$N5*Biocombustibles!R$8</f>
        <v>6.3726000000000005E-2</v>
      </c>
      <c r="AD5" s="1">
        <f>$N5*Biocombustibles!S$8</f>
        <v>6.3503699999999996E-2</v>
      </c>
      <c r="AE5" s="1">
        <f>$N5*Biocombustibles!T$8</f>
        <v>6.3207299999999994E-2</v>
      </c>
      <c r="AF5" s="1">
        <f>$N5*Biocombustibles!U$8</f>
        <v>6.2910899999999992E-2</v>
      </c>
      <c r="AG5" s="1">
        <f>$N5*Biocombustibles!V$8</f>
        <v>6.2688599999999997E-2</v>
      </c>
      <c r="AH5" s="1">
        <f>$N5*Biocombustibles!W$8</f>
        <v>6.2243999999999994E-2</v>
      </c>
      <c r="AI5" s="1">
        <f>$N5*Biocombustibles!X$8</f>
        <v>6.1873499999999998E-2</v>
      </c>
      <c r="AJ5" s="1">
        <f>$N5*Biocombustibles!Y$8</f>
        <v>6.1651199999999996E-2</v>
      </c>
      <c r="AK5" s="1">
        <f>$N5*Biocombustibles!Z$8</f>
        <v>6.1206599999999993E-2</v>
      </c>
      <c r="AL5" s="1">
        <f>$N5*Biocombustibles!AA$8</f>
        <v>6.0761999999999997E-2</v>
      </c>
      <c r="AM5" s="1">
        <f>$N5*Biocombustibles!AB$8</f>
        <v>6.0391499999999994E-2</v>
      </c>
      <c r="AN5" s="1">
        <f>$N5*Biocombustibles!AC$8</f>
        <v>6.0021000000000005E-2</v>
      </c>
      <c r="AO5" s="1">
        <f>$N5*Biocombustibles!AD$8</f>
        <v>5.9724600000000003E-2</v>
      </c>
      <c r="AP5" s="1">
        <f>$N5*Biocombustibles!AE$8</f>
        <v>5.9502300000000001E-2</v>
      </c>
      <c r="AQ5" s="1">
        <f>$N5*Biocombustibles!AF$8</f>
        <v>5.9279999999999999E-2</v>
      </c>
      <c r="AR5" s="1">
        <f>$N5*Biocombustibles!AG$8</f>
        <v>5.9279999999999999E-2</v>
      </c>
      <c r="AS5" s="1">
        <f>$N5*Biocombustibles!AH$8</f>
        <v>5.9279999999999999E-2</v>
      </c>
      <c r="AT5" s="1">
        <f>$N5*Biocombustibles!AI$8</f>
        <v>5.9279999999999999E-2</v>
      </c>
      <c r="AU5" s="1">
        <f>$N5*Biocombustibles!AJ$8</f>
        <v>5.9279999999999999E-2</v>
      </c>
      <c r="AV5" s="1">
        <f>$N5*Biocombustibles!AK$8</f>
        <v>5.9279999999999999E-2</v>
      </c>
      <c r="AW5" s="1">
        <f>$N5*Biocombustibles!AL$8</f>
        <v>5.9279999999999999E-2</v>
      </c>
      <c r="AX5" s="1">
        <f>$N5*Biocombustibles!AM$8</f>
        <v>5.9279999999999999E-2</v>
      </c>
      <c r="AY5" s="1">
        <f>$N5*Biocombustibles!AN$8</f>
        <v>5.9279999999999999E-2</v>
      </c>
      <c r="AZ5" s="1">
        <f>$N5*Biocombustibles!AO$8</f>
        <v>5.9279999999999999E-2</v>
      </c>
      <c r="BA5" s="1">
        <f>$N5*Biocombustibles!AP$8</f>
        <v>5.9279999999999999E-2</v>
      </c>
      <c r="BB5" s="1">
        <f>$N5*Biocombustibles!AQ$8</f>
        <v>5.9279999999999999E-2</v>
      </c>
      <c r="BC5" s="1">
        <f>$N5*Biocombustibles!AR$8</f>
        <v>5.9279999999999999E-2</v>
      </c>
      <c r="BD5" s="1">
        <f>$N5*Biocombustibles!AS$8</f>
        <v>5.9279999999999999E-2</v>
      </c>
      <c r="BE5" s="1">
        <f>$N5*Biocombustibles!AT$8</f>
        <v>5.9279999999999999E-2</v>
      </c>
      <c r="BF5" s="1">
        <f>$N5*Biocombustibles!AU$8</f>
        <v>5.9279999999999999E-2</v>
      </c>
      <c r="BG5" s="1">
        <f>$N5*Biocombustibles!AV$8</f>
        <v>5.9279999999999999E-2</v>
      </c>
      <c r="BH5" s="1">
        <f>$N5*Biocombustibles!AW$8</f>
        <v>5.9279999999999999E-2</v>
      </c>
      <c r="BI5" s="1">
        <f>$N5*Biocombustibles!AX$8</f>
        <v>5.9279999999999999E-2</v>
      </c>
      <c r="BJ5" s="1">
        <f>$N5*Biocombustibles!AY$8</f>
        <v>5.9279999999999999E-2</v>
      </c>
      <c r="BK5" s="1">
        <f>$N5*Biocombustibles!AZ$8</f>
        <v>5.9279999999999999E-2</v>
      </c>
      <c r="BL5" s="1"/>
      <c r="BM5" s="1"/>
    </row>
    <row r="6" spans="1:65" ht="14.4">
      <c r="A6" s="1" t="s">
        <v>457</v>
      </c>
      <c r="B6" s="1" t="s">
        <v>640</v>
      </c>
      <c r="C6" s="1" t="s">
        <v>643</v>
      </c>
      <c r="D6" s="1" t="s">
        <v>642</v>
      </c>
      <c r="E6" s="1"/>
      <c r="F6" s="1"/>
      <c r="G6" s="1" t="s">
        <v>463</v>
      </c>
      <c r="H6" s="1" t="s">
        <v>464</v>
      </c>
      <c r="I6" s="1"/>
      <c r="J6" s="1"/>
      <c r="K6" s="1">
        <v>7.4099999999999999E-2</v>
      </c>
      <c r="L6" s="1">
        <v>7.4099999999999999E-2</v>
      </c>
      <c r="M6" s="1">
        <v>7.4099999999999999E-2</v>
      </c>
      <c r="N6" s="1">
        <v>7.4099999999999999E-2</v>
      </c>
      <c r="O6" s="1">
        <f>$N6*Biocombustibles!D$8</f>
        <v>7.0394999999999999E-2</v>
      </c>
      <c r="P6" s="1">
        <f>$N6*Biocombustibles!E$8</f>
        <v>6.9653999999999994E-2</v>
      </c>
      <c r="Q6" s="1">
        <f>$N6*Biocombustibles!F$8</f>
        <v>6.9061200000000003E-2</v>
      </c>
      <c r="R6" s="1">
        <f>$N6*Biocombustibles!G$8</f>
        <v>6.8171999999999996E-2</v>
      </c>
      <c r="S6" s="1">
        <f>$N6*Biocombustibles!H$8</f>
        <v>6.7801500000000001E-2</v>
      </c>
      <c r="T6" s="1">
        <f>$N6*Biocombustibles!I$8</f>
        <v>6.7282800000000004E-2</v>
      </c>
      <c r="U6" s="1">
        <f>$N6*Biocombustibles!J$8</f>
        <v>6.6764100000000007E-2</v>
      </c>
      <c r="V6" s="1">
        <f>$N6*Biocombustibles!K$8</f>
        <v>6.6097199999999995E-2</v>
      </c>
      <c r="W6" s="1">
        <f>$N6*Biocombustibles!L$8</f>
        <v>6.5578499999999998E-2</v>
      </c>
      <c r="X6" s="1">
        <f>$N6*Biocombustibles!M$8</f>
        <v>6.5208000000000002E-2</v>
      </c>
      <c r="Y6" s="1">
        <f>$N6*Biocombustibles!N$8</f>
        <v>6.4763399999999999E-2</v>
      </c>
      <c r="Z6" s="1">
        <f>$N6*Biocombustibles!O$8</f>
        <v>6.4615199999999998E-2</v>
      </c>
      <c r="AA6" s="1">
        <f>$N6*Biocombustibles!P$8</f>
        <v>6.4318799999999995E-2</v>
      </c>
      <c r="AB6" s="1">
        <f>$N6*Biocombustibles!Q$8</f>
        <v>6.4022399999999993E-2</v>
      </c>
      <c r="AC6" s="1">
        <f>$N6*Biocombustibles!R$8</f>
        <v>6.3726000000000005E-2</v>
      </c>
      <c r="AD6" s="1">
        <f>$N6*Biocombustibles!S$8</f>
        <v>6.3503699999999996E-2</v>
      </c>
      <c r="AE6" s="1">
        <f>$N6*Biocombustibles!T$8</f>
        <v>6.3207299999999994E-2</v>
      </c>
      <c r="AF6" s="1">
        <f>$N6*Biocombustibles!U$8</f>
        <v>6.2910899999999992E-2</v>
      </c>
      <c r="AG6" s="1">
        <f>$N6*Biocombustibles!V$8</f>
        <v>6.2688599999999997E-2</v>
      </c>
      <c r="AH6" s="1">
        <f>$N6*Biocombustibles!W$8</f>
        <v>6.2243999999999994E-2</v>
      </c>
      <c r="AI6" s="1">
        <f>$N6*Biocombustibles!X$8</f>
        <v>6.1873499999999998E-2</v>
      </c>
      <c r="AJ6" s="1">
        <f>$N6*Biocombustibles!Y$8</f>
        <v>6.1651199999999996E-2</v>
      </c>
      <c r="AK6" s="1">
        <f>$N6*Biocombustibles!Z$8</f>
        <v>6.1206599999999993E-2</v>
      </c>
      <c r="AL6" s="1">
        <f>$N6*Biocombustibles!AA$8</f>
        <v>6.0761999999999997E-2</v>
      </c>
      <c r="AM6" s="1">
        <f>$N6*Biocombustibles!AB$8</f>
        <v>6.0391499999999994E-2</v>
      </c>
      <c r="AN6" s="1">
        <f>$N6*Biocombustibles!AC$8</f>
        <v>6.0021000000000005E-2</v>
      </c>
      <c r="AO6" s="1">
        <f>$N6*Biocombustibles!AD$8</f>
        <v>5.9724600000000003E-2</v>
      </c>
      <c r="AP6" s="1">
        <f>$N6*Biocombustibles!AE$8</f>
        <v>5.9502300000000001E-2</v>
      </c>
      <c r="AQ6" s="1">
        <f>$N6*Biocombustibles!AF$8</f>
        <v>5.9279999999999999E-2</v>
      </c>
      <c r="AR6" s="1">
        <f>$N6*Biocombustibles!AG$8</f>
        <v>5.9279999999999999E-2</v>
      </c>
      <c r="AS6" s="1">
        <f>$N6*Biocombustibles!AH$8</f>
        <v>5.9279999999999999E-2</v>
      </c>
      <c r="AT6" s="1">
        <f>$N6*Biocombustibles!AI$8</f>
        <v>5.9279999999999999E-2</v>
      </c>
      <c r="AU6" s="1">
        <f>$N6*Biocombustibles!AJ$8</f>
        <v>5.9279999999999999E-2</v>
      </c>
      <c r="AV6" s="1">
        <f>$N6*Biocombustibles!AK$8</f>
        <v>5.9279999999999999E-2</v>
      </c>
      <c r="AW6" s="1">
        <f>$N6*Biocombustibles!AL$8</f>
        <v>5.9279999999999999E-2</v>
      </c>
      <c r="AX6" s="1">
        <f>$N6*Biocombustibles!AM$8</f>
        <v>5.9279999999999999E-2</v>
      </c>
      <c r="AY6" s="1">
        <f>$N6*Biocombustibles!AN$8</f>
        <v>5.9279999999999999E-2</v>
      </c>
      <c r="AZ6" s="1">
        <f>$N6*Biocombustibles!AO$8</f>
        <v>5.9279999999999999E-2</v>
      </c>
      <c r="BA6" s="1">
        <f>$N6*Biocombustibles!AP$8</f>
        <v>5.9279999999999999E-2</v>
      </c>
      <c r="BB6" s="1">
        <f>$N6*Biocombustibles!AQ$8</f>
        <v>5.9279999999999999E-2</v>
      </c>
      <c r="BC6" s="1">
        <f>$N6*Biocombustibles!AR$8</f>
        <v>5.9279999999999999E-2</v>
      </c>
      <c r="BD6" s="1">
        <f>$N6*Biocombustibles!AS$8</f>
        <v>5.9279999999999999E-2</v>
      </c>
      <c r="BE6" s="1">
        <f>$N6*Biocombustibles!AT$8</f>
        <v>5.9279999999999999E-2</v>
      </c>
      <c r="BF6" s="1">
        <f>$N6*Biocombustibles!AU$8</f>
        <v>5.9279999999999999E-2</v>
      </c>
      <c r="BG6" s="1">
        <f>$N6*Biocombustibles!AV$8</f>
        <v>5.9279999999999999E-2</v>
      </c>
      <c r="BH6" s="1">
        <f>$N6*Biocombustibles!AW$8</f>
        <v>5.9279999999999999E-2</v>
      </c>
      <c r="BI6" s="1">
        <f>$N6*Biocombustibles!AX$8</f>
        <v>5.9279999999999999E-2</v>
      </c>
      <c r="BJ6" s="1">
        <f>$N6*Biocombustibles!AY$8</f>
        <v>5.9279999999999999E-2</v>
      </c>
      <c r="BK6" s="1">
        <f>$N6*Biocombustibles!AZ$8</f>
        <v>5.9279999999999999E-2</v>
      </c>
      <c r="BL6" s="1"/>
      <c r="BM6" s="1"/>
    </row>
    <row r="7" spans="1:65" ht="14.4">
      <c r="A7" s="1" t="s">
        <v>457</v>
      </c>
      <c r="B7" s="1" t="s">
        <v>640</v>
      </c>
      <c r="C7" s="1" t="s">
        <v>644</v>
      </c>
      <c r="D7" s="1" t="s">
        <v>642</v>
      </c>
      <c r="E7" s="1"/>
      <c r="F7" s="1"/>
      <c r="G7" s="1" t="s">
        <v>463</v>
      </c>
      <c r="H7" s="1" t="s">
        <v>464</v>
      </c>
      <c r="I7" s="1"/>
      <c r="J7" s="1"/>
      <c r="K7" s="1">
        <v>7.4099999999999999E-2</v>
      </c>
      <c r="L7" s="1">
        <v>7.4099999999999999E-2</v>
      </c>
      <c r="M7" s="1">
        <v>7.4099999999999999E-2</v>
      </c>
      <c r="N7" s="1">
        <v>7.4099999999999999E-2</v>
      </c>
      <c r="O7" s="1">
        <f>$N7*Biocombustibles!D$8</f>
        <v>7.0394999999999999E-2</v>
      </c>
      <c r="P7" s="1">
        <f>$N7*Biocombustibles!E$8</f>
        <v>6.9653999999999994E-2</v>
      </c>
      <c r="Q7" s="1">
        <f>$N7*Biocombustibles!F$8</f>
        <v>6.9061200000000003E-2</v>
      </c>
      <c r="R7" s="1">
        <f>$N7*Biocombustibles!G$8</f>
        <v>6.8171999999999996E-2</v>
      </c>
      <c r="S7" s="1">
        <f>$N7*Biocombustibles!H$8</f>
        <v>6.7801500000000001E-2</v>
      </c>
      <c r="T7" s="1">
        <f>$N7*Biocombustibles!I$8</f>
        <v>6.7282800000000004E-2</v>
      </c>
      <c r="U7" s="1">
        <f>$N7*Biocombustibles!J$8</f>
        <v>6.6764100000000007E-2</v>
      </c>
      <c r="V7" s="1">
        <f>$N7*Biocombustibles!K$8</f>
        <v>6.6097199999999995E-2</v>
      </c>
      <c r="W7" s="1">
        <f>$N7*Biocombustibles!L$8</f>
        <v>6.5578499999999998E-2</v>
      </c>
      <c r="X7" s="1">
        <f>$N7*Biocombustibles!M$8</f>
        <v>6.5208000000000002E-2</v>
      </c>
      <c r="Y7" s="1">
        <f>$N7*Biocombustibles!N$8</f>
        <v>6.4763399999999999E-2</v>
      </c>
      <c r="Z7" s="1">
        <f>$N7*Biocombustibles!O$8</f>
        <v>6.4615199999999998E-2</v>
      </c>
      <c r="AA7" s="1">
        <f>$N7*Biocombustibles!P$8</f>
        <v>6.4318799999999995E-2</v>
      </c>
      <c r="AB7" s="1">
        <f>$N7*Biocombustibles!Q$8</f>
        <v>6.4022399999999993E-2</v>
      </c>
      <c r="AC7" s="1">
        <f>$N7*Biocombustibles!R$8</f>
        <v>6.3726000000000005E-2</v>
      </c>
      <c r="AD7" s="1">
        <f>$N7*Biocombustibles!S$8</f>
        <v>6.3503699999999996E-2</v>
      </c>
      <c r="AE7" s="1">
        <f>$N7*Biocombustibles!T$8</f>
        <v>6.3207299999999994E-2</v>
      </c>
      <c r="AF7" s="1">
        <f>$N7*Biocombustibles!U$8</f>
        <v>6.2910899999999992E-2</v>
      </c>
      <c r="AG7" s="1">
        <f>$N7*Biocombustibles!V$8</f>
        <v>6.2688599999999997E-2</v>
      </c>
      <c r="AH7" s="1">
        <f>$N7*Biocombustibles!W$8</f>
        <v>6.2243999999999994E-2</v>
      </c>
      <c r="AI7" s="1">
        <f>$N7*Biocombustibles!X$8</f>
        <v>6.1873499999999998E-2</v>
      </c>
      <c r="AJ7" s="1">
        <f>$N7*Biocombustibles!Y$8</f>
        <v>6.1651199999999996E-2</v>
      </c>
      <c r="AK7" s="1">
        <f>$N7*Biocombustibles!Z$8</f>
        <v>6.1206599999999993E-2</v>
      </c>
      <c r="AL7" s="1">
        <f>$N7*Biocombustibles!AA$8</f>
        <v>6.0761999999999997E-2</v>
      </c>
      <c r="AM7" s="1">
        <f>$N7*Biocombustibles!AB$8</f>
        <v>6.0391499999999994E-2</v>
      </c>
      <c r="AN7" s="1">
        <f>$N7*Biocombustibles!AC$8</f>
        <v>6.0021000000000005E-2</v>
      </c>
      <c r="AO7" s="1">
        <f>$N7*Biocombustibles!AD$8</f>
        <v>5.9724600000000003E-2</v>
      </c>
      <c r="AP7" s="1">
        <f>$N7*Biocombustibles!AE$8</f>
        <v>5.9502300000000001E-2</v>
      </c>
      <c r="AQ7" s="1">
        <f>$N7*Biocombustibles!AF$8</f>
        <v>5.9279999999999999E-2</v>
      </c>
      <c r="AR7" s="1">
        <f>$N7*Biocombustibles!AG$8</f>
        <v>5.9279999999999999E-2</v>
      </c>
      <c r="AS7" s="1">
        <f>$N7*Biocombustibles!AH$8</f>
        <v>5.9279999999999999E-2</v>
      </c>
      <c r="AT7" s="1">
        <f>$N7*Biocombustibles!AI$8</f>
        <v>5.9279999999999999E-2</v>
      </c>
      <c r="AU7" s="1">
        <f>$N7*Biocombustibles!AJ$8</f>
        <v>5.9279999999999999E-2</v>
      </c>
      <c r="AV7" s="1">
        <f>$N7*Biocombustibles!AK$8</f>
        <v>5.9279999999999999E-2</v>
      </c>
      <c r="AW7" s="1">
        <f>$N7*Biocombustibles!AL$8</f>
        <v>5.9279999999999999E-2</v>
      </c>
      <c r="AX7" s="1">
        <f>$N7*Biocombustibles!AM$8</f>
        <v>5.9279999999999999E-2</v>
      </c>
      <c r="AY7" s="1">
        <f>$N7*Biocombustibles!AN$8</f>
        <v>5.9279999999999999E-2</v>
      </c>
      <c r="AZ7" s="1">
        <f>$N7*Biocombustibles!AO$8</f>
        <v>5.9279999999999999E-2</v>
      </c>
      <c r="BA7" s="1">
        <f>$N7*Biocombustibles!AP$8</f>
        <v>5.9279999999999999E-2</v>
      </c>
      <c r="BB7" s="1">
        <f>$N7*Biocombustibles!AQ$8</f>
        <v>5.9279999999999999E-2</v>
      </c>
      <c r="BC7" s="1">
        <f>$N7*Biocombustibles!AR$8</f>
        <v>5.9279999999999999E-2</v>
      </c>
      <c r="BD7" s="1">
        <f>$N7*Biocombustibles!AS$8</f>
        <v>5.9279999999999999E-2</v>
      </c>
      <c r="BE7" s="1">
        <f>$N7*Biocombustibles!AT$8</f>
        <v>5.9279999999999999E-2</v>
      </c>
      <c r="BF7" s="1">
        <f>$N7*Biocombustibles!AU$8</f>
        <v>5.9279999999999999E-2</v>
      </c>
      <c r="BG7" s="1">
        <f>$N7*Biocombustibles!AV$8</f>
        <v>5.9279999999999999E-2</v>
      </c>
      <c r="BH7" s="1">
        <f>$N7*Biocombustibles!AW$8</f>
        <v>5.9279999999999999E-2</v>
      </c>
      <c r="BI7" s="1">
        <f>$N7*Biocombustibles!AX$8</f>
        <v>5.9279999999999999E-2</v>
      </c>
      <c r="BJ7" s="1">
        <f>$N7*Biocombustibles!AY$8</f>
        <v>5.9279999999999999E-2</v>
      </c>
      <c r="BK7" s="1">
        <f>$N7*Biocombustibles!AZ$8</f>
        <v>5.9279999999999999E-2</v>
      </c>
      <c r="BL7" s="1"/>
      <c r="BM7" s="1"/>
    </row>
    <row r="8" spans="1:65" ht="14.4">
      <c r="A8" s="1" t="s">
        <v>457</v>
      </c>
      <c r="B8" s="1" t="s">
        <v>640</v>
      </c>
      <c r="C8" s="1" t="s">
        <v>645</v>
      </c>
      <c r="D8" s="1" t="s">
        <v>642</v>
      </c>
      <c r="E8" s="1"/>
      <c r="F8" s="1"/>
      <c r="G8" s="1" t="s">
        <v>463</v>
      </c>
      <c r="H8" s="1" t="s">
        <v>464</v>
      </c>
      <c r="I8" s="1"/>
      <c r="J8" s="1"/>
      <c r="K8" s="1">
        <v>7.4099999999999999E-2</v>
      </c>
      <c r="L8" s="1">
        <v>7.4099999999999999E-2</v>
      </c>
      <c r="M8" s="1">
        <v>7.4099999999999999E-2</v>
      </c>
      <c r="N8" s="1">
        <v>7.4099999999999999E-2</v>
      </c>
      <c r="O8" s="1">
        <f>$N8*Biocombustibles!D$8</f>
        <v>7.0394999999999999E-2</v>
      </c>
      <c r="P8" s="1">
        <f>$N8*Biocombustibles!E$8</f>
        <v>6.9653999999999994E-2</v>
      </c>
      <c r="Q8" s="1">
        <f>$N8*Biocombustibles!F$8</f>
        <v>6.9061200000000003E-2</v>
      </c>
      <c r="R8" s="1">
        <f>$N8*Biocombustibles!G$8</f>
        <v>6.8171999999999996E-2</v>
      </c>
      <c r="S8" s="1">
        <f>$N8*Biocombustibles!H$8</f>
        <v>6.7801500000000001E-2</v>
      </c>
      <c r="T8" s="1">
        <f>$N8*Biocombustibles!I$8</f>
        <v>6.7282800000000004E-2</v>
      </c>
      <c r="U8" s="1">
        <f>$N8*Biocombustibles!J$8</f>
        <v>6.6764100000000007E-2</v>
      </c>
      <c r="V8" s="1">
        <f>$N8*Biocombustibles!K$8</f>
        <v>6.6097199999999995E-2</v>
      </c>
      <c r="W8" s="1">
        <f>$N8*Biocombustibles!L$8</f>
        <v>6.5578499999999998E-2</v>
      </c>
      <c r="X8" s="1">
        <f>$N8*Biocombustibles!M$8</f>
        <v>6.5208000000000002E-2</v>
      </c>
      <c r="Y8" s="1">
        <f>$N8*Biocombustibles!N$8</f>
        <v>6.4763399999999999E-2</v>
      </c>
      <c r="Z8" s="1">
        <f>$N8*Biocombustibles!O$8</f>
        <v>6.4615199999999998E-2</v>
      </c>
      <c r="AA8" s="1">
        <f>$N8*Biocombustibles!P$8</f>
        <v>6.4318799999999995E-2</v>
      </c>
      <c r="AB8" s="1">
        <f>$N8*Biocombustibles!Q$8</f>
        <v>6.4022399999999993E-2</v>
      </c>
      <c r="AC8" s="1">
        <f>$N8*Biocombustibles!R$8</f>
        <v>6.3726000000000005E-2</v>
      </c>
      <c r="AD8" s="1">
        <f>$N8*Biocombustibles!S$8</f>
        <v>6.3503699999999996E-2</v>
      </c>
      <c r="AE8" s="1">
        <f>$N8*Biocombustibles!T$8</f>
        <v>6.3207299999999994E-2</v>
      </c>
      <c r="AF8" s="1">
        <f>$N8*Biocombustibles!U$8</f>
        <v>6.2910899999999992E-2</v>
      </c>
      <c r="AG8" s="1">
        <f>$N8*Biocombustibles!V$8</f>
        <v>6.2688599999999997E-2</v>
      </c>
      <c r="AH8" s="1">
        <f>$N8*Biocombustibles!W$8</f>
        <v>6.2243999999999994E-2</v>
      </c>
      <c r="AI8" s="1">
        <f>$N8*Biocombustibles!X$8</f>
        <v>6.1873499999999998E-2</v>
      </c>
      <c r="AJ8" s="1">
        <f>$N8*Biocombustibles!Y$8</f>
        <v>6.1651199999999996E-2</v>
      </c>
      <c r="AK8" s="1">
        <f>$N8*Biocombustibles!Z$8</f>
        <v>6.1206599999999993E-2</v>
      </c>
      <c r="AL8" s="1">
        <f>$N8*Biocombustibles!AA$8</f>
        <v>6.0761999999999997E-2</v>
      </c>
      <c r="AM8" s="1">
        <f>$N8*Biocombustibles!AB$8</f>
        <v>6.0391499999999994E-2</v>
      </c>
      <c r="AN8" s="1">
        <f>$N8*Biocombustibles!AC$8</f>
        <v>6.0021000000000005E-2</v>
      </c>
      <c r="AO8" s="1">
        <f>$N8*Biocombustibles!AD$8</f>
        <v>5.9724600000000003E-2</v>
      </c>
      <c r="AP8" s="1">
        <f>$N8*Biocombustibles!AE$8</f>
        <v>5.9502300000000001E-2</v>
      </c>
      <c r="AQ8" s="1">
        <f>$N8*Biocombustibles!AF$8</f>
        <v>5.9279999999999999E-2</v>
      </c>
      <c r="AR8" s="1">
        <f>$N8*Biocombustibles!AG$8</f>
        <v>5.9279999999999999E-2</v>
      </c>
      <c r="AS8" s="1">
        <f>$N8*Biocombustibles!AH$8</f>
        <v>5.9279999999999999E-2</v>
      </c>
      <c r="AT8" s="1">
        <f>$N8*Biocombustibles!AI$8</f>
        <v>5.9279999999999999E-2</v>
      </c>
      <c r="AU8" s="1">
        <f>$N8*Biocombustibles!AJ$8</f>
        <v>5.9279999999999999E-2</v>
      </c>
      <c r="AV8" s="1">
        <f>$N8*Biocombustibles!AK$8</f>
        <v>5.9279999999999999E-2</v>
      </c>
      <c r="AW8" s="1">
        <f>$N8*Biocombustibles!AL$8</f>
        <v>5.9279999999999999E-2</v>
      </c>
      <c r="AX8" s="1">
        <f>$N8*Biocombustibles!AM$8</f>
        <v>5.9279999999999999E-2</v>
      </c>
      <c r="AY8" s="1">
        <f>$N8*Biocombustibles!AN$8</f>
        <v>5.9279999999999999E-2</v>
      </c>
      <c r="AZ8" s="1">
        <f>$N8*Biocombustibles!AO$8</f>
        <v>5.9279999999999999E-2</v>
      </c>
      <c r="BA8" s="1">
        <f>$N8*Biocombustibles!AP$8</f>
        <v>5.9279999999999999E-2</v>
      </c>
      <c r="BB8" s="1">
        <f>$N8*Biocombustibles!AQ$8</f>
        <v>5.9279999999999999E-2</v>
      </c>
      <c r="BC8" s="1">
        <f>$N8*Biocombustibles!AR$8</f>
        <v>5.9279999999999999E-2</v>
      </c>
      <c r="BD8" s="1">
        <f>$N8*Biocombustibles!AS$8</f>
        <v>5.9279999999999999E-2</v>
      </c>
      <c r="BE8" s="1">
        <f>$N8*Biocombustibles!AT$8</f>
        <v>5.9279999999999999E-2</v>
      </c>
      <c r="BF8" s="1">
        <f>$N8*Biocombustibles!AU$8</f>
        <v>5.9279999999999999E-2</v>
      </c>
      <c r="BG8" s="1">
        <f>$N8*Biocombustibles!AV$8</f>
        <v>5.9279999999999999E-2</v>
      </c>
      <c r="BH8" s="1">
        <f>$N8*Biocombustibles!AW$8</f>
        <v>5.9279999999999999E-2</v>
      </c>
      <c r="BI8" s="1">
        <f>$N8*Biocombustibles!AX$8</f>
        <v>5.9279999999999999E-2</v>
      </c>
      <c r="BJ8" s="1">
        <f>$N8*Biocombustibles!AY$8</f>
        <v>5.9279999999999999E-2</v>
      </c>
      <c r="BK8" s="1">
        <f>$N8*Biocombustibles!AZ$8</f>
        <v>5.9279999999999999E-2</v>
      </c>
      <c r="BL8" s="1"/>
      <c r="BM8" s="1"/>
    </row>
    <row r="9" spans="1:65" ht="14.4">
      <c r="A9" s="1" t="s">
        <v>457</v>
      </c>
      <c r="B9" s="1" t="s">
        <v>640</v>
      </c>
      <c r="C9" s="1" t="s">
        <v>646</v>
      </c>
      <c r="D9" s="1" t="s">
        <v>642</v>
      </c>
      <c r="E9" s="1"/>
      <c r="F9" s="1"/>
      <c r="G9" s="1" t="s">
        <v>463</v>
      </c>
      <c r="H9" s="1" t="s">
        <v>464</v>
      </c>
      <c r="I9" s="1"/>
      <c r="J9" s="1"/>
      <c r="K9" s="1">
        <v>7.4099999999999999E-2</v>
      </c>
      <c r="L9" s="1">
        <v>7.4099999999999999E-2</v>
      </c>
      <c r="M9" s="1">
        <v>7.4099999999999999E-2</v>
      </c>
      <c r="N9" s="1">
        <v>7.4099999999999999E-2</v>
      </c>
      <c r="O9" s="1">
        <f>$N9*Biocombustibles!D$8</f>
        <v>7.0394999999999999E-2</v>
      </c>
      <c r="P9" s="1">
        <f>$N9*Biocombustibles!E$8</f>
        <v>6.9653999999999994E-2</v>
      </c>
      <c r="Q9" s="1">
        <f>$N9*Biocombustibles!F$8</f>
        <v>6.9061200000000003E-2</v>
      </c>
      <c r="R9" s="1">
        <f>$N9*Biocombustibles!G$8</f>
        <v>6.8171999999999996E-2</v>
      </c>
      <c r="S9" s="1">
        <f>$N9*Biocombustibles!H$8</f>
        <v>6.7801500000000001E-2</v>
      </c>
      <c r="T9" s="1">
        <f>$N9*Biocombustibles!I$8</f>
        <v>6.7282800000000004E-2</v>
      </c>
      <c r="U9" s="1">
        <f>$N9*Biocombustibles!J$8</f>
        <v>6.6764100000000007E-2</v>
      </c>
      <c r="V9" s="1">
        <f>$N9*Biocombustibles!K$8</f>
        <v>6.6097199999999995E-2</v>
      </c>
      <c r="W9" s="1">
        <f>$N9*Biocombustibles!L$8</f>
        <v>6.5578499999999998E-2</v>
      </c>
      <c r="X9" s="1">
        <f>$N9*Biocombustibles!M$8</f>
        <v>6.5208000000000002E-2</v>
      </c>
      <c r="Y9" s="1">
        <f>$N9*Biocombustibles!N$8</f>
        <v>6.4763399999999999E-2</v>
      </c>
      <c r="Z9" s="1">
        <f>$N9*Biocombustibles!O$8</f>
        <v>6.4615199999999998E-2</v>
      </c>
      <c r="AA9" s="1">
        <f>$N9*Biocombustibles!P$8</f>
        <v>6.4318799999999995E-2</v>
      </c>
      <c r="AB9" s="1">
        <f>$N9*Biocombustibles!Q$8</f>
        <v>6.4022399999999993E-2</v>
      </c>
      <c r="AC9" s="1">
        <f>$N9*Biocombustibles!R$8</f>
        <v>6.3726000000000005E-2</v>
      </c>
      <c r="AD9" s="1">
        <f>$N9*Biocombustibles!S$8</f>
        <v>6.3503699999999996E-2</v>
      </c>
      <c r="AE9" s="1">
        <f>$N9*Biocombustibles!T$8</f>
        <v>6.3207299999999994E-2</v>
      </c>
      <c r="AF9" s="1">
        <f>$N9*Biocombustibles!U$8</f>
        <v>6.2910899999999992E-2</v>
      </c>
      <c r="AG9" s="1">
        <f>$N9*Biocombustibles!V$8</f>
        <v>6.2688599999999997E-2</v>
      </c>
      <c r="AH9" s="1">
        <f>$N9*Biocombustibles!W$8</f>
        <v>6.2243999999999994E-2</v>
      </c>
      <c r="AI9" s="1">
        <f>$N9*Biocombustibles!X$8</f>
        <v>6.1873499999999998E-2</v>
      </c>
      <c r="AJ9" s="1">
        <f>$N9*Biocombustibles!Y$8</f>
        <v>6.1651199999999996E-2</v>
      </c>
      <c r="AK9" s="1">
        <f>$N9*Biocombustibles!Z$8</f>
        <v>6.1206599999999993E-2</v>
      </c>
      <c r="AL9" s="1">
        <f>$N9*Biocombustibles!AA$8</f>
        <v>6.0761999999999997E-2</v>
      </c>
      <c r="AM9" s="1">
        <f>$N9*Biocombustibles!AB$8</f>
        <v>6.0391499999999994E-2</v>
      </c>
      <c r="AN9" s="1">
        <f>$N9*Biocombustibles!AC$8</f>
        <v>6.0021000000000005E-2</v>
      </c>
      <c r="AO9" s="1">
        <f>$N9*Biocombustibles!AD$8</f>
        <v>5.9724600000000003E-2</v>
      </c>
      <c r="AP9" s="1">
        <f>$N9*Biocombustibles!AE$8</f>
        <v>5.9502300000000001E-2</v>
      </c>
      <c r="AQ9" s="1">
        <f>$N9*Biocombustibles!AF$8</f>
        <v>5.9279999999999999E-2</v>
      </c>
      <c r="AR9" s="1">
        <f>$N9*Biocombustibles!AG$8</f>
        <v>5.9279999999999999E-2</v>
      </c>
      <c r="AS9" s="1">
        <f>$N9*Biocombustibles!AH$8</f>
        <v>5.9279999999999999E-2</v>
      </c>
      <c r="AT9" s="1">
        <f>$N9*Biocombustibles!AI$8</f>
        <v>5.9279999999999999E-2</v>
      </c>
      <c r="AU9" s="1">
        <f>$N9*Biocombustibles!AJ$8</f>
        <v>5.9279999999999999E-2</v>
      </c>
      <c r="AV9" s="1">
        <f>$N9*Biocombustibles!AK$8</f>
        <v>5.9279999999999999E-2</v>
      </c>
      <c r="AW9" s="1">
        <f>$N9*Biocombustibles!AL$8</f>
        <v>5.9279999999999999E-2</v>
      </c>
      <c r="AX9" s="1">
        <f>$N9*Biocombustibles!AM$8</f>
        <v>5.9279999999999999E-2</v>
      </c>
      <c r="AY9" s="1">
        <f>$N9*Biocombustibles!AN$8</f>
        <v>5.9279999999999999E-2</v>
      </c>
      <c r="AZ9" s="1">
        <f>$N9*Biocombustibles!AO$8</f>
        <v>5.9279999999999999E-2</v>
      </c>
      <c r="BA9" s="1">
        <f>$N9*Biocombustibles!AP$8</f>
        <v>5.9279999999999999E-2</v>
      </c>
      <c r="BB9" s="1">
        <f>$N9*Biocombustibles!AQ$8</f>
        <v>5.9279999999999999E-2</v>
      </c>
      <c r="BC9" s="1">
        <f>$N9*Biocombustibles!AR$8</f>
        <v>5.9279999999999999E-2</v>
      </c>
      <c r="BD9" s="1">
        <f>$N9*Biocombustibles!AS$8</f>
        <v>5.9279999999999999E-2</v>
      </c>
      <c r="BE9" s="1">
        <f>$N9*Biocombustibles!AT$8</f>
        <v>5.9279999999999999E-2</v>
      </c>
      <c r="BF9" s="1">
        <f>$N9*Biocombustibles!AU$8</f>
        <v>5.9279999999999999E-2</v>
      </c>
      <c r="BG9" s="1">
        <f>$N9*Biocombustibles!AV$8</f>
        <v>5.9279999999999999E-2</v>
      </c>
      <c r="BH9" s="1">
        <f>$N9*Biocombustibles!AW$8</f>
        <v>5.9279999999999999E-2</v>
      </c>
      <c r="BI9" s="1">
        <f>$N9*Biocombustibles!AX$8</f>
        <v>5.9279999999999999E-2</v>
      </c>
      <c r="BJ9" s="1">
        <f>$N9*Biocombustibles!AY$8</f>
        <v>5.9279999999999999E-2</v>
      </c>
      <c r="BK9" s="1">
        <f>$N9*Biocombustibles!AZ$8</f>
        <v>5.9279999999999999E-2</v>
      </c>
      <c r="BL9" s="1"/>
      <c r="BM9" s="1"/>
    </row>
    <row r="10" spans="1:65" ht="14.4">
      <c r="A10" s="1" t="s">
        <v>457</v>
      </c>
      <c r="B10" s="1" t="s">
        <v>640</v>
      </c>
      <c r="C10" s="1" t="s">
        <v>647</v>
      </c>
      <c r="D10" s="1" t="s">
        <v>642</v>
      </c>
      <c r="E10" s="1"/>
      <c r="F10" s="1"/>
      <c r="G10" s="1" t="s">
        <v>463</v>
      </c>
      <c r="H10" s="1" t="s">
        <v>464</v>
      </c>
      <c r="I10" s="1"/>
      <c r="J10" s="1"/>
      <c r="K10" s="1">
        <v>6.93E-2</v>
      </c>
      <c r="L10" s="1">
        <v>6.93E-2</v>
      </c>
      <c r="M10" s="1">
        <v>6.93E-2</v>
      </c>
      <c r="N10" s="1">
        <v>6.93E-2</v>
      </c>
      <c r="O10" s="1">
        <f>$N10*Biocombustibles!D$7</f>
        <v>6.7567500000000003E-2</v>
      </c>
      <c r="P10" s="1">
        <f>$N10*Biocombustibles!E$7</f>
        <v>6.5834999999999991E-2</v>
      </c>
      <c r="Q10" s="1">
        <f>$N10*Biocombustibles!F$7</f>
        <v>6.4310400000000004E-2</v>
      </c>
      <c r="R10" s="1">
        <f>$N10*Biocombustibles!G$7</f>
        <v>6.2716500000000008E-2</v>
      </c>
      <c r="S10" s="1">
        <f>$N10*Biocombustibles!H$7</f>
        <v>6.1677000000000003E-2</v>
      </c>
      <c r="T10" s="1">
        <f>$N10*Biocombustibles!I$7</f>
        <v>6.0290999999999997E-2</v>
      </c>
      <c r="U10" s="1">
        <f>$N10*Biocombustibles!J$7</f>
        <v>5.8212E-2</v>
      </c>
      <c r="V10" s="1">
        <f>$N10*Biocombustibles!K$7</f>
        <v>5.6825999999999995E-2</v>
      </c>
      <c r="W10" s="1">
        <f>$N10*Biocombustibles!L$7</f>
        <v>5.4747000000000004E-2</v>
      </c>
      <c r="X10" s="1">
        <f>$N10*Biocombustibles!M$7</f>
        <v>5.2668E-2</v>
      </c>
      <c r="Y10" s="1">
        <f>$N10*Biocombustibles!N$7</f>
        <v>5.0589000000000002E-2</v>
      </c>
      <c r="Z10" s="1">
        <f>$N10*Biocombustibles!O$7</f>
        <v>4.8509999999999998E-2</v>
      </c>
      <c r="AA10" s="1">
        <f>$N10*Biocombustibles!P$7</f>
        <v>4.6431E-2</v>
      </c>
      <c r="AB10" s="1">
        <f>$N10*Biocombustibles!Q$7</f>
        <v>4.5045000000000002E-2</v>
      </c>
      <c r="AC10" s="1">
        <f>$N10*Biocombustibles!R$7</f>
        <v>4.3659000000000003E-2</v>
      </c>
      <c r="AD10" s="1">
        <f>$N10*Biocombustibles!S$7</f>
        <v>4.2965999999999997E-2</v>
      </c>
      <c r="AE10" s="1">
        <f>$N10*Biocombustibles!T$7</f>
        <v>4.2272999999999998E-2</v>
      </c>
      <c r="AF10" s="1">
        <f>$N10*Biocombustibles!U$7</f>
        <v>4.1579999999999999E-2</v>
      </c>
      <c r="AG10" s="1">
        <f>$N10*Biocombustibles!V$7</f>
        <v>4.0887E-2</v>
      </c>
      <c r="AH10" s="1">
        <f>$N10*Biocombustibles!W$7</f>
        <v>4.0194000000000001E-2</v>
      </c>
      <c r="AI10" s="1">
        <f>$N10*Biocombustibles!X$7</f>
        <v>4.0194000000000001E-2</v>
      </c>
      <c r="AJ10" s="1">
        <f>$N10*Biocombustibles!Y$7</f>
        <v>3.9500999999999994E-2</v>
      </c>
      <c r="AK10" s="1">
        <f>$N10*Biocombustibles!Z$7</f>
        <v>3.9500999999999994E-2</v>
      </c>
      <c r="AL10" s="1">
        <f>$N10*Biocombustibles!AA$7</f>
        <v>3.9500999999999994E-2</v>
      </c>
      <c r="AM10" s="1">
        <f>$N10*Biocombustibles!AB$7</f>
        <v>3.8808000000000002E-2</v>
      </c>
      <c r="AN10" s="1">
        <f>$N10*Biocombustibles!AC$7</f>
        <v>3.8808000000000002E-2</v>
      </c>
      <c r="AO10" s="1">
        <f>$N10*Biocombustibles!AD$7</f>
        <v>3.8808000000000002E-2</v>
      </c>
      <c r="AP10" s="1">
        <f>$N10*Biocombustibles!AE$7</f>
        <v>3.8115000000000003E-2</v>
      </c>
      <c r="AQ10" s="1">
        <f>$N10*Biocombustibles!AF$7</f>
        <v>3.8115000000000003E-2</v>
      </c>
      <c r="AR10" s="1">
        <f>$N10*Biocombustibles!AG$7</f>
        <v>3.8115000000000003E-2</v>
      </c>
      <c r="AS10" s="1">
        <f>$N10*Biocombustibles!AH$7</f>
        <v>3.8115000000000003E-2</v>
      </c>
      <c r="AT10" s="1">
        <f>$N10*Biocombustibles!AI$7</f>
        <v>3.8115000000000003E-2</v>
      </c>
      <c r="AU10" s="1">
        <f>$N10*Biocombustibles!AJ$7</f>
        <v>3.8115000000000003E-2</v>
      </c>
      <c r="AV10" s="1">
        <f>$N10*Biocombustibles!AK$7</f>
        <v>3.8115000000000003E-2</v>
      </c>
      <c r="AW10" s="1">
        <f>$N10*Biocombustibles!AL$7</f>
        <v>3.8115000000000003E-2</v>
      </c>
      <c r="AX10" s="1">
        <f>$N10*Biocombustibles!AM$7</f>
        <v>3.8115000000000003E-2</v>
      </c>
      <c r="AY10" s="1">
        <f>$N10*Biocombustibles!AN$7</f>
        <v>3.8115000000000003E-2</v>
      </c>
      <c r="AZ10" s="1">
        <f>$N10*Biocombustibles!AO$7</f>
        <v>3.8115000000000003E-2</v>
      </c>
      <c r="BA10" s="1">
        <f>$N10*Biocombustibles!AP$7</f>
        <v>3.8115000000000003E-2</v>
      </c>
      <c r="BB10" s="1">
        <f>$N10*Biocombustibles!AQ$7</f>
        <v>3.8115000000000003E-2</v>
      </c>
      <c r="BC10" s="1">
        <f>$N10*Biocombustibles!AR$7</f>
        <v>3.8115000000000003E-2</v>
      </c>
      <c r="BD10" s="1">
        <f>$N10*Biocombustibles!AS$7</f>
        <v>3.8115000000000003E-2</v>
      </c>
      <c r="BE10" s="1">
        <f>$N10*Biocombustibles!AT$7</f>
        <v>3.8115000000000003E-2</v>
      </c>
      <c r="BF10" s="1">
        <f>$N10*Biocombustibles!AU$7</f>
        <v>3.8115000000000003E-2</v>
      </c>
      <c r="BG10" s="1">
        <f>$N10*Biocombustibles!AV$7</f>
        <v>3.8115000000000003E-2</v>
      </c>
      <c r="BH10" s="1">
        <f>$N10*Biocombustibles!AW$7</f>
        <v>3.8115000000000003E-2</v>
      </c>
      <c r="BI10" s="1">
        <f>$N10*Biocombustibles!AX$7</f>
        <v>3.8115000000000003E-2</v>
      </c>
      <c r="BJ10" s="1">
        <f>$N10*Biocombustibles!AY$7</f>
        <v>3.8115000000000003E-2</v>
      </c>
      <c r="BK10" s="1">
        <f>$N10*Biocombustibles!AZ$7</f>
        <v>3.8115000000000003E-2</v>
      </c>
      <c r="BL10" s="1"/>
      <c r="BM10" s="1"/>
    </row>
    <row r="11" spans="1:65" ht="14.4">
      <c r="A11" s="1" t="s">
        <v>457</v>
      </c>
      <c r="B11" s="1" t="s">
        <v>640</v>
      </c>
      <c r="C11" s="1" t="s">
        <v>648</v>
      </c>
      <c r="D11" s="1" t="s">
        <v>642</v>
      </c>
      <c r="E11" s="1"/>
      <c r="F11" s="1"/>
      <c r="G11" s="1" t="s">
        <v>463</v>
      </c>
      <c r="H11" s="1" t="s">
        <v>464</v>
      </c>
      <c r="I11" s="1"/>
      <c r="J11" s="1"/>
      <c r="K11" s="1">
        <v>6.93E-2</v>
      </c>
      <c r="L11" s="1">
        <v>6.93E-2</v>
      </c>
      <c r="M11" s="1">
        <v>6.93E-2</v>
      </c>
      <c r="N11" s="1">
        <v>6.93E-2</v>
      </c>
      <c r="O11" s="1">
        <f>$N11*Biocombustibles!D$7</f>
        <v>6.7567500000000003E-2</v>
      </c>
      <c r="P11" s="1">
        <f>$N11*Biocombustibles!E$7</f>
        <v>6.5834999999999991E-2</v>
      </c>
      <c r="Q11" s="1">
        <f>$N11*Biocombustibles!F$7</f>
        <v>6.4310400000000004E-2</v>
      </c>
      <c r="R11" s="1">
        <f>$N11*Biocombustibles!G$7</f>
        <v>6.2716500000000008E-2</v>
      </c>
      <c r="S11" s="1">
        <f>$N11*Biocombustibles!H$7</f>
        <v>6.1677000000000003E-2</v>
      </c>
      <c r="T11" s="1">
        <f>$N11*Biocombustibles!I$7</f>
        <v>6.0290999999999997E-2</v>
      </c>
      <c r="U11" s="1">
        <f>$N11*Biocombustibles!J$7</f>
        <v>5.8212E-2</v>
      </c>
      <c r="V11" s="1">
        <f>$N11*Biocombustibles!K$7</f>
        <v>5.6825999999999995E-2</v>
      </c>
      <c r="W11" s="1">
        <f>$N11*Biocombustibles!L$7</f>
        <v>5.4747000000000004E-2</v>
      </c>
      <c r="X11" s="1">
        <f>$N11*Biocombustibles!M$7</f>
        <v>5.2668E-2</v>
      </c>
      <c r="Y11" s="1">
        <f>$N11*Biocombustibles!N$7</f>
        <v>5.0589000000000002E-2</v>
      </c>
      <c r="Z11" s="1">
        <f>$N11*Biocombustibles!O$7</f>
        <v>4.8509999999999998E-2</v>
      </c>
      <c r="AA11" s="1">
        <f>$N11*Biocombustibles!P$7</f>
        <v>4.6431E-2</v>
      </c>
      <c r="AB11" s="1">
        <f>$N11*Biocombustibles!Q$7</f>
        <v>4.5045000000000002E-2</v>
      </c>
      <c r="AC11" s="1">
        <f>$N11*Biocombustibles!R$7</f>
        <v>4.3659000000000003E-2</v>
      </c>
      <c r="AD11" s="1">
        <f>$N11*Biocombustibles!S$7</f>
        <v>4.2965999999999997E-2</v>
      </c>
      <c r="AE11" s="1">
        <f>$N11*Biocombustibles!T$7</f>
        <v>4.2272999999999998E-2</v>
      </c>
      <c r="AF11" s="1">
        <f>$N11*Biocombustibles!U$7</f>
        <v>4.1579999999999999E-2</v>
      </c>
      <c r="AG11" s="1">
        <f>$N11*Biocombustibles!V$7</f>
        <v>4.0887E-2</v>
      </c>
      <c r="AH11" s="1">
        <f>$N11*Biocombustibles!W$7</f>
        <v>4.0194000000000001E-2</v>
      </c>
      <c r="AI11" s="1">
        <f>$N11*Biocombustibles!X$7</f>
        <v>4.0194000000000001E-2</v>
      </c>
      <c r="AJ11" s="1">
        <f>$N11*Biocombustibles!Y$7</f>
        <v>3.9500999999999994E-2</v>
      </c>
      <c r="AK11" s="1">
        <f>$N11*Biocombustibles!Z$7</f>
        <v>3.9500999999999994E-2</v>
      </c>
      <c r="AL11" s="1">
        <f>$N11*Biocombustibles!AA$7</f>
        <v>3.9500999999999994E-2</v>
      </c>
      <c r="AM11" s="1">
        <f>$N11*Biocombustibles!AB$7</f>
        <v>3.8808000000000002E-2</v>
      </c>
      <c r="AN11" s="1">
        <f>$N11*Biocombustibles!AC$7</f>
        <v>3.8808000000000002E-2</v>
      </c>
      <c r="AO11" s="1">
        <f>$N11*Biocombustibles!AD$7</f>
        <v>3.8808000000000002E-2</v>
      </c>
      <c r="AP11" s="1">
        <f>$N11*Biocombustibles!AE$7</f>
        <v>3.8115000000000003E-2</v>
      </c>
      <c r="AQ11" s="1">
        <f>$N11*Biocombustibles!AF$7</f>
        <v>3.8115000000000003E-2</v>
      </c>
      <c r="AR11" s="1">
        <f>$N11*Biocombustibles!AG$7</f>
        <v>3.8115000000000003E-2</v>
      </c>
      <c r="AS11" s="1">
        <f>$N11*Biocombustibles!AH$7</f>
        <v>3.8115000000000003E-2</v>
      </c>
      <c r="AT11" s="1">
        <f>$N11*Biocombustibles!AI$7</f>
        <v>3.8115000000000003E-2</v>
      </c>
      <c r="AU11" s="1">
        <f>$N11*Biocombustibles!AJ$7</f>
        <v>3.8115000000000003E-2</v>
      </c>
      <c r="AV11" s="1">
        <f>$N11*Biocombustibles!AK$7</f>
        <v>3.8115000000000003E-2</v>
      </c>
      <c r="AW11" s="1">
        <f>$N11*Biocombustibles!AL$7</f>
        <v>3.8115000000000003E-2</v>
      </c>
      <c r="AX11" s="1">
        <f>$N11*Biocombustibles!AM$7</f>
        <v>3.8115000000000003E-2</v>
      </c>
      <c r="AY11" s="1">
        <f>$N11*Biocombustibles!AN$7</f>
        <v>3.8115000000000003E-2</v>
      </c>
      <c r="AZ11" s="1">
        <f>$N11*Biocombustibles!AO$7</f>
        <v>3.8115000000000003E-2</v>
      </c>
      <c r="BA11" s="1">
        <f>$N11*Biocombustibles!AP$7</f>
        <v>3.8115000000000003E-2</v>
      </c>
      <c r="BB11" s="1">
        <f>$N11*Biocombustibles!AQ$7</f>
        <v>3.8115000000000003E-2</v>
      </c>
      <c r="BC11" s="1">
        <f>$N11*Biocombustibles!AR$7</f>
        <v>3.8115000000000003E-2</v>
      </c>
      <c r="BD11" s="1">
        <f>$N11*Biocombustibles!AS$7</f>
        <v>3.8115000000000003E-2</v>
      </c>
      <c r="BE11" s="1">
        <f>$N11*Biocombustibles!AT$7</f>
        <v>3.8115000000000003E-2</v>
      </c>
      <c r="BF11" s="1">
        <f>$N11*Biocombustibles!AU$7</f>
        <v>3.8115000000000003E-2</v>
      </c>
      <c r="BG11" s="1">
        <f>$N11*Biocombustibles!AV$7</f>
        <v>3.8115000000000003E-2</v>
      </c>
      <c r="BH11" s="1">
        <f>$N11*Biocombustibles!AW$7</f>
        <v>3.8115000000000003E-2</v>
      </c>
      <c r="BI11" s="1">
        <f>$N11*Biocombustibles!AX$7</f>
        <v>3.8115000000000003E-2</v>
      </c>
      <c r="BJ11" s="1">
        <f>$N11*Biocombustibles!AY$7</f>
        <v>3.8115000000000003E-2</v>
      </c>
      <c r="BK11" s="1">
        <f>$N11*Biocombustibles!AZ$7</f>
        <v>3.8115000000000003E-2</v>
      </c>
      <c r="BL11" s="1"/>
      <c r="BM11" s="1"/>
    </row>
    <row r="12" spans="1:65" ht="14.4">
      <c r="A12" s="1" t="s">
        <v>457</v>
      </c>
      <c r="B12" s="1" t="s">
        <v>640</v>
      </c>
      <c r="C12" s="1" t="s">
        <v>649</v>
      </c>
      <c r="D12" s="1" t="s">
        <v>642</v>
      </c>
      <c r="E12" s="1"/>
      <c r="F12" s="1"/>
      <c r="G12" s="1" t="s">
        <v>463</v>
      </c>
      <c r="H12" s="1" t="s">
        <v>464</v>
      </c>
      <c r="I12" s="1"/>
      <c r="J12" s="1"/>
      <c r="K12" s="1">
        <v>6.93E-2</v>
      </c>
      <c r="L12" s="1">
        <v>6.93E-2</v>
      </c>
      <c r="M12" s="1">
        <v>6.93E-2</v>
      </c>
      <c r="N12" s="1">
        <v>6.93E-2</v>
      </c>
      <c r="O12" s="1">
        <f>$N12*Biocombustibles!D$7</f>
        <v>6.7567500000000003E-2</v>
      </c>
      <c r="P12" s="1">
        <f>$N12*Biocombustibles!E$7</f>
        <v>6.5834999999999991E-2</v>
      </c>
      <c r="Q12" s="1">
        <f>$N12*Biocombustibles!F$7</f>
        <v>6.4310400000000004E-2</v>
      </c>
      <c r="R12" s="1">
        <f>$N12*Biocombustibles!G$7</f>
        <v>6.2716500000000008E-2</v>
      </c>
      <c r="S12" s="1">
        <f>$N12*Biocombustibles!H$7</f>
        <v>6.1677000000000003E-2</v>
      </c>
      <c r="T12" s="1">
        <f>$N12*Biocombustibles!I$7</f>
        <v>6.0290999999999997E-2</v>
      </c>
      <c r="U12" s="1">
        <f>$N12*Biocombustibles!J$7</f>
        <v>5.8212E-2</v>
      </c>
      <c r="V12" s="1">
        <f>$N12*Biocombustibles!K$7</f>
        <v>5.6825999999999995E-2</v>
      </c>
      <c r="W12" s="1">
        <f>$N12*Biocombustibles!L$7</f>
        <v>5.4747000000000004E-2</v>
      </c>
      <c r="X12" s="1">
        <f>$N12*Biocombustibles!M$7</f>
        <v>5.2668E-2</v>
      </c>
      <c r="Y12" s="1">
        <f>$N12*Biocombustibles!N$7</f>
        <v>5.0589000000000002E-2</v>
      </c>
      <c r="Z12" s="1">
        <f>$N12*Biocombustibles!O$7</f>
        <v>4.8509999999999998E-2</v>
      </c>
      <c r="AA12" s="1">
        <f>$N12*Biocombustibles!P$7</f>
        <v>4.6431E-2</v>
      </c>
      <c r="AB12" s="1">
        <f>$N12*Biocombustibles!Q$7</f>
        <v>4.5045000000000002E-2</v>
      </c>
      <c r="AC12" s="1">
        <f>$N12*Biocombustibles!R$7</f>
        <v>4.3659000000000003E-2</v>
      </c>
      <c r="AD12" s="1">
        <f>$N12*Biocombustibles!S$7</f>
        <v>4.2965999999999997E-2</v>
      </c>
      <c r="AE12" s="1">
        <f>$N12*Biocombustibles!T$7</f>
        <v>4.2272999999999998E-2</v>
      </c>
      <c r="AF12" s="1">
        <f>$N12*Biocombustibles!U$7</f>
        <v>4.1579999999999999E-2</v>
      </c>
      <c r="AG12" s="1">
        <f>$N12*Biocombustibles!V$7</f>
        <v>4.0887E-2</v>
      </c>
      <c r="AH12" s="1">
        <f>$N12*Biocombustibles!W$7</f>
        <v>4.0194000000000001E-2</v>
      </c>
      <c r="AI12" s="1">
        <f>$N12*Biocombustibles!X$7</f>
        <v>4.0194000000000001E-2</v>
      </c>
      <c r="AJ12" s="1">
        <f>$N12*Biocombustibles!Y$7</f>
        <v>3.9500999999999994E-2</v>
      </c>
      <c r="AK12" s="1">
        <f>$N12*Biocombustibles!Z$7</f>
        <v>3.9500999999999994E-2</v>
      </c>
      <c r="AL12" s="1">
        <f>$N12*Biocombustibles!AA$7</f>
        <v>3.9500999999999994E-2</v>
      </c>
      <c r="AM12" s="1">
        <f>$N12*Biocombustibles!AB$7</f>
        <v>3.8808000000000002E-2</v>
      </c>
      <c r="AN12" s="1">
        <f>$N12*Biocombustibles!AC$7</f>
        <v>3.8808000000000002E-2</v>
      </c>
      <c r="AO12" s="1">
        <f>$N12*Biocombustibles!AD$7</f>
        <v>3.8808000000000002E-2</v>
      </c>
      <c r="AP12" s="1">
        <f>$N12*Biocombustibles!AE$7</f>
        <v>3.8115000000000003E-2</v>
      </c>
      <c r="AQ12" s="1">
        <f>$N12*Biocombustibles!AF$7</f>
        <v>3.8115000000000003E-2</v>
      </c>
      <c r="AR12" s="1">
        <f>$N12*Biocombustibles!AG$7</f>
        <v>3.8115000000000003E-2</v>
      </c>
      <c r="AS12" s="1">
        <f>$N12*Biocombustibles!AH$7</f>
        <v>3.8115000000000003E-2</v>
      </c>
      <c r="AT12" s="1">
        <f>$N12*Biocombustibles!AI$7</f>
        <v>3.8115000000000003E-2</v>
      </c>
      <c r="AU12" s="1">
        <f>$N12*Biocombustibles!AJ$7</f>
        <v>3.8115000000000003E-2</v>
      </c>
      <c r="AV12" s="1">
        <f>$N12*Biocombustibles!AK$7</f>
        <v>3.8115000000000003E-2</v>
      </c>
      <c r="AW12" s="1">
        <f>$N12*Biocombustibles!AL$7</f>
        <v>3.8115000000000003E-2</v>
      </c>
      <c r="AX12" s="1">
        <f>$N12*Biocombustibles!AM$7</f>
        <v>3.8115000000000003E-2</v>
      </c>
      <c r="AY12" s="1">
        <f>$N12*Biocombustibles!AN$7</f>
        <v>3.8115000000000003E-2</v>
      </c>
      <c r="AZ12" s="1">
        <f>$N12*Biocombustibles!AO$7</f>
        <v>3.8115000000000003E-2</v>
      </c>
      <c r="BA12" s="1">
        <f>$N12*Biocombustibles!AP$7</f>
        <v>3.8115000000000003E-2</v>
      </c>
      <c r="BB12" s="1">
        <f>$N12*Biocombustibles!AQ$7</f>
        <v>3.8115000000000003E-2</v>
      </c>
      <c r="BC12" s="1">
        <f>$N12*Biocombustibles!AR$7</f>
        <v>3.8115000000000003E-2</v>
      </c>
      <c r="BD12" s="1">
        <f>$N12*Biocombustibles!AS$7</f>
        <v>3.8115000000000003E-2</v>
      </c>
      <c r="BE12" s="1">
        <f>$N12*Biocombustibles!AT$7</f>
        <v>3.8115000000000003E-2</v>
      </c>
      <c r="BF12" s="1">
        <f>$N12*Biocombustibles!AU$7</f>
        <v>3.8115000000000003E-2</v>
      </c>
      <c r="BG12" s="1">
        <f>$N12*Biocombustibles!AV$7</f>
        <v>3.8115000000000003E-2</v>
      </c>
      <c r="BH12" s="1">
        <f>$N12*Biocombustibles!AW$7</f>
        <v>3.8115000000000003E-2</v>
      </c>
      <c r="BI12" s="1">
        <f>$N12*Biocombustibles!AX$7</f>
        <v>3.8115000000000003E-2</v>
      </c>
      <c r="BJ12" s="1">
        <f>$N12*Biocombustibles!AY$7</f>
        <v>3.8115000000000003E-2</v>
      </c>
      <c r="BK12" s="1">
        <f>$N12*Biocombustibles!AZ$7</f>
        <v>3.8115000000000003E-2</v>
      </c>
      <c r="BL12" s="1"/>
      <c r="BM12" s="1"/>
    </row>
    <row r="13" spans="1:65" ht="14.4">
      <c r="A13" s="1" t="s">
        <v>457</v>
      </c>
      <c r="B13" s="1" t="s">
        <v>640</v>
      </c>
      <c r="C13" s="1" t="s">
        <v>650</v>
      </c>
      <c r="D13" s="1" t="s">
        <v>642</v>
      </c>
      <c r="E13" s="1"/>
      <c r="F13" s="1"/>
      <c r="G13" s="1" t="s">
        <v>463</v>
      </c>
      <c r="H13" s="1" t="s">
        <v>464</v>
      </c>
      <c r="I13" s="1"/>
      <c r="J13" s="1"/>
      <c r="K13" s="1">
        <v>6.93E-2</v>
      </c>
      <c r="L13" s="1">
        <v>6.93E-2</v>
      </c>
      <c r="M13" s="1">
        <v>6.93E-2</v>
      </c>
      <c r="N13" s="1">
        <v>6.93E-2</v>
      </c>
      <c r="O13" s="1">
        <f>$N13*Biocombustibles!D$7</f>
        <v>6.7567500000000003E-2</v>
      </c>
      <c r="P13" s="1">
        <f>$N13*Biocombustibles!E$7</f>
        <v>6.5834999999999991E-2</v>
      </c>
      <c r="Q13" s="1">
        <f>$N13*Biocombustibles!F$7</f>
        <v>6.4310400000000004E-2</v>
      </c>
      <c r="R13" s="1">
        <f>$N13*Biocombustibles!G$7</f>
        <v>6.2716500000000008E-2</v>
      </c>
      <c r="S13" s="1">
        <f>$N13*Biocombustibles!H$7</f>
        <v>6.1677000000000003E-2</v>
      </c>
      <c r="T13" s="1">
        <f>$N13*Biocombustibles!I$7</f>
        <v>6.0290999999999997E-2</v>
      </c>
      <c r="U13" s="1">
        <f>$N13*Biocombustibles!J$7</f>
        <v>5.8212E-2</v>
      </c>
      <c r="V13" s="1">
        <f>$N13*Biocombustibles!K$7</f>
        <v>5.6825999999999995E-2</v>
      </c>
      <c r="W13" s="1">
        <f>$N13*Biocombustibles!L$7</f>
        <v>5.4747000000000004E-2</v>
      </c>
      <c r="X13" s="1">
        <f>$N13*Biocombustibles!M$7</f>
        <v>5.2668E-2</v>
      </c>
      <c r="Y13" s="1">
        <f>$N13*Biocombustibles!N$7</f>
        <v>5.0589000000000002E-2</v>
      </c>
      <c r="Z13" s="1">
        <f>$N13*Biocombustibles!O$7</f>
        <v>4.8509999999999998E-2</v>
      </c>
      <c r="AA13" s="1">
        <f>$N13*Biocombustibles!P$7</f>
        <v>4.6431E-2</v>
      </c>
      <c r="AB13" s="1">
        <f>$N13*Biocombustibles!Q$7</f>
        <v>4.5045000000000002E-2</v>
      </c>
      <c r="AC13" s="1">
        <f>$N13*Biocombustibles!R$7</f>
        <v>4.3659000000000003E-2</v>
      </c>
      <c r="AD13" s="1">
        <f>$N13*Biocombustibles!S$7</f>
        <v>4.2965999999999997E-2</v>
      </c>
      <c r="AE13" s="1">
        <f>$N13*Biocombustibles!T$7</f>
        <v>4.2272999999999998E-2</v>
      </c>
      <c r="AF13" s="1">
        <f>$N13*Biocombustibles!U$7</f>
        <v>4.1579999999999999E-2</v>
      </c>
      <c r="AG13" s="1">
        <f>$N13*Biocombustibles!V$7</f>
        <v>4.0887E-2</v>
      </c>
      <c r="AH13" s="1">
        <f>$N13*Biocombustibles!W$7</f>
        <v>4.0194000000000001E-2</v>
      </c>
      <c r="AI13" s="1">
        <f>$N13*Biocombustibles!X$7</f>
        <v>4.0194000000000001E-2</v>
      </c>
      <c r="AJ13" s="1">
        <f>$N13*Biocombustibles!Y$7</f>
        <v>3.9500999999999994E-2</v>
      </c>
      <c r="AK13" s="1">
        <f>$N13*Biocombustibles!Z$7</f>
        <v>3.9500999999999994E-2</v>
      </c>
      <c r="AL13" s="1">
        <f>$N13*Biocombustibles!AA$7</f>
        <v>3.9500999999999994E-2</v>
      </c>
      <c r="AM13" s="1">
        <f>$N13*Biocombustibles!AB$7</f>
        <v>3.8808000000000002E-2</v>
      </c>
      <c r="AN13" s="1">
        <f>$N13*Biocombustibles!AC$7</f>
        <v>3.8808000000000002E-2</v>
      </c>
      <c r="AO13" s="1">
        <f>$N13*Biocombustibles!AD$7</f>
        <v>3.8808000000000002E-2</v>
      </c>
      <c r="AP13" s="1">
        <f>$N13*Biocombustibles!AE$7</f>
        <v>3.8115000000000003E-2</v>
      </c>
      <c r="AQ13" s="1">
        <f>$N13*Biocombustibles!AF$7</f>
        <v>3.8115000000000003E-2</v>
      </c>
      <c r="AR13" s="1">
        <f>$N13*Biocombustibles!AG$7</f>
        <v>3.8115000000000003E-2</v>
      </c>
      <c r="AS13" s="1">
        <f>$N13*Biocombustibles!AH$7</f>
        <v>3.8115000000000003E-2</v>
      </c>
      <c r="AT13" s="1">
        <f>$N13*Biocombustibles!AI$7</f>
        <v>3.8115000000000003E-2</v>
      </c>
      <c r="AU13" s="1">
        <f>$N13*Biocombustibles!AJ$7</f>
        <v>3.8115000000000003E-2</v>
      </c>
      <c r="AV13" s="1">
        <f>$N13*Biocombustibles!AK$7</f>
        <v>3.8115000000000003E-2</v>
      </c>
      <c r="AW13" s="1">
        <f>$N13*Biocombustibles!AL$7</f>
        <v>3.8115000000000003E-2</v>
      </c>
      <c r="AX13" s="1">
        <f>$N13*Biocombustibles!AM$7</f>
        <v>3.8115000000000003E-2</v>
      </c>
      <c r="AY13" s="1">
        <f>$N13*Biocombustibles!AN$7</f>
        <v>3.8115000000000003E-2</v>
      </c>
      <c r="AZ13" s="1">
        <f>$N13*Biocombustibles!AO$7</f>
        <v>3.8115000000000003E-2</v>
      </c>
      <c r="BA13" s="1">
        <f>$N13*Biocombustibles!AP$7</f>
        <v>3.8115000000000003E-2</v>
      </c>
      <c r="BB13" s="1">
        <f>$N13*Biocombustibles!AQ$7</f>
        <v>3.8115000000000003E-2</v>
      </c>
      <c r="BC13" s="1">
        <f>$N13*Biocombustibles!AR$7</f>
        <v>3.8115000000000003E-2</v>
      </c>
      <c r="BD13" s="1">
        <f>$N13*Biocombustibles!AS$7</f>
        <v>3.8115000000000003E-2</v>
      </c>
      <c r="BE13" s="1">
        <f>$N13*Biocombustibles!AT$7</f>
        <v>3.8115000000000003E-2</v>
      </c>
      <c r="BF13" s="1">
        <f>$N13*Biocombustibles!AU$7</f>
        <v>3.8115000000000003E-2</v>
      </c>
      <c r="BG13" s="1">
        <f>$N13*Biocombustibles!AV$7</f>
        <v>3.8115000000000003E-2</v>
      </c>
      <c r="BH13" s="1">
        <f>$N13*Biocombustibles!AW$7</f>
        <v>3.8115000000000003E-2</v>
      </c>
      <c r="BI13" s="1">
        <f>$N13*Biocombustibles!AX$7</f>
        <v>3.8115000000000003E-2</v>
      </c>
      <c r="BJ13" s="1">
        <f>$N13*Biocombustibles!AY$7</f>
        <v>3.8115000000000003E-2</v>
      </c>
      <c r="BK13" s="1">
        <f>$N13*Biocombustibles!AZ$7</f>
        <v>3.8115000000000003E-2</v>
      </c>
      <c r="BL13" s="1"/>
      <c r="BM13" s="1"/>
    </row>
    <row r="14" spans="1:65" ht="14.4">
      <c r="A14" s="1" t="s">
        <v>551</v>
      </c>
      <c r="B14" s="1" t="s">
        <v>640</v>
      </c>
      <c r="C14" s="1" t="s">
        <v>641</v>
      </c>
      <c r="D14" s="1" t="s">
        <v>642</v>
      </c>
      <c r="E14" s="1"/>
      <c r="F14" s="1"/>
      <c r="G14" s="1" t="s">
        <v>463</v>
      </c>
      <c r="H14" s="1" t="s">
        <v>464</v>
      </c>
      <c r="I14" s="1"/>
      <c r="J14" s="1"/>
      <c r="K14" s="1">
        <v>7.4099999999999999E-2</v>
      </c>
      <c r="L14" s="1">
        <v>7.4099999999999999E-2</v>
      </c>
      <c r="M14" s="1">
        <v>7.4099999999999999E-2</v>
      </c>
      <c r="N14" s="1">
        <v>7.4099999999999999E-2</v>
      </c>
      <c r="O14" s="1">
        <f>$N14*Biocombustibles!D$10</f>
        <v>7.0394999999999999E-2</v>
      </c>
      <c r="P14" s="1">
        <f>$N14*Biocombustibles!E$10</f>
        <v>6.9802199999999995E-2</v>
      </c>
      <c r="Q14" s="1">
        <f>$N14*Biocombustibles!F$10</f>
        <v>6.9802199999999995E-2</v>
      </c>
      <c r="R14" s="1">
        <f>$N14*Biocombustibles!G$10</f>
        <v>6.9728100000000001E-2</v>
      </c>
      <c r="S14" s="1">
        <f>$N14*Biocombustibles!H$10</f>
        <v>6.9505799999999993E-2</v>
      </c>
      <c r="T14" s="1">
        <f>$N14*Biocombustibles!I$10</f>
        <v>6.9209400000000004E-2</v>
      </c>
      <c r="U14" s="1">
        <f>$N14*Biocombustibles!J$10</f>
        <v>6.898710000000001E-2</v>
      </c>
      <c r="V14" s="1">
        <f>$N14*Biocombustibles!K$10</f>
        <v>6.8690700000000007E-2</v>
      </c>
      <c r="W14" s="1">
        <f>$N14*Biocombustibles!L$10</f>
        <v>6.8394300000000005E-2</v>
      </c>
      <c r="X14" s="1">
        <f>$N14*Biocombustibles!M$10</f>
        <v>6.8171999999999996E-2</v>
      </c>
      <c r="Y14" s="1">
        <f>$N14*Biocombustibles!N$10</f>
        <v>6.7949700000000002E-2</v>
      </c>
      <c r="Z14" s="1">
        <f>$N14*Biocombustibles!O$10</f>
        <v>6.7727400000000007E-2</v>
      </c>
      <c r="AA14" s="1">
        <f>$N14*Biocombustibles!P$10</f>
        <v>6.7431000000000005E-2</v>
      </c>
      <c r="AB14" s="1">
        <f>$N14*Biocombustibles!Q$10</f>
        <v>6.7134600000000003E-2</v>
      </c>
      <c r="AC14" s="1">
        <f>$N14*Biocombustibles!R$10</f>
        <v>6.6912300000000008E-2</v>
      </c>
      <c r="AD14" s="1">
        <f>$N14*Biocombustibles!S$10</f>
        <v>6.6615900000000006E-2</v>
      </c>
      <c r="AE14" s="1">
        <f>$N14*Biocombustibles!T$10</f>
        <v>6.6393599999999997E-2</v>
      </c>
      <c r="AF14" s="1">
        <f>$N14*Biocombustibles!U$10</f>
        <v>6.6171300000000002E-2</v>
      </c>
      <c r="AG14" s="1">
        <f>$N14*Biocombustibles!V$10</f>
        <v>6.58749E-2</v>
      </c>
      <c r="AH14" s="1">
        <f>$N14*Biocombustibles!W$10</f>
        <v>6.5652600000000005E-2</v>
      </c>
      <c r="AI14" s="1">
        <f>$N14*Biocombustibles!X$10</f>
        <v>6.5059800000000001E-2</v>
      </c>
      <c r="AJ14" s="1">
        <f>$N14*Biocombustibles!Y$10</f>
        <v>6.4615199999999998E-2</v>
      </c>
      <c r="AK14" s="1">
        <f>$N14*Biocombustibles!Z$10</f>
        <v>6.4096500000000001E-2</v>
      </c>
      <c r="AL14" s="1">
        <f>$N14*Biocombustibles!AA$10</f>
        <v>6.3577800000000004E-2</v>
      </c>
      <c r="AM14" s="1">
        <f>$N14*Biocombustibles!AB$10</f>
        <v>6.3059099999999993E-2</v>
      </c>
      <c r="AN14" s="1">
        <f>$N14*Biocombustibles!AC$10</f>
        <v>6.2540399999999996E-2</v>
      </c>
      <c r="AO14" s="1">
        <f>$N14*Biocombustibles!AD$10</f>
        <v>6.2021699999999999E-2</v>
      </c>
      <c r="AP14" s="1">
        <f>$N14*Biocombustibles!AE$10</f>
        <v>6.1502999999999995E-2</v>
      </c>
      <c r="AQ14" s="1">
        <f>$N14*Biocombustibles!AF$10</f>
        <v>6.1058399999999999E-2</v>
      </c>
      <c r="AR14" s="1">
        <f>$N14*Biocombustibles!AG$10</f>
        <v>6.0465599999999994E-2</v>
      </c>
      <c r="AS14" s="1">
        <f>$N14*Biocombustibles!AH$10</f>
        <v>5.9946900000000004E-2</v>
      </c>
      <c r="AT14" s="1">
        <f>$N14*Biocombustibles!AI$10</f>
        <v>5.9502300000000001E-2</v>
      </c>
      <c r="AU14" s="1">
        <f>$N14*Biocombustibles!AJ$10</f>
        <v>5.8983600000000004E-2</v>
      </c>
      <c r="AV14" s="1">
        <f>$N14*Biocombustibles!AK$10</f>
        <v>5.83908E-2</v>
      </c>
      <c r="AW14" s="1">
        <f>$N14*Biocombustibles!AL$10</f>
        <v>5.7872100000000003E-2</v>
      </c>
      <c r="AX14" s="1">
        <f>$N14*Biocombustibles!AM$10</f>
        <v>5.7427499999999999E-2</v>
      </c>
      <c r="AY14" s="1">
        <f>$N14*Biocombustibles!AN$10</f>
        <v>5.6908800000000002E-2</v>
      </c>
      <c r="AZ14" s="1">
        <f>$N14*Biocombustibles!AO$10</f>
        <v>5.7057000000000004E-2</v>
      </c>
      <c r="BA14" s="1">
        <f>$N14*Biocombustibles!AP$10</f>
        <v>5.7279299999999998E-2</v>
      </c>
      <c r="BB14" s="1">
        <f>$N14*Biocombustibles!AQ$10</f>
        <v>5.75016E-2</v>
      </c>
      <c r="BC14" s="1">
        <f>$N14*Biocombustibles!AR$10</f>
        <v>5.7723900000000002E-2</v>
      </c>
      <c r="BD14" s="1">
        <f>$N14*Biocombustibles!AS$10</f>
        <v>5.7872100000000003E-2</v>
      </c>
      <c r="BE14" s="1">
        <f>$N14*Biocombustibles!AT$10</f>
        <v>5.8094400000000004E-2</v>
      </c>
      <c r="BF14" s="1">
        <f>$N14*Biocombustibles!AU$10</f>
        <v>5.8316699999999999E-2</v>
      </c>
      <c r="BG14" s="1">
        <f>$N14*Biocombustibles!AV$10</f>
        <v>5.84649E-2</v>
      </c>
      <c r="BH14" s="1">
        <f>$N14*Biocombustibles!AW$10</f>
        <v>5.8687200000000002E-2</v>
      </c>
      <c r="BI14" s="1">
        <f>$N14*Biocombustibles!AX$10</f>
        <v>5.8909500000000004E-2</v>
      </c>
      <c r="BJ14" s="1">
        <f>$N14*Biocombustibles!AY$10</f>
        <v>5.9057700000000005E-2</v>
      </c>
      <c r="BK14" s="1">
        <f>$N14*Biocombustibles!AZ$10</f>
        <v>5.9279999999999999E-2</v>
      </c>
      <c r="BL14" s="1"/>
      <c r="BM14" s="1"/>
    </row>
    <row r="15" spans="1:65" ht="14.4">
      <c r="A15" s="1" t="s">
        <v>551</v>
      </c>
      <c r="B15" s="1" t="s">
        <v>640</v>
      </c>
      <c r="C15" s="1" t="s">
        <v>643</v>
      </c>
      <c r="D15" s="1" t="s">
        <v>642</v>
      </c>
      <c r="E15" s="1"/>
      <c r="F15" s="1"/>
      <c r="G15" s="1" t="s">
        <v>463</v>
      </c>
      <c r="H15" s="1" t="s">
        <v>464</v>
      </c>
      <c r="I15" s="1"/>
      <c r="J15" s="1"/>
      <c r="K15" s="1">
        <v>7.4099999999999999E-2</v>
      </c>
      <c r="L15" s="1">
        <v>7.4099999999999999E-2</v>
      </c>
      <c r="M15" s="1">
        <v>7.4099999999999999E-2</v>
      </c>
      <c r="N15" s="1">
        <v>7.4099999999999999E-2</v>
      </c>
      <c r="O15" s="1">
        <f>$N15*Biocombustibles!D$10</f>
        <v>7.0394999999999999E-2</v>
      </c>
      <c r="P15" s="1">
        <f>$N15*Biocombustibles!E$10</f>
        <v>6.9802199999999995E-2</v>
      </c>
      <c r="Q15" s="1">
        <f>$N15*Biocombustibles!F$10</f>
        <v>6.9802199999999995E-2</v>
      </c>
      <c r="R15" s="1">
        <f>$N15*Biocombustibles!G$10</f>
        <v>6.9728100000000001E-2</v>
      </c>
      <c r="S15" s="1">
        <f>$N15*Biocombustibles!H$10</f>
        <v>6.9505799999999993E-2</v>
      </c>
      <c r="T15" s="1">
        <f>$N15*Biocombustibles!I$10</f>
        <v>6.9209400000000004E-2</v>
      </c>
      <c r="U15" s="1">
        <f>$N15*Biocombustibles!J$10</f>
        <v>6.898710000000001E-2</v>
      </c>
      <c r="V15" s="1">
        <f>$N15*Biocombustibles!K$10</f>
        <v>6.8690700000000007E-2</v>
      </c>
      <c r="W15" s="1">
        <f>$N15*Biocombustibles!L$10</f>
        <v>6.8394300000000005E-2</v>
      </c>
      <c r="X15" s="1">
        <f>$N15*Biocombustibles!M$10</f>
        <v>6.8171999999999996E-2</v>
      </c>
      <c r="Y15" s="1">
        <f>$N15*Biocombustibles!N$10</f>
        <v>6.7949700000000002E-2</v>
      </c>
      <c r="Z15" s="1">
        <f>$N15*Biocombustibles!O$10</f>
        <v>6.7727400000000007E-2</v>
      </c>
      <c r="AA15" s="1">
        <f>$N15*Biocombustibles!P$10</f>
        <v>6.7431000000000005E-2</v>
      </c>
      <c r="AB15" s="1">
        <f>$N15*Biocombustibles!Q$10</f>
        <v>6.7134600000000003E-2</v>
      </c>
      <c r="AC15" s="1">
        <f>$N15*Biocombustibles!R$10</f>
        <v>6.6912300000000008E-2</v>
      </c>
      <c r="AD15" s="1">
        <f>$N15*Biocombustibles!S$10</f>
        <v>6.6615900000000006E-2</v>
      </c>
      <c r="AE15" s="1">
        <f>$N15*Biocombustibles!T$10</f>
        <v>6.6393599999999997E-2</v>
      </c>
      <c r="AF15" s="1">
        <f>$N15*Biocombustibles!U$10</f>
        <v>6.6171300000000002E-2</v>
      </c>
      <c r="AG15" s="1">
        <f>$N15*Biocombustibles!V$10</f>
        <v>6.58749E-2</v>
      </c>
      <c r="AH15" s="1">
        <f>$N15*Biocombustibles!W$10</f>
        <v>6.5652600000000005E-2</v>
      </c>
      <c r="AI15" s="1">
        <f>$N15*Biocombustibles!X$10</f>
        <v>6.5059800000000001E-2</v>
      </c>
      <c r="AJ15" s="1">
        <f>$N15*Biocombustibles!Y$10</f>
        <v>6.4615199999999998E-2</v>
      </c>
      <c r="AK15" s="1">
        <f>$N15*Biocombustibles!Z$10</f>
        <v>6.4096500000000001E-2</v>
      </c>
      <c r="AL15" s="1">
        <f>$N15*Biocombustibles!AA$10</f>
        <v>6.3577800000000004E-2</v>
      </c>
      <c r="AM15" s="1">
        <f>$N15*Biocombustibles!AB$10</f>
        <v>6.3059099999999993E-2</v>
      </c>
      <c r="AN15" s="1">
        <f>$N15*Biocombustibles!AC$10</f>
        <v>6.2540399999999996E-2</v>
      </c>
      <c r="AO15" s="1">
        <f>$N15*Biocombustibles!AD$10</f>
        <v>6.2021699999999999E-2</v>
      </c>
      <c r="AP15" s="1">
        <f>$N15*Biocombustibles!AE$10</f>
        <v>6.1502999999999995E-2</v>
      </c>
      <c r="AQ15" s="1">
        <f>$N15*Biocombustibles!AF$10</f>
        <v>6.1058399999999999E-2</v>
      </c>
      <c r="AR15" s="1">
        <f>$N15*Biocombustibles!AG$10</f>
        <v>6.0465599999999994E-2</v>
      </c>
      <c r="AS15" s="1">
        <f>$N15*Biocombustibles!AH$10</f>
        <v>5.9946900000000004E-2</v>
      </c>
      <c r="AT15" s="1">
        <f>$N15*Biocombustibles!AI$10</f>
        <v>5.9502300000000001E-2</v>
      </c>
      <c r="AU15" s="1">
        <f>$N15*Biocombustibles!AJ$10</f>
        <v>5.8983600000000004E-2</v>
      </c>
      <c r="AV15" s="1">
        <f>$N15*Biocombustibles!AK$10</f>
        <v>5.83908E-2</v>
      </c>
      <c r="AW15" s="1">
        <f>$N15*Biocombustibles!AL$10</f>
        <v>5.7872100000000003E-2</v>
      </c>
      <c r="AX15" s="1">
        <f>$N15*Biocombustibles!AM$10</f>
        <v>5.7427499999999999E-2</v>
      </c>
      <c r="AY15" s="1">
        <f>$N15*Biocombustibles!AN$10</f>
        <v>5.6908800000000002E-2</v>
      </c>
      <c r="AZ15" s="1">
        <f>$N15*Biocombustibles!AO$10</f>
        <v>5.7057000000000004E-2</v>
      </c>
      <c r="BA15" s="1">
        <f>$N15*Biocombustibles!AP$10</f>
        <v>5.7279299999999998E-2</v>
      </c>
      <c r="BB15" s="1">
        <f>$N15*Biocombustibles!AQ$10</f>
        <v>5.75016E-2</v>
      </c>
      <c r="BC15" s="1">
        <f>$N15*Biocombustibles!AR$10</f>
        <v>5.7723900000000002E-2</v>
      </c>
      <c r="BD15" s="1">
        <f>$N15*Biocombustibles!AS$10</f>
        <v>5.7872100000000003E-2</v>
      </c>
      <c r="BE15" s="1">
        <f>$N15*Biocombustibles!AT$10</f>
        <v>5.8094400000000004E-2</v>
      </c>
      <c r="BF15" s="1">
        <f>$N15*Biocombustibles!AU$10</f>
        <v>5.8316699999999999E-2</v>
      </c>
      <c r="BG15" s="1">
        <f>$N15*Biocombustibles!AV$10</f>
        <v>5.84649E-2</v>
      </c>
      <c r="BH15" s="1">
        <f>$N15*Biocombustibles!AW$10</f>
        <v>5.8687200000000002E-2</v>
      </c>
      <c r="BI15" s="1">
        <f>$N15*Biocombustibles!AX$10</f>
        <v>5.8909500000000004E-2</v>
      </c>
      <c r="BJ15" s="1">
        <f>$N15*Biocombustibles!AY$10</f>
        <v>5.9057700000000005E-2</v>
      </c>
      <c r="BK15" s="1">
        <f>$N15*Biocombustibles!AZ$10</f>
        <v>5.9279999999999999E-2</v>
      </c>
      <c r="BL15" s="1"/>
      <c r="BM15" s="1"/>
    </row>
    <row r="16" spans="1:65" ht="14.4">
      <c r="A16" s="1" t="s">
        <v>551</v>
      </c>
      <c r="B16" s="1" t="s">
        <v>640</v>
      </c>
      <c r="C16" s="1" t="s">
        <v>644</v>
      </c>
      <c r="D16" s="1" t="s">
        <v>642</v>
      </c>
      <c r="E16" s="1"/>
      <c r="F16" s="1"/>
      <c r="G16" s="1" t="s">
        <v>463</v>
      </c>
      <c r="H16" s="1" t="s">
        <v>464</v>
      </c>
      <c r="I16" s="1"/>
      <c r="J16" s="1"/>
      <c r="K16" s="1">
        <v>7.4099999999999999E-2</v>
      </c>
      <c r="L16" s="1">
        <v>7.4099999999999999E-2</v>
      </c>
      <c r="M16" s="1">
        <v>7.4099999999999999E-2</v>
      </c>
      <c r="N16" s="1">
        <v>7.4099999999999999E-2</v>
      </c>
      <c r="O16" s="1">
        <f>$N16*Biocombustibles!D$10</f>
        <v>7.0394999999999999E-2</v>
      </c>
      <c r="P16" s="1">
        <f>$N16*Biocombustibles!E$10</f>
        <v>6.9802199999999995E-2</v>
      </c>
      <c r="Q16" s="1">
        <f>$N16*Biocombustibles!F$10</f>
        <v>6.9802199999999995E-2</v>
      </c>
      <c r="R16" s="1">
        <f>$N16*Biocombustibles!G$10</f>
        <v>6.9728100000000001E-2</v>
      </c>
      <c r="S16" s="1">
        <f>$N16*Biocombustibles!H$10</f>
        <v>6.9505799999999993E-2</v>
      </c>
      <c r="T16" s="1">
        <f>$N16*Biocombustibles!I$10</f>
        <v>6.9209400000000004E-2</v>
      </c>
      <c r="U16" s="1">
        <f>$N16*Biocombustibles!J$10</f>
        <v>6.898710000000001E-2</v>
      </c>
      <c r="V16" s="1">
        <f>$N16*Biocombustibles!K$10</f>
        <v>6.8690700000000007E-2</v>
      </c>
      <c r="W16" s="1">
        <f>$N16*Biocombustibles!L$10</f>
        <v>6.8394300000000005E-2</v>
      </c>
      <c r="X16" s="1">
        <f>$N16*Biocombustibles!M$10</f>
        <v>6.8171999999999996E-2</v>
      </c>
      <c r="Y16" s="1">
        <f>$N16*Biocombustibles!N$10</f>
        <v>6.7949700000000002E-2</v>
      </c>
      <c r="Z16" s="1">
        <f>$N16*Biocombustibles!O$10</f>
        <v>6.7727400000000007E-2</v>
      </c>
      <c r="AA16" s="1">
        <f>$N16*Biocombustibles!P$10</f>
        <v>6.7431000000000005E-2</v>
      </c>
      <c r="AB16" s="1">
        <f>$N16*Biocombustibles!Q$10</f>
        <v>6.7134600000000003E-2</v>
      </c>
      <c r="AC16" s="1">
        <f>$N16*Biocombustibles!R$10</f>
        <v>6.6912300000000008E-2</v>
      </c>
      <c r="AD16" s="1">
        <f>$N16*Biocombustibles!S$10</f>
        <v>6.6615900000000006E-2</v>
      </c>
      <c r="AE16" s="1">
        <f>$N16*Biocombustibles!T$10</f>
        <v>6.6393599999999997E-2</v>
      </c>
      <c r="AF16" s="1">
        <f>$N16*Biocombustibles!U$10</f>
        <v>6.6171300000000002E-2</v>
      </c>
      <c r="AG16" s="1">
        <f>$N16*Biocombustibles!V$10</f>
        <v>6.58749E-2</v>
      </c>
      <c r="AH16" s="1">
        <f>$N16*Biocombustibles!W$10</f>
        <v>6.5652600000000005E-2</v>
      </c>
      <c r="AI16" s="1">
        <f>$N16*Biocombustibles!X$10</f>
        <v>6.5059800000000001E-2</v>
      </c>
      <c r="AJ16" s="1">
        <f>$N16*Biocombustibles!Y$10</f>
        <v>6.4615199999999998E-2</v>
      </c>
      <c r="AK16" s="1">
        <f>$N16*Biocombustibles!Z$10</f>
        <v>6.4096500000000001E-2</v>
      </c>
      <c r="AL16" s="1">
        <f>$N16*Biocombustibles!AA$10</f>
        <v>6.3577800000000004E-2</v>
      </c>
      <c r="AM16" s="1">
        <f>$N16*Biocombustibles!AB$10</f>
        <v>6.3059099999999993E-2</v>
      </c>
      <c r="AN16" s="1">
        <f>$N16*Biocombustibles!AC$10</f>
        <v>6.2540399999999996E-2</v>
      </c>
      <c r="AO16" s="1">
        <f>$N16*Biocombustibles!AD$10</f>
        <v>6.2021699999999999E-2</v>
      </c>
      <c r="AP16" s="1">
        <f>$N16*Biocombustibles!AE$10</f>
        <v>6.1502999999999995E-2</v>
      </c>
      <c r="AQ16" s="1">
        <f>$N16*Biocombustibles!AF$10</f>
        <v>6.1058399999999999E-2</v>
      </c>
      <c r="AR16" s="1">
        <f>$N16*Biocombustibles!AG$10</f>
        <v>6.0465599999999994E-2</v>
      </c>
      <c r="AS16" s="1">
        <f>$N16*Biocombustibles!AH$10</f>
        <v>5.9946900000000004E-2</v>
      </c>
      <c r="AT16" s="1">
        <f>$N16*Biocombustibles!AI$10</f>
        <v>5.9502300000000001E-2</v>
      </c>
      <c r="AU16" s="1">
        <f>$N16*Biocombustibles!AJ$10</f>
        <v>5.8983600000000004E-2</v>
      </c>
      <c r="AV16" s="1">
        <f>$N16*Biocombustibles!AK$10</f>
        <v>5.83908E-2</v>
      </c>
      <c r="AW16" s="1">
        <f>$N16*Biocombustibles!AL$10</f>
        <v>5.7872100000000003E-2</v>
      </c>
      <c r="AX16" s="1">
        <f>$N16*Biocombustibles!AM$10</f>
        <v>5.7427499999999999E-2</v>
      </c>
      <c r="AY16" s="1">
        <f>$N16*Biocombustibles!AN$10</f>
        <v>5.6908800000000002E-2</v>
      </c>
      <c r="AZ16" s="1">
        <f>$N16*Biocombustibles!AO$10</f>
        <v>5.7057000000000004E-2</v>
      </c>
      <c r="BA16" s="1">
        <f>$N16*Biocombustibles!AP$10</f>
        <v>5.7279299999999998E-2</v>
      </c>
      <c r="BB16" s="1">
        <f>$N16*Biocombustibles!AQ$10</f>
        <v>5.75016E-2</v>
      </c>
      <c r="BC16" s="1">
        <f>$N16*Biocombustibles!AR$10</f>
        <v>5.7723900000000002E-2</v>
      </c>
      <c r="BD16" s="1">
        <f>$N16*Biocombustibles!AS$10</f>
        <v>5.7872100000000003E-2</v>
      </c>
      <c r="BE16" s="1">
        <f>$N16*Biocombustibles!AT$10</f>
        <v>5.8094400000000004E-2</v>
      </c>
      <c r="BF16" s="1">
        <f>$N16*Biocombustibles!AU$10</f>
        <v>5.8316699999999999E-2</v>
      </c>
      <c r="BG16" s="1">
        <f>$N16*Biocombustibles!AV$10</f>
        <v>5.84649E-2</v>
      </c>
      <c r="BH16" s="1">
        <f>$N16*Biocombustibles!AW$10</f>
        <v>5.8687200000000002E-2</v>
      </c>
      <c r="BI16" s="1">
        <f>$N16*Biocombustibles!AX$10</f>
        <v>5.8909500000000004E-2</v>
      </c>
      <c r="BJ16" s="1">
        <f>$N16*Biocombustibles!AY$10</f>
        <v>5.9057700000000005E-2</v>
      </c>
      <c r="BK16" s="1">
        <f>$N16*Biocombustibles!AZ$10</f>
        <v>5.9279999999999999E-2</v>
      </c>
      <c r="BL16" s="1"/>
      <c r="BM16" s="1"/>
    </row>
    <row r="17" spans="1:63" ht="14.4">
      <c r="A17" s="1" t="s">
        <v>551</v>
      </c>
      <c r="B17" s="1" t="s">
        <v>640</v>
      </c>
      <c r="C17" s="1" t="s">
        <v>645</v>
      </c>
      <c r="D17" s="1" t="s">
        <v>642</v>
      </c>
      <c r="E17" s="1"/>
      <c r="F17" s="1"/>
      <c r="G17" s="1" t="s">
        <v>463</v>
      </c>
      <c r="H17" s="1" t="s">
        <v>464</v>
      </c>
      <c r="I17" s="1"/>
      <c r="J17" s="1"/>
      <c r="K17" s="1">
        <v>7.4099999999999999E-2</v>
      </c>
      <c r="L17" s="1">
        <v>7.4099999999999999E-2</v>
      </c>
      <c r="M17" s="1">
        <v>7.4099999999999999E-2</v>
      </c>
      <c r="N17" s="1">
        <v>7.4099999999999999E-2</v>
      </c>
      <c r="O17" s="1">
        <f>$N17*Biocombustibles!D$10</f>
        <v>7.0394999999999999E-2</v>
      </c>
      <c r="P17" s="1">
        <f>$N17*Biocombustibles!E$10</f>
        <v>6.9802199999999995E-2</v>
      </c>
      <c r="Q17" s="1">
        <f>$N17*Biocombustibles!F$10</f>
        <v>6.9802199999999995E-2</v>
      </c>
      <c r="R17" s="1">
        <f>$N17*Biocombustibles!G$10</f>
        <v>6.9728100000000001E-2</v>
      </c>
      <c r="S17" s="1">
        <f>$N17*Biocombustibles!H$10</f>
        <v>6.9505799999999993E-2</v>
      </c>
      <c r="T17" s="1">
        <f>$N17*Biocombustibles!I$10</f>
        <v>6.9209400000000004E-2</v>
      </c>
      <c r="U17" s="1">
        <f>$N17*Biocombustibles!J$10</f>
        <v>6.898710000000001E-2</v>
      </c>
      <c r="V17" s="1">
        <f>$N17*Biocombustibles!K$10</f>
        <v>6.8690700000000007E-2</v>
      </c>
      <c r="W17" s="1">
        <f>$N17*Biocombustibles!L$10</f>
        <v>6.8394300000000005E-2</v>
      </c>
      <c r="X17" s="1">
        <f>$N17*Biocombustibles!M$10</f>
        <v>6.8171999999999996E-2</v>
      </c>
      <c r="Y17" s="1">
        <f>$N17*Biocombustibles!N$10</f>
        <v>6.7949700000000002E-2</v>
      </c>
      <c r="Z17" s="1">
        <f>$N17*Biocombustibles!O$10</f>
        <v>6.7727400000000007E-2</v>
      </c>
      <c r="AA17" s="1">
        <f>$N17*Biocombustibles!P$10</f>
        <v>6.7431000000000005E-2</v>
      </c>
      <c r="AB17" s="1">
        <f>$N17*Biocombustibles!Q$10</f>
        <v>6.7134600000000003E-2</v>
      </c>
      <c r="AC17" s="1">
        <f>$N17*Biocombustibles!R$10</f>
        <v>6.6912300000000008E-2</v>
      </c>
      <c r="AD17" s="1">
        <f>$N17*Biocombustibles!S$10</f>
        <v>6.6615900000000006E-2</v>
      </c>
      <c r="AE17" s="1">
        <f>$N17*Biocombustibles!T$10</f>
        <v>6.6393599999999997E-2</v>
      </c>
      <c r="AF17" s="1">
        <f>$N17*Biocombustibles!U$10</f>
        <v>6.6171300000000002E-2</v>
      </c>
      <c r="AG17" s="1">
        <f>$N17*Biocombustibles!V$10</f>
        <v>6.58749E-2</v>
      </c>
      <c r="AH17" s="1">
        <f>$N17*Biocombustibles!W$10</f>
        <v>6.5652600000000005E-2</v>
      </c>
      <c r="AI17" s="1">
        <f>$N17*Biocombustibles!X$10</f>
        <v>6.5059800000000001E-2</v>
      </c>
      <c r="AJ17" s="1">
        <f>$N17*Biocombustibles!Y$10</f>
        <v>6.4615199999999998E-2</v>
      </c>
      <c r="AK17" s="1">
        <f>$N17*Biocombustibles!Z$10</f>
        <v>6.4096500000000001E-2</v>
      </c>
      <c r="AL17" s="1">
        <f>$N17*Biocombustibles!AA$10</f>
        <v>6.3577800000000004E-2</v>
      </c>
      <c r="AM17" s="1">
        <f>$N17*Biocombustibles!AB$10</f>
        <v>6.3059099999999993E-2</v>
      </c>
      <c r="AN17" s="1">
        <f>$N17*Biocombustibles!AC$10</f>
        <v>6.2540399999999996E-2</v>
      </c>
      <c r="AO17" s="1">
        <f>$N17*Biocombustibles!AD$10</f>
        <v>6.2021699999999999E-2</v>
      </c>
      <c r="AP17" s="1">
        <f>$N17*Biocombustibles!AE$10</f>
        <v>6.1502999999999995E-2</v>
      </c>
      <c r="AQ17" s="1">
        <f>$N17*Biocombustibles!AF$10</f>
        <v>6.1058399999999999E-2</v>
      </c>
      <c r="AR17" s="1">
        <f>$N17*Biocombustibles!AG$10</f>
        <v>6.0465599999999994E-2</v>
      </c>
      <c r="AS17" s="1">
        <f>$N17*Biocombustibles!AH$10</f>
        <v>5.9946900000000004E-2</v>
      </c>
      <c r="AT17" s="1">
        <f>$N17*Biocombustibles!AI$10</f>
        <v>5.9502300000000001E-2</v>
      </c>
      <c r="AU17" s="1">
        <f>$N17*Biocombustibles!AJ$10</f>
        <v>5.8983600000000004E-2</v>
      </c>
      <c r="AV17" s="1">
        <f>$N17*Biocombustibles!AK$10</f>
        <v>5.83908E-2</v>
      </c>
      <c r="AW17" s="1">
        <f>$N17*Biocombustibles!AL$10</f>
        <v>5.7872100000000003E-2</v>
      </c>
      <c r="AX17" s="1">
        <f>$N17*Biocombustibles!AM$10</f>
        <v>5.7427499999999999E-2</v>
      </c>
      <c r="AY17" s="1">
        <f>$N17*Biocombustibles!AN$10</f>
        <v>5.6908800000000002E-2</v>
      </c>
      <c r="AZ17" s="1">
        <f>$N17*Biocombustibles!AO$10</f>
        <v>5.7057000000000004E-2</v>
      </c>
      <c r="BA17" s="1">
        <f>$N17*Biocombustibles!AP$10</f>
        <v>5.7279299999999998E-2</v>
      </c>
      <c r="BB17" s="1">
        <f>$N17*Biocombustibles!AQ$10</f>
        <v>5.75016E-2</v>
      </c>
      <c r="BC17" s="1">
        <f>$N17*Biocombustibles!AR$10</f>
        <v>5.7723900000000002E-2</v>
      </c>
      <c r="BD17" s="1">
        <f>$N17*Biocombustibles!AS$10</f>
        <v>5.7872100000000003E-2</v>
      </c>
      <c r="BE17" s="1">
        <f>$N17*Biocombustibles!AT$10</f>
        <v>5.8094400000000004E-2</v>
      </c>
      <c r="BF17" s="1">
        <f>$N17*Biocombustibles!AU$10</f>
        <v>5.8316699999999999E-2</v>
      </c>
      <c r="BG17" s="1">
        <f>$N17*Biocombustibles!AV$10</f>
        <v>5.84649E-2</v>
      </c>
      <c r="BH17" s="1">
        <f>$N17*Biocombustibles!AW$10</f>
        <v>5.8687200000000002E-2</v>
      </c>
      <c r="BI17" s="1">
        <f>$N17*Biocombustibles!AX$10</f>
        <v>5.8909500000000004E-2</v>
      </c>
      <c r="BJ17" s="1">
        <f>$N17*Biocombustibles!AY$10</f>
        <v>5.9057700000000005E-2</v>
      </c>
      <c r="BK17" s="1">
        <f>$N17*Biocombustibles!AZ$10</f>
        <v>5.9279999999999999E-2</v>
      </c>
    </row>
    <row r="18" spans="1:63" ht="14.4">
      <c r="A18" s="1" t="s">
        <v>551</v>
      </c>
      <c r="B18" s="1" t="s">
        <v>640</v>
      </c>
      <c r="C18" s="1" t="s">
        <v>646</v>
      </c>
      <c r="D18" s="1" t="s">
        <v>642</v>
      </c>
      <c r="E18" s="1"/>
      <c r="F18" s="1"/>
      <c r="G18" s="1" t="s">
        <v>463</v>
      </c>
      <c r="H18" s="1" t="s">
        <v>464</v>
      </c>
      <c r="I18" s="1"/>
      <c r="J18" s="1"/>
      <c r="K18" s="1">
        <v>7.4099999999999999E-2</v>
      </c>
      <c r="L18" s="1">
        <v>7.4099999999999999E-2</v>
      </c>
      <c r="M18" s="1">
        <v>7.4099999999999999E-2</v>
      </c>
      <c r="N18" s="1">
        <v>7.4099999999999999E-2</v>
      </c>
      <c r="O18" s="1">
        <f>$N18*Biocombustibles!D$10</f>
        <v>7.0394999999999999E-2</v>
      </c>
      <c r="P18" s="1">
        <f>$N18*Biocombustibles!E$10</f>
        <v>6.9802199999999995E-2</v>
      </c>
      <c r="Q18" s="1">
        <f>$N18*Biocombustibles!F$10</f>
        <v>6.9802199999999995E-2</v>
      </c>
      <c r="R18" s="1">
        <f>$N18*Biocombustibles!G$10</f>
        <v>6.9728100000000001E-2</v>
      </c>
      <c r="S18" s="1">
        <f>$N18*Biocombustibles!H$10</f>
        <v>6.9505799999999993E-2</v>
      </c>
      <c r="T18" s="1">
        <f>$N18*Biocombustibles!I$10</f>
        <v>6.9209400000000004E-2</v>
      </c>
      <c r="U18" s="1">
        <f>$N18*Biocombustibles!J$10</f>
        <v>6.898710000000001E-2</v>
      </c>
      <c r="V18" s="1">
        <f>$N18*Biocombustibles!K$10</f>
        <v>6.8690700000000007E-2</v>
      </c>
      <c r="W18" s="1">
        <f>$N18*Biocombustibles!L$10</f>
        <v>6.8394300000000005E-2</v>
      </c>
      <c r="X18" s="1">
        <f>$N18*Biocombustibles!M$10</f>
        <v>6.8171999999999996E-2</v>
      </c>
      <c r="Y18" s="1">
        <f>$N18*Biocombustibles!N$10</f>
        <v>6.7949700000000002E-2</v>
      </c>
      <c r="Z18" s="1">
        <f>$N18*Biocombustibles!O$10</f>
        <v>6.7727400000000007E-2</v>
      </c>
      <c r="AA18" s="1">
        <f>$N18*Biocombustibles!P$10</f>
        <v>6.7431000000000005E-2</v>
      </c>
      <c r="AB18" s="1">
        <f>$N18*Biocombustibles!Q$10</f>
        <v>6.7134600000000003E-2</v>
      </c>
      <c r="AC18" s="1">
        <f>$N18*Biocombustibles!R$10</f>
        <v>6.6912300000000008E-2</v>
      </c>
      <c r="AD18" s="1">
        <f>$N18*Biocombustibles!S$10</f>
        <v>6.6615900000000006E-2</v>
      </c>
      <c r="AE18" s="1">
        <f>$N18*Biocombustibles!T$10</f>
        <v>6.6393599999999997E-2</v>
      </c>
      <c r="AF18" s="1">
        <f>$N18*Biocombustibles!U$10</f>
        <v>6.6171300000000002E-2</v>
      </c>
      <c r="AG18" s="1">
        <f>$N18*Biocombustibles!V$10</f>
        <v>6.58749E-2</v>
      </c>
      <c r="AH18" s="1">
        <f>$N18*Biocombustibles!W$10</f>
        <v>6.5652600000000005E-2</v>
      </c>
      <c r="AI18" s="1">
        <f>$N18*Biocombustibles!X$10</f>
        <v>6.5059800000000001E-2</v>
      </c>
      <c r="AJ18" s="1">
        <f>$N18*Biocombustibles!Y$10</f>
        <v>6.4615199999999998E-2</v>
      </c>
      <c r="AK18" s="1">
        <f>$N18*Biocombustibles!Z$10</f>
        <v>6.4096500000000001E-2</v>
      </c>
      <c r="AL18" s="1">
        <f>$N18*Biocombustibles!AA$10</f>
        <v>6.3577800000000004E-2</v>
      </c>
      <c r="AM18" s="1">
        <f>$N18*Biocombustibles!AB$10</f>
        <v>6.3059099999999993E-2</v>
      </c>
      <c r="AN18" s="1">
        <f>$N18*Biocombustibles!AC$10</f>
        <v>6.2540399999999996E-2</v>
      </c>
      <c r="AO18" s="1">
        <f>$N18*Biocombustibles!AD$10</f>
        <v>6.2021699999999999E-2</v>
      </c>
      <c r="AP18" s="1">
        <f>$N18*Biocombustibles!AE$10</f>
        <v>6.1502999999999995E-2</v>
      </c>
      <c r="AQ18" s="1">
        <f>$N18*Biocombustibles!AF$10</f>
        <v>6.1058399999999999E-2</v>
      </c>
      <c r="AR18" s="1">
        <f>$N18*Biocombustibles!AG$10</f>
        <v>6.0465599999999994E-2</v>
      </c>
      <c r="AS18" s="1">
        <f>$N18*Biocombustibles!AH$10</f>
        <v>5.9946900000000004E-2</v>
      </c>
      <c r="AT18" s="1">
        <f>$N18*Biocombustibles!AI$10</f>
        <v>5.9502300000000001E-2</v>
      </c>
      <c r="AU18" s="1">
        <f>$N18*Biocombustibles!AJ$10</f>
        <v>5.8983600000000004E-2</v>
      </c>
      <c r="AV18" s="1">
        <f>$N18*Biocombustibles!AK$10</f>
        <v>5.83908E-2</v>
      </c>
      <c r="AW18" s="1">
        <f>$N18*Biocombustibles!AL$10</f>
        <v>5.7872100000000003E-2</v>
      </c>
      <c r="AX18" s="1">
        <f>$N18*Biocombustibles!AM$10</f>
        <v>5.7427499999999999E-2</v>
      </c>
      <c r="AY18" s="1">
        <f>$N18*Biocombustibles!AN$10</f>
        <v>5.6908800000000002E-2</v>
      </c>
      <c r="AZ18" s="1">
        <f>$N18*Biocombustibles!AO$10</f>
        <v>5.7057000000000004E-2</v>
      </c>
      <c r="BA18" s="1">
        <f>$N18*Biocombustibles!AP$10</f>
        <v>5.7279299999999998E-2</v>
      </c>
      <c r="BB18" s="1">
        <f>$N18*Biocombustibles!AQ$10</f>
        <v>5.75016E-2</v>
      </c>
      <c r="BC18" s="1">
        <f>$N18*Biocombustibles!AR$10</f>
        <v>5.7723900000000002E-2</v>
      </c>
      <c r="BD18" s="1">
        <f>$N18*Biocombustibles!AS$10</f>
        <v>5.7872100000000003E-2</v>
      </c>
      <c r="BE18" s="1">
        <f>$N18*Biocombustibles!AT$10</f>
        <v>5.8094400000000004E-2</v>
      </c>
      <c r="BF18" s="1">
        <f>$N18*Biocombustibles!AU$10</f>
        <v>5.8316699999999999E-2</v>
      </c>
      <c r="BG18" s="1">
        <f>$N18*Biocombustibles!AV$10</f>
        <v>5.84649E-2</v>
      </c>
      <c r="BH18" s="1">
        <f>$N18*Biocombustibles!AW$10</f>
        <v>5.8687200000000002E-2</v>
      </c>
      <c r="BI18" s="1">
        <f>$N18*Biocombustibles!AX$10</f>
        <v>5.8909500000000004E-2</v>
      </c>
      <c r="BJ18" s="1">
        <f>$N18*Biocombustibles!AY$10</f>
        <v>5.9057700000000005E-2</v>
      </c>
      <c r="BK18" s="1">
        <f>$N18*Biocombustibles!AZ$10</f>
        <v>5.9279999999999999E-2</v>
      </c>
    </row>
    <row r="19" spans="1:63" ht="14.4">
      <c r="A19" s="1" t="s">
        <v>551</v>
      </c>
      <c r="B19" s="1" t="s">
        <v>640</v>
      </c>
      <c r="C19" s="1" t="s">
        <v>647</v>
      </c>
      <c r="D19" s="1" t="s">
        <v>642</v>
      </c>
      <c r="E19" s="1"/>
      <c r="F19" s="1"/>
      <c r="G19" s="1" t="s">
        <v>463</v>
      </c>
      <c r="H19" s="1" t="s">
        <v>464</v>
      </c>
      <c r="I19" s="1"/>
      <c r="J19" s="1"/>
      <c r="K19" s="1">
        <v>6.93E-2</v>
      </c>
      <c r="L19" s="1">
        <v>6.93E-2</v>
      </c>
      <c r="M19" s="1">
        <v>6.93E-2</v>
      </c>
      <c r="N19" s="1">
        <v>6.93E-2</v>
      </c>
      <c r="O19" s="1">
        <f>$N19*Biocombustibles!D$9</f>
        <v>6.7567500000000003E-2</v>
      </c>
      <c r="P19" s="1">
        <f>$N19*Biocombustibles!E$9</f>
        <v>6.6181500000000004E-2</v>
      </c>
      <c r="Q19" s="1">
        <f>$N19*Biocombustibles!F$9</f>
        <v>6.5696400000000002E-2</v>
      </c>
      <c r="R19" s="1">
        <f>$N19*Biocombustibles!G$9</f>
        <v>6.52113E-2</v>
      </c>
      <c r="S19" s="1">
        <f>$N19*Biocombustibles!H$9</f>
        <v>6.4587600000000009E-2</v>
      </c>
      <c r="T19" s="1">
        <f>$N19*Biocombustibles!I$9</f>
        <v>6.3963900000000004E-2</v>
      </c>
      <c r="U19" s="1">
        <f>$N19*Biocombustibles!J$9</f>
        <v>6.3340199999999999E-2</v>
      </c>
      <c r="V19" s="1">
        <f>$N19*Biocombustibles!K$9</f>
        <v>6.2716500000000008E-2</v>
      </c>
      <c r="W19" s="1">
        <f>$N19*Biocombustibles!L$9</f>
        <v>6.2092800000000004E-2</v>
      </c>
      <c r="X19" s="1">
        <f>$N19*Biocombustibles!M$9</f>
        <v>6.1469099999999999E-2</v>
      </c>
      <c r="Y19" s="1">
        <f>$N19*Biocombustibles!N$9</f>
        <v>6.0845400000000001E-2</v>
      </c>
      <c r="Z19" s="1">
        <f>$N19*Biocombustibles!O$9</f>
        <v>6.0221700000000003E-2</v>
      </c>
      <c r="AA19" s="1">
        <f>$N19*Biocombustibles!P$9</f>
        <v>5.9597999999999998E-2</v>
      </c>
      <c r="AB19" s="1">
        <f>$N19*Biocombustibles!Q$9</f>
        <v>5.89743E-2</v>
      </c>
      <c r="AC19" s="1">
        <f>$N19*Biocombustibles!R$9</f>
        <v>5.8350599999999996E-2</v>
      </c>
      <c r="AD19" s="1">
        <f>$N19*Biocombustibles!S$9</f>
        <v>5.7726899999999998E-2</v>
      </c>
      <c r="AE19" s="1">
        <f>$N19*Biocombustibles!T$9</f>
        <v>5.71032E-2</v>
      </c>
      <c r="AF19" s="1">
        <f>$N19*Biocombustibles!U$9</f>
        <v>5.6479499999999995E-2</v>
      </c>
      <c r="AG19" s="1">
        <f>$N19*Biocombustibles!V$9</f>
        <v>5.5855800000000004E-2</v>
      </c>
      <c r="AH19" s="1">
        <f>$N19*Biocombustibles!W$9</f>
        <v>5.5232100000000006E-2</v>
      </c>
      <c r="AI19" s="1">
        <f>$N19*Biocombustibles!X$9</f>
        <v>5.3984700000000004E-2</v>
      </c>
      <c r="AJ19" s="1">
        <f>$N19*Biocombustibles!Y$9</f>
        <v>5.2737300000000001E-2</v>
      </c>
      <c r="AK19" s="1">
        <f>$N19*Biocombustibles!Z$9</f>
        <v>5.1489899999999998E-2</v>
      </c>
      <c r="AL19" s="1">
        <f>$N19*Biocombustibles!AA$9</f>
        <v>5.0242499999999995E-2</v>
      </c>
      <c r="AM19" s="1">
        <f>$N19*Biocombustibles!AB$9</f>
        <v>4.89951E-2</v>
      </c>
      <c r="AN19" s="1">
        <f>$N19*Biocombustibles!AC$9</f>
        <v>4.7747699999999997E-2</v>
      </c>
      <c r="AO19" s="1">
        <f>$N19*Biocombustibles!AD$9</f>
        <v>4.6500300000000001E-2</v>
      </c>
      <c r="AP19" s="1">
        <f>$N19*Biocombustibles!AE$9</f>
        <v>4.5252899999999999E-2</v>
      </c>
      <c r="AQ19" s="1">
        <f>$N19*Biocombustibles!AF$9</f>
        <v>4.4005500000000003E-2</v>
      </c>
      <c r="AR19" s="1">
        <f>$N19*Biocombustibles!AG$9</f>
        <v>4.27581E-2</v>
      </c>
      <c r="AS19" s="1">
        <f>$N19*Biocombustibles!AH$9</f>
        <v>4.1510699999999998E-2</v>
      </c>
      <c r="AT19" s="1">
        <f>$N19*Biocombustibles!AI$9</f>
        <v>4.0263299999999995E-2</v>
      </c>
      <c r="AU19" s="1">
        <f>$N19*Biocombustibles!AJ$9</f>
        <v>3.9015899999999999E-2</v>
      </c>
      <c r="AV19" s="1">
        <f>$N19*Biocombustibles!AK$9</f>
        <v>3.7768500000000003E-2</v>
      </c>
      <c r="AW19" s="1">
        <f>$N19*Biocombustibles!AL$9</f>
        <v>3.6451799999999999E-2</v>
      </c>
      <c r="AX19" s="1">
        <f>$N19*Biocombustibles!AM$9</f>
        <v>3.5204400000000004E-2</v>
      </c>
      <c r="AY19" s="1">
        <f>$N19*Biocombustibles!AN$9</f>
        <v>3.3957000000000001E-2</v>
      </c>
      <c r="AZ19" s="1">
        <f>$N19*Biocombustibles!AO$9</f>
        <v>3.4303500000000001E-2</v>
      </c>
      <c r="BA19" s="1">
        <f>$N19*Biocombustibles!AP$9</f>
        <v>3.465E-2</v>
      </c>
      <c r="BB19" s="1">
        <f>$N19*Biocombustibles!AQ$9</f>
        <v>3.49965E-2</v>
      </c>
      <c r="BC19" s="1">
        <f>$N19*Biocombustibles!AR$9</f>
        <v>3.5342999999999999E-2</v>
      </c>
      <c r="BD19" s="1">
        <f>$N19*Biocombustibles!AS$9</f>
        <v>3.5689499999999999E-2</v>
      </c>
      <c r="BE19" s="1">
        <f>$N19*Biocombustibles!AT$9</f>
        <v>3.6035999999999999E-2</v>
      </c>
      <c r="BF19" s="1">
        <f>$N19*Biocombustibles!AU$9</f>
        <v>3.6382500000000005E-2</v>
      </c>
      <c r="BG19" s="1">
        <f>$N19*Biocombustibles!AV$9</f>
        <v>3.6729000000000005E-2</v>
      </c>
      <c r="BH19" s="1">
        <f>$N19*Biocombustibles!AW$9</f>
        <v>3.7075500000000004E-2</v>
      </c>
      <c r="BI19" s="1">
        <f>$N19*Biocombustibles!AX$9</f>
        <v>3.7422000000000004E-2</v>
      </c>
      <c r="BJ19" s="1">
        <f>$N19*Biocombustibles!AY$9</f>
        <v>3.7768500000000003E-2</v>
      </c>
      <c r="BK19" s="1">
        <f>$N19*Biocombustibles!AZ$9</f>
        <v>3.8115000000000003E-2</v>
      </c>
    </row>
    <row r="20" spans="1:63" ht="14.4">
      <c r="A20" s="1" t="s">
        <v>551</v>
      </c>
      <c r="B20" s="1" t="s">
        <v>640</v>
      </c>
      <c r="C20" s="1" t="s">
        <v>648</v>
      </c>
      <c r="D20" s="1" t="s">
        <v>642</v>
      </c>
      <c r="E20" s="1"/>
      <c r="F20" s="1"/>
      <c r="G20" s="1" t="s">
        <v>463</v>
      </c>
      <c r="H20" s="1" t="s">
        <v>464</v>
      </c>
      <c r="I20" s="1"/>
      <c r="J20" s="1"/>
      <c r="K20" s="1">
        <v>6.93E-2</v>
      </c>
      <c r="L20" s="1">
        <v>6.93E-2</v>
      </c>
      <c r="M20" s="1">
        <v>6.93E-2</v>
      </c>
      <c r="N20" s="1">
        <v>6.93E-2</v>
      </c>
      <c r="O20" s="1">
        <f>$N20*Biocombustibles!D$9</f>
        <v>6.7567500000000003E-2</v>
      </c>
      <c r="P20" s="1">
        <f>$N20*Biocombustibles!E$9</f>
        <v>6.6181500000000004E-2</v>
      </c>
      <c r="Q20" s="1">
        <f>$N20*Biocombustibles!F$9</f>
        <v>6.5696400000000002E-2</v>
      </c>
      <c r="R20" s="1">
        <f>$N20*Biocombustibles!G$9</f>
        <v>6.52113E-2</v>
      </c>
      <c r="S20" s="1">
        <f>$N20*Biocombustibles!H$9</f>
        <v>6.4587600000000009E-2</v>
      </c>
      <c r="T20" s="1">
        <f>$N20*Biocombustibles!I$9</f>
        <v>6.3963900000000004E-2</v>
      </c>
      <c r="U20" s="1">
        <f>$N20*Biocombustibles!J$9</f>
        <v>6.3340199999999999E-2</v>
      </c>
      <c r="V20" s="1">
        <f>$N20*Biocombustibles!K$9</f>
        <v>6.2716500000000008E-2</v>
      </c>
      <c r="W20" s="1">
        <f>$N20*Biocombustibles!L$9</f>
        <v>6.2092800000000004E-2</v>
      </c>
      <c r="X20" s="1">
        <f>$N20*Biocombustibles!M$9</f>
        <v>6.1469099999999999E-2</v>
      </c>
      <c r="Y20" s="1">
        <f>$N20*Biocombustibles!N$9</f>
        <v>6.0845400000000001E-2</v>
      </c>
      <c r="Z20" s="1">
        <f>$N20*Biocombustibles!O$9</f>
        <v>6.0221700000000003E-2</v>
      </c>
      <c r="AA20" s="1">
        <f>$N20*Biocombustibles!P$9</f>
        <v>5.9597999999999998E-2</v>
      </c>
      <c r="AB20" s="1">
        <f>$N20*Biocombustibles!Q$9</f>
        <v>5.89743E-2</v>
      </c>
      <c r="AC20" s="1">
        <f>$N20*Biocombustibles!R$9</f>
        <v>5.8350599999999996E-2</v>
      </c>
      <c r="AD20" s="1">
        <f>$N20*Biocombustibles!S$9</f>
        <v>5.7726899999999998E-2</v>
      </c>
      <c r="AE20" s="1">
        <f>$N20*Biocombustibles!T$9</f>
        <v>5.71032E-2</v>
      </c>
      <c r="AF20" s="1">
        <f>$N20*Biocombustibles!U$9</f>
        <v>5.6479499999999995E-2</v>
      </c>
      <c r="AG20" s="1">
        <f>$N20*Biocombustibles!V$9</f>
        <v>5.5855800000000004E-2</v>
      </c>
      <c r="AH20" s="1">
        <f>$N20*Biocombustibles!W$9</f>
        <v>5.5232100000000006E-2</v>
      </c>
      <c r="AI20" s="1">
        <f>$N20*Biocombustibles!X$9</f>
        <v>5.3984700000000004E-2</v>
      </c>
      <c r="AJ20" s="1">
        <f>$N20*Biocombustibles!Y$9</f>
        <v>5.2737300000000001E-2</v>
      </c>
      <c r="AK20" s="1">
        <f>$N20*Biocombustibles!Z$9</f>
        <v>5.1489899999999998E-2</v>
      </c>
      <c r="AL20" s="1">
        <f>$N20*Biocombustibles!AA$9</f>
        <v>5.0242499999999995E-2</v>
      </c>
      <c r="AM20" s="1">
        <f>$N20*Biocombustibles!AB$9</f>
        <v>4.89951E-2</v>
      </c>
      <c r="AN20" s="1">
        <f>$N20*Biocombustibles!AC$9</f>
        <v>4.7747699999999997E-2</v>
      </c>
      <c r="AO20" s="1">
        <f>$N20*Biocombustibles!AD$9</f>
        <v>4.6500300000000001E-2</v>
      </c>
      <c r="AP20" s="1">
        <f>$N20*Biocombustibles!AE$9</f>
        <v>4.5252899999999999E-2</v>
      </c>
      <c r="AQ20" s="1">
        <f>$N20*Biocombustibles!AF$9</f>
        <v>4.4005500000000003E-2</v>
      </c>
      <c r="AR20" s="1">
        <f>$N20*Biocombustibles!AG$9</f>
        <v>4.27581E-2</v>
      </c>
      <c r="AS20" s="1">
        <f>$N20*Biocombustibles!AH$9</f>
        <v>4.1510699999999998E-2</v>
      </c>
      <c r="AT20" s="1">
        <f>$N20*Biocombustibles!AI$9</f>
        <v>4.0263299999999995E-2</v>
      </c>
      <c r="AU20" s="1">
        <f>$N20*Biocombustibles!AJ$9</f>
        <v>3.9015899999999999E-2</v>
      </c>
      <c r="AV20" s="1">
        <f>$N20*Biocombustibles!AK$9</f>
        <v>3.7768500000000003E-2</v>
      </c>
      <c r="AW20" s="1">
        <f>$N20*Biocombustibles!AL$9</f>
        <v>3.6451799999999999E-2</v>
      </c>
      <c r="AX20" s="1">
        <f>$N20*Biocombustibles!AM$9</f>
        <v>3.5204400000000004E-2</v>
      </c>
      <c r="AY20" s="1">
        <f>$N20*Biocombustibles!AN$9</f>
        <v>3.3957000000000001E-2</v>
      </c>
      <c r="AZ20" s="1">
        <f>$N20*Biocombustibles!AO$9</f>
        <v>3.4303500000000001E-2</v>
      </c>
      <c r="BA20" s="1">
        <f>$N20*Biocombustibles!AP$9</f>
        <v>3.465E-2</v>
      </c>
      <c r="BB20" s="1">
        <f>$N20*Biocombustibles!AQ$9</f>
        <v>3.49965E-2</v>
      </c>
      <c r="BC20" s="1">
        <f>$N20*Biocombustibles!AR$9</f>
        <v>3.5342999999999999E-2</v>
      </c>
      <c r="BD20" s="1">
        <f>$N20*Biocombustibles!AS$9</f>
        <v>3.5689499999999999E-2</v>
      </c>
      <c r="BE20" s="1">
        <f>$N20*Biocombustibles!AT$9</f>
        <v>3.6035999999999999E-2</v>
      </c>
      <c r="BF20" s="1">
        <f>$N20*Biocombustibles!AU$9</f>
        <v>3.6382500000000005E-2</v>
      </c>
      <c r="BG20" s="1">
        <f>$N20*Biocombustibles!AV$9</f>
        <v>3.6729000000000005E-2</v>
      </c>
      <c r="BH20" s="1">
        <f>$N20*Biocombustibles!AW$9</f>
        <v>3.7075500000000004E-2</v>
      </c>
      <c r="BI20" s="1">
        <f>$N20*Biocombustibles!AX$9</f>
        <v>3.7422000000000004E-2</v>
      </c>
      <c r="BJ20" s="1">
        <f>$N20*Biocombustibles!AY$9</f>
        <v>3.7768500000000003E-2</v>
      </c>
      <c r="BK20" s="1">
        <f>$N20*Biocombustibles!AZ$9</f>
        <v>3.8115000000000003E-2</v>
      </c>
    </row>
    <row r="21" spans="1:63" ht="15.75" customHeight="1">
      <c r="A21" s="1" t="s">
        <v>551</v>
      </c>
      <c r="B21" s="1" t="s">
        <v>640</v>
      </c>
      <c r="C21" s="1" t="s">
        <v>649</v>
      </c>
      <c r="D21" s="1" t="s">
        <v>642</v>
      </c>
      <c r="E21" s="1"/>
      <c r="F21" s="1"/>
      <c r="G21" s="1" t="s">
        <v>463</v>
      </c>
      <c r="H21" s="1" t="s">
        <v>464</v>
      </c>
      <c r="I21" s="1"/>
      <c r="J21" s="1"/>
      <c r="K21" s="1">
        <v>6.93E-2</v>
      </c>
      <c r="L21" s="1">
        <v>6.93E-2</v>
      </c>
      <c r="M21" s="1">
        <v>6.93E-2</v>
      </c>
      <c r="N21" s="1">
        <v>6.93E-2</v>
      </c>
      <c r="O21" s="1">
        <f>$N21*Biocombustibles!D$9</f>
        <v>6.7567500000000003E-2</v>
      </c>
      <c r="P21" s="1">
        <f>$N21*Biocombustibles!E$9</f>
        <v>6.6181500000000004E-2</v>
      </c>
      <c r="Q21" s="1">
        <f>$N21*Biocombustibles!F$9</f>
        <v>6.5696400000000002E-2</v>
      </c>
      <c r="R21" s="1">
        <f>$N21*Biocombustibles!G$9</f>
        <v>6.52113E-2</v>
      </c>
      <c r="S21" s="1">
        <f>$N21*Biocombustibles!H$9</f>
        <v>6.4587600000000009E-2</v>
      </c>
      <c r="T21" s="1">
        <f>$N21*Biocombustibles!I$9</f>
        <v>6.3963900000000004E-2</v>
      </c>
      <c r="U21" s="1">
        <f>$N21*Biocombustibles!J$9</f>
        <v>6.3340199999999999E-2</v>
      </c>
      <c r="V21" s="1">
        <f>$N21*Biocombustibles!K$9</f>
        <v>6.2716500000000008E-2</v>
      </c>
      <c r="W21" s="1">
        <f>$N21*Biocombustibles!L$9</f>
        <v>6.2092800000000004E-2</v>
      </c>
      <c r="X21" s="1">
        <f>$N21*Biocombustibles!M$9</f>
        <v>6.1469099999999999E-2</v>
      </c>
      <c r="Y21" s="1">
        <f>$N21*Biocombustibles!N$9</f>
        <v>6.0845400000000001E-2</v>
      </c>
      <c r="Z21" s="1">
        <f>$N21*Biocombustibles!O$9</f>
        <v>6.0221700000000003E-2</v>
      </c>
      <c r="AA21" s="1">
        <f>$N21*Biocombustibles!P$9</f>
        <v>5.9597999999999998E-2</v>
      </c>
      <c r="AB21" s="1">
        <f>$N21*Biocombustibles!Q$9</f>
        <v>5.89743E-2</v>
      </c>
      <c r="AC21" s="1">
        <f>$N21*Biocombustibles!R$9</f>
        <v>5.8350599999999996E-2</v>
      </c>
      <c r="AD21" s="1">
        <f>$N21*Biocombustibles!S$9</f>
        <v>5.7726899999999998E-2</v>
      </c>
      <c r="AE21" s="1">
        <f>$N21*Biocombustibles!T$9</f>
        <v>5.71032E-2</v>
      </c>
      <c r="AF21" s="1">
        <f>$N21*Biocombustibles!U$9</f>
        <v>5.6479499999999995E-2</v>
      </c>
      <c r="AG21" s="1">
        <f>$N21*Biocombustibles!V$9</f>
        <v>5.5855800000000004E-2</v>
      </c>
      <c r="AH21" s="1">
        <f>$N21*Biocombustibles!W$9</f>
        <v>5.5232100000000006E-2</v>
      </c>
      <c r="AI21" s="1">
        <f>$N21*Biocombustibles!X$9</f>
        <v>5.3984700000000004E-2</v>
      </c>
      <c r="AJ21" s="1">
        <f>$N21*Biocombustibles!Y$9</f>
        <v>5.2737300000000001E-2</v>
      </c>
      <c r="AK21" s="1">
        <f>$N21*Biocombustibles!Z$9</f>
        <v>5.1489899999999998E-2</v>
      </c>
      <c r="AL21" s="1">
        <f>$N21*Biocombustibles!AA$9</f>
        <v>5.0242499999999995E-2</v>
      </c>
      <c r="AM21" s="1">
        <f>$N21*Biocombustibles!AB$9</f>
        <v>4.89951E-2</v>
      </c>
      <c r="AN21" s="1">
        <f>$N21*Biocombustibles!AC$9</f>
        <v>4.7747699999999997E-2</v>
      </c>
      <c r="AO21" s="1">
        <f>$N21*Biocombustibles!AD$9</f>
        <v>4.6500300000000001E-2</v>
      </c>
      <c r="AP21" s="1">
        <f>$N21*Biocombustibles!AE$9</f>
        <v>4.5252899999999999E-2</v>
      </c>
      <c r="AQ21" s="1">
        <f>$N21*Biocombustibles!AF$9</f>
        <v>4.4005500000000003E-2</v>
      </c>
      <c r="AR21" s="1">
        <f>$N21*Biocombustibles!AG$9</f>
        <v>4.27581E-2</v>
      </c>
      <c r="AS21" s="1">
        <f>$N21*Biocombustibles!AH$9</f>
        <v>4.1510699999999998E-2</v>
      </c>
      <c r="AT21" s="1">
        <f>$N21*Biocombustibles!AI$9</f>
        <v>4.0263299999999995E-2</v>
      </c>
      <c r="AU21" s="1">
        <f>$N21*Biocombustibles!AJ$9</f>
        <v>3.9015899999999999E-2</v>
      </c>
      <c r="AV21" s="1">
        <f>$N21*Biocombustibles!AK$9</f>
        <v>3.7768500000000003E-2</v>
      </c>
      <c r="AW21" s="1">
        <f>$N21*Biocombustibles!AL$9</f>
        <v>3.6451799999999999E-2</v>
      </c>
      <c r="AX21" s="1">
        <f>$N21*Biocombustibles!AM$9</f>
        <v>3.5204400000000004E-2</v>
      </c>
      <c r="AY21" s="1">
        <f>$N21*Biocombustibles!AN$9</f>
        <v>3.3957000000000001E-2</v>
      </c>
      <c r="AZ21" s="1">
        <f>$N21*Biocombustibles!AO$9</f>
        <v>3.4303500000000001E-2</v>
      </c>
      <c r="BA21" s="1">
        <f>$N21*Biocombustibles!AP$9</f>
        <v>3.465E-2</v>
      </c>
      <c r="BB21" s="1">
        <f>$N21*Biocombustibles!AQ$9</f>
        <v>3.49965E-2</v>
      </c>
      <c r="BC21" s="1">
        <f>$N21*Biocombustibles!AR$9</f>
        <v>3.5342999999999999E-2</v>
      </c>
      <c r="BD21" s="1">
        <f>$N21*Biocombustibles!AS$9</f>
        <v>3.5689499999999999E-2</v>
      </c>
      <c r="BE21" s="1">
        <f>$N21*Biocombustibles!AT$9</f>
        <v>3.6035999999999999E-2</v>
      </c>
      <c r="BF21" s="1">
        <f>$N21*Biocombustibles!AU$9</f>
        <v>3.6382500000000005E-2</v>
      </c>
      <c r="BG21" s="1">
        <f>$N21*Biocombustibles!AV$9</f>
        <v>3.6729000000000005E-2</v>
      </c>
      <c r="BH21" s="1">
        <f>$N21*Biocombustibles!AW$9</f>
        <v>3.7075500000000004E-2</v>
      </c>
      <c r="BI21" s="1">
        <f>$N21*Biocombustibles!AX$9</f>
        <v>3.7422000000000004E-2</v>
      </c>
      <c r="BJ21" s="1">
        <f>$N21*Biocombustibles!AY$9</f>
        <v>3.7768500000000003E-2</v>
      </c>
      <c r="BK21" s="1">
        <f>$N21*Biocombustibles!AZ$9</f>
        <v>3.8115000000000003E-2</v>
      </c>
    </row>
    <row r="22" spans="1:63" ht="15.75" customHeight="1">
      <c r="A22" s="1" t="s">
        <v>551</v>
      </c>
      <c r="B22" s="1" t="s">
        <v>640</v>
      </c>
      <c r="C22" s="1" t="s">
        <v>650</v>
      </c>
      <c r="D22" s="1" t="s">
        <v>642</v>
      </c>
      <c r="E22" s="1"/>
      <c r="F22" s="1"/>
      <c r="G22" s="1" t="s">
        <v>463</v>
      </c>
      <c r="H22" s="1" t="s">
        <v>464</v>
      </c>
      <c r="I22" s="1"/>
      <c r="J22" s="1"/>
      <c r="K22" s="1">
        <v>6.93E-2</v>
      </c>
      <c r="L22" s="1">
        <v>6.93E-2</v>
      </c>
      <c r="M22" s="1">
        <v>6.93E-2</v>
      </c>
      <c r="N22" s="1">
        <v>6.93E-2</v>
      </c>
      <c r="O22" s="1">
        <f>$N22*Biocombustibles!D$9</f>
        <v>6.7567500000000003E-2</v>
      </c>
      <c r="P22" s="1">
        <f>$N22*Biocombustibles!E$9</f>
        <v>6.6181500000000004E-2</v>
      </c>
      <c r="Q22" s="1">
        <f>$N22*Biocombustibles!F$9</f>
        <v>6.5696400000000002E-2</v>
      </c>
      <c r="R22" s="1">
        <f>$N22*Biocombustibles!G$9</f>
        <v>6.52113E-2</v>
      </c>
      <c r="S22" s="1">
        <f>$N22*Biocombustibles!H$9</f>
        <v>6.4587600000000009E-2</v>
      </c>
      <c r="T22" s="1">
        <f>$N22*Biocombustibles!I$9</f>
        <v>6.3963900000000004E-2</v>
      </c>
      <c r="U22" s="1">
        <f>$N22*Biocombustibles!J$9</f>
        <v>6.3340199999999999E-2</v>
      </c>
      <c r="V22" s="1">
        <f>$N22*Biocombustibles!K$9</f>
        <v>6.2716500000000008E-2</v>
      </c>
      <c r="W22" s="1">
        <f>$N22*Biocombustibles!L$9</f>
        <v>6.2092800000000004E-2</v>
      </c>
      <c r="X22" s="1">
        <f>$N22*Biocombustibles!M$9</f>
        <v>6.1469099999999999E-2</v>
      </c>
      <c r="Y22" s="1">
        <f>$N22*Biocombustibles!N$9</f>
        <v>6.0845400000000001E-2</v>
      </c>
      <c r="Z22" s="1">
        <f>$N22*Biocombustibles!O$9</f>
        <v>6.0221700000000003E-2</v>
      </c>
      <c r="AA22" s="1">
        <f>$N22*Biocombustibles!P$9</f>
        <v>5.9597999999999998E-2</v>
      </c>
      <c r="AB22" s="1">
        <f>$N22*Biocombustibles!Q$9</f>
        <v>5.89743E-2</v>
      </c>
      <c r="AC22" s="1">
        <f>$N22*Biocombustibles!R$9</f>
        <v>5.8350599999999996E-2</v>
      </c>
      <c r="AD22" s="1">
        <f>$N22*Biocombustibles!S$9</f>
        <v>5.7726899999999998E-2</v>
      </c>
      <c r="AE22" s="1">
        <f>$N22*Biocombustibles!T$9</f>
        <v>5.71032E-2</v>
      </c>
      <c r="AF22" s="1">
        <f>$N22*Biocombustibles!U$9</f>
        <v>5.6479499999999995E-2</v>
      </c>
      <c r="AG22" s="1">
        <f>$N22*Biocombustibles!V$9</f>
        <v>5.5855800000000004E-2</v>
      </c>
      <c r="AH22" s="1">
        <f>$N22*Biocombustibles!W$9</f>
        <v>5.5232100000000006E-2</v>
      </c>
      <c r="AI22" s="1">
        <f>$N22*Biocombustibles!X$9</f>
        <v>5.3984700000000004E-2</v>
      </c>
      <c r="AJ22" s="1">
        <f>$N22*Biocombustibles!Y$9</f>
        <v>5.2737300000000001E-2</v>
      </c>
      <c r="AK22" s="1">
        <f>$N22*Biocombustibles!Z$9</f>
        <v>5.1489899999999998E-2</v>
      </c>
      <c r="AL22" s="1">
        <f>$N22*Biocombustibles!AA$9</f>
        <v>5.0242499999999995E-2</v>
      </c>
      <c r="AM22" s="1">
        <f>$N22*Biocombustibles!AB$9</f>
        <v>4.89951E-2</v>
      </c>
      <c r="AN22" s="1">
        <f>$N22*Biocombustibles!AC$9</f>
        <v>4.7747699999999997E-2</v>
      </c>
      <c r="AO22" s="1">
        <f>$N22*Biocombustibles!AD$9</f>
        <v>4.6500300000000001E-2</v>
      </c>
      <c r="AP22" s="1">
        <f>$N22*Biocombustibles!AE$9</f>
        <v>4.5252899999999999E-2</v>
      </c>
      <c r="AQ22" s="1">
        <f>$N22*Biocombustibles!AF$9</f>
        <v>4.4005500000000003E-2</v>
      </c>
      <c r="AR22" s="1">
        <f>$N22*Biocombustibles!AG$9</f>
        <v>4.27581E-2</v>
      </c>
      <c r="AS22" s="1">
        <f>$N22*Biocombustibles!AH$9</f>
        <v>4.1510699999999998E-2</v>
      </c>
      <c r="AT22" s="1">
        <f>$N22*Biocombustibles!AI$9</f>
        <v>4.0263299999999995E-2</v>
      </c>
      <c r="AU22" s="1">
        <f>$N22*Biocombustibles!AJ$9</f>
        <v>3.9015899999999999E-2</v>
      </c>
      <c r="AV22" s="1">
        <f>$N22*Biocombustibles!AK$9</f>
        <v>3.7768500000000003E-2</v>
      </c>
      <c r="AW22" s="1">
        <f>$N22*Biocombustibles!AL$9</f>
        <v>3.6451799999999999E-2</v>
      </c>
      <c r="AX22" s="1">
        <f>$N22*Biocombustibles!AM$9</f>
        <v>3.5204400000000004E-2</v>
      </c>
      <c r="AY22" s="1">
        <f>$N22*Biocombustibles!AN$9</f>
        <v>3.3957000000000001E-2</v>
      </c>
      <c r="AZ22" s="1">
        <f>$N22*Biocombustibles!AO$9</f>
        <v>3.4303500000000001E-2</v>
      </c>
      <c r="BA22" s="1">
        <f>$N22*Biocombustibles!AP$9</f>
        <v>3.465E-2</v>
      </c>
      <c r="BB22" s="1">
        <f>$N22*Biocombustibles!AQ$9</f>
        <v>3.49965E-2</v>
      </c>
      <c r="BC22" s="1">
        <f>$N22*Biocombustibles!AR$9</f>
        <v>3.5342999999999999E-2</v>
      </c>
      <c r="BD22" s="1">
        <f>$N22*Biocombustibles!AS$9</f>
        <v>3.5689499999999999E-2</v>
      </c>
      <c r="BE22" s="1">
        <f>$N22*Biocombustibles!AT$9</f>
        <v>3.6035999999999999E-2</v>
      </c>
      <c r="BF22" s="1">
        <f>$N22*Biocombustibles!AU$9</f>
        <v>3.6382500000000005E-2</v>
      </c>
      <c r="BG22" s="1">
        <f>$N22*Biocombustibles!AV$9</f>
        <v>3.6729000000000005E-2</v>
      </c>
      <c r="BH22" s="1">
        <f>$N22*Biocombustibles!AW$9</f>
        <v>3.7075500000000004E-2</v>
      </c>
      <c r="BI22" s="1">
        <f>$N22*Biocombustibles!AX$9</f>
        <v>3.7422000000000004E-2</v>
      </c>
      <c r="BJ22" s="1">
        <f>$N22*Biocombustibles!AY$9</f>
        <v>3.7768500000000003E-2</v>
      </c>
      <c r="BK22" s="1">
        <f>$N22*Biocombustibles!AZ$9</f>
        <v>3.8115000000000003E-2</v>
      </c>
    </row>
    <row r="23" spans="1:63" ht="15.75" customHeight="1"/>
    <row r="24" spans="1:63" ht="15.75" customHeight="1"/>
    <row r="25" spans="1:63" ht="15.75" customHeight="1"/>
    <row r="26" spans="1:63" ht="15.75" customHeight="1"/>
    <row r="27" spans="1:63" ht="15.75" customHeight="1"/>
    <row r="28" spans="1:63" ht="15.75" customHeight="1"/>
    <row r="29" spans="1:63" ht="15.75" customHeight="1"/>
    <row r="30" spans="1:63" ht="15.75" customHeight="1"/>
    <row r="31" spans="1:63" ht="15.75" customHeight="1"/>
    <row r="32" spans="1:6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B1001"/>
  <sheetViews>
    <sheetView workbookViewId="0">
      <selection activeCell="B4" sqref="B4"/>
    </sheetView>
  </sheetViews>
  <sheetFormatPr defaultColWidth="14.44140625" defaultRowHeight="15" customHeight="1"/>
  <cols>
    <col min="1" max="54" width="8.6640625" customWidth="1"/>
  </cols>
  <sheetData>
    <row r="1" spans="1:54" ht="15" customHeight="1">
      <c r="A1" s="1"/>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
        <v>2051</v>
      </c>
      <c r="AJ1" s="1">
        <v>2052</v>
      </c>
      <c r="AK1" s="1">
        <v>2053</v>
      </c>
      <c r="AL1" s="1">
        <v>2054</v>
      </c>
      <c r="AM1" s="1">
        <v>2055</v>
      </c>
      <c r="AN1" s="1">
        <v>2056</v>
      </c>
      <c r="AO1" s="1">
        <v>2057</v>
      </c>
      <c r="AP1" s="1">
        <v>2058</v>
      </c>
      <c r="AQ1" s="1">
        <v>2059</v>
      </c>
      <c r="AR1" s="1">
        <v>2060</v>
      </c>
      <c r="AS1" s="1">
        <v>2061</v>
      </c>
      <c r="AT1" s="1">
        <v>2062</v>
      </c>
      <c r="AU1" s="1">
        <v>2063</v>
      </c>
      <c r="AV1" s="1">
        <v>2064</v>
      </c>
      <c r="AW1" s="1">
        <v>2065</v>
      </c>
      <c r="AX1" s="1">
        <v>2066</v>
      </c>
      <c r="AY1" s="1">
        <v>2067</v>
      </c>
      <c r="AZ1" s="1">
        <v>2068</v>
      </c>
      <c r="BA1" s="1">
        <v>2069</v>
      </c>
      <c r="BB1" s="1">
        <v>2070</v>
      </c>
    </row>
    <row r="2" spans="1:54" ht="14.4">
      <c r="A2" s="1" t="s">
        <v>551</v>
      </c>
      <c r="B2" s="30">
        <v>90.633700000000005</v>
      </c>
      <c r="C2" s="30">
        <v>100.5502</v>
      </c>
      <c r="D2" s="30">
        <v>97.490899999999996</v>
      </c>
      <c r="E2" s="30">
        <v>100.6049</v>
      </c>
      <c r="F2" s="30">
        <v>93.323819999999998</v>
      </c>
      <c r="G2" s="30">
        <v>96.935540000000003</v>
      </c>
      <c r="H2" s="30">
        <v>101.11839999999999</v>
      </c>
      <c r="I2" s="30">
        <v>104.8099</v>
      </c>
      <c r="J2" s="30">
        <v>108.98480000000001</v>
      </c>
      <c r="K2" s="30">
        <v>109.8732</v>
      </c>
      <c r="L2" s="30">
        <v>113.2283</v>
      </c>
      <c r="M2" s="30">
        <v>117.11150000000001</v>
      </c>
      <c r="N2" s="30">
        <v>121.9409</v>
      </c>
      <c r="O2" s="30">
        <v>127.227</v>
      </c>
      <c r="P2" s="30">
        <v>132.67230000000001</v>
      </c>
      <c r="Q2" s="30">
        <v>138.18950000000001</v>
      </c>
      <c r="R2" s="30">
        <v>143.8004</v>
      </c>
      <c r="S2" s="30">
        <v>148.80709999999999</v>
      </c>
      <c r="T2" s="30">
        <v>154.85059999999999</v>
      </c>
      <c r="U2" s="30">
        <v>160.3588</v>
      </c>
      <c r="V2" s="30">
        <v>166.67850000000001</v>
      </c>
      <c r="W2" s="30">
        <v>172.56880000000001</v>
      </c>
      <c r="X2" s="30">
        <v>178.72649999999999</v>
      </c>
      <c r="Y2" s="30">
        <v>184.2336</v>
      </c>
      <c r="Z2" s="30">
        <v>190.09780000000001</v>
      </c>
      <c r="AA2" s="30">
        <v>194.70529999999999</v>
      </c>
      <c r="AB2" s="30">
        <v>200.01990000000001</v>
      </c>
      <c r="AC2" s="30">
        <v>203.94489999999999</v>
      </c>
      <c r="AD2" s="30">
        <v>209.0446</v>
      </c>
      <c r="AE2" s="30">
        <v>213.48490000000001</v>
      </c>
      <c r="AF2" s="30">
        <v>218.23929999999999</v>
      </c>
      <c r="AG2" s="30">
        <v>222.7587</v>
      </c>
      <c r="AH2" s="30">
        <v>227.41239999999999</v>
      </c>
      <c r="AI2" s="30">
        <v>232.25</v>
      </c>
      <c r="AJ2" s="30">
        <v>236.94</v>
      </c>
      <c r="AK2" s="30">
        <v>242.1748</v>
      </c>
      <c r="AL2" s="30">
        <v>247.67310000000001</v>
      </c>
      <c r="AM2" s="30">
        <v>252.75489999999999</v>
      </c>
      <c r="AN2" s="30">
        <v>257.70159999999998</v>
      </c>
      <c r="AO2" s="30">
        <v>262.69060000000002</v>
      </c>
      <c r="AP2" s="30">
        <v>267.5718</v>
      </c>
      <c r="AQ2" s="30">
        <v>272.47930000000002</v>
      </c>
      <c r="AR2" s="30">
        <v>277.12220000000002</v>
      </c>
      <c r="AS2" s="30">
        <v>281.93740000000003</v>
      </c>
      <c r="AT2" s="30">
        <v>286.66180000000003</v>
      </c>
      <c r="AU2" s="30">
        <v>291.42039999999997</v>
      </c>
      <c r="AV2" s="30">
        <v>296.13659999999999</v>
      </c>
      <c r="AW2" s="30">
        <v>301.08969999999999</v>
      </c>
      <c r="AX2" s="30">
        <v>305.82560000000001</v>
      </c>
      <c r="AY2" s="30">
        <v>310.5652</v>
      </c>
      <c r="AZ2" s="30">
        <v>315.38380000000001</v>
      </c>
      <c r="BA2" s="30">
        <v>320.35129999999998</v>
      </c>
      <c r="BB2" s="30">
        <v>325.29410000000001</v>
      </c>
    </row>
    <row r="3" spans="1:54" ht="14.4">
      <c r="A3" s="1" t="s">
        <v>457</v>
      </c>
      <c r="B3" s="30">
        <v>90.637500000000003</v>
      </c>
      <c r="C3" s="30">
        <v>100.5502</v>
      </c>
      <c r="D3" s="30">
        <v>97.490899999999996</v>
      </c>
      <c r="E3" s="30">
        <v>100.6016</v>
      </c>
      <c r="F3" s="30">
        <v>90.808199999999999</v>
      </c>
      <c r="G3" s="30">
        <v>94.253439999999998</v>
      </c>
      <c r="H3" s="30">
        <v>98.108149999999995</v>
      </c>
      <c r="I3" s="30">
        <v>101.4075</v>
      </c>
      <c r="J3" s="30">
        <v>105.48480000000001</v>
      </c>
      <c r="K3" s="30">
        <v>109.96</v>
      </c>
      <c r="L3" s="30">
        <v>114.8763</v>
      </c>
      <c r="M3" s="30">
        <v>118.5311</v>
      </c>
      <c r="N3" s="30">
        <v>123.2608</v>
      </c>
      <c r="O3" s="30">
        <v>128.56739999999999</v>
      </c>
      <c r="P3" s="30">
        <v>134.13730000000001</v>
      </c>
      <c r="Q3" s="30">
        <v>139.6215</v>
      </c>
      <c r="R3" s="30">
        <v>145.2824</v>
      </c>
      <c r="S3" s="30">
        <v>150.06549999999999</v>
      </c>
      <c r="T3" s="30">
        <v>156.0693</v>
      </c>
      <c r="U3" s="30">
        <v>161.66149999999999</v>
      </c>
      <c r="V3" s="30">
        <v>168.00800000000001</v>
      </c>
      <c r="W3" s="30">
        <v>174.05600000000001</v>
      </c>
      <c r="X3" s="30">
        <v>180.4434</v>
      </c>
      <c r="Y3" s="30">
        <v>186.19739999999999</v>
      </c>
      <c r="Z3" s="30">
        <v>192.43350000000001</v>
      </c>
      <c r="AA3" s="30">
        <v>197.61609999999999</v>
      </c>
      <c r="AB3" s="30">
        <v>203.91419999999999</v>
      </c>
      <c r="AC3" s="30">
        <v>208.80179999999999</v>
      </c>
      <c r="AD3" s="30">
        <v>214.07069999999999</v>
      </c>
      <c r="AE3" s="30">
        <v>218.7715</v>
      </c>
      <c r="AF3" s="30">
        <v>223.67230000000001</v>
      </c>
      <c r="AG3" s="30">
        <v>228.41419999999999</v>
      </c>
      <c r="AH3" s="30">
        <v>233.32079999999999</v>
      </c>
      <c r="AI3" s="30">
        <v>242.3443</v>
      </c>
      <c r="AJ3" s="30">
        <v>248.33949999999999</v>
      </c>
      <c r="AK3" s="30">
        <v>254.38419999999999</v>
      </c>
      <c r="AL3" s="30">
        <v>260.4588</v>
      </c>
      <c r="AM3" s="30">
        <v>266.79829999999998</v>
      </c>
      <c r="AN3" s="30">
        <v>273.33300000000003</v>
      </c>
      <c r="AO3" s="30">
        <v>279.85359999999997</v>
      </c>
      <c r="AP3" s="30">
        <v>286.3877</v>
      </c>
      <c r="AQ3" s="30">
        <v>293.10809999999998</v>
      </c>
      <c r="AR3" s="30">
        <v>299.97820000000002</v>
      </c>
      <c r="AS3" s="30">
        <v>306.98039999999997</v>
      </c>
      <c r="AT3" s="30">
        <v>314.1173</v>
      </c>
      <c r="AU3" s="30">
        <v>321.34219999999999</v>
      </c>
      <c r="AV3" s="30">
        <v>328.7346</v>
      </c>
      <c r="AW3" s="30">
        <v>336.26510000000002</v>
      </c>
      <c r="AX3" s="30">
        <v>343.96600000000001</v>
      </c>
      <c r="AY3" s="30">
        <v>351.79969999999997</v>
      </c>
      <c r="AZ3" s="30">
        <v>359.80759999999998</v>
      </c>
      <c r="BA3" s="30">
        <v>367.9255</v>
      </c>
      <c r="BB3" s="30">
        <v>376.17570000000001</v>
      </c>
    </row>
    <row r="4" spans="1:54" ht="15" customHeight="1">
      <c r="A4" s="1" t="s">
        <v>554</v>
      </c>
      <c r="B4" s="30">
        <v>90.633700000000005</v>
      </c>
      <c r="C4" s="30">
        <v>100.5544</v>
      </c>
      <c r="D4" s="30">
        <v>97.490899999999996</v>
      </c>
      <c r="E4" s="30">
        <v>100.6052</v>
      </c>
      <c r="F4" s="30">
        <v>90.394329999999997</v>
      </c>
      <c r="G4" s="30">
        <v>92.602500000000006</v>
      </c>
      <c r="H4" s="30">
        <v>95.181169999999995</v>
      </c>
      <c r="I4" s="30">
        <v>97.086110000000005</v>
      </c>
      <c r="J4" s="30">
        <v>99.516589999999994</v>
      </c>
      <c r="K4" s="30">
        <v>102.1773</v>
      </c>
      <c r="L4" s="30">
        <v>105.18</v>
      </c>
      <c r="M4" s="30">
        <v>107.235</v>
      </c>
      <c r="N4" s="30">
        <v>109.8732</v>
      </c>
      <c r="O4" s="30">
        <v>109.8732</v>
      </c>
      <c r="P4" s="30">
        <v>110.8308</v>
      </c>
      <c r="Q4" s="30">
        <v>114.09950000000001</v>
      </c>
      <c r="R4" s="30">
        <v>117.1254</v>
      </c>
      <c r="S4" s="30">
        <v>119.7206</v>
      </c>
      <c r="T4" s="30">
        <v>123.6414</v>
      </c>
      <c r="U4" s="30">
        <v>127.1585</v>
      </c>
      <c r="V4" s="30">
        <v>131.27099999999999</v>
      </c>
      <c r="W4" s="30">
        <v>135.1061</v>
      </c>
      <c r="X4" s="30">
        <v>138.9598</v>
      </c>
      <c r="Y4" s="30">
        <v>142.71129999999999</v>
      </c>
      <c r="Z4" s="30">
        <v>146.49440000000001</v>
      </c>
      <c r="AA4" s="30">
        <v>149.27019999999999</v>
      </c>
      <c r="AB4" s="30">
        <v>152.26419999999999</v>
      </c>
      <c r="AC4" s="30">
        <v>154.1088</v>
      </c>
      <c r="AD4" s="30">
        <v>156.94880000000001</v>
      </c>
      <c r="AE4" s="30">
        <v>159.3853</v>
      </c>
      <c r="AF4" s="30">
        <v>161.87739999999999</v>
      </c>
      <c r="AG4" s="30">
        <v>164.33879999999999</v>
      </c>
      <c r="AH4" s="30">
        <v>166.80850000000001</v>
      </c>
      <c r="AI4" s="30">
        <v>169.6765</v>
      </c>
      <c r="AJ4" s="30">
        <v>172.4539</v>
      </c>
      <c r="AK4" s="30">
        <v>175.24610000000001</v>
      </c>
      <c r="AL4" s="30">
        <v>178.02889999999999</v>
      </c>
      <c r="AM4" s="30">
        <v>180.8955</v>
      </c>
      <c r="AN4" s="30">
        <v>183.7337</v>
      </c>
      <c r="AO4" s="30">
        <v>186.59100000000001</v>
      </c>
      <c r="AP4" s="30">
        <v>189.4487</v>
      </c>
      <c r="AQ4" s="30">
        <v>192.33099999999999</v>
      </c>
      <c r="AR4" s="30">
        <v>195.2646</v>
      </c>
      <c r="AS4" s="30">
        <v>198.226</v>
      </c>
      <c r="AT4" s="30">
        <v>201.23349999999999</v>
      </c>
      <c r="AU4" s="30">
        <v>204.2373</v>
      </c>
      <c r="AV4" s="30">
        <v>207.2775</v>
      </c>
      <c r="AW4" s="30">
        <v>210.35220000000001</v>
      </c>
      <c r="AX4" s="30">
        <v>213.43559999999999</v>
      </c>
      <c r="AY4" s="30">
        <v>216.5445</v>
      </c>
      <c r="AZ4" s="30">
        <v>219.6816</v>
      </c>
      <c r="BA4" s="30">
        <v>222.8553</v>
      </c>
      <c r="BB4" s="30">
        <v>226.05699999999999</v>
      </c>
    </row>
    <row r="5" spans="1:54" ht="15" customHeight="1">
      <c r="A5" s="1"/>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row>
    <row r="17" spans="1:54" ht="1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22" spans="1:54"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row>
    <row r="31" spans="1:54"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row>
    <row r="32" spans="1:54"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row>
    <row r="33" spans="1:54"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row>
    <row r="40" spans="1:54"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row>
    <row r="41" spans="1:54"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row>
    <row r="46" spans="1:54"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row>
    <row r="49" spans="1:54"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row>
    <row r="50" spans="1:54"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row>
    <row r="97" spans="1:54"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row>
    <row r="98" spans="1:54"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row>
    <row r="99" spans="1:54"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row>
    <row r="100" spans="1:54"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row>
    <row r="101" spans="1:54"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row>
    <row r="102" spans="1:54"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row>
    <row r="103" spans="1:54"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row>
    <row r="104" spans="1:5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row>
    <row r="105" spans="1:54"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row>
    <row r="106" spans="1:54"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row>
    <row r="107" spans="1:54"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row>
    <row r="108" spans="1:54"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row>
    <row r="109" spans="1:54"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row>
    <row r="110" spans="1:54"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row>
    <row r="111" spans="1:54"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row>
    <row r="112" spans="1:54"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row>
    <row r="113" spans="1:54"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row>
    <row r="114" spans="1:5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row>
    <row r="115" spans="1:54"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row>
    <row r="116" spans="1:54"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row>
    <row r="117" spans="1:54"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row>
    <row r="118" spans="1:54"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row>
    <row r="119" spans="1:54"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row>
    <row r="120" spans="1:54"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row>
    <row r="121" spans="1:54"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row>
    <row r="122" spans="1:54"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row>
    <row r="123" spans="1:54"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row>
    <row r="124" spans="1:5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row>
    <row r="125" spans="1:54"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row>
    <row r="126" spans="1:54"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row>
    <row r="127" spans="1:54"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row>
    <row r="128" spans="1:54"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row>
    <row r="129" spans="1:54"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row>
    <row r="130" spans="1:54"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row>
    <row r="222" spans="1:54"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row>
    <row r="223" spans="1:54"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row>
    <row r="224" spans="1:5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row>
    <row r="225" spans="1:54"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row>
    <row r="226" spans="1:54"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row>
    <row r="227" spans="1:54"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row>
    <row r="228" spans="1:54"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row>
    <row r="229" spans="1:54"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row>
    <row r="230" spans="1:54"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row>
    <row r="231" spans="1:54"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row>
    <row r="232" spans="1:54"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row>
    <row r="233" spans="1:54"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row>
    <row r="234" spans="1:5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row>
    <row r="235" spans="1:54"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row>
    <row r="236" spans="1:54"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row>
    <row r="237" spans="1:54"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row>
    <row r="238" spans="1:54"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row>
    <row r="239" spans="1:54"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row>
    <row r="240" spans="1:54"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row>
    <row r="241" spans="1:54"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row>
    <row r="242" spans="1:54"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row>
    <row r="243" spans="1:54"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row>
    <row r="244" spans="1:5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row>
    <row r="245" spans="1:54"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row>
    <row r="246" spans="1:54"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row>
    <row r="247" spans="1:54"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row>
    <row r="248" spans="1:54"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row>
    <row r="249" spans="1:54"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row>
    <row r="250" spans="1:54"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row>
    <row r="251" spans="1:54"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row>
    <row r="252" spans="1:54"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row>
    <row r="253" spans="1:54"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row>
    <row r="254" spans="1: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row>
    <row r="255" spans="1:54"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row>
    <row r="256" spans="1:54"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row>
    <row r="257" spans="1:54"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row>
    <row r="258" spans="1:54"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row>
    <row r="259" spans="1:54"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row>
    <row r="260" spans="1:54"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row>
    <row r="261" spans="1:54"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row>
    <row r="262" spans="1:54"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row>
    <row r="263" spans="1:54"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row>
    <row r="264" spans="1:5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row>
    <row r="265" spans="1:54"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row>
    <row r="266" spans="1:54"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row>
    <row r="267" spans="1:54"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row>
    <row r="268" spans="1:54"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row>
    <row r="269" spans="1:54"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row>
    <row r="270" spans="1:54"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row>
    <row r="271" spans="1:54"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row>
    <row r="272" spans="1:54"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row>
    <row r="273" spans="1:54"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row>
    <row r="274" spans="1:5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row>
    <row r="275" spans="1:54"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row>
    <row r="276" spans="1:54"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row>
    <row r="277" spans="1:54"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row>
    <row r="278" spans="1:54"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row>
    <row r="279" spans="1:54"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row>
    <row r="280" spans="1:54"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row>
    <row r="281" spans="1:54"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row>
    <row r="282" spans="1:54"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row>
    <row r="283" spans="1:54"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row>
    <row r="284" spans="1:5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row>
    <row r="285" spans="1:54"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row>
    <row r="286" spans="1:54"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row>
    <row r="287" spans="1:54"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row>
    <row r="288" spans="1:54"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row>
    <row r="289" spans="1:54"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row>
    <row r="290" spans="1:54"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row>
    <row r="291" spans="1:54"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row>
    <row r="292" spans="1:54"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row>
    <row r="293" spans="1:54"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row>
    <row r="294" spans="1:5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row>
    <row r="295" spans="1:54"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row>
    <row r="296" spans="1:54"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row>
    <row r="297" spans="1:54"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row>
    <row r="298" spans="1:54"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row>
    <row r="299" spans="1:54"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row>
    <row r="300" spans="1:54"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row>
    <row r="301" spans="1:54"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row>
    <row r="302" spans="1:54"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row>
    <row r="303" spans="1:54"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row>
    <row r="304" spans="1:5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row>
    <row r="305" spans="1:54"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row>
    <row r="306" spans="1:54"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row>
    <row r="307" spans="1:54"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row>
    <row r="308" spans="1:54"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row>
    <row r="309" spans="1:54"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row>
    <row r="310" spans="1:54"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row>
    <row r="311" spans="1:54"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row>
    <row r="312" spans="1:54"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row>
    <row r="313" spans="1:54"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row>
    <row r="314" spans="1:5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row>
    <row r="315" spans="1:54"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row>
    <row r="316" spans="1:54"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row>
    <row r="317" spans="1:54"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row>
    <row r="318" spans="1:54"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row>
    <row r="319" spans="1:54"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row>
    <row r="320" spans="1:54"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row>
    <row r="321" spans="1:54"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row>
    <row r="322" spans="1:54"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row>
    <row r="323" spans="1:54"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row>
    <row r="324" spans="1:5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row>
    <row r="325" spans="1:54"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row>
    <row r="326" spans="1:54"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row>
    <row r="327" spans="1:54"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row>
    <row r="328" spans="1:54"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row>
    <row r="329" spans="1:54"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row>
    <row r="330" spans="1:54"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row>
    <row r="331" spans="1:54"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row>
    <row r="332" spans="1:54"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row>
    <row r="333" spans="1:54"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row>
    <row r="334" spans="1:5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row>
    <row r="335" spans="1:54"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row>
    <row r="336" spans="1:54"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row>
    <row r="337" spans="1:54"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row>
    <row r="338" spans="1:54"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row>
    <row r="339" spans="1:54"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row>
    <row r="340" spans="1:54"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row>
    <row r="341" spans="1:54"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row>
    <row r="342" spans="1:54"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row>
    <row r="343" spans="1:54"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row>
    <row r="344" spans="1:5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row>
    <row r="345" spans="1:54"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row>
    <row r="346" spans="1:54"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row>
    <row r="347" spans="1:54"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row>
    <row r="348" spans="1:54"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row>
    <row r="349" spans="1:54"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row>
    <row r="350" spans="1:54"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row>
    <row r="351" spans="1:54"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row>
    <row r="352" spans="1:54"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row>
    <row r="353" spans="1:54"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row>
    <row r="354" spans="1: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row>
    <row r="355" spans="1:54"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row>
    <row r="356" spans="1:54"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row>
    <row r="357" spans="1:54"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row>
    <row r="358" spans="1:54"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row>
    <row r="359" spans="1:54"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row>
    <row r="360" spans="1:54"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row>
    <row r="361" spans="1:54"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row>
    <row r="362" spans="1:54"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row>
    <row r="363" spans="1:54"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row>
    <row r="364" spans="1:5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row>
    <row r="365" spans="1:54"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row>
    <row r="366" spans="1:54"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row>
    <row r="367" spans="1:54"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row>
    <row r="368" spans="1:54"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row>
    <row r="369" spans="1:54"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row>
    <row r="370" spans="1:54"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row>
    <row r="371" spans="1:54"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row>
    <row r="372" spans="1:54"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row>
    <row r="373" spans="1:54"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row>
    <row r="374" spans="1:5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row>
    <row r="375" spans="1:54"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row>
    <row r="376" spans="1:54"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row>
    <row r="377" spans="1:54"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row>
    <row r="378" spans="1:54"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row>
    <row r="379" spans="1:54"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row>
    <row r="380" spans="1:54"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row>
    <row r="381" spans="1:54"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row>
    <row r="382" spans="1:54"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row>
    <row r="383" spans="1:54"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row>
    <row r="384" spans="1:5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row>
    <row r="385" spans="1:54"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row>
    <row r="386" spans="1:54"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row>
    <row r="387" spans="1:54"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row>
    <row r="388" spans="1:54"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row>
    <row r="389" spans="1:54"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row>
    <row r="390" spans="1:54"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row>
    <row r="391" spans="1:54"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row>
    <row r="392" spans="1:54"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row>
    <row r="393" spans="1:54"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row>
    <row r="394" spans="1:5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row>
    <row r="395" spans="1:54"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row>
    <row r="396" spans="1:54"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row>
    <row r="397" spans="1:54"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row>
    <row r="398" spans="1:54"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row>
    <row r="399" spans="1:54"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row>
    <row r="400" spans="1:54"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row>
    <row r="401" spans="1:54"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row>
    <row r="402" spans="1:54"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row>
    <row r="403" spans="1:54"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row>
    <row r="404" spans="1:5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row>
    <row r="405" spans="1:54"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row>
    <row r="406" spans="1:54"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row>
    <row r="407" spans="1:54"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row>
    <row r="408" spans="1:54"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row>
    <row r="409" spans="1:54"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row>
    <row r="410" spans="1:54"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row>
    <row r="411" spans="1:54"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row>
    <row r="412" spans="1:54"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row>
    <row r="413" spans="1:54"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row>
    <row r="414" spans="1:5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row>
    <row r="415" spans="1:54"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row>
    <row r="416" spans="1:54"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row>
    <row r="417" spans="1:54"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row>
    <row r="418" spans="1:54"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row>
    <row r="419" spans="1:54"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row>
    <row r="420" spans="1:54"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row>
    <row r="421" spans="1:54"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row>
    <row r="422" spans="1:54"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row>
    <row r="423" spans="1:54"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row>
    <row r="424" spans="1:5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row>
    <row r="425" spans="1:54"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row>
    <row r="426" spans="1:54"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row>
    <row r="427" spans="1:54"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row>
    <row r="428" spans="1:54"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row>
    <row r="429" spans="1:54"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row>
    <row r="430" spans="1:54"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row>
    <row r="431" spans="1:54"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row>
    <row r="432" spans="1:54"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row>
    <row r="433" spans="1:54"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row>
    <row r="434" spans="1:5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row>
    <row r="435" spans="1:54"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row>
    <row r="436" spans="1:54"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row>
    <row r="437" spans="1:54"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row>
    <row r="438" spans="1:54"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row>
    <row r="439" spans="1:54"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row>
    <row r="440" spans="1:54"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row>
    <row r="441" spans="1:54"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row>
    <row r="442" spans="1:54"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row>
    <row r="443" spans="1:54"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row>
    <row r="444" spans="1:5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row>
    <row r="445" spans="1:54"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row>
    <row r="446" spans="1:54"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row>
    <row r="447" spans="1:54"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row>
    <row r="448" spans="1:54"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row>
    <row r="449" spans="1:54"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row>
    <row r="450" spans="1:54"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row>
    <row r="451" spans="1:54"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row>
    <row r="452" spans="1:54"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row>
    <row r="453" spans="1:54"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row>
    <row r="454" spans="1: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row>
    <row r="455" spans="1:54"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row>
    <row r="456" spans="1:54"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row>
    <row r="457" spans="1:54"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row>
    <row r="458" spans="1:54"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row>
    <row r="459" spans="1:54"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row>
    <row r="460" spans="1:54"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row>
    <row r="461" spans="1:54"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row>
    <row r="462" spans="1:54"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row>
    <row r="463" spans="1:54"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row>
    <row r="464" spans="1:5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row>
    <row r="465" spans="1:54"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row>
    <row r="466" spans="1:54"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row>
    <row r="467" spans="1:54"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row>
    <row r="468" spans="1:54"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row>
    <row r="469" spans="1:54"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row>
    <row r="470" spans="1:54"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row>
    <row r="471" spans="1:54"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row>
    <row r="472" spans="1:54"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row>
    <row r="473" spans="1:54"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row>
    <row r="474" spans="1:5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row>
    <row r="475" spans="1:54"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row>
    <row r="476" spans="1:54"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row>
    <row r="477" spans="1:54"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row>
    <row r="478" spans="1:54"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row>
    <row r="479" spans="1:54"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row>
    <row r="480" spans="1:54"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row>
    <row r="481" spans="1:54"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row>
    <row r="482" spans="1:54"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row>
    <row r="483" spans="1:54"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row>
    <row r="484" spans="1:5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row>
    <row r="485" spans="1:54"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row>
    <row r="486" spans="1:54"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row>
    <row r="487" spans="1:54"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row>
    <row r="488" spans="1:54"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row>
    <row r="489" spans="1:54"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row>
    <row r="490" spans="1:54"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row>
    <row r="491" spans="1:54"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row>
    <row r="492" spans="1:54"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row>
    <row r="493" spans="1:54"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row>
    <row r="494" spans="1:5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row>
    <row r="495" spans="1:54"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row>
    <row r="496" spans="1:54"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row>
    <row r="497" spans="1:54"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row>
    <row r="498" spans="1:54"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row>
    <row r="499" spans="1:54"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row>
    <row r="500" spans="1:54"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row>
    <row r="501" spans="1:54"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row>
    <row r="502" spans="1:54"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row>
    <row r="503" spans="1:54"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row>
    <row r="504" spans="1:5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row>
    <row r="505" spans="1:54"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row>
    <row r="506" spans="1:54"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row>
    <row r="507" spans="1:54"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row>
    <row r="508" spans="1:54"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row>
    <row r="509" spans="1:54"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row>
    <row r="510" spans="1:54"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row>
    <row r="511" spans="1:54"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row>
    <row r="512" spans="1:54"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row>
    <row r="513" spans="1:54"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row>
    <row r="514" spans="1:5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row>
    <row r="515" spans="1:54"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row>
    <row r="516" spans="1:54"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row>
    <row r="517" spans="1:54"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row>
    <row r="518" spans="1:54"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row>
    <row r="519" spans="1:54"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row>
    <row r="520" spans="1:54"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row>
    <row r="521" spans="1:54"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row>
    <row r="522" spans="1:54"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row>
    <row r="523" spans="1:54"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row>
    <row r="524" spans="1:5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row>
    <row r="525" spans="1:54"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row>
    <row r="526" spans="1:54"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row>
    <row r="527" spans="1:54"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row>
    <row r="528" spans="1:54"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row>
    <row r="529" spans="1:54"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row>
    <row r="530" spans="1:54"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row>
    <row r="531" spans="1:54"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row>
    <row r="532" spans="1:54"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row>
    <row r="533" spans="1:54"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row>
    <row r="534" spans="1:5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row>
    <row r="535" spans="1:54"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row>
    <row r="536" spans="1:54"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row>
    <row r="537" spans="1:54"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row>
    <row r="538" spans="1:54"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row>
    <row r="539" spans="1:54"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row>
    <row r="540" spans="1:54"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row>
    <row r="541" spans="1:54"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row>
    <row r="542" spans="1:54"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row>
    <row r="543" spans="1:54"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row>
    <row r="544" spans="1:5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row>
    <row r="545" spans="1:54"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row>
    <row r="546" spans="1:54"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row>
    <row r="547" spans="1:54"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row>
    <row r="548" spans="1:54"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row>
    <row r="549" spans="1:54"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row>
    <row r="550" spans="1:54"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row>
    <row r="551" spans="1:54"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row>
    <row r="552" spans="1:54"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row>
    <row r="553" spans="1:54"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row>
    <row r="554" spans="1: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row>
    <row r="555" spans="1:54"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row>
    <row r="556" spans="1:54"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row>
    <row r="557" spans="1:54"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row>
    <row r="558" spans="1:54"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row>
    <row r="559" spans="1:54"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row>
    <row r="560" spans="1:54"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row>
    <row r="561" spans="1:54"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row>
    <row r="562" spans="1:54"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row>
    <row r="563" spans="1:54"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row>
    <row r="564" spans="1:5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row>
    <row r="565" spans="1:54"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row>
    <row r="566" spans="1:54"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row>
    <row r="567" spans="1:54"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row>
    <row r="568" spans="1:54"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row>
    <row r="569" spans="1:54"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row>
    <row r="570" spans="1:54"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row>
    <row r="571" spans="1:54"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row>
    <row r="572" spans="1:54"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row>
    <row r="573" spans="1:54"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row>
    <row r="574" spans="1:5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row>
    <row r="575" spans="1:54"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row>
    <row r="576" spans="1:54"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row>
    <row r="577" spans="1:54"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row>
    <row r="578" spans="1:54"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row>
    <row r="579" spans="1:54"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row>
    <row r="580" spans="1:54"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row>
    <row r="581" spans="1:54"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row>
    <row r="582" spans="1:54"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row>
    <row r="583" spans="1:54"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row>
    <row r="584" spans="1:5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row>
    <row r="585" spans="1:54"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row>
    <row r="586" spans="1:54"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row>
    <row r="587" spans="1:54"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row>
    <row r="588" spans="1:54"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row>
    <row r="589" spans="1:54"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row>
    <row r="590" spans="1:54"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row>
    <row r="591" spans="1:54"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row>
    <row r="592" spans="1:54"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row>
    <row r="593" spans="1:54"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row>
    <row r="594" spans="1:5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row>
    <row r="595" spans="1:54"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row>
    <row r="596" spans="1:54"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row>
    <row r="597" spans="1:54"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row>
    <row r="598" spans="1:54"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row>
    <row r="599" spans="1:54"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row>
    <row r="600" spans="1:54"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row>
    <row r="601" spans="1:54"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row>
    <row r="602" spans="1:54"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row>
    <row r="603" spans="1:54"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row>
    <row r="604" spans="1:5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row>
    <row r="605" spans="1:54"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row>
    <row r="606" spans="1:54"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row>
    <row r="607" spans="1:54"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row>
    <row r="608" spans="1:54"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row>
    <row r="609" spans="1:54"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row>
    <row r="610" spans="1:54"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row>
    <row r="611" spans="1:54"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row>
    <row r="612" spans="1:54"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row>
    <row r="613" spans="1:54"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row>
    <row r="614" spans="1:5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row>
    <row r="615" spans="1:54"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row>
    <row r="616" spans="1:54"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row>
    <row r="617" spans="1:54"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row>
    <row r="618" spans="1:54"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row>
    <row r="619" spans="1:54"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row>
    <row r="620" spans="1:54"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row>
    <row r="621" spans="1:54"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row>
    <row r="622" spans="1:54"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row>
    <row r="623" spans="1:54"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row>
    <row r="624" spans="1:5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row>
    <row r="625" spans="1:54"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row>
    <row r="626" spans="1:54"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row>
    <row r="627" spans="1:54"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row>
    <row r="628" spans="1:54"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row>
    <row r="629" spans="1:54"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row>
    <row r="630" spans="1:54"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row>
    <row r="631" spans="1:54"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row>
    <row r="632" spans="1:54"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row>
    <row r="633" spans="1:54"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row>
    <row r="634" spans="1:5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row>
    <row r="635" spans="1:54"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row>
    <row r="636" spans="1:54"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row>
    <row r="637" spans="1:54"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row>
    <row r="638" spans="1:54"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row>
    <row r="639" spans="1:54"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row>
    <row r="640" spans="1:54"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row>
    <row r="641" spans="1:54"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row>
    <row r="642" spans="1:54"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row>
    <row r="643" spans="1:54"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row>
    <row r="644" spans="1:5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row>
    <row r="645" spans="1:54"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row>
    <row r="646" spans="1:54"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row>
    <row r="647" spans="1:54"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row>
    <row r="648" spans="1:54"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row>
    <row r="649" spans="1:54"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row>
    <row r="650" spans="1:54"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row>
    <row r="651" spans="1:54"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row>
    <row r="652" spans="1:54"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row>
    <row r="653" spans="1:54"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row>
    <row r="654" spans="1: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row>
    <row r="655" spans="1:54"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row>
    <row r="656" spans="1:54"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row>
    <row r="657" spans="1:54"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row>
    <row r="658" spans="1:54"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row>
    <row r="659" spans="1:54"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row>
    <row r="660" spans="1:54"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row>
    <row r="661" spans="1:54"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row>
    <row r="662" spans="1:54"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row>
    <row r="663" spans="1:54"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row>
    <row r="664" spans="1:5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row>
    <row r="665" spans="1:54"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row>
    <row r="666" spans="1:54"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row>
    <row r="667" spans="1:54"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row>
    <row r="668" spans="1:54"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row>
    <row r="669" spans="1:54"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row>
    <row r="670" spans="1:54"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row>
    <row r="671" spans="1:54"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row>
    <row r="672" spans="1:54"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row>
    <row r="673" spans="1:54"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row>
    <row r="674" spans="1:5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row>
    <row r="675" spans="1:54"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row>
    <row r="676" spans="1:54"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row>
    <row r="677" spans="1:54"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row>
    <row r="678" spans="1:54"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row>
    <row r="679" spans="1:54"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row>
    <row r="680" spans="1:54"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row>
    <row r="681" spans="1:54"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row>
    <row r="682" spans="1:54"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row>
    <row r="683" spans="1:54"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row>
    <row r="684" spans="1:5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row>
    <row r="685" spans="1:54"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row>
    <row r="686" spans="1:54"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row>
    <row r="687" spans="1:54"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row>
    <row r="688" spans="1:54"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row>
    <row r="689" spans="1:54"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row>
    <row r="690" spans="1:54"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row>
    <row r="691" spans="1:54"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row>
    <row r="692" spans="1:54"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row>
    <row r="693" spans="1:54"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row>
    <row r="694" spans="1:5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row>
    <row r="695" spans="1:54"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row>
    <row r="696" spans="1:54"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row>
    <row r="697" spans="1:54"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row>
    <row r="698" spans="1:54"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row>
    <row r="699" spans="1:54"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row>
    <row r="700" spans="1:54"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row>
    <row r="701" spans="1:54"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row>
    <row r="702" spans="1:54"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row>
    <row r="703" spans="1:54"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row>
    <row r="704" spans="1:5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row>
    <row r="705" spans="1:54"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row>
    <row r="706" spans="1:54"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row>
    <row r="707" spans="1:54"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row>
    <row r="708" spans="1:54"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row>
    <row r="709" spans="1:54"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row>
    <row r="710" spans="1:54"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row>
    <row r="711" spans="1:54"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row>
    <row r="712" spans="1:54"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row>
    <row r="713" spans="1:54"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row>
    <row r="714" spans="1:5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row>
    <row r="715" spans="1:54"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row>
    <row r="716" spans="1:54"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row>
    <row r="717" spans="1:54"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row>
    <row r="718" spans="1:54"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row>
    <row r="719" spans="1:54"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row>
    <row r="720" spans="1:54"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row>
    <row r="721" spans="1:54"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row>
    <row r="722" spans="1:54"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row>
    <row r="723" spans="1:54"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row>
    <row r="724" spans="1:5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row>
    <row r="725" spans="1:54"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row>
    <row r="726" spans="1:54"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row>
    <row r="727" spans="1:54"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row>
    <row r="728" spans="1:54"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row>
    <row r="729" spans="1:54"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row>
    <row r="730" spans="1:54"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row>
    <row r="731" spans="1:54"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row>
    <row r="732" spans="1:54"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row>
    <row r="733" spans="1:54"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row>
    <row r="734" spans="1:5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row>
    <row r="735" spans="1:54"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row>
    <row r="736" spans="1:54"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row>
    <row r="737" spans="1:54"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row>
    <row r="738" spans="1:54"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row>
    <row r="739" spans="1:54"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row>
    <row r="740" spans="1:54"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row>
    <row r="741" spans="1:54"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row>
    <row r="742" spans="1:54"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row>
    <row r="743" spans="1:54"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row>
    <row r="744" spans="1:5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row>
    <row r="745" spans="1:54"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row>
    <row r="746" spans="1:54"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row>
    <row r="747" spans="1:54"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row>
    <row r="748" spans="1:54"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row>
    <row r="749" spans="1:54"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row>
    <row r="750" spans="1:54"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row>
    <row r="751" spans="1:54"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row>
    <row r="752" spans="1:54"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row>
    <row r="753" spans="1:54"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row>
    <row r="754" spans="1: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row>
    <row r="755" spans="1:54"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row>
    <row r="756" spans="1:54"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row>
    <row r="757" spans="1:54"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row>
    <row r="758" spans="1:54"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row>
    <row r="759" spans="1:54"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row>
    <row r="760" spans="1:54"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row>
    <row r="761" spans="1:54"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row>
    <row r="762" spans="1:54"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row>
    <row r="763" spans="1:54"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row>
    <row r="764" spans="1:5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row>
    <row r="765" spans="1:54"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row>
    <row r="766" spans="1:54"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row>
    <row r="767" spans="1:54"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row>
    <row r="768" spans="1:54"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row>
    <row r="769" spans="1:54"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row>
    <row r="770" spans="1:54"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row>
    <row r="771" spans="1:54"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row>
    <row r="772" spans="1:54"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row>
    <row r="773" spans="1:54"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row>
    <row r="774" spans="1:5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row>
    <row r="775" spans="1:54"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row>
    <row r="776" spans="1:54"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row>
    <row r="777" spans="1:54"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row>
    <row r="778" spans="1:54"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row>
    <row r="779" spans="1:54"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row>
    <row r="780" spans="1:54"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row>
    <row r="781" spans="1:54"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row>
    <row r="782" spans="1:54"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row>
    <row r="783" spans="1:54"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row>
    <row r="784" spans="1:5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row>
    <row r="785" spans="1:54"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row>
    <row r="786" spans="1:54"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row>
    <row r="787" spans="1:54"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row>
    <row r="788" spans="1:54"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row>
    <row r="789" spans="1:54"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row>
    <row r="790" spans="1:54"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row>
    <row r="791" spans="1:54"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row>
    <row r="792" spans="1:54"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row>
    <row r="793" spans="1:54"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row>
    <row r="794" spans="1:5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row>
    <row r="795" spans="1:54"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row>
    <row r="796" spans="1:54"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row>
    <row r="797" spans="1:54"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row>
    <row r="798" spans="1:54"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row>
    <row r="799" spans="1:54"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row>
    <row r="800" spans="1:54"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row>
    <row r="801" spans="1:54"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row>
    <row r="802" spans="1:54"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row>
    <row r="803" spans="1:54"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row>
    <row r="804" spans="1:5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row>
    <row r="805" spans="1:54"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row>
    <row r="806" spans="1:54"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row>
    <row r="807" spans="1:54"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row>
    <row r="808" spans="1:54"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row>
    <row r="809" spans="1:54"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row>
    <row r="810" spans="1:54"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row>
    <row r="811" spans="1:54"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row>
    <row r="812" spans="1:54"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row>
    <row r="813" spans="1:54"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row>
    <row r="814" spans="1:5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row>
    <row r="815" spans="1:54"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row>
    <row r="816" spans="1:54"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row>
    <row r="817" spans="1:54"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row>
    <row r="818" spans="1:54"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row>
    <row r="819" spans="1:54"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row>
    <row r="820" spans="1:54"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row>
    <row r="821" spans="1:54"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row>
    <row r="822" spans="1:54"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row>
    <row r="823" spans="1:54"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row>
    <row r="824" spans="1:5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row>
    <row r="825" spans="1:54"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row>
    <row r="826" spans="1:54"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row>
    <row r="827" spans="1:54"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row>
    <row r="828" spans="1:54"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row>
    <row r="829" spans="1:54"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row>
    <row r="830" spans="1:54"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row>
    <row r="831" spans="1:54"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row>
    <row r="832" spans="1:54"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row>
    <row r="833" spans="1:54"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row>
    <row r="834" spans="1:5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row>
    <row r="835" spans="1:54"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row>
    <row r="836" spans="1:54"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row>
    <row r="837" spans="1:54"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row>
    <row r="838" spans="1:54"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row>
    <row r="839" spans="1:54"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row>
    <row r="840" spans="1:54"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row>
    <row r="841" spans="1:54"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row>
    <row r="842" spans="1:54"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row>
    <row r="843" spans="1:54"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row>
    <row r="844" spans="1:5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row>
    <row r="845" spans="1:54"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row>
    <row r="846" spans="1:54"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row>
    <row r="847" spans="1:54"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row>
    <row r="848" spans="1:54"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row>
    <row r="849" spans="1:54"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row>
    <row r="850" spans="1:54"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row>
    <row r="851" spans="1:54"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row>
    <row r="852" spans="1:54"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row>
    <row r="853" spans="1:54"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row>
    <row r="854" spans="1: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row>
    <row r="855" spans="1:54"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row>
    <row r="856" spans="1:54"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row>
    <row r="857" spans="1:54"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row>
    <row r="858" spans="1:54"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row>
    <row r="859" spans="1:54"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row>
    <row r="860" spans="1:54"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row>
    <row r="861" spans="1:54"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row>
    <row r="862" spans="1:54"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row>
    <row r="863" spans="1:54"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row>
    <row r="864" spans="1:5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row>
    <row r="865" spans="1:54"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row>
    <row r="866" spans="1:54"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row>
    <row r="867" spans="1:54"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row>
    <row r="868" spans="1:54"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row>
    <row r="869" spans="1:54"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row>
    <row r="870" spans="1:54"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row>
    <row r="871" spans="1:54"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row>
    <row r="872" spans="1:54"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row>
    <row r="873" spans="1:54"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row>
    <row r="874" spans="1:5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row>
    <row r="875" spans="1:54"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row>
    <row r="876" spans="1:54"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row>
    <row r="877" spans="1:54"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row>
    <row r="878" spans="1:54"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row>
    <row r="879" spans="1:54"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row>
    <row r="880" spans="1:54"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row>
    <row r="881" spans="1:54"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row>
    <row r="882" spans="1:54"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row>
    <row r="883" spans="1:54"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row>
    <row r="884" spans="1:5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row>
    <row r="885" spans="1:54"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row>
    <row r="886" spans="1:54"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row>
    <row r="887" spans="1:54"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row>
    <row r="888" spans="1:54"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row>
    <row r="889" spans="1:54"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row>
    <row r="890" spans="1:54"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row>
    <row r="891" spans="1:54"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row>
    <row r="892" spans="1:54"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row>
    <row r="893" spans="1:54"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row>
    <row r="894" spans="1:5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row>
    <row r="895" spans="1:54"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row>
    <row r="896" spans="1:54"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row>
    <row r="897" spans="1:54"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row>
    <row r="898" spans="1:54"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row>
    <row r="899" spans="1:54"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row>
    <row r="900" spans="1:54"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row>
    <row r="901" spans="1:54"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row>
    <row r="902" spans="1:54"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row>
    <row r="903" spans="1:54"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row>
    <row r="904" spans="1:5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row>
    <row r="905" spans="1:54"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row>
    <row r="906" spans="1:54"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row>
    <row r="907" spans="1:54"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row>
    <row r="908" spans="1:54"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row>
    <row r="909" spans="1:54"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row>
    <row r="910" spans="1:54"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row>
    <row r="911" spans="1:54"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row>
    <row r="912" spans="1:54"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row>
    <row r="913" spans="1:54"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row>
    <row r="914" spans="1:5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row>
    <row r="915" spans="1:54"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row>
    <row r="916" spans="1:54"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row>
    <row r="917" spans="1:54"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row>
    <row r="918" spans="1:54"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row>
    <row r="919" spans="1:54"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row>
    <row r="920" spans="1:54"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row>
    <row r="921" spans="1:54"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row>
    <row r="922" spans="1:54"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row>
    <row r="923" spans="1:54"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row>
    <row r="924" spans="1:5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row>
    <row r="925" spans="1:54"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row>
    <row r="926" spans="1:54"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row>
    <row r="927" spans="1:54"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row>
    <row r="928" spans="1:54"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row>
    <row r="929" spans="1:54"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row>
    <row r="930" spans="1:54"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row>
    <row r="931" spans="1:54"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row>
    <row r="932" spans="1:54"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row>
    <row r="933" spans="1:54"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row>
    <row r="934" spans="1:5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row>
    <row r="935" spans="1:54"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row>
    <row r="936" spans="1:54"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row>
    <row r="937" spans="1:54"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row>
    <row r="938" spans="1:54"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row>
    <row r="939" spans="1:54"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row>
    <row r="940" spans="1:54"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row>
    <row r="941" spans="1:54"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row>
    <row r="942" spans="1:54"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row>
    <row r="943" spans="1:54"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row>
    <row r="944" spans="1:5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row>
    <row r="945" spans="1:54"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row>
    <row r="946" spans="1:54"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row>
    <row r="947" spans="1:54"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row>
    <row r="948" spans="1:54"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row>
    <row r="949" spans="1:54"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row>
    <row r="950" spans="1:54"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row>
    <row r="951" spans="1:54"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row>
    <row r="952" spans="1:54"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row>
    <row r="953" spans="1:54"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row>
    <row r="954" spans="1: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row>
    <row r="955" spans="1:54"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row>
    <row r="956" spans="1:54"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row>
    <row r="957" spans="1:54"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row>
    <row r="958" spans="1:54"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row>
    <row r="959" spans="1:54"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row>
    <row r="960" spans="1:54"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row>
    <row r="961" spans="1:54"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row>
    <row r="962" spans="1:54"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row>
    <row r="963" spans="1:54"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row>
    <row r="964" spans="1:5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row>
    <row r="965" spans="1:54"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row>
    <row r="966" spans="1:54"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row>
    <row r="967" spans="1:54"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row>
    <row r="968" spans="1:54"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row>
    <row r="969" spans="1:54"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row>
    <row r="970" spans="1:54"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row>
    <row r="971" spans="1:54"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row>
    <row r="972" spans="1:54"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row>
    <row r="973" spans="1:54"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row>
    <row r="974" spans="1:5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row>
    <row r="975" spans="1:54"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row>
    <row r="976" spans="1:54"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row>
    <row r="977" spans="1:54"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row>
    <row r="978" spans="1:54"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row>
    <row r="979" spans="1:54"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row>
    <row r="980" spans="1:54"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row>
    <row r="981" spans="1:54"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row>
    <row r="982" spans="1:54"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row>
    <row r="983" spans="1:54"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row>
    <row r="984" spans="1:5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row>
    <row r="985" spans="1:54"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row>
    <row r="986" spans="1:54"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row>
    <row r="987" spans="1:54"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row>
    <row r="988" spans="1:54"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row>
    <row r="989" spans="1:54"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row>
    <row r="990" spans="1:54"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row>
    <row r="991" spans="1:54"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row>
    <row r="992" spans="1:54"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row>
    <row r="993" spans="1:54"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row>
    <row r="994" spans="1:5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row>
    <row r="995" spans="1:54"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row>
    <row r="996" spans="1:54"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row>
    <row r="997" spans="1:54"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row>
    <row r="998" spans="1:54"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row>
    <row r="999" spans="1:54"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row>
    <row r="1000" spans="1:54"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row>
    <row r="1001" spans="1:54"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Petróleo Espinoza</vt:lpstr>
      <vt:lpstr>README</vt:lpstr>
      <vt:lpstr>BAU_Demands</vt:lpstr>
      <vt:lpstr>Políticas anunciadas</vt:lpstr>
      <vt:lpstr>Net Zero 2050</vt:lpstr>
      <vt:lpstr>Net Zero 2070</vt:lpstr>
      <vt:lpstr>Refineries</vt:lpstr>
      <vt:lpstr>New_Demands</vt:lpstr>
      <vt:lpstr>Biocombustibles</vt:lpstr>
      <vt:lpstr>Políticas anunciadas (ed)</vt:lpstr>
      <vt:lpstr>Net Zero 2050 (ed)</vt:lpstr>
      <vt:lpstr>Net Zero 2070 (ed)</vt:lpstr>
      <vt:lpstr>Electrical</vt:lpstr>
      <vt:lpstr>Smart Grids</vt:lpstr>
      <vt:lpstr>Generation_output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Fernando Victor</dc:creator>
  <cp:lastModifiedBy>DANIEL ESTEBAN VILLAMAR CABEZAS</cp:lastModifiedBy>
  <dcterms:created xsi:type="dcterms:W3CDTF">2023-01-02T22:09:12Z</dcterms:created>
  <dcterms:modified xsi:type="dcterms:W3CDTF">2023-12-01T19:35:11Z</dcterms:modified>
</cp:coreProperties>
</file>