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\"/>
    </mc:Choice>
  </mc:AlternateContent>
  <xr:revisionPtr revIDLastSave="0" documentId="13_ncr:1_{7E8E8446-9544-47E2-B3FD-19A758564616}" xr6:coauthVersionLast="46" xr6:coauthVersionMax="46" xr10:uidLastSave="{00000000-0000-0000-0000-000000000000}"/>
  <bookViews>
    <workbookView xWindow="-120" yWindow="-120" windowWidth="20730" windowHeight="11760" firstSheet="5" activeTab="6" xr2:uid="{C72CD978-47E9-4F1D-8E88-3F2B3A09C7D7}"/>
  </bookViews>
  <sheets>
    <sheet name="class 1" sheetId="2" r:id="rId1"/>
    <sheet name="Class 2" sheetId="3" r:id="rId2"/>
    <sheet name="Class 3" sheetId="4" r:id="rId3"/>
    <sheet name="CAT 1" sheetId="7" r:id="rId4"/>
    <sheet name="Concept check" sheetId="8" r:id="rId5"/>
    <sheet name="Index models classPortfolio" sheetId="9" r:id="rId6"/>
    <sheet name="IPS" sheetId="10" r:id="rId7"/>
  </sheets>
  <definedNames>
    <definedName name="solver_adj" localSheetId="3" hidden="1">'CAT 1'!$B$7:$B$8</definedName>
    <definedName name="solver_adj" localSheetId="0" hidden="1">'class 1'!$S$16:$S$17</definedName>
    <definedName name="solver_adj" localSheetId="5" hidden="1">'Index models classPortfolio'!$D$2:$E$2</definedName>
    <definedName name="solver_cvg" localSheetId="3" hidden="1">0.0001</definedName>
    <definedName name="solver_cvg" localSheetId="0" hidden="1">0.0001</definedName>
    <definedName name="solver_cvg" localSheetId="5" hidden="1">0.0001</definedName>
    <definedName name="solver_drv" localSheetId="3" hidden="1">2</definedName>
    <definedName name="solver_drv" localSheetId="0" hidden="1">2</definedName>
    <definedName name="solver_drv" localSheetId="5" hidden="1">1</definedName>
    <definedName name="solver_eng" localSheetId="3" hidden="1">1</definedName>
    <definedName name="solver_eng" localSheetId="0" hidden="1">1</definedName>
    <definedName name="solver_eng" localSheetId="5" hidden="1">1</definedName>
    <definedName name="solver_est" localSheetId="3" hidden="1">1</definedName>
    <definedName name="solver_est" localSheetId="0" hidden="1">1</definedName>
    <definedName name="solver_est" localSheetId="5" hidden="1">1</definedName>
    <definedName name="solver_itr" localSheetId="3" hidden="1">2147483647</definedName>
    <definedName name="solver_itr" localSheetId="0" hidden="1">2147483647</definedName>
    <definedName name="solver_itr" localSheetId="5" hidden="1">2147483647</definedName>
    <definedName name="solver_lhs1" localSheetId="3" hidden="1">'CAT 1'!$B$7</definedName>
    <definedName name="solver_lhs1" localSheetId="0" hidden="1">'class 1'!$S$16</definedName>
    <definedName name="solver_lhs1" localSheetId="5" hidden="1">'Index models classPortfolio'!$B$2:$B$3</definedName>
    <definedName name="solver_lhs10" localSheetId="0" hidden="1">'class 1'!$W$3</definedName>
    <definedName name="solver_lhs2" localSheetId="3" hidden="1">'CAT 1'!$B$8</definedName>
    <definedName name="solver_lhs2" localSheetId="0" hidden="1">'class 1'!$S$17</definedName>
    <definedName name="solver_lhs2" localSheetId="5" hidden="1">'Index models classPortfolio'!$B$3:$C$3</definedName>
    <definedName name="solver_lhs3" localSheetId="3" hidden="1">'CAT 1'!$B$9</definedName>
    <definedName name="solver_lhs3" localSheetId="0" hidden="1">'class 1'!$S$18</definedName>
    <definedName name="solver_lhs4" localSheetId="3" hidden="1">'CAT 1'!$F$2</definedName>
    <definedName name="solver_lhs4" localSheetId="0" hidden="1">'class 1'!$W$16</definedName>
    <definedName name="solver_lhs5" localSheetId="0" hidden="1">'class 1'!$W$3</definedName>
    <definedName name="solver_lhs6" localSheetId="0" hidden="1">'class 1'!$W$3</definedName>
    <definedName name="solver_lhs7" localSheetId="0" hidden="1">'class 1'!$W$3</definedName>
    <definedName name="solver_lhs8" localSheetId="0" hidden="1">'class 1'!$W$3</definedName>
    <definedName name="solver_lhs9" localSheetId="0" hidden="1">'class 1'!$W$3</definedName>
    <definedName name="solver_mip" localSheetId="3" hidden="1">2147483647</definedName>
    <definedName name="solver_mip" localSheetId="0" hidden="1">2147483647</definedName>
    <definedName name="solver_mip" localSheetId="5" hidden="1">2147483647</definedName>
    <definedName name="solver_mni" localSheetId="3" hidden="1">30</definedName>
    <definedName name="solver_mni" localSheetId="0" hidden="1">30</definedName>
    <definedName name="solver_mni" localSheetId="5" hidden="1">30</definedName>
    <definedName name="solver_mrt" localSheetId="3" hidden="1">0.075</definedName>
    <definedName name="solver_mrt" localSheetId="0" hidden="1">0.075</definedName>
    <definedName name="solver_mrt" localSheetId="5" hidden="1">0.075</definedName>
    <definedName name="solver_msl" localSheetId="3" hidden="1">2</definedName>
    <definedName name="solver_msl" localSheetId="0" hidden="1">2</definedName>
    <definedName name="solver_msl" localSheetId="5" hidden="1">2</definedName>
    <definedName name="solver_neg" localSheetId="3" hidden="1">1</definedName>
    <definedName name="solver_neg" localSheetId="0" hidden="1">1</definedName>
    <definedName name="solver_neg" localSheetId="5" hidden="1">1</definedName>
    <definedName name="solver_nod" localSheetId="3" hidden="1">2147483647</definedName>
    <definedName name="solver_nod" localSheetId="0" hidden="1">2147483647</definedName>
    <definedName name="solver_nod" localSheetId="5" hidden="1">2147483647</definedName>
    <definedName name="solver_num" localSheetId="3" hidden="1">4</definedName>
    <definedName name="solver_num" localSheetId="0" hidden="1">4</definedName>
    <definedName name="solver_num" localSheetId="5" hidden="1">1</definedName>
    <definedName name="solver_nwt" localSheetId="3" hidden="1">1</definedName>
    <definedName name="solver_nwt" localSheetId="0" hidden="1">1</definedName>
    <definedName name="solver_nwt" localSheetId="5" hidden="1">1</definedName>
    <definedName name="solver_opt" localSheetId="3" hidden="1">'CAT 1'!$F$3</definedName>
    <definedName name="solver_opt" localSheetId="0" hidden="1">'class 1'!$W$17</definedName>
    <definedName name="solver_opt" localSheetId="5" hidden="1">'Index models classPortfolio'!$F$6</definedName>
    <definedName name="solver_pre" localSheetId="3" hidden="1">0.000001</definedName>
    <definedName name="solver_pre" localSheetId="0" hidden="1">0.000001</definedName>
    <definedName name="solver_pre" localSheetId="5" hidden="1">0.000001</definedName>
    <definedName name="solver_rbv" localSheetId="3" hidden="1">2</definedName>
    <definedName name="solver_rbv" localSheetId="0" hidden="1">2</definedName>
    <definedName name="solver_rbv" localSheetId="5" hidden="1">1</definedName>
    <definedName name="solver_rel1" localSheetId="3" hidden="1">3</definedName>
    <definedName name="solver_rel1" localSheetId="0" hidden="1">3</definedName>
    <definedName name="solver_rel1" localSheetId="5" hidden="1">2</definedName>
    <definedName name="solver_rel10" localSheetId="0" hidden="1">3</definedName>
    <definedName name="solver_rel2" localSheetId="3" hidden="1">3</definedName>
    <definedName name="solver_rel2" localSheetId="0" hidden="1">3</definedName>
    <definedName name="solver_rel2" localSheetId="5" hidden="1">2</definedName>
    <definedName name="solver_rel3" localSheetId="3" hidden="1">2</definedName>
    <definedName name="solver_rel3" localSheetId="0" hidden="1">2</definedName>
    <definedName name="solver_rel4" localSheetId="3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3" hidden="1">0.1</definedName>
    <definedName name="solver_rhs1" localSheetId="0" hidden="1">0.1</definedName>
    <definedName name="solver_rhs1" localSheetId="5" hidden="1">'Index models classPortfolio'!$F$2:$F$3</definedName>
    <definedName name="solver_rhs10" localSheetId="0" hidden="1">0.09</definedName>
    <definedName name="solver_rhs2" localSheetId="3" hidden="1">0.1</definedName>
    <definedName name="solver_rhs2" localSheetId="0" hidden="1">0.1</definedName>
    <definedName name="solver_rhs2" localSheetId="5" hidden="1">'Index models classPortfolio'!$D$3:$E$3</definedName>
    <definedName name="solver_rhs3" localSheetId="3" hidden="1">1</definedName>
    <definedName name="solver_rhs3" localSheetId="0" hidden="1">1</definedName>
    <definedName name="solver_rhs4" localSheetId="3" hidden="1">0.1</definedName>
    <definedName name="solver_rhs4" localSheetId="0" hidden="1">0.09</definedName>
    <definedName name="solver_rhs5" localSheetId="0" hidden="1">0.09</definedName>
    <definedName name="solver_rhs6" localSheetId="0" hidden="1">0.09</definedName>
    <definedName name="solver_rhs7" localSheetId="0" hidden="1">0.09</definedName>
    <definedName name="solver_rhs8" localSheetId="0" hidden="1">0.09</definedName>
    <definedName name="solver_rhs9" localSheetId="0" hidden="1">0.09</definedName>
    <definedName name="solver_rlx" localSheetId="3" hidden="1">2</definedName>
    <definedName name="solver_rlx" localSheetId="0" hidden="1">2</definedName>
    <definedName name="solver_rlx" localSheetId="5" hidden="1">2</definedName>
    <definedName name="solver_rsd" localSheetId="3" hidden="1">0</definedName>
    <definedName name="solver_rsd" localSheetId="0" hidden="1">0</definedName>
    <definedName name="solver_rsd" localSheetId="5" hidden="1">0</definedName>
    <definedName name="solver_scl" localSheetId="3" hidden="1">2</definedName>
    <definedName name="solver_scl" localSheetId="0" hidden="1">2</definedName>
    <definedName name="solver_scl" localSheetId="5" hidden="1">1</definedName>
    <definedName name="solver_sho" localSheetId="3" hidden="1">2</definedName>
    <definedName name="solver_sho" localSheetId="0" hidden="1">2</definedName>
    <definedName name="solver_sho" localSheetId="5" hidden="1">2</definedName>
    <definedName name="solver_ssz" localSheetId="3" hidden="1">100</definedName>
    <definedName name="solver_ssz" localSheetId="0" hidden="1">100</definedName>
    <definedName name="solver_ssz" localSheetId="5" hidden="1">100</definedName>
    <definedName name="solver_tim" localSheetId="3" hidden="1">2147483647</definedName>
    <definedName name="solver_tim" localSheetId="0" hidden="1">2147483647</definedName>
    <definedName name="solver_tim" localSheetId="5" hidden="1">2147483647</definedName>
    <definedName name="solver_tol" localSheetId="3" hidden="1">0.01</definedName>
    <definedName name="solver_tol" localSheetId="0" hidden="1">0.01</definedName>
    <definedName name="solver_tol" localSheetId="5" hidden="1">0.01</definedName>
    <definedName name="solver_typ" localSheetId="3" hidden="1">2</definedName>
    <definedName name="solver_typ" localSheetId="0" hidden="1">2</definedName>
    <definedName name="solver_typ" localSheetId="5" hidden="1">1</definedName>
    <definedName name="solver_val" localSheetId="3" hidden="1">0</definedName>
    <definedName name="solver_val" localSheetId="0" hidden="1">0</definedName>
    <definedName name="solver_val" localSheetId="5" hidden="1">0</definedName>
    <definedName name="solver_ver" localSheetId="3" hidden="1">3</definedName>
    <definedName name="solver_ver" localSheetId="0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0" l="1"/>
  <c r="B15" i="10"/>
  <c r="B13" i="10"/>
  <c r="C6" i="10"/>
  <c r="C4" i="10"/>
  <c r="B4" i="10"/>
  <c r="F6" i="9"/>
  <c r="F3" i="9"/>
  <c r="F2" i="9"/>
  <c r="D9" i="8"/>
  <c r="H4" i="8"/>
  <c r="H5" i="8"/>
  <c r="H6" i="8"/>
  <c r="H7" i="8"/>
  <c r="H8" i="8"/>
  <c r="H9" i="8"/>
  <c r="H3" i="8"/>
  <c r="G3" i="8"/>
  <c r="G4" i="8"/>
  <c r="G5" i="8"/>
  <c r="G6" i="8"/>
  <c r="G7" i="8"/>
  <c r="G8" i="8"/>
  <c r="G9" i="8"/>
  <c r="F4" i="8"/>
  <c r="F5" i="8"/>
  <c r="F6" i="8"/>
  <c r="F7" i="8"/>
  <c r="F8" i="8"/>
  <c r="F9" i="8"/>
  <c r="E4" i="8"/>
  <c r="E5" i="8"/>
  <c r="E6" i="8"/>
  <c r="E7" i="8"/>
  <c r="E8" i="8"/>
  <c r="E9" i="8"/>
  <c r="E3" i="8"/>
  <c r="F3" i="8"/>
  <c r="D4" i="8"/>
  <c r="D5" i="8"/>
  <c r="D6" i="8"/>
  <c r="D7" i="8"/>
  <c r="D8" i="8"/>
  <c r="D3" i="8"/>
  <c r="B17" i="8"/>
  <c r="A4" i="8"/>
  <c r="A5" i="8"/>
  <c r="A6" i="8"/>
  <c r="A7" i="8"/>
  <c r="A8" i="8"/>
  <c r="A9" i="8"/>
  <c r="A3" i="8"/>
  <c r="B4" i="8"/>
  <c r="B5" i="8"/>
  <c r="B6" i="8"/>
  <c r="B7" i="8"/>
  <c r="B8" i="8"/>
  <c r="B3" i="8"/>
  <c r="B7" i="10" l="1"/>
  <c r="C14" i="7"/>
  <c r="B15" i="7"/>
  <c r="F3" i="7" s="1" a="1"/>
  <c r="F3" i="7" s="1"/>
  <c r="F4" i="7" s="1"/>
  <c r="B9" i="7"/>
  <c r="F2" i="7" a="1"/>
  <c r="F2" i="7" s="1"/>
  <c r="C15" i="7"/>
  <c r="B14" i="7"/>
  <c r="C4" i="7"/>
  <c r="B4" i="7"/>
  <c r="B13" i="4" l="1"/>
  <c r="K5" i="4"/>
  <c r="K3" i="4"/>
  <c r="K4" i="4"/>
  <c r="K2" i="4"/>
  <c r="B12" i="4"/>
  <c r="J5" i="4"/>
  <c r="J3" i="4"/>
  <c r="J4" i="4"/>
  <c r="J2" i="4"/>
  <c r="B11" i="4"/>
  <c r="I5" i="4"/>
  <c r="I3" i="4"/>
  <c r="I4" i="4"/>
  <c r="I2" i="4"/>
  <c r="H3" i="4"/>
  <c r="H4" i="4"/>
  <c r="H2" i="4"/>
  <c r="B15" i="3" l="1"/>
  <c r="J6" i="3"/>
  <c r="J3" i="3"/>
  <c r="J4" i="3"/>
  <c r="J5" i="3"/>
  <c r="J2" i="3"/>
  <c r="B14" i="3"/>
  <c r="I6" i="3"/>
  <c r="B12" i="3"/>
  <c r="I3" i="3"/>
  <c r="I4" i="3"/>
  <c r="I5" i="3"/>
  <c r="I2" i="3"/>
  <c r="B13" i="3"/>
  <c r="H6" i="3"/>
  <c r="H3" i="3"/>
  <c r="H4" i="3"/>
  <c r="H5" i="3"/>
  <c r="H2" i="3"/>
  <c r="G3" i="3"/>
  <c r="G4" i="3"/>
  <c r="G5" i="3"/>
  <c r="G2" i="3"/>
  <c r="E5" i="3"/>
  <c r="E2" i="3"/>
  <c r="E6" i="3" s="1"/>
  <c r="E3" i="3"/>
  <c r="E4" i="3"/>
  <c r="W17" i="2" l="1" a="1"/>
  <c r="W17" i="2" s="1"/>
  <c r="W18" i="2" s="1"/>
  <c r="W10" i="2" a="1"/>
  <c r="W10" i="2" s="1"/>
  <c r="W11" i="2" s="1"/>
  <c r="W16" i="2" a="1"/>
  <c r="W16" i="2" s="1"/>
  <c r="W9" i="2" a="1"/>
  <c r="W9" i="2" s="1"/>
  <c r="S18" i="2"/>
  <c r="S11" i="2"/>
  <c r="P13" i="2"/>
  <c r="O13" i="2"/>
  <c r="P10" i="2"/>
  <c r="O11" i="2"/>
  <c r="P11" i="2"/>
  <c r="O10" i="2"/>
  <c r="P17" i="2"/>
  <c r="O18" i="2"/>
  <c r="P18" i="2"/>
  <c r="O17" i="2"/>
  <c r="O20" i="2"/>
  <c r="P20" i="2"/>
  <c r="W4" i="2" a="1"/>
  <c r="W4" i="2" s="1"/>
  <c r="W5" i="2" s="1"/>
  <c r="W3" i="2" a="1"/>
  <c r="W3" i="2" s="1"/>
  <c r="P7" i="2"/>
  <c r="O7" i="2"/>
  <c r="S5" i="2"/>
  <c r="P4" i="2"/>
  <c r="O5" i="2"/>
  <c r="P5" i="2"/>
  <c r="O4" i="2"/>
  <c r="B18" i="2"/>
  <c r="K6" i="2"/>
  <c r="K5" i="2"/>
  <c r="K4" i="2"/>
  <c r="J7" i="2"/>
  <c r="J5" i="2"/>
  <c r="J4" i="2"/>
  <c r="I7" i="2"/>
  <c r="I6" i="2"/>
  <c r="I4" i="2"/>
  <c r="H7" i="2"/>
  <c r="H6" i="2"/>
  <c r="H5" i="2"/>
  <c r="K7" i="2"/>
  <c r="J6" i="2"/>
  <c r="I5" i="2"/>
  <c r="H4" i="2"/>
  <c r="C11" i="2"/>
  <c r="D11" i="2"/>
  <c r="E11" i="2"/>
  <c r="B11" i="2"/>
  <c r="E15" i="2" l="1" a="1"/>
  <c r="E15" i="2" s="1"/>
  <c r="E16" i="2" a="1"/>
  <c r="E16" i="2" s="1"/>
  <c r="E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<sst xmlns="http://schemas.openxmlformats.org/spreadsheetml/2006/main" count="166" uniqueCount="108">
  <si>
    <t>ASSETS RETURNS</t>
  </si>
  <si>
    <t>DATE</t>
  </si>
  <si>
    <t>Stock A</t>
  </si>
  <si>
    <t>Stock B</t>
  </si>
  <si>
    <t>Bond A</t>
  </si>
  <si>
    <t>Real E A</t>
  </si>
  <si>
    <t>Column1</t>
  </si>
  <si>
    <t>Column2</t>
  </si>
  <si>
    <t>Column3</t>
  </si>
  <si>
    <t>Column4</t>
  </si>
  <si>
    <t>Column5</t>
  </si>
  <si>
    <t>Return vector</t>
  </si>
  <si>
    <t>variance-covariance matrix</t>
  </si>
  <si>
    <t>Weights vector</t>
  </si>
  <si>
    <t>portfolio return</t>
  </si>
  <si>
    <t>portfolio variance</t>
  </si>
  <si>
    <t>portfolio standard deviation</t>
  </si>
  <si>
    <t>minimized risk for a given return</t>
  </si>
  <si>
    <t>a)</t>
  </si>
  <si>
    <t>weights vector</t>
  </si>
  <si>
    <t>porfolio sd</t>
  </si>
  <si>
    <t>B)</t>
  </si>
  <si>
    <t xml:space="preserve"> Real E A</t>
  </si>
  <si>
    <t>C)</t>
  </si>
  <si>
    <t>Portfolio return</t>
  </si>
  <si>
    <t>portfolio sd</t>
  </si>
  <si>
    <t>Market state</t>
  </si>
  <si>
    <t>Probability</t>
  </si>
  <si>
    <t>End price</t>
  </si>
  <si>
    <t>Cash dividends</t>
  </si>
  <si>
    <t>Excellent</t>
  </si>
  <si>
    <t>Good</t>
  </si>
  <si>
    <t>Poor</t>
  </si>
  <si>
    <t>Crash</t>
  </si>
  <si>
    <t>T-Bill rate</t>
  </si>
  <si>
    <t xml:space="preserve"> </t>
  </si>
  <si>
    <t>HPY</t>
  </si>
  <si>
    <t>Expected HPY</t>
  </si>
  <si>
    <t>Initial Price</t>
  </si>
  <si>
    <t>squared deviation</t>
  </si>
  <si>
    <t>deviations</t>
  </si>
  <si>
    <t>excess returns</t>
  </si>
  <si>
    <t>expected hpy</t>
  </si>
  <si>
    <t>standard deviation of hpy</t>
  </si>
  <si>
    <t>standard deviation of excess returns</t>
  </si>
  <si>
    <t>expected risk premium</t>
  </si>
  <si>
    <t>Coupon Rate</t>
  </si>
  <si>
    <t>Initial investment</t>
  </si>
  <si>
    <t>Initial price per bond</t>
  </si>
  <si>
    <t>Par value per bond</t>
  </si>
  <si>
    <t>Interest Rates</t>
  </si>
  <si>
    <t>Year end price</t>
  </si>
  <si>
    <t>coupon</t>
  </si>
  <si>
    <t>Excess Return</t>
  </si>
  <si>
    <t>High</t>
  </si>
  <si>
    <t>Unchanged</t>
  </si>
  <si>
    <t>Low</t>
  </si>
  <si>
    <t>Required:</t>
  </si>
  <si>
    <t>HPY for each scenario</t>
  </si>
  <si>
    <t>Expected rate of return</t>
  </si>
  <si>
    <t>Risk Premium</t>
  </si>
  <si>
    <t>Expected year end value</t>
  </si>
  <si>
    <t>Year end value</t>
  </si>
  <si>
    <t>corporate bonds</t>
  </si>
  <si>
    <t>equity shares</t>
  </si>
  <si>
    <t>return</t>
  </si>
  <si>
    <t>standard deviation</t>
  </si>
  <si>
    <t>variance</t>
  </si>
  <si>
    <t xml:space="preserve">variance-covariance matrix </t>
  </si>
  <si>
    <t>weights</t>
  </si>
  <si>
    <t>correlation coefficient</t>
  </si>
  <si>
    <t>expected return</t>
  </si>
  <si>
    <t>index</t>
  </si>
  <si>
    <t>bills</t>
  </si>
  <si>
    <t>risk free rate</t>
  </si>
  <si>
    <t xml:space="preserve"> expectedreturns</t>
  </si>
  <si>
    <t>risk premium</t>
  </si>
  <si>
    <t>A</t>
  </si>
  <si>
    <t>risk</t>
  </si>
  <si>
    <t>utility(A=2)</t>
  </si>
  <si>
    <t>utility(A=4)</t>
  </si>
  <si>
    <t>y* (A=2</t>
  </si>
  <si>
    <t>y*(A=3)</t>
  </si>
  <si>
    <t>Portfolio</t>
  </si>
  <si>
    <t>Expected return</t>
  </si>
  <si>
    <t>Factor sensitivity</t>
  </si>
  <si>
    <t>B</t>
  </si>
  <si>
    <t>factor risk premium</t>
  </si>
  <si>
    <t>rf</t>
  </si>
  <si>
    <t>E®</t>
  </si>
  <si>
    <t>C</t>
  </si>
  <si>
    <t>Euro</t>
  </si>
  <si>
    <t>Initial portfolio</t>
  </si>
  <si>
    <t>less trust fund contribution</t>
  </si>
  <si>
    <t>investable portfolio</t>
  </si>
  <si>
    <t>Net savings</t>
  </si>
  <si>
    <t>Investment goal</t>
  </si>
  <si>
    <t>required return</t>
  </si>
  <si>
    <t>Future value</t>
  </si>
  <si>
    <t>Tim horizon</t>
  </si>
  <si>
    <t>QUESTION TWO</t>
  </si>
  <si>
    <t>QUESTION THREE</t>
  </si>
  <si>
    <t>amount required from portf</t>
  </si>
  <si>
    <t>investment base</t>
  </si>
  <si>
    <t>tax rate</t>
  </si>
  <si>
    <t>before tax required return</t>
  </si>
  <si>
    <t>inflation rate</t>
  </si>
  <si>
    <t>nominal after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</si>
</sst>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%"/>
    <numFmt numFmtId="166" formatCode="0.0000%"/>
    <numFmt numFmtId="167" formatCode="_(* #,##0.0000_);_(* \(#,##0.0000\);_(* &quot;-&quot;??_);_(@_)"/>
    <numFmt numFmtId="168" formatCode="_(* #,##0.0000_);_(* \(#,##0.0000\);_(* &quot;-&quot;????_);_(@_)"/>
    <numFmt numFmtId="169" formatCode="0.00000"/>
    <numFmt numFmtId="170" formatCode="0.0000"/>
    <numFmt numFmtId="176" formatCode="_-[$Ksh-441]\ * #,##0.00_-;\-[$Ksh-441]\ * #,##0.00_-;_-[$Ksh-441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FFFFFF"/>
      <name val="Times New Roman"/>
      <family val="1"/>
    </font>
    <font>
      <sz val="2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2" fillId="0" borderId="0" xfId="0" applyFont="1"/>
    <xf numFmtId="0" fontId="0" fillId="0" borderId="3" xfId="0" applyBorder="1"/>
    <xf numFmtId="10" fontId="0" fillId="0" borderId="3" xfId="1" applyNumberFormat="1" applyFont="1" applyBorder="1"/>
    <xf numFmtId="0" fontId="0" fillId="0" borderId="3" xfId="0" applyFont="1" applyBorder="1"/>
    <xf numFmtId="10" fontId="0" fillId="2" borderId="3" xfId="1" applyNumberFormat="1" applyFont="1" applyFill="1" applyBorder="1"/>
    <xf numFmtId="165" fontId="0" fillId="0" borderId="3" xfId="1" applyNumberFormat="1" applyFont="1" applyBorder="1"/>
    <xf numFmtId="10" fontId="0" fillId="0" borderId="0" xfId="1" applyNumberFormat="1" applyFont="1" applyBorder="1"/>
    <xf numFmtId="10" fontId="0" fillId="0" borderId="0" xfId="0" applyNumberFormat="1" applyBorder="1"/>
    <xf numFmtId="166" fontId="0" fillId="2" borderId="3" xfId="1" applyNumberFormat="1" applyFont="1" applyFill="1" applyBorder="1"/>
    <xf numFmtId="166" fontId="0" fillId="0" borderId="3" xfId="1" applyNumberFormat="1" applyFont="1" applyBorder="1"/>
    <xf numFmtId="166" fontId="0" fillId="0" borderId="0" xfId="1" applyNumberFormat="1" applyFont="1"/>
    <xf numFmtId="2" fontId="0" fillId="0" borderId="0" xfId="0" applyNumberFormat="1"/>
    <xf numFmtId="167" fontId="0" fillId="0" borderId="0" xfId="2" applyNumberFormat="1" applyFont="1"/>
    <xf numFmtId="0" fontId="2" fillId="0" borderId="3" xfId="0" applyFont="1" applyBorder="1"/>
    <xf numFmtId="168" fontId="0" fillId="0" borderId="3" xfId="0" applyNumberFormat="1" applyBorder="1"/>
    <xf numFmtId="167" fontId="0" fillId="0" borderId="3" xfId="0" applyNumberFormat="1" applyBorder="1"/>
    <xf numFmtId="44" fontId="0" fillId="0" borderId="0" xfId="3" applyFont="1"/>
    <xf numFmtId="0" fontId="0" fillId="0" borderId="3" xfId="0" applyBorder="1" applyAlignment="1">
      <alignment horizontal="center"/>
    </xf>
    <xf numFmtId="169" fontId="0" fillId="0" borderId="3" xfId="0" applyNumberFormat="1" applyBorder="1"/>
    <xf numFmtId="10" fontId="0" fillId="0" borderId="3" xfId="1" applyNumberFormat="1" applyFont="1" applyBorder="1" applyAlignment="1">
      <alignment horizontal="center"/>
    </xf>
    <xf numFmtId="44" fontId="0" fillId="0" borderId="3" xfId="3" applyFont="1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Border="1" applyAlignment="1"/>
    <xf numFmtId="170" fontId="0" fillId="0" borderId="0" xfId="0" applyNumberFormat="1"/>
    <xf numFmtId="0" fontId="4" fillId="3" borderId="4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9" fontId="5" fillId="4" borderId="5" xfId="0" applyNumberFormat="1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10" fontId="5" fillId="5" borderId="6" xfId="0" applyNumberFormat="1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176" fontId="0" fillId="0" borderId="0" xfId="0" applyNumberFormat="1"/>
    <xf numFmtId="176" fontId="0" fillId="2" borderId="0" xfId="3" applyNumberFormat="1" applyFont="1" applyFill="1"/>
    <xf numFmtId="176" fontId="0" fillId="0" borderId="0" xfId="3" applyNumberFormat="1" applyFont="1"/>
    <xf numFmtId="43" fontId="0" fillId="0" borderId="0" xfId="3" applyNumberFormat="1" applyFont="1"/>
    <xf numFmtId="3" fontId="0" fillId="0" borderId="0" xfId="0" applyNumberFormat="1"/>
    <xf numFmtId="10" fontId="0" fillId="2" borderId="0" xfId="1" applyNumberFormat="1" applyFont="1" applyFill="1"/>
    <xf numFmtId="165" fontId="0" fillId="2" borderId="0" xfId="1" applyNumberFormat="1" applyFont="1" applyFill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8">
    <dxf>
      <numFmt numFmtId="167" formatCode="_(* #,##0.0000_);_(* \(#,##0.00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606A9-E7D0-4BEC-8A9A-AEE333AF0E7F}" name="Table3" displayName="Table3" ref="A1:E9" totalsRowShown="0">
  <tableColumns count="5">
    <tableColumn id="1" xr3:uid="{9155C913-2ED9-420D-A0DB-0A491087E99B}" name="Column1"/>
    <tableColumn id="2" xr3:uid="{234ADFCB-E104-4D73-8B95-50B33BC4DA0E}" name="Column2" dataDxfId="7"/>
    <tableColumn id="3" xr3:uid="{91FE162A-3ADD-4509-83D6-21025A65DD67}" name="Column3" dataDxfId="6"/>
    <tableColumn id="4" xr3:uid="{E72F23B6-4239-4DF4-80AE-C529CA0F3F40}" name="Column4" dataDxfId="5"/>
    <tableColumn id="5" xr3:uid="{D446271F-8592-4C56-A7ED-78D1452741D2}" name="Column5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4D54C-0A0A-42DE-9C49-8542D9CFD00A}" name="Table1" displayName="Table1" ref="A1:E6" totalsRowShown="0">
  <tableColumns count="5">
    <tableColumn id="1" xr3:uid="{73C4C032-B2CB-4119-8565-5D7A57FF5CA3}" name="Market state"/>
    <tableColumn id="2" xr3:uid="{A7D1B0CB-2DC5-431A-9F2C-5462FDCE6665}" name="Probability" dataDxfId="3"/>
    <tableColumn id="3" xr3:uid="{E68E9F62-748B-4F2C-9643-860117E779F9}" name="End price" dataDxfId="2"/>
    <tableColumn id="4" xr3:uid="{F8B6D660-8E90-4877-8485-F6E1F6A23092}" name="Cash dividends" dataDxfId="1"/>
    <tableColumn id="5" xr3:uid="{B74BCDA9-CB9E-49AA-BBB6-8B63812F6B60}" name="HPY" dataDxfId="0" dataCellStyle="Comma">
      <calculatedColumnFormula>(Table1[[#This Row],[End price]] - $B$9 + Table1[[#This Row],[Cash dividends]])/$B$9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D0809D-3C4D-4595-9C37-AD67DA2ABBB7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20951601889626920&quot;"/>
    <we:property name="NhIp" value="&quot;&quot;"/>
    <we:property name="KQIsLDoFDXE4HA5pFDUVDxUxFyETFA==" value="&quot;Sw==&quot;"/>
    <we:property name="KQIsLDoFDXE4HA5pFDUVDxUxFz0DFWA=" value="&quot;WUx+aA==&quot;"/>
    <we:property name="KQIsLDoFDXE4HA5pFDUVDxUxFz0DFWM=" value="&quot;WU5+aA==&quot;"/>
    <we:property name="KQIsLDoFDXE4HA5pFDUVDxUxFyMOCmA=" value="&quot;XTNneX5cXRJRREM=&quot;"/>
    <we:property name="KQIsLDoFDXE4HA5pFDUVDxUxFz0OCmA=" value="&quot;XTJneX5cXRNRREM=&quot;"/>
    <we:property name="KQIsLDoFDXE4HA5pFDUVDxUxFyMOCmM=" value="&quot;XTRncXVCP3VM&quot;"/>
    <we:property name="KQIsLDoFDXE4HA5pFDUVDxUxFz0OCmM=" value="&quot;SQ==&quot;"/>
    <we:property name="KQIsLDoFDXE4HA5pMTsLEBEhJCoV" value="&quot;XTRncXVCP3VM&quot;"/>
    <we:property name="KQIsLDoFDXE4HA5pKDgT" value="&quot;XTRneXc=&quot;"/>
    <we:property name="KQIsLDoFDXE4HA5pKjsBNBkt" value="&quot;SA==&quot;"/>
    <we:property name="KQIsLDoFDXE4HA5pFDUVDxUxFyoIHg==" value="&quot;SQ==&quot;"/>
  </we:properties>
  <we:bindings>
    <we:binding id="refEdit" type="matrix" appref="{70824B64-A531-4208-80A4-1A23CE7E94E3}"/>
    <we:binding id="Worker" type="matrix" appref="{59FF4FE9-C216-4856-85AA-00A75D3CEBB1}"/>
    <we:binding id="Var0" type="matrix" appref="{1C46DB9D-164D-4382-9539-5D96A8B8A10E}"/>
    <we:binding id="Obj" type="matrix" appref="{A0F8B641-F81C-4AEC-B5F2-1A5DDB15910F}"/>
    <we:binding id="Var$D$9:$F$9" type="matrix" appref="{BED88AD5-1D0C-4E57-A73A-D97962ABC22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C31F-53FF-48BF-AF8B-7E4D264E1696}">
  <dimension ref="A1:W20"/>
  <sheetViews>
    <sheetView topLeftCell="O7" workbookViewId="0">
      <selection activeCell="W4" sqref="W4"/>
    </sheetView>
  </sheetViews>
  <sheetFormatPr defaultRowHeight="15" x14ac:dyDescent="0.25"/>
  <cols>
    <col min="1" max="1" width="14.42578125" bestFit="1" customWidth="1"/>
    <col min="2" max="3" width="11" customWidth="1"/>
    <col min="4" max="4" width="26.42578125" bestFit="1" customWidth="1"/>
    <col min="5" max="5" width="8.85546875" bestFit="1" customWidth="1"/>
    <col min="6" max="6" width="11" customWidth="1"/>
    <col min="11" max="11" width="11.140625" bestFit="1" customWidth="1"/>
    <col min="12" max="12" width="12.140625" bestFit="1" customWidth="1"/>
    <col min="14" max="14" width="13.140625" bestFit="1" customWidth="1"/>
  </cols>
  <sheetData>
    <row r="1" spans="1:2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23" x14ac:dyDescent="0.25">
      <c r="B2" t="s">
        <v>0</v>
      </c>
      <c r="H2" s="39" t="s">
        <v>12</v>
      </c>
      <c r="I2" s="39"/>
      <c r="J2" s="39"/>
      <c r="K2" s="39"/>
      <c r="L2" s="39"/>
      <c r="N2" s="40" t="s">
        <v>12</v>
      </c>
      <c r="O2" s="39"/>
      <c r="P2" s="39"/>
      <c r="Q2" s="39"/>
      <c r="R2" s="8" t="s">
        <v>19</v>
      </c>
    </row>
    <row r="3" spans="1:2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s="9"/>
      <c r="H3" s="11" t="s">
        <v>2</v>
      </c>
      <c r="I3" s="11" t="s">
        <v>3</v>
      </c>
      <c r="J3" s="11" t="s">
        <v>4</v>
      </c>
      <c r="K3" s="11" t="s">
        <v>5</v>
      </c>
      <c r="M3" t="s">
        <v>18</v>
      </c>
      <c r="N3" s="9"/>
      <c r="O3" s="9" t="s">
        <v>4</v>
      </c>
      <c r="P3" s="9" t="s">
        <v>5</v>
      </c>
      <c r="R3" t="s">
        <v>4</v>
      </c>
      <c r="S3">
        <v>0.43478260869565188</v>
      </c>
      <c r="U3" t="s">
        <v>14</v>
      </c>
      <c r="W3" s="18">
        <f t="array" ref="W3">MMULT(O7:P7,S3:S4)</f>
        <v>0.09</v>
      </c>
    </row>
    <row r="4" spans="1:23" x14ac:dyDescent="0.25">
      <c r="A4">
        <v>2014</v>
      </c>
      <c r="B4" s="2">
        <v>0.15</v>
      </c>
      <c r="C4" s="2">
        <v>0.08</v>
      </c>
      <c r="D4" s="2">
        <v>0.03</v>
      </c>
      <c r="E4" s="2">
        <v>0.23</v>
      </c>
      <c r="F4" s="2"/>
      <c r="G4" s="11" t="s">
        <v>2</v>
      </c>
      <c r="H4" s="12">
        <f>_xlfn.VAR.P(B4:B9)</f>
        <v>8.100000000000003E-3</v>
      </c>
      <c r="I4" s="10">
        <f>_xlfn.COVARIANCE.P(C4:C9,B4:B9)</f>
        <v>4.5666666666666668E-3</v>
      </c>
      <c r="J4" s="10">
        <f>_xlfn.COVARIANCE.P(D4:D9,B4:B9)</f>
        <v>-1.8833333333333334E-3</v>
      </c>
      <c r="K4" s="10">
        <f>_xlfn.COVARIANCE.P(E4:E9,B4:B9)</f>
        <v>8.5166666666666672E-3</v>
      </c>
      <c r="N4" s="9" t="s">
        <v>4</v>
      </c>
      <c r="O4" s="16">
        <f>_xlfn.VAR.P(D4:D9)</f>
        <v>6.8888888888888895E-4</v>
      </c>
      <c r="P4" s="17">
        <f>_xlfn.COVARIANCE.P(E4:E9,D4:D9)</f>
        <v>-2.638888888888889E-3</v>
      </c>
      <c r="R4" t="s">
        <v>5</v>
      </c>
      <c r="S4">
        <v>0.56521739130434812</v>
      </c>
      <c r="U4" t="s">
        <v>15</v>
      </c>
      <c r="W4" s="18">
        <f t="array" ref="W4">MMULT(MMULT(TRANSPOSE(S3:S4),O4:P5),S3:S4)</f>
        <v>4.324574669187153E-3</v>
      </c>
    </row>
    <row r="5" spans="1:23" x14ac:dyDescent="0.25">
      <c r="A5">
        <v>2015</v>
      </c>
      <c r="B5" s="2">
        <v>-0.05</v>
      </c>
      <c r="C5" s="2">
        <v>-0.02</v>
      </c>
      <c r="D5" s="2">
        <v>0.05</v>
      </c>
      <c r="E5" s="2">
        <v>0.21</v>
      </c>
      <c r="F5" s="2"/>
      <c r="G5" s="11" t="s">
        <v>3</v>
      </c>
      <c r="H5" s="10">
        <f>_xlfn.COVARIANCE.P(B4:B9,C4:C9)</f>
        <v>4.5666666666666668E-3</v>
      </c>
      <c r="I5" s="12">
        <f>_xlfn.VAR.P(C4:C9)</f>
        <v>2.6222222222222224E-3</v>
      </c>
      <c r="J5" s="10">
        <f>_xlfn.COVARIANCE.P(D4:D9,C4:C9)</f>
        <v>-1.1055555555555558E-3</v>
      </c>
      <c r="K5" s="10">
        <f>_xlfn.COVARIANCE.P(E4:E9,C4:C9)</f>
        <v>4.8722222222222222E-3</v>
      </c>
      <c r="N5" s="9" t="s">
        <v>5</v>
      </c>
      <c r="O5" s="17">
        <f>_xlfn.COVARIANCE.P(D4:D9,E4:E9)</f>
        <v>-2.638888888888889E-3</v>
      </c>
      <c r="P5" s="16">
        <f>_xlfn.VAR.P(E4:E9)</f>
        <v>1.7188888888888896E-2</v>
      </c>
      <c r="S5">
        <f>SUM(S3:S4)</f>
        <v>1</v>
      </c>
      <c r="U5" t="s">
        <v>20</v>
      </c>
      <c r="W5" s="18">
        <f>SQRT(W4)</f>
        <v>6.5761498380033534E-2</v>
      </c>
    </row>
    <row r="6" spans="1:23" x14ac:dyDescent="0.25">
      <c r="A6">
        <v>2016</v>
      </c>
      <c r="B6" s="2">
        <v>0.13</v>
      </c>
      <c r="C6" s="2">
        <v>0.09</v>
      </c>
      <c r="D6" s="2">
        <v>0.03</v>
      </c>
      <c r="E6" s="2">
        <v>0.24</v>
      </c>
      <c r="F6" s="2"/>
      <c r="G6" s="11" t="s">
        <v>4</v>
      </c>
      <c r="H6" s="10">
        <f>_xlfn.COVARIANCE.P(B4:B9,D4:D9)</f>
        <v>-1.8833333333333334E-3</v>
      </c>
      <c r="I6" s="10">
        <f>_xlfn.COVARIANCE.P(C4:C9,D4:D9)</f>
        <v>-1.1055555555555558E-3</v>
      </c>
      <c r="J6" s="12">
        <f>_xlfn.VAR.P(D4:D9)</f>
        <v>6.8888888888888895E-4</v>
      </c>
      <c r="K6" s="13">
        <f>_xlfn.COVARIANCE.P(E4:E9,D4:D9)</f>
        <v>-2.638888888888889E-3</v>
      </c>
      <c r="N6" s="1"/>
      <c r="O6" s="1"/>
      <c r="P6" s="1"/>
      <c r="W6" s="18"/>
    </row>
    <row r="7" spans="1:23" x14ac:dyDescent="0.25">
      <c r="A7">
        <v>2017</v>
      </c>
      <c r="B7" s="2">
        <v>0.06</v>
      </c>
      <c r="C7" s="2">
        <v>0.04</v>
      </c>
      <c r="D7" s="2">
        <v>0.02</v>
      </c>
      <c r="E7" s="2">
        <v>0.18</v>
      </c>
      <c r="F7" s="2"/>
      <c r="G7" s="11" t="s">
        <v>5</v>
      </c>
      <c r="H7" s="10">
        <f>_xlfn.COVARIANCE.P(B4:B9,E4:E9)</f>
        <v>8.5166666666666672E-3</v>
      </c>
      <c r="I7" s="10">
        <f>_xlfn.COVARIANCE.P(C4:C9,E4:E9)</f>
        <v>4.8722222222222222E-3</v>
      </c>
      <c r="J7" s="10">
        <f>_xlfn.COVARIANCE.P(D4:D9,E4:E9)</f>
        <v>-2.638888888888889E-3</v>
      </c>
      <c r="K7" s="12">
        <f>_xlfn.VAR.P(E4:E9)</f>
        <v>1.7188888888888896E-2</v>
      </c>
      <c r="N7" s="1" t="s">
        <v>11</v>
      </c>
      <c r="O7" s="14">
        <f>AVERAGE(D4:D9)</f>
        <v>4.6666666666666669E-2</v>
      </c>
      <c r="P7" s="15">
        <f>AVERAGE(E4:E9)</f>
        <v>0.12333333333333329</v>
      </c>
      <c r="W7" s="18"/>
    </row>
    <row r="8" spans="1:23" x14ac:dyDescent="0.25">
      <c r="A8">
        <v>2018</v>
      </c>
      <c r="B8" s="2">
        <v>-0.02</v>
      </c>
      <c r="C8" s="2">
        <v>0</v>
      </c>
      <c r="D8" s="2">
        <v>0.05</v>
      </c>
      <c r="E8" s="2">
        <v>-0.05</v>
      </c>
      <c r="F8" s="2"/>
      <c r="W8" s="18"/>
    </row>
    <row r="9" spans="1:23" x14ac:dyDescent="0.25">
      <c r="A9">
        <v>2019</v>
      </c>
      <c r="B9" s="2">
        <v>-0.09</v>
      </c>
      <c r="C9" s="2">
        <v>-0.05</v>
      </c>
      <c r="D9" s="2">
        <v>0.1</v>
      </c>
      <c r="E9" s="2">
        <v>-7.0000000000000007E-2</v>
      </c>
      <c r="F9" s="2"/>
      <c r="M9" t="s">
        <v>21</v>
      </c>
      <c r="N9" s="9"/>
      <c r="O9" s="9" t="s">
        <v>3</v>
      </c>
      <c r="P9" s="9" t="s">
        <v>22</v>
      </c>
      <c r="R9" t="s">
        <v>3</v>
      </c>
      <c r="S9">
        <v>0.33333333333333315</v>
      </c>
      <c r="U9" t="s">
        <v>24</v>
      </c>
      <c r="W9" s="18">
        <f t="array" ref="W9">MMULT(O13:P13,S9:S10)</f>
        <v>0.09</v>
      </c>
    </row>
    <row r="10" spans="1:23" x14ac:dyDescent="0.25">
      <c r="N10" s="9" t="s">
        <v>3</v>
      </c>
      <c r="O10" s="16">
        <f>_xlfn.VAR.P(C4:C9)</f>
        <v>2.6222222222222224E-3</v>
      </c>
      <c r="P10" s="17">
        <f>_xlfn.COVARIANCE.P(E4:E9,C4:C9)</f>
        <v>4.8722222222222222E-3</v>
      </c>
      <c r="R10" t="s">
        <v>5</v>
      </c>
      <c r="S10">
        <v>0.66666666666666685</v>
      </c>
      <c r="U10" t="s">
        <v>15</v>
      </c>
      <c r="W10" s="18" cm="1">
        <f t="array" ref="W10">MMULT(MMULT(TRANSPOSE(S9:S10),O10:P11),S9:S10)</f>
        <v>1.0096296296296301E-2</v>
      </c>
    </row>
    <row r="11" spans="1:23" x14ac:dyDescent="0.25">
      <c r="A11" t="s">
        <v>11</v>
      </c>
      <c r="B11" s="5">
        <f>AVERAGE(B4:B9)</f>
        <v>2.9999999999999995E-2</v>
      </c>
      <c r="C11" s="5">
        <f t="shared" ref="C11:E11" si="0">AVERAGE(C4:C9)</f>
        <v>2.3333333333333334E-2</v>
      </c>
      <c r="D11" s="5">
        <f t="shared" si="0"/>
        <v>4.6666666666666669E-2</v>
      </c>
      <c r="E11" s="5">
        <f t="shared" si="0"/>
        <v>0.12333333333333329</v>
      </c>
      <c r="F11" s="5"/>
      <c r="N11" s="9" t="s">
        <v>5</v>
      </c>
      <c r="O11" s="17">
        <f>_xlfn.COVARIANCE.P(C4:C9,E4:E9)</f>
        <v>4.8722222222222222E-3</v>
      </c>
      <c r="P11" s="16">
        <f>_xlfn.VAR.P(E4:E9)</f>
        <v>1.7188888888888896E-2</v>
      </c>
      <c r="S11">
        <f>SUM(S9:S10)</f>
        <v>1</v>
      </c>
      <c r="U11" t="s">
        <v>25</v>
      </c>
      <c r="W11" s="18">
        <f>SQRT(W10)</f>
        <v>0.10048032790699034</v>
      </c>
    </row>
    <row r="12" spans="1:23" x14ac:dyDescent="0.25">
      <c r="W12" s="18"/>
    </row>
    <row r="13" spans="1:23" x14ac:dyDescent="0.25">
      <c r="A13" t="s">
        <v>13</v>
      </c>
      <c r="N13" t="s">
        <v>11</v>
      </c>
      <c r="O13" s="5">
        <f>AVERAGE(C4:C9)</f>
        <v>2.3333333333333334E-2</v>
      </c>
      <c r="P13" s="5">
        <f>AVERAGE(E4:E9)</f>
        <v>0.12333333333333329</v>
      </c>
      <c r="W13" s="18"/>
    </row>
    <row r="14" spans="1:23" x14ac:dyDescent="0.25">
      <c r="A14" s="3" t="s">
        <v>2</v>
      </c>
      <c r="B14">
        <v>0.1</v>
      </c>
      <c r="W14" s="18"/>
    </row>
    <row r="15" spans="1:23" x14ac:dyDescent="0.25">
      <c r="A15" s="3" t="s">
        <v>3</v>
      </c>
      <c r="B15">
        <v>0.1</v>
      </c>
      <c r="D15" t="s">
        <v>14</v>
      </c>
      <c r="E15" s="6">
        <f t="array" ref="E15">MMULT(B11:E11,B14:B17)</f>
        <v>9.2999999999374319E-2</v>
      </c>
      <c r="F15" s="6"/>
      <c r="G15" t="s">
        <v>17</v>
      </c>
      <c r="W15" s="18"/>
    </row>
    <row r="16" spans="1:23" x14ac:dyDescent="0.25">
      <c r="A16" s="3" t="s">
        <v>4</v>
      </c>
      <c r="B16">
        <v>0.14347826087772586</v>
      </c>
      <c r="D16" t="s">
        <v>15</v>
      </c>
      <c r="E16" s="7">
        <f t="array" ref="E16">MMULT(MMULT(TRANSPOSE(B14:B17),H4:K7),B14:B17)</f>
        <v>8.7966080653010537E-3</v>
      </c>
      <c r="F16" s="7"/>
      <c r="M16" t="s">
        <v>23</v>
      </c>
      <c r="N16" s="9"/>
      <c r="O16" s="9" t="s">
        <v>2</v>
      </c>
      <c r="P16" s="9" t="s">
        <v>5</v>
      </c>
      <c r="R16" t="s">
        <v>2</v>
      </c>
      <c r="S16">
        <v>0.35714285714285676</v>
      </c>
      <c r="U16" t="s">
        <v>14</v>
      </c>
      <c r="W16" s="18">
        <f t="array" ref="W16">MMULT(O20:P20,S16:S17)</f>
        <v>0.09</v>
      </c>
    </row>
    <row r="17" spans="1:23" x14ac:dyDescent="0.25">
      <c r="A17" s="4" t="s">
        <v>5</v>
      </c>
      <c r="B17">
        <v>0.65652173912227407</v>
      </c>
      <c r="D17" t="s">
        <v>16</v>
      </c>
      <c r="E17" s="7">
        <f>SQRT(E16)</f>
        <v>9.3790234381309942E-2</v>
      </c>
      <c r="F17" s="7"/>
      <c r="N17" s="9" t="s">
        <v>2</v>
      </c>
      <c r="O17" s="16">
        <f>_xlfn.VAR.P(B4:B9)</f>
        <v>8.100000000000003E-3</v>
      </c>
      <c r="P17" s="17">
        <f>_xlfn.COVARIANCE.P(E4:E9,B4:B9)</f>
        <v>8.5166666666666672E-3</v>
      </c>
      <c r="R17" t="s">
        <v>5</v>
      </c>
      <c r="S17">
        <v>0.64285714285714313</v>
      </c>
      <c r="U17" t="s">
        <v>15</v>
      </c>
      <c r="W17" s="18" cm="1">
        <f t="array" ref="W17">MMULT(MMULT(TRANSPOSE(S16:S17),O17:P18),S16:S17)</f>
        <v>1.204744897959184E-2</v>
      </c>
    </row>
    <row r="18" spans="1:23" x14ac:dyDescent="0.25">
      <c r="B18">
        <f>SUM(B14:B17)</f>
        <v>1</v>
      </c>
      <c r="N18" s="9" t="s">
        <v>5</v>
      </c>
      <c r="O18" s="17">
        <f>_xlfn.COVARIANCE.P(B4:B9,E4:E9)</f>
        <v>8.5166666666666672E-3</v>
      </c>
      <c r="P18" s="16">
        <f>_xlfn.VAR.P(E4:E9)</f>
        <v>1.7188888888888896E-2</v>
      </c>
      <c r="S18">
        <f>SUM(S16:S17)</f>
        <v>0.99999999999999989</v>
      </c>
      <c r="U18" t="s">
        <v>25</v>
      </c>
      <c r="W18" s="18">
        <f>SQRT(W17)</f>
        <v>0.10976087180590285</v>
      </c>
    </row>
    <row r="20" spans="1:23" x14ac:dyDescent="0.25">
      <c r="N20" t="s">
        <v>11</v>
      </c>
      <c r="O20" s="5">
        <f>AVERAGE(B4:B9)</f>
        <v>2.9999999999999995E-2</v>
      </c>
      <c r="P20" s="5">
        <f>AVERAGE(E4:E9)</f>
        <v>0.12333333333333329</v>
      </c>
    </row>
  </sheetData>
  <mergeCells count="2">
    <mergeCell ref="H2:L2"/>
    <mergeCell ref="N2:Q2"/>
  </mergeCells>
  <phoneticPr fontId="3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0824B64-A531-4208-80A4-1A23CE7E94E3}">
          <xm:f>'class 1'!1:1048576</xm:f>
        </x15:webExtension>
        <x15:webExtension appRef="{59FF4FE9-C216-4856-85AA-00A75D3CEBB1}">
          <xm:f>'class 1'!#REF!</xm:f>
        </x15:webExtension>
        <x15:webExtension appRef="{1C46DB9D-164D-4382-9539-5D96A8B8A10E}">
          <xm:f>#REF!</xm:f>
        </x15:webExtension>
        <x15:webExtension appRef="{A0F8B641-F81C-4AEC-B5F2-1A5DDB15910F}">
          <xm:f>#REF!</xm:f>
        </x15:webExtension>
        <x15:webExtension appRef="{BED88AD5-1D0C-4E57-A73A-D97962ABC221}">
          <xm:f>'class 1'!$D$9:$E$9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32BA-8A40-4001-BC7E-F53AB7B44929}">
  <dimension ref="A1:J15"/>
  <sheetViews>
    <sheetView workbookViewId="0">
      <selection activeCell="G2" sqref="G2"/>
    </sheetView>
  </sheetViews>
  <sheetFormatPr defaultRowHeight="15" x14ac:dyDescent="0.25"/>
  <cols>
    <col min="1" max="1" width="33.85546875" bestFit="1" customWidth="1"/>
    <col min="2" max="2" width="12.85546875" customWidth="1"/>
    <col min="3" max="3" width="11.28515625" customWidth="1"/>
    <col min="4" max="4" width="16.42578125" customWidth="1"/>
    <col min="7" max="7" width="10.28515625" bestFit="1" customWidth="1"/>
    <col min="8" max="8" width="17.28515625" bestFit="1" customWidth="1"/>
    <col min="9" max="9" width="13.85546875" bestFit="1" customWidth="1"/>
    <col min="10" max="10" width="17.285156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36</v>
      </c>
      <c r="G1" s="21" t="s">
        <v>40</v>
      </c>
      <c r="H1" s="21" t="s">
        <v>39</v>
      </c>
      <c r="I1" s="21" t="s">
        <v>41</v>
      </c>
      <c r="J1" s="21" t="s">
        <v>39</v>
      </c>
    </row>
    <row r="2" spans="1:10" x14ac:dyDescent="0.25">
      <c r="A2" t="s">
        <v>30</v>
      </c>
      <c r="B2" s="19">
        <v>0.25</v>
      </c>
      <c r="C2" s="19">
        <v>126.5</v>
      </c>
      <c r="D2" s="19">
        <v>4.5</v>
      </c>
      <c r="E2" s="20">
        <f>(Table1[[#This Row],[End price]] - $B$9 + Table1[[#This Row],[Cash dividends]])/$B$9</f>
        <v>0.31</v>
      </c>
      <c r="G2" s="22">
        <f>Table1[[#This Row],[HPY]]-$E$6</f>
        <v>0.21237499999999998</v>
      </c>
      <c r="H2" s="23">
        <f>G2^2</f>
        <v>4.5103140624999989E-2</v>
      </c>
      <c r="I2" s="23">
        <f>Table1[[#This Row],[HPY]] - $B$10</f>
        <v>0.27</v>
      </c>
      <c r="J2" s="23">
        <f>(I2-$I$6)^2</f>
        <v>4.5103140625000003E-2</v>
      </c>
    </row>
    <row r="3" spans="1:10" x14ac:dyDescent="0.25">
      <c r="A3" t="s">
        <v>31</v>
      </c>
      <c r="B3" s="19">
        <v>0.45</v>
      </c>
      <c r="C3" s="19">
        <v>110</v>
      </c>
      <c r="D3" s="19">
        <v>4</v>
      </c>
      <c r="E3" s="20">
        <f>(Table1[[#This Row],[End price]] - $B$9 + Table1[[#This Row],[Cash dividends]])/$B$9</f>
        <v>0.14000000000000001</v>
      </c>
      <c r="G3" s="22">
        <f>Table1[[#This Row],[HPY]]-$E$6</f>
        <v>4.2374999999999996E-2</v>
      </c>
      <c r="H3" s="23">
        <f t="shared" ref="H3:H5" si="0">G3^2</f>
        <v>1.7956406249999997E-3</v>
      </c>
      <c r="I3" s="23">
        <f>Table1[[#This Row],[HPY]] - $B$10</f>
        <v>0.1</v>
      </c>
      <c r="J3" s="23">
        <f t="shared" ref="J3:J5" si="1">(I3-$I$6)^2</f>
        <v>1.7956406250000001E-3</v>
      </c>
    </row>
    <row r="4" spans="1:10" x14ac:dyDescent="0.25">
      <c r="A4" t="s">
        <v>32</v>
      </c>
      <c r="B4" s="19">
        <v>0.25</v>
      </c>
      <c r="C4" s="19">
        <v>89.75</v>
      </c>
      <c r="D4" s="19">
        <v>3.5</v>
      </c>
      <c r="E4" s="20">
        <f>(Table1[[#This Row],[End price]] - $B$9 + Table1[[#This Row],[Cash dividends]])/$B$9</f>
        <v>-6.7500000000000004E-2</v>
      </c>
      <c r="G4" s="22">
        <f>Table1[[#This Row],[HPY]]-$E$6</f>
        <v>-0.16512500000000002</v>
      </c>
      <c r="H4" s="23">
        <f t="shared" si="0"/>
        <v>2.7266265625000008E-2</v>
      </c>
      <c r="I4" s="23">
        <f>Table1[[#This Row],[HPY]] - $B$10</f>
        <v>-0.10750000000000001</v>
      </c>
      <c r="J4" s="23">
        <f t="shared" si="1"/>
        <v>2.7266265625000008E-2</v>
      </c>
    </row>
    <row r="5" spans="1:10" x14ac:dyDescent="0.25">
      <c r="A5" t="s">
        <v>33</v>
      </c>
      <c r="B5" s="19">
        <v>0.05</v>
      </c>
      <c r="C5" s="19">
        <v>46</v>
      </c>
      <c r="D5" s="19">
        <v>2</v>
      </c>
      <c r="E5" s="20">
        <f>(Table1[[#This Row],[End price]] - $B$9 + Table1[[#This Row],[Cash dividends]])/$B$9</f>
        <v>-0.52</v>
      </c>
      <c r="G5" s="22">
        <f>Table1[[#This Row],[HPY]]-$E$6</f>
        <v>-0.61762500000000009</v>
      </c>
      <c r="H5" s="23">
        <f t="shared" si="0"/>
        <v>0.38146064062500012</v>
      </c>
      <c r="I5" s="23">
        <f>Table1[[#This Row],[HPY]] - $B$10</f>
        <v>-0.56000000000000005</v>
      </c>
      <c r="J5" s="23">
        <f t="shared" si="1"/>
        <v>0.38146064062500012</v>
      </c>
    </row>
    <row r="6" spans="1:10" x14ac:dyDescent="0.25">
      <c r="A6" t="s">
        <v>37</v>
      </c>
      <c r="B6" s="19"/>
      <c r="C6" s="19"/>
      <c r="D6" s="19"/>
      <c r="E6" s="20">
        <f>SUMPRODUCT(B2:B5,E2:E5)</f>
        <v>9.7625000000000017E-2</v>
      </c>
      <c r="G6" s="9"/>
      <c r="H6" s="23">
        <f>SUMPRODUCT(B2:B5,H2:H5)</f>
        <v>3.7973421875000003E-2</v>
      </c>
      <c r="I6" s="23">
        <f>SUMPRODUCT(B2:B5,I2:I5)</f>
        <v>5.7625000000000003E-2</v>
      </c>
      <c r="J6" s="23">
        <f>SUMPRODUCT(B2:B5,J2:J5)</f>
        <v>3.797342187500001E-2</v>
      </c>
    </row>
    <row r="9" spans="1:10" x14ac:dyDescent="0.25">
      <c r="A9" t="s">
        <v>38</v>
      </c>
      <c r="B9">
        <v>100</v>
      </c>
    </row>
    <row r="10" spans="1:10" x14ac:dyDescent="0.25">
      <c r="A10" t="s">
        <v>34</v>
      </c>
      <c r="B10">
        <v>0.04</v>
      </c>
      <c r="H10" t="s">
        <v>35</v>
      </c>
    </row>
    <row r="12" spans="1:10" x14ac:dyDescent="0.25">
      <c r="A12" t="s">
        <v>42</v>
      </c>
      <c r="B12" s="7">
        <f>E6</f>
        <v>9.7625000000000017E-2</v>
      </c>
    </row>
    <row r="13" spans="1:10" x14ac:dyDescent="0.25">
      <c r="A13" t="s">
        <v>43</v>
      </c>
      <c r="B13" s="7">
        <f>SQRT(H6)</f>
        <v>0.19486770351959301</v>
      </c>
    </row>
    <row r="14" spans="1:10" x14ac:dyDescent="0.25">
      <c r="A14" t="s">
        <v>45</v>
      </c>
      <c r="B14" s="7">
        <f>I6</f>
        <v>5.7625000000000003E-2</v>
      </c>
    </row>
    <row r="15" spans="1:10" x14ac:dyDescent="0.25">
      <c r="A15" t="s">
        <v>44</v>
      </c>
      <c r="B15" s="7">
        <f>SQRT(J6)</f>
        <v>0.19486770351959304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3E1C-C3D5-4C68-9875-397C8E81202E}">
  <dimension ref="A1:K13"/>
  <sheetViews>
    <sheetView workbookViewId="0">
      <selection activeCell="F11" sqref="F11"/>
    </sheetView>
  </sheetViews>
  <sheetFormatPr defaultRowHeight="15" x14ac:dyDescent="0.25"/>
  <cols>
    <col min="1" max="1" width="23" bestFit="1" customWidth="1"/>
    <col min="2" max="2" width="14.28515625" bestFit="1" customWidth="1"/>
    <col min="5" max="5" width="13.42578125" bestFit="1" customWidth="1"/>
    <col min="6" max="6" width="10.7109375" bestFit="1" customWidth="1"/>
    <col min="7" max="7" width="13.7109375" bestFit="1" customWidth="1"/>
    <col min="9" max="9" width="9.5703125" bestFit="1" customWidth="1"/>
    <col min="10" max="10" width="13.28515625" bestFit="1" customWidth="1"/>
    <col min="11" max="11" width="14.28515625" bestFit="1" customWidth="1"/>
  </cols>
  <sheetData>
    <row r="1" spans="1:11" x14ac:dyDescent="0.25">
      <c r="A1" t="s">
        <v>34</v>
      </c>
      <c r="B1" s="2">
        <v>0.05</v>
      </c>
      <c r="E1" s="21" t="s">
        <v>50</v>
      </c>
      <c r="F1" s="21" t="s">
        <v>27</v>
      </c>
      <c r="G1" s="21" t="s">
        <v>51</v>
      </c>
      <c r="H1" s="21" t="s">
        <v>52</v>
      </c>
      <c r="I1" s="21" t="s">
        <v>36</v>
      </c>
      <c r="J1" s="21" t="s">
        <v>53</v>
      </c>
      <c r="K1" s="21" t="s">
        <v>62</v>
      </c>
    </row>
    <row r="2" spans="1:11" x14ac:dyDescent="0.25">
      <c r="A2" t="s">
        <v>46</v>
      </c>
      <c r="B2" s="5">
        <v>7.4999999999999997E-2</v>
      </c>
      <c r="E2" s="9" t="s">
        <v>54</v>
      </c>
      <c r="F2" s="25">
        <v>0.2</v>
      </c>
      <c r="G2" s="25">
        <v>850</v>
      </c>
      <c r="H2" s="9">
        <f>$B$2*$B$5</f>
        <v>75</v>
      </c>
      <c r="I2" s="26">
        <f>(G2-$B$4+H2)/$B$4</f>
        <v>2.7777777777777776E-2</v>
      </c>
      <c r="J2" s="27">
        <f>I2-$B$1</f>
        <v>-2.2222222222222227E-2</v>
      </c>
      <c r="K2" s="28">
        <f>$B$3*(1+I2)</f>
        <v>2774999.9999999995</v>
      </c>
    </row>
    <row r="3" spans="1:11" x14ac:dyDescent="0.25">
      <c r="A3" t="s">
        <v>47</v>
      </c>
      <c r="B3" s="24">
        <v>2700000</v>
      </c>
      <c r="E3" s="9" t="s">
        <v>55</v>
      </c>
      <c r="F3" s="25">
        <v>0.5</v>
      </c>
      <c r="G3" s="25">
        <v>915</v>
      </c>
      <c r="H3" s="9">
        <f t="shared" ref="H3:H4" si="0">$B$2*$B$5</f>
        <v>75</v>
      </c>
      <c r="I3" s="26">
        <f t="shared" ref="I3:I4" si="1">(G3-$B$4+H3)/$B$4</f>
        <v>0.1</v>
      </c>
      <c r="J3" s="27">
        <f t="shared" ref="J3:J4" si="2">I3-$B$1</f>
        <v>0.05</v>
      </c>
      <c r="K3" s="28">
        <f t="shared" ref="K3:K4" si="3">$B$3*(1+I3)</f>
        <v>2970000.0000000005</v>
      </c>
    </row>
    <row r="4" spans="1:11" x14ac:dyDescent="0.25">
      <c r="A4" t="s">
        <v>48</v>
      </c>
      <c r="B4">
        <v>900</v>
      </c>
      <c r="E4" s="9" t="s">
        <v>56</v>
      </c>
      <c r="F4" s="25">
        <v>0.3</v>
      </c>
      <c r="G4" s="25">
        <v>985</v>
      </c>
      <c r="H4" s="9">
        <f t="shared" si="0"/>
        <v>75</v>
      </c>
      <c r="I4" s="26">
        <f t="shared" si="1"/>
        <v>0.17777777777777778</v>
      </c>
      <c r="J4" s="27">
        <f t="shared" si="2"/>
        <v>0.12777777777777777</v>
      </c>
      <c r="K4" s="28">
        <f t="shared" si="3"/>
        <v>3180000</v>
      </c>
    </row>
    <row r="5" spans="1:11" x14ac:dyDescent="0.25">
      <c r="A5" t="s">
        <v>49</v>
      </c>
      <c r="B5">
        <v>1000</v>
      </c>
      <c r="E5" s="9"/>
      <c r="F5" s="9"/>
      <c r="G5" s="9"/>
      <c r="H5" s="9"/>
      <c r="I5" s="10">
        <f>SUMPRODUCT(F2:F4,I2:I4)</f>
        <v>0.1088888888888889</v>
      </c>
      <c r="J5" s="27">
        <f>SUMPRODUCT(F2:F4,J2:J4)</f>
        <v>5.8888888888888886E-2</v>
      </c>
      <c r="K5" s="28">
        <f>SUMPRODUCT(F2:F4,K2:K4)</f>
        <v>2994000</v>
      </c>
    </row>
    <row r="9" spans="1:11" x14ac:dyDescent="0.25">
      <c r="A9" t="s">
        <v>57</v>
      </c>
    </row>
    <row r="10" spans="1:11" x14ac:dyDescent="0.25">
      <c r="A10" t="s">
        <v>58</v>
      </c>
    </row>
    <row r="11" spans="1:11" x14ac:dyDescent="0.25">
      <c r="A11" t="s">
        <v>59</v>
      </c>
      <c r="B11" s="7">
        <f>I5</f>
        <v>0.1088888888888889</v>
      </c>
    </row>
    <row r="12" spans="1:11" x14ac:dyDescent="0.25">
      <c r="A12" t="s">
        <v>60</v>
      </c>
      <c r="B12" s="7">
        <f>J5</f>
        <v>5.8888888888888886E-2</v>
      </c>
    </row>
    <row r="13" spans="1:11" x14ac:dyDescent="0.25">
      <c r="A13" t="s">
        <v>61</v>
      </c>
      <c r="B13" s="24">
        <f>K5</f>
        <v>2994000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6EB9-30CE-4621-A0B6-43F04CA634EF}">
  <dimension ref="A1:F15"/>
  <sheetViews>
    <sheetView workbookViewId="0">
      <selection activeCell="F2" sqref="F2"/>
    </sheetView>
  </sheetViews>
  <sheetFormatPr defaultRowHeight="15" x14ac:dyDescent="0.25"/>
  <cols>
    <col min="1" max="1" width="21" bestFit="1" customWidth="1"/>
    <col min="2" max="2" width="15.5703125" bestFit="1" customWidth="1"/>
    <col min="3" max="3" width="12.85546875" bestFit="1" customWidth="1"/>
    <col min="5" max="5" width="16.85546875" bestFit="1" customWidth="1"/>
  </cols>
  <sheetData>
    <row r="1" spans="1:6" ht="27" customHeight="1" x14ac:dyDescent="0.25">
      <c r="B1" s="30" t="s">
        <v>63</v>
      </c>
      <c r="C1" s="30" t="s">
        <v>64</v>
      </c>
    </row>
    <row r="2" spans="1:6" x14ac:dyDescent="0.25">
      <c r="A2" t="s">
        <v>65</v>
      </c>
      <c r="B2">
        <v>7.0000000000000007E-2</v>
      </c>
      <c r="C2">
        <v>0.12</v>
      </c>
      <c r="E2" t="s">
        <v>14</v>
      </c>
      <c r="F2" cm="1">
        <f t="array" ref="F2">MMULT(B2:C2,B7:B8)</f>
        <v>0.1</v>
      </c>
    </row>
    <row r="3" spans="1:6" x14ac:dyDescent="0.25">
      <c r="A3" t="s">
        <v>66</v>
      </c>
      <c r="B3">
        <v>0.04</v>
      </c>
      <c r="C3">
        <v>0.09</v>
      </c>
      <c r="E3" t="s">
        <v>15</v>
      </c>
      <c r="F3">
        <f t="array" ref="F3">MMULT(MMULT(TRANSPOSE(B7:B8),B14:C15),B7:B8)</f>
        <v>3.7940800000000005E-3</v>
      </c>
    </row>
    <row r="4" spans="1:6" x14ac:dyDescent="0.25">
      <c r="A4" t="s">
        <v>67</v>
      </c>
      <c r="B4">
        <f>B3^2</f>
        <v>1.6000000000000001E-3</v>
      </c>
      <c r="C4">
        <f>C3^2</f>
        <v>8.0999999999999996E-3</v>
      </c>
      <c r="E4" t="s">
        <v>25</v>
      </c>
      <c r="F4" s="32">
        <f>SQRT(F3)</f>
        <v>6.159610377288486E-2</v>
      </c>
    </row>
    <row r="5" spans="1:6" x14ac:dyDescent="0.25">
      <c r="A5" s="29" t="s">
        <v>70</v>
      </c>
      <c r="B5">
        <v>0.36</v>
      </c>
      <c r="C5">
        <v>0.36</v>
      </c>
    </row>
    <row r="6" spans="1:6" x14ac:dyDescent="0.25">
      <c r="A6" s="29"/>
      <c r="B6" t="s">
        <v>69</v>
      </c>
    </row>
    <row r="7" spans="1:6" x14ac:dyDescent="0.25">
      <c r="A7" s="29" t="s">
        <v>63</v>
      </c>
      <c r="B7">
        <v>0.4</v>
      </c>
    </row>
    <row r="8" spans="1:6" x14ac:dyDescent="0.25">
      <c r="A8" s="29" t="s">
        <v>64</v>
      </c>
      <c r="B8">
        <v>0.60000000000000009</v>
      </c>
    </row>
    <row r="9" spans="1:6" x14ac:dyDescent="0.25">
      <c r="B9" s="29">
        <f>SUM(B7:B8)</f>
        <v>1</v>
      </c>
      <c r="C9" s="29"/>
      <c r="D9" s="29"/>
    </row>
    <row r="10" spans="1:6" x14ac:dyDescent="0.25">
      <c r="A10" s="29"/>
    </row>
    <row r="11" spans="1:6" x14ac:dyDescent="0.25">
      <c r="A11" s="29"/>
    </row>
    <row r="12" spans="1:6" x14ac:dyDescent="0.25">
      <c r="A12" s="41" t="s">
        <v>68</v>
      </c>
      <c r="B12" s="41"/>
      <c r="C12" s="41"/>
    </row>
    <row r="13" spans="1:6" x14ac:dyDescent="0.25">
      <c r="A13" s="9"/>
      <c r="B13" s="31" t="s">
        <v>63</v>
      </c>
      <c r="C13" s="31" t="s">
        <v>64</v>
      </c>
    </row>
    <row r="14" spans="1:6" x14ac:dyDescent="0.25">
      <c r="A14" s="31" t="s">
        <v>63</v>
      </c>
      <c r="B14" s="9">
        <f>B4</f>
        <v>1.6000000000000001E-3</v>
      </c>
      <c r="C14" s="9">
        <f>C5*B3*C3</f>
        <v>1.2959999999999998E-3</v>
      </c>
    </row>
    <row r="15" spans="1:6" x14ac:dyDescent="0.25">
      <c r="A15" s="31" t="s">
        <v>64</v>
      </c>
      <c r="B15" s="9">
        <f>B5*B3*C3</f>
        <v>1.2959999999999998E-3</v>
      </c>
      <c r="C15" s="9">
        <f>C4</f>
        <v>8.0999999999999996E-3</v>
      </c>
    </row>
  </sheetData>
  <mergeCells count="1">
    <mergeCell ref="A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B629-54AB-4DB9-9F18-54A537EC8B4C}">
  <dimension ref="A1:H17"/>
  <sheetViews>
    <sheetView topLeftCell="A3" workbookViewId="0">
      <selection activeCell="D11" sqref="D11"/>
    </sheetView>
  </sheetViews>
  <sheetFormatPr defaultRowHeight="15" x14ac:dyDescent="0.25"/>
  <cols>
    <col min="1" max="1" width="17.85546875" bestFit="1" customWidth="1"/>
    <col min="5" max="6" width="11" bestFit="1" customWidth="1"/>
  </cols>
  <sheetData>
    <row r="1" spans="1:8" x14ac:dyDescent="0.25">
      <c r="B1" t="s">
        <v>69</v>
      </c>
    </row>
    <row r="2" spans="1:8" x14ac:dyDescent="0.25">
      <c r="A2" t="s">
        <v>75</v>
      </c>
      <c r="B2" t="s">
        <v>73</v>
      </c>
      <c r="C2" t="s">
        <v>72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 spans="1:8" x14ac:dyDescent="0.25">
      <c r="A3">
        <f>B3*$B$12+C3*$B$11</f>
        <v>0.13</v>
      </c>
      <c r="B3">
        <f>1-C3</f>
        <v>0</v>
      </c>
      <c r="C3">
        <v>1</v>
      </c>
      <c r="D3">
        <f>C3*$B$16</f>
        <v>0.2</v>
      </c>
      <c r="E3">
        <f>A3-0.5*$B$14*$B$17</f>
        <v>0.09</v>
      </c>
      <c r="F3">
        <f>A3-0.5*$B$15*$B$17</f>
        <v>6.9999999999999993E-2</v>
      </c>
      <c r="G3">
        <f>(A3-$B$12)/($D$3*$B$14)</f>
        <v>0.19999999999999998</v>
      </c>
      <c r="H3">
        <f>(A3-$B$12)/($D$3*$B$15)</f>
        <v>0.1333333333333333</v>
      </c>
    </row>
    <row r="4" spans="1:8" x14ac:dyDescent="0.25">
      <c r="A4">
        <f t="shared" ref="A4:A9" si="0">B4*$B$12+C4*$B$11</f>
        <v>0.114</v>
      </c>
      <c r="B4">
        <f t="shared" ref="B4:B8" si="1">1-C4</f>
        <v>0.19999999999999996</v>
      </c>
      <c r="C4">
        <v>0.8</v>
      </c>
      <c r="D4">
        <f t="shared" ref="D4:D9" si="2">C4*$B$16</f>
        <v>0.16000000000000003</v>
      </c>
      <c r="E4">
        <f t="shared" ref="E4:E9" si="3">A4-0.5*$B$14*$B$17</f>
        <v>7.3999999999999996E-2</v>
      </c>
      <c r="F4">
        <f t="shared" ref="F4:F9" si="4">A4-0.5*$B$15*$B$17</f>
        <v>5.3999999999999992E-2</v>
      </c>
      <c r="G4">
        <f t="shared" ref="G4:G9" si="5">(A4-$B$12)/($D$3*$B$14)</f>
        <v>0.16</v>
      </c>
      <c r="H4">
        <f t="shared" ref="H4:H9" si="6">(A4-$B$12)/($D$3*$B$15)</f>
        <v>0.10666666666666666</v>
      </c>
    </row>
    <row r="5" spans="1:8" x14ac:dyDescent="0.25">
      <c r="A5">
        <f t="shared" si="0"/>
        <v>9.8000000000000004E-2</v>
      </c>
      <c r="B5">
        <f t="shared" si="1"/>
        <v>0.4</v>
      </c>
      <c r="C5">
        <v>0.6</v>
      </c>
      <c r="D5">
        <f t="shared" si="2"/>
        <v>0.12</v>
      </c>
      <c r="E5">
        <f t="shared" si="3"/>
        <v>5.7999999999999996E-2</v>
      </c>
      <c r="F5">
        <f t="shared" si="4"/>
        <v>3.7999999999999992E-2</v>
      </c>
      <c r="G5">
        <f t="shared" si="5"/>
        <v>0.12</v>
      </c>
      <c r="H5">
        <f t="shared" si="6"/>
        <v>7.9999999999999988E-2</v>
      </c>
    </row>
    <row r="6" spans="1:8" x14ac:dyDescent="0.25">
      <c r="A6">
        <f t="shared" si="0"/>
        <v>8.2000000000000003E-2</v>
      </c>
      <c r="B6">
        <f t="shared" si="1"/>
        <v>0.6</v>
      </c>
      <c r="C6">
        <v>0.4</v>
      </c>
      <c r="D6">
        <f t="shared" si="2"/>
        <v>8.0000000000000016E-2</v>
      </c>
      <c r="E6">
        <f t="shared" si="3"/>
        <v>4.1999999999999996E-2</v>
      </c>
      <c r="F6">
        <f t="shared" si="4"/>
        <v>2.1999999999999992E-2</v>
      </c>
      <c r="G6">
        <f t="shared" si="5"/>
        <v>0.08</v>
      </c>
      <c r="H6">
        <f t="shared" si="6"/>
        <v>5.333333333333333E-2</v>
      </c>
    </row>
    <row r="7" spans="1:8" x14ac:dyDescent="0.25">
      <c r="A7">
        <f t="shared" si="0"/>
        <v>6.6000000000000003E-2</v>
      </c>
      <c r="B7">
        <f t="shared" si="1"/>
        <v>0.8</v>
      </c>
      <c r="C7">
        <v>0.2</v>
      </c>
      <c r="D7">
        <f t="shared" si="2"/>
        <v>4.0000000000000008E-2</v>
      </c>
      <c r="E7">
        <f t="shared" si="3"/>
        <v>2.5999999999999995E-2</v>
      </c>
      <c r="F7">
        <f t="shared" si="4"/>
        <v>5.9999999999999915E-3</v>
      </c>
      <c r="G7">
        <f t="shared" si="5"/>
        <v>0.04</v>
      </c>
      <c r="H7">
        <f t="shared" si="6"/>
        <v>2.6666666666666665E-2</v>
      </c>
    </row>
    <row r="8" spans="1:8" x14ac:dyDescent="0.25">
      <c r="A8">
        <f t="shared" si="0"/>
        <v>0.05</v>
      </c>
      <c r="B8">
        <f t="shared" si="1"/>
        <v>1</v>
      </c>
      <c r="C8">
        <v>0</v>
      </c>
      <c r="D8">
        <f t="shared" si="2"/>
        <v>0</v>
      </c>
      <c r="E8">
        <f t="shared" si="3"/>
        <v>9.999999999999995E-3</v>
      </c>
      <c r="F8">
        <f t="shared" si="4"/>
        <v>-1.0000000000000009E-2</v>
      </c>
      <c r="G8">
        <f t="shared" si="5"/>
        <v>0</v>
      </c>
      <c r="H8">
        <f t="shared" si="6"/>
        <v>0</v>
      </c>
    </row>
    <row r="9" spans="1:8" x14ac:dyDescent="0.25">
      <c r="A9">
        <f t="shared" si="0"/>
        <v>0.106</v>
      </c>
      <c r="B9">
        <v>0.3</v>
      </c>
      <c r="C9">
        <v>0.7</v>
      </c>
      <c r="D9">
        <f t="shared" si="2"/>
        <v>0.13999999999999999</v>
      </c>
      <c r="E9">
        <f t="shared" si="3"/>
        <v>6.5999999999999989E-2</v>
      </c>
      <c r="F9">
        <f t="shared" si="4"/>
        <v>4.5999999999999985E-2</v>
      </c>
      <c r="G9">
        <f t="shared" si="5"/>
        <v>0.13999999999999999</v>
      </c>
      <c r="H9">
        <f t="shared" si="6"/>
        <v>9.333333333333331E-2</v>
      </c>
    </row>
    <row r="11" spans="1:8" x14ac:dyDescent="0.25">
      <c r="A11" t="s">
        <v>71</v>
      </c>
      <c r="B11">
        <v>0.13</v>
      </c>
    </row>
    <row r="12" spans="1:8" x14ac:dyDescent="0.25">
      <c r="A12" t="s">
        <v>74</v>
      </c>
      <c r="B12">
        <v>0.05</v>
      </c>
    </row>
    <row r="13" spans="1:8" x14ac:dyDescent="0.25">
      <c r="A13" t="s">
        <v>76</v>
      </c>
      <c r="B13">
        <v>0.08</v>
      </c>
    </row>
    <row r="14" spans="1:8" x14ac:dyDescent="0.25">
      <c r="A14" t="s">
        <v>77</v>
      </c>
      <c r="B14">
        <v>2</v>
      </c>
    </row>
    <row r="15" spans="1:8" x14ac:dyDescent="0.25">
      <c r="A15" t="s">
        <v>77</v>
      </c>
      <c r="B15">
        <v>3</v>
      </c>
    </row>
    <row r="16" spans="1:8" x14ac:dyDescent="0.25">
      <c r="A16" t="s">
        <v>66</v>
      </c>
      <c r="B16">
        <v>0.2</v>
      </c>
    </row>
    <row r="17" spans="1:2" x14ac:dyDescent="0.25">
      <c r="A17" t="s">
        <v>67</v>
      </c>
      <c r="B17">
        <f>B16^2</f>
        <v>4.0000000000000008E-2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725A-69EB-4EFB-9C62-15F60833EF35}">
  <dimension ref="A1:F6"/>
  <sheetViews>
    <sheetView workbookViewId="0">
      <selection activeCell="I6" sqref="I6"/>
    </sheetView>
  </sheetViews>
  <sheetFormatPr defaultRowHeight="15" x14ac:dyDescent="0.25"/>
  <cols>
    <col min="1" max="1" width="20.28515625" customWidth="1"/>
    <col min="2" max="2" width="20" customWidth="1"/>
    <col min="3" max="3" width="18.7109375" customWidth="1"/>
    <col min="4" max="4" width="16.7109375" customWidth="1"/>
  </cols>
  <sheetData>
    <row r="1" spans="1:6" ht="60.75" customHeight="1" thickBot="1" x14ac:dyDescent="0.3">
      <c r="A1" s="33" t="s">
        <v>83</v>
      </c>
      <c r="B1" s="33" t="s">
        <v>84</v>
      </c>
      <c r="C1" s="33" t="s">
        <v>85</v>
      </c>
      <c r="D1" s="38" t="s">
        <v>87</v>
      </c>
      <c r="E1" s="38" t="s">
        <v>88</v>
      </c>
      <c r="F1" s="38" t="s">
        <v>89</v>
      </c>
    </row>
    <row r="2" spans="1:6" ht="32.25" thickTop="1" thickBot="1" x14ac:dyDescent="0.3">
      <c r="A2" s="34" t="s">
        <v>77</v>
      </c>
      <c r="B2" s="35">
        <v>7.0000000000000007E-2</v>
      </c>
      <c r="C2" s="34">
        <v>1</v>
      </c>
      <c r="D2">
        <v>6.5123888027903351E-2</v>
      </c>
      <c r="E2">
        <v>4.8751119720966676E-3</v>
      </c>
      <c r="F2">
        <f>$E$2+C2*$D$2</f>
        <v>6.999900000000002E-2</v>
      </c>
    </row>
    <row r="3" spans="1:6" ht="31.5" thickBot="1" x14ac:dyDescent="0.3">
      <c r="A3" s="36" t="s">
        <v>86</v>
      </c>
      <c r="B3" s="37">
        <v>7.8E-2</v>
      </c>
      <c r="C3" s="36">
        <v>1.2</v>
      </c>
      <c r="D3">
        <v>7.8E-2</v>
      </c>
      <c r="E3">
        <v>1.1999999999999713</v>
      </c>
      <c r="F3">
        <f>$E$3+C3*$D$3</f>
        <v>1.2935999999999712</v>
      </c>
    </row>
    <row r="4" spans="1:6" x14ac:dyDescent="0.25">
      <c r="A4" t="s">
        <v>90</v>
      </c>
      <c r="B4" s="7">
        <v>6.2E-2</v>
      </c>
    </row>
    <row r="6" spans="1:6" x14ac:dyDescent="0.25">
      <c r="F6">
        <f>SUM(D2:E2)</f>
        <v>6.999900000000002E-2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B0CC-BAE1-4C7A-9317-D159E1DC6406}">
  <dimension ref="A1:C17"/>
  <sheetViews>
    <sheetView tabSelected="1" topLeftCell="A2" workbookViewId="0">
      <selection activeCell="B8" sqref="B8"/>
    </sheetView>
  </sheetViews>
  <sheetFormatPr defaultRowHeight="15" x14ac:dyDescent="0.25"/>
  <cols>
    <col min="1" max="1" width="25.5703125" bestFit="1" customWidth="1"/>
    <col min="2" max="3" width="16.85546875" bestFit="1" customWidth="1"/>
  </cols>
  <sheetData>
    <row r="1" spans="1:3" x14ac:dyDescent="0.25">
      <c r="A1" t="s">
        <v>100</v>
      </c>
      <c r="B1" t="s">
        <v>91</v>
      </c>
      <c r="C1" t="s">
        <v>98</v>
      </c>
    </row>
    <row r="2" spans="1:3" x14ac:dyDescent="0.25">
      <c r="A2" t="s">
        <v>92</v>
      </c>
      <c r="B2" s="45">
        <v>900000</v>
      </c>
    </row>
    <row r="3" spans="1:3" x14ac:dyDescent="0.25">
      <c r="A3" t="s">
        <v>93</v>
      </c>
      <c r="B3" s="45">
        <v>250000</v>
      </c>
    </row>
    <row r="4" spans="1:3" x14ac:dyDescent="0.25">
      <c r="A4" t="s">
        <v>94</v>
      </c>
      <c r="B4" s="45">
        <f>B2-B3</f>
        <v>650000</v>
      </c>
      <c r="C4" s="43">
        <f>B4*(1+B8)^B5</f>
        <v>1112352.762049109</v>
      </c>
    </row>
    <row r="5" spans="1:3" x14ac:dyDescent="0.25">
      <c r="A5" t="s">
        <v>99</v>
      </c>
      <c r="B5">
        <v>15</v>
      </c>
    </row>
    <row r="6" spans="1:3" x14ac:dyDescent="0.25">
      <c r="A6" t="s">
        <v>95</v>
      </c>
      <c r="B6">
        <v>25000</v>
      </c>
      <c r="C6" s="42">
        <f>-FV(B8,B5,B6)</f>
        <v>487647.23795088293</v>
      </c>
    </row>
    <row r="7" spans="1:3" x14ac:dyDescent="0.25">
      <c r="A7" t="s">
        <v>96</v>
      </c>
      <c r="B7" s="44">
        <f>C4+C6</f>
        <v>1599999.9999999919</v>
      </c>
    </row>
    <row r="8" spans="1:3" x14ac:dyDescent="0.25">
      <c r="A8" t="s">
        <v>97</v>
      </c>
      <c r="B8" s="48">
        <v>3.6466521609092903E-2</v>
      </c>
    </row>
    <row r="10" spans="1:3" x14ac:dyDescent="0.25">
      <c r="A10" t="s">
        <v>101</v>
      </c>
      <c r="B10" s="46"/>
    </row>
    <row r="11" spans="1:3" x14ac:dyDescent="0.25">
      <c r="A11" t="s">
        <v>102</v>
      </c>
      <c r="B11" s="46">
        <v>220000</v>
      </c>
    </row>
    <row r="12" spans="1:3" x14ac:dyDescent="0.25">
      <c r="A12" t="s">
        <v>103</v>
      </c>
      <c r="B12" s="46">
        <v>11000000</v>
      </c>
    </row>
    <row r="13" spans="1:3" x14ac:dyDescent="0.25">
      <c r="A13" t="s">
        <v>97</v>
      </c>
      <c r="B13" s="7">
        <f>B11/B12</f>
        <v>0.02</v>
      </c>
    </row>
    <row r="14" spans="1:3" x14ac:dyDescent="0.25">
      <c r="A14" t="s">
        <v>104</v>
      </c>
      <c r="B14" s="7">
        <v>0.3</v>
      </c>
    </row>
    <row r="15" spans="1:3" x14ac:dyDescent="0.25">
      <c r="A15" t="s">
        <v>105</v>
      </c>
      <c r="B15" s="7">
        <f>B13/(1-B14)</f>
        <v>2.8571428571428574E-2</v>
      </c>
    </row>
    <row r="16" spans="1:3" x14ac:dyDescent="0.25">
      <c r="A16" t="s">
        <v>106</v>
      </c>
      <c r="B16" s="7">
        <v>2.5000000000000001E-2</v>
      </c>
    </row>
    <row r="17" spans="1:2" x14ac:dyDescent="0.25">
      <c r="A17" t="s">
        <v>107</v>
      </c>
      <c r="B17" s="47">
        <f>(1+B13)*(1+B16)-1</f>
        <v>4.5499999999999874E-2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1</vt:lpstr>
      <vt:lpstr>Class 2</vt:lpstr>
      <vt:lpstr>Class 3</vt:lpstr>
      <vt:lpstr>CAT 1</vt:lpstr>
      <vt:lpstr>Concept check</vt:lpstr>
      <vt:lpstr>Index models classPortfolio</vt:lpstr>
      <vt:lpstr>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koggz</dc:creator>
  <cp:lastModifiedBy>koggz</cp:lastModifiedBy>
  <dcterms:created xsi:type="dcterms:W3CDTF">2020-10-05T07:49:51Z</dcterms:created>
  <dcterms:modified xsi:type="dcterms:W3CDTF">2020-12-13T22:10:49Z</dcterms:modified>
</cp:coreProperties>
</file>