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MING METHODOLOGY\"/>
    </mc:Choice>
  </mc:AlternateContent>
  <xr:revisionPtr revIDLastSave="0" documentId="13_ncr:1_{6DC48114-7100-49ED-8430-C40627B7E367}" xr6:coauthVersionLast="45" xr6:coauthVersionMax="45" xr10:uidLastSave="{00000000-0000-0000-0000-000000000000}"/>
  <bookViews>
    <workbookView xWindow="780" yWindow="780" windowWidth="10125" windowHeight="10440" xr2:uid="{00000000-000D-0000-FFFF-FFFF00000000}"/>
  </bookViews>
  <sheets>
    <sheet name="Sheet1" sheetId="1" r:id="rId1"/>
    <sheet name="Scenario Summary " sheetId="3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S17" i="1"/>
  <c r="C36" i="1" l="1"/>
  <c r="D36" i="1"/>
  <c r="F16" i="1" l="1"/>
  <c r="F28" i="1" l="1"/>
  <c r="F20" i="1"/>
  <c r="F14" i="1"/>
  <c r="E14" i="1"/>
  <c r="F26" i="1" l="1"/>
  <c r="F30" i="1" l="1"/>
  <c r="F8" i="1"/>
  <c r="F10" i="1" s="1"/>
  <c r="E8" i="1"/>
  <c r="E10" i="1" s="1"/>
  <c r="I8" i="1" l="1"/>
  <c r="I9" i="1" l="1"/>
  <c r="I16" i="1" s="1"/>
  <c r="I21" i="1"/>
  <c r="I15" i="1"/>
  <c r="J8" i="1"/>
  <c r="J9" i="1" l="1"/>
  <c r="J16" i="1" s="1"/>
  <c r="J17" i="1" s="1"/>
  <c r="J15" i="1"/>
  <c r="J21" i="1"/>
  <c r="I17" i="1"/>
  <c r="K8" i="1"/>
  <c r="K9" i="1" l="1"/>
  <c r="K16" i="1" s="1"/>
  <c r="K15" i="1"/>
  <c r="K21" i="1"/>
  <c r="L8" i="1"/>
  <c r="K17" i="1" l="1"/>
  <c r="L9" i="1"/>
  <c r="L16" i="1" s="1"/>
  <c r="L17" i="1" s="1"/>
  <c r="L15" i="1"/>
  <c r="L21" i="1"/>
  <c r="M8" i="1"/>
  <c r="M21" i="1" l="1"/>
  <c r="M9" i="1"/>
  <c r="M16" i="1" s="1"/>
  <c r="M17" i="1" s="1"/>
  <c r="M15" i="1"/>
  <c r="N8" i="1"/>
  <c r="K11" i="1" s="1"/>
  <c r="K22" i="1" s="1"/>
  <c r="N11" i="1" l="1"/>
  <c r="N22" i="1" s="1"/>
  <c r="N21" i="1"/>
  <c r="N9" i="1"/>
  <c r="N16" i="1" s="1"/>
  <c r="N17" i="1" s="1"/>
  <c r="N15" i="1"/>
  <c r="M11" i="1"/>
  <c r="M22" i="1" s="1"/>
  <c r="J11" i="1"/>
  <c r="J22" i="1" s="1"/>
  <c r="L11" i="1"/>
  <c r="L22" i="1" s="1"/>
  <c r="O8" i="1"/>
  <c r="O21" i="1" l="1"/>
  <c r="O15" i="1"/>
  <c r="O9" i="1"/>
  <c r="O16" i="1" s="1"/>
  <c r="O17" i="1" s="1"/>
  <c r="P8" i="1"/>
  <c r="O10" i="1" s="1"/>
  <c r="O20" i="1" s="1"/>
  <c r="P10" i="1" l="1"/>
  <c r="P20" i="1" s="1"/>
  <c r="P15" i="1"/>
  <c r="P21" i="1"/>
  <c r="P9" i="1"/>
  <c r="P16" i="1" s="1"/>
  <c r="P17" i="1" s="1"/>
  <c r="I10" i="1"/>
  <c r="I20" i="1" s="1"/>
  <c r="J10" i="1"/>
  <c r="J20" i="1" s="1"/>
  <c r="K10" i="1"/>
  <c r="K20" i="1" s="1"/>
  <c r="L10" i="1"/>
  <c r="L20" i="1" s="1"/>
  <c r="M10" i="1"/>
  <c r="M20" i="1" s="1"/>
  <c r="N10" i="1"/>
  <c r="N20" i="1" s="1"/>
  <c r="Q8" i="1"/>
  <c r="Q10" i="1" l="1"/>
  <c r="Q20" i="1" s="1"/>
  <c r="Q15" i="1"/>
  <c r="Q11" i="1"/>
  <c r="Q22" i="1" s="1"/>
  <c r="Q21" i="1"/>
  <c r="Q9" i="1"/>
  <c r="Q16" i="1" s="1"/>
  <c r="Q17" i="1" s="1"/>
  <c r="O11" i="1"/>
  <c r="O22" i="1" s="1"/>
  <c r="I11" i="1"/>
  <c r="I22" i="1" s="1"/>
  <c r="P11" i="1"/>
  <c r="P22" i="1" s="1"/>
  <c r="R8" i="1"/>
  <c r="R9" i="1" l="1"/>
  <c r="R16" i="1" s="1"/>
  <c r="R10" i="1"/>
  <c r="R20" i="1" s="1"/>
  <c r="R15" i="1"/>
  <c r="R11" i="1"/>
  <c r="R22" i="1" s="1"/>
  <c r="R21" i="1"/>
  <c r="S8" i="1"/>
  <c r="S9" i="1" l="1"/>
  <c r="S16" i="1" s="1"/>
  <c r="S15" i="1"/>
  <c r="S10" i="1"/>
  <c r="S20" i="1" s="1"/>
  <c r="S11" i="1"/>
  <c r="S22" i="1" s="1"/>
  <c r="S21" i="1"/>
  <c r="T8" i="1"/>
  <c r="T9" i="1" l="1"/>
  <c r="T16" i="1" s="1"/>
  <c r="T10" i="1"/>
  <c r="T20" i="1" s="1"/>
  <c r="T15" i="1"/>
  <c r="T21" i="1"/>
  <c r="T11" i="1"/>
  <c r="T22" i="1" s="1"/>
  <c r="U8" i="1"/>
  <c r="T12" i="1" s="1"/>
  <c r="T23" i="1" s="1"/>
  <c r="T24" i="1" s="1"/>
  <c r="T17" i="1" l="1"/>
  <c r="T26" i="1" s="1"/>
  <c r="U21" i="1"/>
  <c r="U12" i="1"/>
  <c r="U23" i="1" s="1"/>
  <c r="U11" i="1"/>
  <c r="U22" i="1" s="1"/>
  <c r="U9" i="1"/>
  <c r="U16" i="1" s="1"/>
  <c r="U17" i="1" s="1"/>
  <c r="U10" i="1"/>
  <c r="U20" i="1" s="1"/>
  <c r="U15" i="1"/>
  <c r="Q12" i="1"/>
  <c r="Q23" i="1" s="1"/>
  <c r="Q24" i="1" s="1"/>
  <c r="Q26" i="1" s="1"/>
  <c r="L12" i="1"/>
  <c r="L23" i="1" s="1"/>
  <c r="L24" i="1" s="1"/>
  <c r="L26" i="1" s="1"/>
  <c r="J12" i="1"/>
  <c r="J23" i="1" s="1"/>
  <c r="J24" i="1" s="1"/>
  <c r="J26" i="1" s="1"/>
  <c r="O12" i="1"/>
  <c r="O23" i="1" s="1"/>
  <c r="O24" i="1" s="1"/>
  <c r="O26" i="1" s="1"/>
  <c r="N12" i="1"/>
  <c r="N23" i="1" s="1"/>
  <c r="N24" i="1" s="1"/>
  <c r="N26" i="1" s="1"/>
  <c r="R12" i="1"/>
  <c r="R23" i="1" s="1"/>
  <c r="R24" i="1" s="1"/>
  <c r="R26" i="1" s="1"/>
  <c r="K12" i="1"/>
  <c r="K23" i="1" s="1"/>
  <c r="K24" i="1" s="1"/>
  <c r="K26" i="1" s="1"/>
  <c r="M12" i="1"/>
  <c r="M23" i="1" s="1"/>
  <c r="M24" i="1" s="1"/>
  <c r="M26" i="1" s="1"/>
  <c r="P12" i="1"/>
  <c r="P23" i="1" s="1"/>
  <c r="P24" i="1" s="1"/>
  <c r="P26" i="1" s="1"/>
  <c r="I12" i="1"/>
  <c r="I23" i="1" s="1"/>
  <c r="I24" i="1" s="1"/>
  <c r="I26" i="1" s="1"/>
  <c r="S12" i="1"/>
  <c r="S23" i="1" s="1"/>
  <c r="S24" i="1" s="1"/>
  <c r="S26" i="1" s="1"/>
  <c r="I27" i="1" l="1"/>
  <c r="Q27" i="1"/>
  <c r="J27" i="1"/>
  <c r="T27" i="1"/>
  <c r="S27" i="1"/>
  <c r="N27" i="1"/>
  <c r="O27" i="1"/>
  <c r="K27" i="1"/>
  <c r="P27" i="1"/>
  <c r="M27" i="1"/>
  <c r="R27" i="1"/>
  <c r="L27" i="1"/>
  <c r="U24" i="1"/>
  <c r="U26" i="1" s="1"/>
  <c r="U27" i="1" s="1"/>
</calcChain>
</file>

<file path=xl/sharedStrings.xml><?xml version="1.0" encoding="utf-8"?>
<sst xmlns="http://schemas.openxmlformats.org/spreadsheetml/2006/main" count="81" uniqueCount="70">
  <si>
    <t>Financial model to determine optimal price for UN project</t>
  </si>
  <si>
    <t>Flghts per day</t>
  </si>
  <si>
    <t>All months</t>
  </si>
  <si>
    <t>Flights in month</t>
  </si>
  <si>
    <t>June/ July</t>
  </si>
  <si>
    <t>Aircraft leasing cost</t>
  </si>
  <si>
    <t>Payment period</t>
  </si>
  <si>
    <t>Insurance premium</t>
  </si>
  <si>
    <t>Flight cost</t>
  </si>
  <si>
    <t>Interest rate per annum</t>
  </si>
  <si>
    <t>Period in quarters</t>
  </si>
  <si>
    <t>Loan payment</t>
  </si>
  <si>
    <t>Period</t>
  </si>
  <si>
    <t>Model</t>
  </si>
  <si>
    <t>Contract</t>
  </si>
  <si>
    <t>Inflows</t>
  </si>
  <si>
    <t>Loan</t>
  </si>
  <si>
    <t>UN Payment</t>
  </si>
  <si>
    <t>Total</t>
  </si>
  <si>
    <t>Outflows</t>
  </si>
  <si>
    <t>Insurance</t>
  </si>
  <si>
    <t>Flight costs</t>
  </si>
  <si>
    <t>Net cashflows</t>
  </si>
  <si>
    <t>Flag - contract perd.</t>
  </si>
  <si>
    <t>Flag - aircraft lease</t>
  </si>
  <si>
    <t>Flag - flights in month</t>
  </si>
  <si>
    <t>Flag - loan payment</t>
  </si>
  <si>
    <t>Max plane capacity - 25</t>
  </si>
  <si>
    <t>Cumulative net cashflows</t>
  </si>
  <si>
    <t>List of assumptions</t>
  </si>
  <si>
    <t>Cashflow projections</t>
  </si>
  <si>
    <t>(For loan) ---&gt;</t>
  </si>
  <si>
    <t>Amount of monthly lease payment</t>
  </si>
  <si>
    <t>Interest rate per quarter (calculate)</t>
  </si>
  <si>
    <t xml:space="preserve">Loan amount </t>
  </si>
  <si>
    <t>Loan to lease aircraft(enough to the first cost of monthly lease and the insurance premium)</t>
  </si>
  <si>
    <t>Description</t>
  </si>
  <si>
    <t>Will pick from the appropriate dates entered</t>
  </si>
  <si>
    <t>Take into account flights for june and july using IF statements</t>
  </si>
  <si>
    <t>Use appropriate flags to multiply with the associated cost</t>
  </si>
  <si>
    <t>What you determine the monthly payment should be times(*) the appropriate 'flag' from above</t>
  </si>
  <si>
    <r>
      <t xml:space="preserve">Start date </t>
    </r>
    <r>
      <rPr>
        <b/>
        <sz val="12"/>
        <color theme="1"/>
        <rFont val="Calibri"/>
        <family val="2"/>
        <scheme val="minor"/>
      </rPr>
      <t>(Use date function)</t>
    </r>
  </si>
  <si>
    <r>
      <t xml:space="preserve">End date </t>
    </r>
    <r>
      <rPr>
        <b/>
        <sz val="12"/>
        <color theme="1"/>
        <rFont val="Calibri"/>
        <family val="2"/>
        <scheme val="minor"/>
      </rPr>
      <t>(Use date function)</t>
    </r>
  </si>
  <si>
    <r>
      <t>UN monthly payment</t>
    </r>
    <r>
      <rPr>
        <b/>
        <sz val="12"/>
        <color theme="1"/>
        <rFont val="Calibri"/>
        <family val="2"/>
        <scheme val="minor"/>
      </rPr>
      <t xml:space="preserve"> (TO BE DETERMINED)</t>
    </r>
  </si>
  <si>
    <r>
      <t>Have a value of 1 if the month of cash flow projection is within contract period and 0 otherwise</t>
    </r>
    <r>
      <rPr>
        <b/>
        <i/>
        <sz val="12"/>
        <color theme="4"/>
        <rFont val="Calibri"/>
        <family val="2"/>
        <scheme val="minor"/>
      </rPr>
      <t>(USE IF STATEMENTS!)</t>
    </r>
  </si>
  <si>
    <r>
      <t xml:space="preserve">Have a value of 1 if aircraft is leased and 0 otherwise </t>
    </r>
    <r>
      <rPr>
        <b/>
        <i/>
        <sz val="12"/>
        <color theme="4"/>
        <rFont val="Calibri"/>
        <family val="2"/>
        <scheme val="minor"/>
      </rPr>
      <t>(USE IF STATEMENTS!)</t>
    </r>
  </si>
  <si>
    <r>
      <t xml:space="preserve">A flag of 1 for every quarter when the loan has to be paid and 0 otherwise </t>
    </r>
    <r>
      <rPr>
        <b/>
        <i/>
        <sz val="12"/>
        <color theme="4"/>
        <rFont val="Calibri"/>
        <family val="2"/>
        <scheme val="minor"/>
      </rPr>
      <t>(USE IF STATEMENTS!)</t>
    </r>
  </si>
  <si>
    <t>ASSIGNMENT 1</t>
  </si>
  <si>
    <t>.</t>
  </si>
  <si>
    <t>Leasing cost</t>
  </si>
  <si>
    <t>Monthly payments</t>
  </si>
  <si>
    <t>Loan amount</t>
  </si>
  <si>
    <t>Best case</t>
  </si>
  <si>
    <t>Worst case</t>
  </si>
  <si>
    <t>Scenario</t>
  </si>
  <si>
    <r>
      <t>Optimal case</t>
    </r>
    <r>
      <rPr>
        <b/>
        <i/>
        <sz val="12"/>
        <color theme="1"/>
        <rFont val="Calibri"/>
        <family val="2"/>
        <scheme val="minor"/>
      </rPr>
      <t xml:space="preserve"> (average of best and worst case)</t>
    </r>
  </si>
  <si>
    <t>$F$18</t>
  </si>
  <si>
    <t>$F$23</t>
  </si>
  <si>
    <t>Created by koggz on 11/2/2020</t>
  </si>
  <si>
    <t>Created by koggz on 11/2/2020
Modified by koggz on 11/2/2020</t>
  </si>
  <si>
    <t>Optimal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</si>
  <si>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</si>
  <si>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</si>
  <si>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</si>
  <si>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</si>
  <si>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</si>
  <si>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</si>
  <si>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</si>
  <si>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$F$26</t>
  </si>
  <si>
    <t>$F$16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</si>
</sst>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409]mmm\-yy;@"/>
    <numFmt numFmtId="166" formatCode="0.0%"/>
    <numFmt numFmtId="167" formatCode="&quot;$&quot;#,##0.00"/>
    <numFmt numFmtId="168" formatCode="&quot;$&quot;#,##0.0"/>
    <numFmt numFmtId="169" formatCode="[$$-1009]#,##0.00"/>
    <numFmt numFmtId="170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center"/>
    </xf>
    <xf numFmtId="3" fontId="2" fillId="0" borderId="0" xfId="0" applyNumberFormat="1" applyFont="1"/>
    <xf numFmtId="165" fontId="3" fillId="0" borderId="0" xfId="0" applyNumberFormat="1" applyFont="1" applyFill="1"/>
    <xf numFmtId="165" fontId="3" fillId="0" borderId="0" xfId="0" applyNumberFormat="1" applyFont="1"/>
    <xf numFmtId="0" fontId="4" fillId="0" borderId="0" xfId="0" applyFont="1"/>
    <xf numFmtId="0" fontId="2" fillId="3" borderId="2" xfId="0" applyNumberFormat="1" applyFont="1" applyFill="1" applyBorder="1"/>
    <xf numFmtId="0" fontId="2" fillId="2" borderId="2" xfId="0" applyNumberFormat="1" applyFont="1" applyFill="1" applyBorder="1"/>
    <xf numFmtId="166" fontId="2" fillId="2" borderId="2" xfId="2" applyNumberFormat="1" applyFont="1" applyFill="1" applyBorder="1"/>
    <xf numFmtId="167" fontId="3" fillId="0" borderId="1" xfId="0" applyNumberFormat="1" applyFont="1" applyBorder="1"/>
    <xf numFmtId="167" fontId="2" fillId="0" borderId="0" xfId="0" applyNumberFormat="1" applyFont="1"/>
    <xf numFmtId="168" fontId="3" fillId="0" borderId="1" xfId="0" applyNumberFormat="1" applyFont="1" applyBorder="1"/>
    <xf numFmtId="0" fontId="3" fillId="0" borderId="2" xfId="0" applyFont="1" applyBorder="1"/>
    <xf numFmtId="0" fontId="3" fillId="4" borderId="2" xfId="0" applyFont="1" applyFill="1" applyBorder="1"/>
    <xf numFmtId="169" fontId="2" fillId="4" borderId="2" xfId="1" applyNumberFormat="1" applyFont="1" applyFill="1" applyBorder="1"/>
    <xf numFmtId="169" fontId="2" fillId="4" borderId="2" xfId="0" applyNumberFormat="1" applyFont="1" applyFill="1" applyBorder="1"/>
    <xf numFmtId="44" fontId="2" fillId="2" borderId="2" xfId="1" applyFont="1" applyFill="1" applyBorder="1"/>
    <xf numFmtId="44" fontId="2" fillId="2" borderId="2" xfId="1" applyFont="1" applyFill="1" applyBorder="1" applyAlignmen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0" fontId="7" fillId="5" borderId="5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0" fillId="0" borderId="1" xfId="0" applyFill="1" applyBorder="1" applyAlignment="1"/>
    <xf numFmtId="0" fontId="8" fillId="6" borderId="0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8" fillId="6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right"/>
    </xf>
    <xf numFmtId="0" fontId="10" fillId="5" borderId="5" xfId="0" applyFont="1" applyFill="1" applyBorder="1" applyAlignment="1">
      <alignment horizontal="right"/>
    </xf>
    <xf numFmtId="44" fontId="0" fillId="7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44" fontId="2" fillId="4" borderId="2" xfId="1" applyFont="1" applyFill="1" applyBorder="1"/>
    <xf numFmtId="170" fontId="2" fillId="2" borderId="2" xfId="2" applyNumberFormat="1" applyFont="1" applyFill="1" applyBorder="1"/>
    <xf numFmtId="8" fontId="2" fillId="2" borderId="2" xfId="3" applyNumberFormat="1" applyFont="1" applyFill="1" applyBorder="1"/>
    <xf numFmtId="44" fontId="0" fillId="0" borderId="4" xfId="0" applyNumberFormat="1" applyFill="1" applyBorder="1" applyAlignme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7"/>
  <sheetViews>
    <sheetView tabSelected="1" topLeftCell="G5" zoomScaleNormal="100" workbookViewId="0">
      <selection activeCell="R18" sqref="R18"/>
    </sheetView>
  </sheetViews>
  <sheetFormatPr defaultColWidth="8.7109375" defaultRowHeight="15.75" x14ac:dyDescent="0.25"/>
  <cols>
    <col min="1" max="1" width="8.7109375" style="1"/>
    <col min="2" max="2" width="58.28515625" style="1" bestFit="1" customWidth="1"/>
    <col min="3" max="3" width="26.140625" style="1" customWidth="1"/>
    <col min="4" max="4" width="14.28515625" style="1" bestFit="1" customWidth="1"/>
    <col min="5" max="5" width="19.85546875" style="1" bestFit="1" customWidth="1"/>
    <col min="6" max="6" width="14.140625" style="1" bestFit="1" customWidth="1"/>
    <col min="7" max="7" width="65.5703125" style="1" customWidth="1"/>
    <col min="8" max="8" width="20.5703125" style="1" customWidth="1"/>
    <col min="9" max="9" width="10.5703125" style="1" customWidth="1"/>
    <col min="10" max="21" width="11.28515625" style="1" bestFit="1" customWidth="1"/>
    <col min="22" max="42" width="10.5703125" style="1" customWidth="1"/>
    <col min="43" max="16384" width="8.7109375" style="1"/>
  </cols>
  <sheetData>
    <row r="1" spans="2:21" x14ac:dyDescent="0.25">
      <c r="G1" s="2" t="s">
        <v>36</v>
      </c>
    </row>
    <row r="2" spans="2:21" x14ac:dyDescent="0.25">
      <c r="B2" s="2" t="s">
        <v>47</v>
      </c>
    </row>
    <row r="3" spans="2:21" x14ac:dyDescent="0.25">
      <c r="B3" s="1" t="s">
        <v>0</v>
      </c>
    </row>
    <row r="4" spans="2:21" x14ac:dyDescent="0.25">
      <c r="B4" s="1" t="s">
        <v>27</v>
      </c>
    </row>
    <row r="6" spans="2:21" x14ac:dyDescent="0.25">
      <c r="B6" s="2" t="s">
        <v>29</v>
      </c>
      <c r="H6" s="2" t="s">
        <v>30</v>
      </c>
    </row>
    <row r="7" spans="2:21" x14ac:dyDescent="0.25">
      <c r="E7" s="2" t="s">
        <v>13</v>
      </c>
      <c r="F7" s="2" t="s">
        <v>14</v>
      </c>
    </row>
    <row r="8" spans="2:21" x14ac:dyDescent="0.25">
      <c r="B8" s="1" t="s">
        <v>41</v>
      </c>
      <c r="E8" s="3">
        <f>DATE(2020,2,1)</f>
        <v>43862</v>
      </c>
      <c r="F8" s="3">
        <f>DATE(2020,3,1)</f>
        <v>43891</v>
      </c>
      <c r="G8" s="9" t="s">
        <v>37</v>
      </c>
      <c r="H8" s="2" t="s">
        <v>12</v>
      </c>
      <c r="I8" s="7">
        <f>EOMONTH(E8,0)</f>
        <v>43890</v>
      </c>
      <c r="J8" s="8">
        <f t="shared" ref="J8:U8" si="0">EOMONTH(I8,1)</f>
        <v>43921</v>
      </c>
      <c r="K8" s="8">
        <f t="shared" si="0"/>
        <v>43951</v>
      </c>
      <c r="L8" s="8">
        <f t="shared" si="0"/>
        <v>43982</v>
      </c>
      <c r="M8" s="8">
        <f t="shared" si="0"/>
        <v>44012</v>
      </c>
      <c r="N8" s="8">
        <f t="shared" si="0"/>
        <v>44043</v>
      </c>
      <c r="O8" s="8">
        <f t="shared" si="0"/>
        <v>44074</v>
      </c>
      <c r="P8" s="8">
        <f t="shared" si="0"/>
        <v>44104</v>
      </c>
      <c r="Q8" s="8">
        <f t="shared" si="0"/>
        <v>44135</v>
      </c>
      <c r="R8" s="8">
        <f t="shared" si="0"/>
        <v>44165</v>
      </c>
      <c r="S8" s="8">
        <f t="shared" si="0"/>
        <v>44196</v>
      </c>
      <c r="T8" s="8">
        <f t="shared" si="0"/>
        <v>44227</v>
      </c>
      <c r="U8" s="8">
        <f t="shared" si="0"/>
        <v>44255</v>
      </c>
    </row>
    <row r="9" spans="2:21" x14ac:dyDescent="0.25">
      <c r="B9" s="1" t="s">
        <v>12</v>
      </c>
      <c r="E9" s="1">
        <v>13</v>
      </c>
      <c r="F9" s="1">
        <v>8</v>
      </c>
      <c r="G9" s="9" t="s">
        <v>44</v>
      </c>
      <c r="H9" s="1" t="s">
        <v>23</v>
      </c>
      <c r="I9" s="1">
        <f>IF(AND(I8&gt;=$F$8,I8&lt;=$F$10), 1,0)</f>
        <v>0</v>
      </c>
      <c r="J9" s="1">
        <f t="shared" ref="J9:U9" si="1">IF(AND(J8&gt;=$F$8,J8&lt;=$F$10), 1,0)</f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0</v>
      </c>
      <c r="S9" s="1">
        <f t="shared" si="1"/>
        <v>0</v>
      </c>
      <c r="T9" s="1">
        <f t="shared" si="1"/>
        <v>0</v>
      </c>
      <c r="U9" s="1">
        <f t="shared" si="1"/>
        <v>0</v>
      </c>
    </row>
    <row r="10" spans="2:21" x14ac:dyDescent="0.25">
      <c r="B10" s="1" t="s">
        <v>42</v>
      </c>
      <c r="D10" s="2" t="s">
        <v>31</v>
      </c>
      <c r="E10" s="3">
        <f>EOMONTH(E8,E9-1)</f>
        <v>44255</v>
      </c>
      <c r="F10" s="3">
        <f>EOMONTH(F8,F9-1)</f>
        <v>44135</v>
      </c>
      <c r="G10" s="9" t="s">
        <v>45</v>
      </c>
      <c r="H10" s="1" t="s">
        <v>24</v>
      </c>
      <c r="I10" s="1">
        <f>IF(AND(I8&gt;=$I$8,I8&lt;=$P$8),1,0)</f>
        <v>1</v>
      </c>
      <c r="J10" s="1">
        <f t="shared" ref="J10:U10" si="2">IF(AND(J8&gt;=$I$8,J8&lt;=$P$8),1,0)</f>
        <v>1</v>
      </c>
      <c r="K10" s="1">
        <f t="shared" si="2"/>
        <v>1</v>
      </c>
      <c r="L10" s="1">
        <f t="shared" si="2"/>
        <v>1</v>
      </c>
      <c r="M10" s="1">
        <f t="shared" si="2"/>
        <v>1</v>
      </c>
      <c r="N10" s="1">
        <f t="shared" si="2"/>
        <v>1</v>
      </c>
      <c r="O10" s="1">
        <f t="shared" si="2"/>
        <v>1</v>
      </c>
      <c r="P10" s="1">
        <f t="shared" si="2"/>
        <v>1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</row>
    <row r="11" spans="2:21" x14ac:dyDescent="0.25">
      <c r="E11" s="4"/>
      <c r="F11" s="4"/>
      <c r="G11" s="9" t="s">
        <v>38</v>
      </c>
      <c r="H11" s="1" t="s">
        <v>25</v>
      </c>
      <c r="I11" s="1">
        <f>IF(OR(I8=$M$8,I8=$N$8),$F$14,IF(AND(I8&gt;=$J$8,I8&lt;=$L$8),$E$14,IF(AND(I8&gt;=$O$8,I8&lt;=$Q$8),$E$14,0)))</f>
        <v>0</v>
      </c>
      <c r="J11" s="1">
        <f t="shared" ref="J11:U11" si="3">IF(OR(J8=$M$8,J8=$N$8),$F$14,IF(AND(J8&gt;=$J$8,J8&lt;=$L$8),$E$14,IF(AND(J8&gt;=$O$8,J8&lt;=$Q$8),$E$14,0)))</f>
        <v>40</v>
      </c>
      <c r="K11" s="1">
        <f t="shared" si="3"/>
        <v>40</v>
      </c>
      <c r="L11" s="1">
        <f t="shared" si="3"/>
        <v>40</v>
      </c>
      <c r="M11" s="1">
        <f t="shared" si="3"/>
        <v>32</v>
      </c>
      <c r="N11" s="1">
        <f t="shared" si="3"/>
        <v>32</v>
      </c>
      <c r="O11" s="1">
        <f t="shared" si="3"/>
        <v>40</v>
      </c>
      <c r="P11" s="1">
        <f t="shared" si="3"/>
        <v>40</v>
      </c>
      <c r="Q11" s="1">
        <f t="shared" si="3"/>
        <v>40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</row>
    <row r="12" spans="2:21" x14ac:dyDescent="0.25">
      <c r="E12" s="5" t="s">
        <v>2</v>
      </c>
      <c r="F12" s="5" t="s">
        <v>4</v>
      </c>
      <c r="G12" s="9" t="s">
        <v>46</v>
      </c>
      <c r="H12" s="1" t="s">
        <v>26</v>
      </c>
      <c r="I12" s="1">
        <f>IF(OR(I8=$L$8,I8=$O$8,I8=$R$8,I8=$U$8),1,0)</f>
        <v>0</v>
      </c>
      <c r="J12" s="1">
        <f t="shared" ref="J12:U12" si="4">IF(OR(J8=$L$8,J8=$O$8,J8=$R$8,J8=$U$8),1,0)</f>
        <v>0</v>
      </c>
      <c r="K12" s="1">
        <f t="shared" si="4"/>
        <v>0</v>
      </c>
      <c r="L12" s="1">
        <f t="shared" si="4"/>
        <v>1</v>
      </c>
      <c r="M12" s="1">
        <f t="shared" si="4"/>
        <v>0</v>
      </c>
      <c r="N12" s="1">
        <f t="shared" si="4"/>
        <v>0</v>
      </c>
      <c r="O12" s="1">
        <f t="shared" si="4"/>
        <v>1</v>
      </c>
      <c r="P12" s="1">
        <f t="shared" si="4"/>
        <v>0</v>
      </c>
      <c r="Q12" s="1">
        <f t="shared" si="4"/>
        <v>0</v>
      </c>
      <c r="R12" s="1">
        <f t="shared" si="4"/>
        <v>1</v>
      </c>
      <c r="S12" s="1">
        <f t="shared" si="4"/>
        <v>0</v>
      </c>
      <c r="T12" s="1">
        <f t="shared" si="4"/>
        <v>0</v>
      </c>
      <c r="U12" s="1">
        <f t="shared" si="4"/>
        <v>1</v>
      </c>
    </row>
    <row r="13" spans="2:21" x14ac:dyDescent="0.25">
      <c r="B13" s="1" t="s">
        <v>1</v>
      </c>
      <c r="E13" s="10">
        <v>2</v>
      </c>
      <c r="F13" s="10">
        <v>2</v>
      </c>
      <c r="G13" s="9"/>
    </row>
    <row r="14" spans="2:21" x14ac:dyDescent="0.25">
      <c r="B14" s="1" t="s">
        <v>3</v>
      </c>
      <c r="E14" s="10">
        <f>20*E13</f>
        <v>40</v>
      </c>
      <c r="F14" s="10">
        <f>16*F13</f>
        <v>32</v>
      </c>
      <c r="G14" s="9"/>
      <c r="H14" s="2" t="s">
        <v>15</v>
      </c>
    </row>
    <row r="15" spans="2:21" x14ac:dyDescent="0.25">
      <c r="E15" s="4"/>
      <c r="F15" s="4"/>
      <c r="G15" s="9"/>
      <c r="H15" s="1" t="s">
        <v>16</v>
      </c>
      <c r="I15" s="6">
        <f>IF(I8=$I$8,$F$26,0)</f>
        <v>7187.5</v>
      </c>
      <c r="J15" s="6">
        <f t="shared" ref="J15:U15" si="5">IF(J8=$I$8,$F$26,0)</f>
        <v>0</v>
      </c>
      <c r="K15" s="6">
        <f t="shared" si="5"/>
        <v>0</v>
      </c>
      <c r="L15" s="6">
        <f t="shared" si="5"/>
        <v>0</v>
      </c>
      <c r="M15" s="6">
        <f t="shared" si="5"/>
        <v>0</v>
      </c>
      <c r="N15" s="6">
        <f t="shared" si="5"/>
        <v>0</v>
      </c>
      <c r="O15" s="6">
        <f t="shared" si="5"/>
        <v>0</v>
      </c>
      <c r="P15" s="6">
        <f t="shared" si="5"/>
        <v>0</v>
      </c>
      <c r="Q15" s="6">
        <f t="shared" si="5"/>
        <v>0</v>
      </c>
      <c r="R15" s="6">
        <f t="shared" si="5"/>
        <v>0</v>
      </c>
      <c r="S15" s="6">
        <f t="shared" si="5"/>
        <v>0</v>
      </c>
      <c r="T15" s="6">
        <f t="shared" si="5"/>
        <v>0</v>
      </c>
      <c r="U15" s="6">
        <f t="shared" si="5"/>
        <v>0</v>
      </c>
    </row>
    <row r="16" spans="2:21" x14ac:dyDescent="0.25">
      <c r="B16" s="1" t="s">
        <v>43</v>
      </c>
      <c r="E16" s="4"/>
      <c r="F16" s="21">
        <f>IF(F18=C35,E35,IF(F18=C36,E36,IF(F18=C37,E37,"Error")))</f>
        <v>53118.145078031142</v>
      </c>
      <c r="G16" s="9" t="s">
        <v>40</v>
      </c>
      <c r="H16" s="1" t="s">
        <v>17</v>
      </c>
      <c r="I16" s="6">
        <f>I9*$F$16</f>
        <v>0</v>
      </c>
      <c r="J16" s="6">
        <f t="shared" ref="J16:U16" si="6">J9*$F$16</f>
        <v>53118.145078031142</v>
      </c>
      <c r="K16" s="6">
        <f t="shared" si="6"/>
        <v>53118.145078031142</v>
      </c>
      <c r="L16" s="6">
        <f t="shared" si="6"/>
        <v>53118.145078031142</v>
      </c>
      <c r="M16" s="6">
        <f t="shared" si="6"/>
        <v>53118.145078031142</v>
      </c>
      <c r="N16" s="6">
        <f t="shared" si="6"/>
        <v>53118.145078031142</v>
      </c>
      <c r="O16" s="6">
        <f t="shared" si="6"/>
        <v>53118.145078031142</v>
      </c>
      <c r="P16" s="6">
        <f t="shared" si="6"/>
        <v>53118.145078031142</v>
      </c>
      <c r="Q16" s="6">
        <f t="shared" si="6"/>
        <v>53118.145078031142</v>
      </c>
      <c r="R16" s="6">
        <f t="shared" si="6"/>
        <v>0</v>
      </c>
      <c r="S16" s="6">
        <f t="shared" si="6"/>
        <v>0</v>
      </c>
      <c r="T16" s="6">
        <f t="shared" si="6"/>
        <v>0</v>
      </c>
      <c r="U16" s="6">
        <f t="shared" si="6"/>
        <v>0</v>
      </c>
    </row>
    <row r="17" spans="2:21" x14ac:dyDescent="0.25">
      <c r="E17" s="4"/>
      <c r="F17" s="4"/>
      <c r="G17" s="9"/>
      <c r="H17" s="2" t="s">
        <v>18</v>
      </c>
      <c r="I17" s="13">
        <f>SUM(I16,I15)</f>
        <v>7187.5</v>
      </c>
      <c r="J17" s="13">
        <f t="shared" ref="J17:U17" si="7">SUM(J16,J15)</f>
        <v>53118.145078031142</v>
      </c>
      <c r="K17" s="13">
        <f t="shared" si="7"/>
        <v>53118.145078031142</v>
      </c>
      <c r="L17" s="13">
        <f t="shared" si="7"/>
        <v>53118.145078031142</v>
      </c>
      <c r="M17" s="13">
        <f t="shared" si="7"/>
        <v>53118.145078031142</v>
      </c>
      <c r="N17" s="13">
        <f t="shared" si="7"/>
        <v>53118.145078031142</v>
      </c>
      <c r="O17" s="13">
        <f t="shared" si="7"/>
        <v>53118.145078031142</v>
      </c>
      <c r="P17" s="13">
        <f t="shared" si="7"/>
        <v>53118.145078031142</v>
      </c>
      <c r="Q17" s="13">
        <f t="shared" si="7"/>
        <v>53118.145078031142</v>
      </c>
      <c r="R17" s="13">
        <f t="shared" si="7"/>
        <v>0</v>
      </c>
      <c r="S17" s="13">
        <f t="shared" si="7"/>
        <v>0</v>
      </c>
      <c r="T17" s="13">
        <f t="shared" si="7"/>
        <v>0</v>
      </c>
      <c r="U17" s="13">
        <f t="shared" si="7"/>
        <v>0</v>
      </c>
    </row>
    <row r="18" spans="2:21" x14ac:dyDescent="0.25">
      <c r="B18" s="1" t="s">
        <v>5</v>
      </c>
      <c r="E18" s="4"/>
      <c r="F18" s="20">
        <v>42500</v>
      </c>
      <c r="G18" s="9"/>
    </row>
    <row r="19" spans="2:21" x14ac:dyDescent="0.25">
      <c r="B19" s="1" t="s">
        <v>6</v>
      </c>
      <c r="E19" s="4"/>
      <c r="F19" s="11">
        <v>8</v>
      </c>
      <c r="G19" s="9"/>
      <c r="H19" s="2" t="s">
        <v>19</v>
      </c>
    </row>
    <row r="20" spans="2:21" x14ac:dyDescent="0.25">
      <c r="B20" s="1" t="s">
        <v>32</v>
      </c>
      <c r="E20" s="4"/>
      <c r="F20" s="20">
        <f>F18/F19</f>
        <v>5312.5</v>
      </c>
      <c r="G20" s="9" t="s">
        <v>39</v>
      </c>
      <c r="H20" s="1" t="s">
        <v>5</v>
      </c>
      <c r="I20" s="6">
        <f>I10*$F$20</f>
        <v>5312.5</v>
      </c>
      <c r="J20" s="6">
        <f t="shared" ref="J20:U20" si="8">J10*$F$20</f>
        <v>5312.5</v>
      </c>
      <c r="K20" s="6">
        <f t="shared" si="8"/>
        <v>5312.5</v>
      </c>
      <c r="L20" s="6">
        <f t="shared" si="8"/>
        <v>5312.5</v>
      </c>
      <c r="M20" s="6">
        <f t="shared" si="8"/>
        <v>5312.5</v>
      </c>
      <c r="N20" s="6">
        <f t="shared" si="8"/>
        <v>5312.5</v>
      </c>
      <c r="O20" s="6">
        <f t="shared" si="8"/>
        <v>5312.5</v>
      </c>
      <c r="P20" s="6">
        <f t="shared" si="8"/>
        <v>5312.5</v>
      </c>
      <c r="Q20" s="6">
        <f t="shared" si="8"/>
        <v>0</v>
      </c>
      <c r="R20" s="6">
        <f t="shared" si="8"/>
        <v>0</v>
      </c>
      <c r="S20" s="6">
        <f t="shared" si="8"/>
        <v>0</v>
      </c>
      <c r="T20" s="6">
        <f t="shared" si="8"/>
        <v>0</v>
      </c>
      <c r="U20" s="6">
        <f t="shared" si="8"/>
        <v>0</v>
      </c>
    </row>
    <row r="21" spans="2:21" x14ac:dyDescent="0.25">
      <c r="B21" s="1" t="s">
        <v>7</v>
      </c>
      <c r="E21" s="4"/>
      <c r="F21" s="20">
        <v>1875</v>
      </c>
      <c r="G21" s="9"/>
      <c r="H21" s="1" t="s">
        <v>20</v>
      </c>
      <c r="I21" s="6">
        <f>IF(I8=$I$8,$F$21,0)</f>
        <v>1875</v>
      </c>
      <c r="J21" s="6">
        <f t="shared" ref="J21:U21" si="9">IF(J8=$I$8,$F$21,0)</f>
        <v>0</v>
      </c>
      <c r="K21" s="6">
        <f t="shared" si="9"/>
        <v>0</v>
      </c>
      <c r="L21" s="6">
        <f t="shared" si="9"/>
        <v>0</v>
      </c>
      <c r="M21" s="6">
        <f t="shared" si="9"/>
        <v>0</v>
      </c>
      <c r="N21" s="6">
        <f t="shared" si="9"/>
        <v>0</v>
      </c>
      <c r="O21" s="6">
        <f t="shared" si="9"/>
        <v>0</v>
      </c>
      <c r="P21" s="6">
        <f t="shared" si="9"/>
        <v>0</v>
      </c>
      <c r="Q21" s="6">
        <f t="shared" si="9"/>
        <v>0</v>
      </c>
      <c r="R21" s="6">
        <f t="shared" si="9"/>
        <v>0</v>
      </c>
      <c r="S21" s="6">
        <f t="shared" si="9"/>
        <v>0</v>
      </c>
      <c r="T21" s="6">
        <f t="shared" si="9"/>
        <v>0</v>
      </c>
      <c r="U21" s="6">
        <f t="shared" si="9"/>
        <v>0</v>
      </c>
    </row>
    <row r="22" spans="2:21" x14ac:dyDescent="0.25">
      <c r="E22" s="4"/>
      <c r="F22" s="4"/>
      <c r="G22" s="9" t="s">
        <v>39</v>
      </c>
      <c r="H22" s="1" t="s">
        <v>21</v>
      </c>
      <c r="I22" s="6">
        <f>$F$23*I11</f>
        <v>0</v>
      </c>
      <c r="J22" s="6">
        <f t="shared" ref="J22:U22" si="10">$F$23*J11</f>
        <v>50000</v>
      </c>
      <c r="K22" s="6">
        <f t="shared" si="10"/>
        <v>50000</v>
      </c>
      <c r="L22" s="6">
        <f t="shared" si="10"/>
        <v>50000</v>
      </c>
      <c r="M22" s="6">
        <f t="shared" si="10"/>
        <v>40000</v>
      </c>
      <c r="N22" s="6">
        <f t="shared" si="10"/>
        <v>40000</v>
      </c>
      <c r="O22" s="6">
        <f t="shared" si="10"/>
        <v>50000</v>
      </c>
      <c r="P22" s="6">
        <f t="shared" si="10"/>
        <v>50000</v>
      </c>
      <c r="Q22" s="6">
        <f t="shared" si="10"/>
        <v>50000</v>
      </c>
      <c r="R22" s="6">
        <f t="shared" si="10"/>
        <v>0</v>
      </c>
      <c r="S22" s="6">
        <f t="shared" si="10"/>
        <v>0</v>
      </c>
      <c r="T22" s="6">
        <f t="shared" si="10"/>
        <v>0</v>
      </c>
      <c r="U22" s="6">
        <f t="shared" si="10"/>
        <v>0</v>
      </c>
    </row>
    <row r="23" spans="2:21" x14ac:dyDescent="0.25">
      <c r="B23" s="1" t="s">
        <v>8</v>
      </c>
      <c r="E23" s="4"/>
      <c r="F23" s="20">
        <v>1250</v>
      </c>
      <c r="G23" s="9" t="s">
        <v>39</v>
      </c>
      <c r="H23" s="1" t="s">
        <v>11</v>
      </c>
      <c r="I23" s="6">
        <f>$F$30*I12</f>
        <v>0</v>
      </c>
      <c r="J23" s="6">
        <f t="shared" ref="J23:U23" si="11">$F$30*J12</f>
        <v>0</v>
      </c>
      <c r="K23" s="6">
        <f t="shared" si="11"/>
        <v>0</v>
      </c>
      <c r="L23" s="6">
        <f t="shared" si="11"/>
        <v>1939.4151560622884</v>
      </c>
      <c r="M23" s="6">
        <f t="shared" si="11"/>
        <v>0</v>
      </c>
      <c r="N23" s="6">
        <f t="shared" si="11"/>
        <v>0</v>
      </c>
      <c r="O23" s="6">
        <f t="shared" si="11"/>
        <v>1939.4151560622884</v>
      </c>
      <c r="P23" s="6">
        <f t="shared" si="11"/>
        <v>0</v>
      </c>
      <c r="Q23" s="6">
        <f t="shared" si="11"/>
        <v>0</v>
      </c>
      <c r="R23" s="6">
        <f t="shared" si="11"/>
        <v>1939.4151560622884</v>
      </c>
      <c r="S23" s="6">
        <f t="shared" si="11"/>
        <v>0</v>
      </c>
      <c r="T23" s="6">
        <f t="shared" si="11"/>
        <v>0</v>
      </c>
      <c r="U23" s="6">
        <f t="shared" si="11"/>
        <v>1939.4151560622884</v>
      </c>
    </row>
    <row r="24" spans="2:21" x14ac:dyDescent="0.25">
      <c r="E24" s="4"/>
      <c r="F24" s="4"/>
      <c r="H24" s="2" t="s">
        <v>18</v>
      </c>
      <c r="I24" s="15">
        <f>SUM(I20,I21,I22,I23,)</f>
        <v>7187.5</v>
      </c>
      <c r="J24" s="15">
        <f t="shared" ref="J24:U24" si="12">SUM(J20,J21,J22,J23,)</f>
        <v>55312.5</v>
      </c>
      <c r="K24" s="15">
        <f t="shared" si="12"/>
        <v>55312.5</v>
      </c>
      <c r="L24" s="15">
        <f t="shared" si="12"/>
        <v>57251.915156062285</v>
      </c>
      <c r="M24" s="15">
        <f t="shared" si="12"/>
        <v>45312.5</v>
      </c>
      <c r="N24" s="15">
        <f t="shared" si="12"/>
        <v>45312.5</v>
      </c>
      <c r="O24" s="15">
        <f t="shared" si="12"/>
        <v>57251.915156062285</v>
      </c>
      <c r="P24" s="15">
        <f t="shared" si="12"/>
        <v>55312.5</v>
      </c>
      <c r="Q24" s="15">
        <f t="shared" si="12"/>
        <v>50000</v>
      </c>
      <c r="R24" s="15">
        <f t="shared" si="12"/>
        <v>1939.4151560622884</v>
      </c>
      <c r="S24" s="15">
        <f t="shared" si="12"/>
        <v>0</v>
      </c>
      <c r="T24" s="15">
        <f t="shared" si="12"/>
        <v>0</v>
      </c>
      <c r="U24" s="15">
        <f t="shared" si="12"/>
        <v>1939.4151560622884</v>
      </c>
    </row>
    <row r="25" spans="2:21" x14ac:dyDescent="0.25">
      <c r="B25" s="1" t="s">
        <v>35</v>
      </c>
      <c r="E25" s="4"/>
      <c r="F25" s="4"/>
    </row>
    <row r="26" spans="2:21" x14ac:dyDescent="0.25">
      <c r="C26" s="2" t="s">
        <v>34</v>
      </c>
      <c r="E26" s="4"/>
      <c r="F26" s="20">
        <f>F20+F21</f>
        <v>7187.5</v>
      </c>
      <c r="H26" s="1" t="s">
        <v>22</v>
      </c>
      <c r="I26" s="14">
        <f>I17-I24</f>
        <v>0</v>
      </c>
      <c r="J26" s="14">
        <f t="shared" ref="J26:U26" si="13">J17-J24</f>
        <v>-2194.3549219688575</v>
      </c>
      <c r="K26" s="14">
        <f t="shared" si="13"/>
        <v>-2194.3549219688575</v>
      </c>
      <c r="L26" s="14">
        <f t="shared" si="13"/>
        <v>-4133.7700780311425</v>
      </c>
      <c r="M26" s="14">
        <f t="shared" si="13"/>
        <v>7805.6450780311425</v>
      </c>
      <c r="N26" s="14">
        <f t="shared" si="13"/>
        <v>7805.6450780311425</v>
      </c>
      <c r="O26" s="14">
        <f t="shared" si="13"/>
        <v>-4133.7700780311425</v>
      </c>
      <c r="P26" s="14">
        <f t="shared" si="13"/>
        <v>-2194.3549219688575</v>
      </c>
      <c r="Q26" s="14">
        <f t="shared" si="13"/>
        <v>3118.1450780311425</v>
      </c>
      <c r="R26" s="14">
        <f t="shared" si="13"/>
        <v>-1939.4151560622884</v>
      </c>
      <c r="S26" s="14">
        <f t="shared" si="13"/>
        <v>0</v>
      </c>
      <c r="T26" s="14">
        <f t="shared" si="13"/>
        <v>0</v>
      </c>
      <c r="U26" s="14">
        <f t="shared" si="13"/>
        <v>-1939.4151560622884</v>
      </c>
    </row>
    <row r="27" spans="2:21" x14ac:dyDescent="0.25">
      <c r="C27" s="2" t="s">
        <v>9</v>
      </c>
      <c r="E27" s="4"/>
      <c r="F27" s="12">
        <v>0.125</v>
      </c>
      <c r="H27" s="1" t="s">
        <v>28</v>
      </c>
      <c r="I27" s="14">
        <f>SUM($I$26:I26)</f>
        <v>0</v>
      </c>
      <c r="J27" s="14">
        <f>SUM($I$26:J26)</f>
        <v>-2194.3549219688575</v>
      </c>
      <c r="K27" s="14">
        <f>SUM($I$26:K26)</f>
        <v>-4388.709843937715</v>
      </c>
      <c r="L27" s="14">
        <f>SUM($I$26:L26)</f>
        <v>-8522.4799219688575</v>
      </c>
      <c r="M27" s="14">
        <f>SUM($I$26:M26)</f>
        <v>-716.83484393771505</v>
      </c>
      <c r="N27" s="14">
        <f>SUM($I$26:N26)</f>
        <v>7088.8102340934274</v>
      </c>
      <c r="O27" s="14">
        <f>SUM($I$26:O26)</f>
        <v>2955.040156062285</v>
      </c>
      <c r="P27" s="14">
        <f>SUM($I$26:P26)</f>
        <v>760.68523409342743</v>
      </c>
      <c r="Q27" s="14">
        <f>SUM($I$26:Q26)</f>
        <v>3878.8303121245699</v>
      </c>
      <c r="R27" s="14">
        <f>SUM($I$26:R26)</f>
        <v>1939.4151560622815</v>
      </c>
      <c r="S27" s="14">
        <f>SUM($I$26:S26)</f>
        <v>1939.4151560622815</v>
      </c>
      <c r="T27" s="14">
        <f>SUM($I$26:T26)</f>
        <v>1939.4151560622815</v>
      </c>
      <c r="U27" s="14">
        <f>SUM($I$26:U26)</f>
        <v>-6.8212102632969618E-12</v>
      </c>
    </row>
    <row r="28" spans="2:21" x14ac:dyDescent="0.25">
      <c r="C28" s="2" t="s">
        <v>33</v>
      </c>
      <c r="E28" s="4"/>
      <c r="F28" s="35">
        <f>F27/F29</f>
        <v>3.125E-2</v>
      </c>
    </row>
    <row r="29" spans="2:21" x14ac:dyDescent="0.25">
      <c r="C29" s="2" t="s">
        <v>10</v>
      </c>
      <c r="E29" s="4"/>
      <c r="F29" s="11">
        <v>4</v>
      </c>
      <c r="G29" s="1" t="s">
        <v>48</v>
      </c>
    </row>
    <row r="30" spans="2:21" x14ac:dyDescent="0.25">
      <c r="C30" s="2" t="s">
        <v>11</v>
      </c>
      <c r="E30" s="4"/>
      <c r="F30" s="36">
        <f>PMT(F28,F29,-F26)</f>
        <v>1939.4151560622884</v>
      </c>
    </row>
    <row r="31" spans="2:21" x14ac:dyDescent="0.25">
      <c r="E31" s="4"/>
      <c r="F31" s="4"/>
    </row>
    <row r="34" spans="2:6" x14ac:dyDescent="0.25">
      <c r="B34" s="16" t="s">
        <v>54</v>
      </c>
      <c r="C34" s="16" t="s">
        <v>49</v>
      </c>
      <c r="D34" s="16" t="s">
        <v>8</v>
      </c>
      <c r="E34" s="17" t="s">
        <v>50</v>
      </c>
      <c r="F34" s="17" t="s">
        <v>51</v>
      </c>
    </row>
    <row r="35" spans="2:6" x14ac:dyDescent="0.25">
      <c r="B35" s="16" t="s">
        <v>52</v>
      </c>
      <c r="C35" s="18">
        <v>40000</v>
      </c>
      <c r="D35" s="18">
        <v>850</v>
      </c>
      <c r="E35" s="18">
        <v>37602.546378986313</v>
      </c>
      <c r="F35" s="19">
        <v>6875</v>
      </c>
    </row>
    <row r="36" spans="2:6" x14ac:dyDescent="0.25">
      <c r="B36" s="16" t="s">
        <v>55</v>
      </c>
      <c r="C36" s="19">
        <f>AVERAGE(C35,C37)</f>
        <v>41250</v>
      </c>
      <c r="D36" s="19">
        <f>AVERAGE(D35,D37)</f>
        <v>1050</v>
      </c>
      <c r="E36" s="18">
        <v>45360.345728508728</v>
      </c>
      <c r="F36" s="19">
        <v>7031.25</v>
      </c>
    </row>
    <row r="37" spans="2:6" x14ac:dyDescent="0.25">
      <c r="B37" s="16" t="s">
        <v>53</v>
      </c>
      <c r="C37" s="19">
        <v>42500</v>
      </c>
      <c r="D37" s="34">
        <v>1250</v>
      </c>
      <c r="E37" s="18">
        <v>53118.145078031142</v>
      </c>
      <c r="F37" s="19">
        <v>7187.5</v>
      </c>
    </row>
  </sheetData>
  <scenarios current="1" show="1" sqref="F26 F23 F16">
    <scenario name="Best case" locked="1" count="2" user="koggz" comment="Created by koggz on 11/2/2020">
      <inputCells r="F18" val="40000" numFmtId="44"/>
      <inputCells r="F23" val="850"/>
    </scenario>
    <scenario name="Worst case" locked="1" count="2" user="koggz" comment="Created by koggz on 11/2/2020_x000a_Modified by koggz on 11/2/2020">
      <inputCells r="F18" val="42500" numFmtId="44"/>
      <inputCells r="F23" val="1250"/>
    </scenario>
    <scenario name="Optimal case" locked="1" count="2" user="koggz" comment="Created by koggz on 11/2/2020_x000a_Modified by koggz on 11/2/2020">
      <inputCells r="F18" val="41250" numFmtId="44"/>
      <inputCells r="F23" val="1050"/>
    </scenario>
  </scenario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2FDD-29D2-4814-8884-71768AE16447}">
  <sheetPr>
    <outlinePr summaryBelow="0"/>
  </sheetPr>
  <dimension ref="B1:G14"/>
  <sheetViews>
    <sheetView showGridLines="0" workbookViewId="0"/>
  </sheetViews>
  <sheetFormatPr defaultRowHeight="15" outlineLevelRow="1" outlineLevelCol="1" x14ac:dyDescent="0.25"/>
  <cols>
    <col min="3" max="3" width="6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25" t="s">
        <v>61</v>
      </c>
      <c r="C2" s="25"/>
      <c r="D2" s="30"/>
      <c r="E2" s="30"/>
      <c r="F2" s="30"/>
      <c r="G2" s="30"/>
    </row>
    <row r="3" spans="2:7" ht="15.75" collapsed="1" x14ac:dyDescent="0.25">
      <c r="B3" s="24"/>
      <c r="C3" s="24"/>
      <c r="D3" s="31" t="s">
        <v>63</v>
      </c>
      <c r="E3" s="31" t="s">
        <v>52</v>
      </c>
      <c r="F3" s="31" t="s">
        <v>53</v>
      </c>
      <c r="G3" s="31" t="s">
        <v>60</v>
      </c>
    </row>
    <row r="4" spans="2:7" ht="45" hidden="1" outlineLevel="1" x14ac:dyDescent="0.25">
      <c r="B4" s="27"/>
      <c r="C4" s="27"/>
      <c r="D4" s="22"/>
      <c r="E4" s="33" t="s">
        <v>58</v>
      </c>
      <c r="F4" s="33" t="s">
        <v>59</v>
      </c>
      <c r="G4" s="33" t="s">
        <v>59</v>
      </c>
    </row>
    <row r="5" spans="2:7" x14ac:dyDescent="0.25">
      <c r="B5" s="28" t="s">
        <v>62</v>
      </c>
      <c r="C5" s="28"/>
      <c r="D5" s="26"/>
      <c r="E5" s="26"/>
      <c r="F5" s="26"/>
      <c r="G5" s="26"/>
    </row>
    <row r="6" spans="2:7" outlineLevel="1" x14ac:dyDescent="0.25">
      <c r="B6" s="27"/>
      <c r="C6" s="27" t="s">
        <v>56</v>
      </c>
      <c r="D6" s="23">
        <v>42500</v>
      </c>
      <c r="E6" s="32">
        <v>40000</v>
      </c>
      <c r="F6" s="32">
        <v>42500</v>
      </c>
      <c r="G6" s="32">
        <v>41250</v>
      </c>
    </row>
    <row r="7" spans="2:7" outlineLevel="1" x14ac:dyDescent="0.25">
      <c r="B7" s="27"/>
      <c r="C7" s="27" t="s">
        <v>57</v>
      </c>
      <c r="D7" s="23">
        <v>1250</v>
      </c>
      <c r="E7" s="32">
        <v>850</v>
      </c>
      <c r="F7" s="32">
        <v>1250</v>
      </c>
      <c r="G7" s="32">
        <v>1050</v>
      </c>
    </row>
    <row r="8" spans="2:7" x14ac:dyDescent="0.25">
      <c r="B8" s="28" t="s">
        <v>64</v>
      </c>
      <c r="C8" s="28"/>
      <c r="D8" s="26"/>
      <c r="E8" s="26"/>
      <c r="F8" s="26"/>
      <c r="G8" s="26"/>
    </row>
    <row r="9" spans="2:7" outlineLevel="1" x14ac:dyDescent="0.25">
      <c r="B9" s="27"/>
      <c r="C9" s="27" t="s">
        <v>68</v>
      </c>
      <c r="D9" s="23">
        <v>7187.5</v>
      </c>
      <c r="E9" s="23">
        <v>6875</v>
      </c>
      <c r="F9" s="23">
        <v>7187.5</v>
      </c>
      <c r="G9" s="23">
        <v>7031.25</v>
      </c>
    </row>
    <row r="10" spans="2:7" outlineLevel="1" x14ac:dyDescent="0.25">
      <c r="B10" s="27"/>
      <c r="C10" s="27" t="s">
        <v>57</v>
      </c>
      <c r="D10" s="23">
        <v>1250</v>
      </c>
      <c r="E10" s="23">
        <v>850</v>
      </c>
      <c r="F10" s="23">
        <v>1250</v>
      </c>
      <c r="G10" s="23">
        <v>1050</v>
      </c>
    </row>
    <row r="11" spans="2:7" ht="15.75" outlineLevel="1" thickBot="1" x14ac:dyDescent="0.3">
      <c r="B11" s="29"/>
      <c r="C11" s="29" t="s">
        <v>69</v>
      </c>
      <c r="D11" s="37">
        <v>53118.145078031099</v>
      </c>
      <c r="E11" s="37">
        <v>37602.546378986299</v>
      </c>
      <c r="F11" s="37">
        <v>53118.145078031099</v>
      </c>
      <c r="G11" s="37">
        <v>45360.345728508699</v>
      </c>
    </row>
    <row r="12" spans="2:7" x14ac:dyDescent="0.25">
      <c r="B12" t="s">
        <v>65</v>
      </c>
    </row>
    <row r="13" spans="2:7" x14ac:dyDescent="0.25">
      <c r="B13" t="s">
        <v>66</v>
      </c>
    </row>
    <row r="14" spans="2:7" x14ac:dyDescent="0.25"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Scenario 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</dc:creator>
  <cp:lastModifiedBy>koggz</cp:lastModifiedBy>
  <cp:lastPrinted>2019-09-20T06:03:03Z</cp:lastPrinted>
  <dcterms:created xsi:type="dcterms:W3CDTF">2019-09-20T05:51:45Z</dcterms:created>
  <dcterms:modified xsi:type="dcterms:W3CDTF">2020-11-03T11:01:02Z</dcterms:modified>
</cp:coreProperties>
</file>