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ER\Documents\Files ni Precious\BSCE\5TH YR\rcd\reynan revision 02\"/>
    </mc:Choice>
  </mc:AlternateContent>
  <xr:revisionPtr revIDLastSave="0" documentId="13_ncr:1_{986F9482-213D-4F51-BC8C-F73237879BFA}" xr6:coauthVersionLast="47" xr6:coauthVersionMax="47" xr10:uidLastSave="{00000000-0000-0000-0000-000000000000}"/>
  <bookViews>
    <workbookView xWindow="-108" yWindow="-108" windowWidth="23256" windowHeight="12720" tabRatio="863" firstSheet="6" activeTab="11" xr2:uid="{00000000-000D-0000-FFFF-FFFF00000000}"/>
  </bookViews>
  <sheets>
    <sheet name="INTRO" sheetId="23" r:id="rId1"/>
    <sheet name="jm grasp 1" sheetId="28" state="hidden" r:id="rId2"/>
    <sheet name="jm grasp 2" sheetId="20" state="hidden" r:id="rId3"/>
    <sheet name="pre grasp 1" sheetId="27" state="hidden" r:id="rId4"/>
    <sheet name="jm grasp 3" sheetId="12" state="hidden" r:id="rId5"/>
    <sheet name="pre grasp 2" sheetId="1" state="hidden" r:id="rId6"/>
    <sheet name="PRINT --&gt;" sheetId="25" r:id="rId7"/>
    <sheet name="DL-LL" sheetId="13" r:id="rId8"/>
    <sheet name="JM GRASP SUMMARY" sheetId="29" r:id="rId9"/>
    <sheet name="PRE LOADS FOR GRASP" sheetId="6" r:id="rId10"/>
    <sheet name="PRE GRASP SUMMARY 1" sheetId="26" r:id="rId11"/>
    <sheet name="PRE GRASP SUMMARY 2" sheetId="35" r:id="rId12"/>
    <sheet name="STAIR" sheetId="8" r:id="rId13"/>
    <sheet name="SLAB" sheetId="3" r:id="rId14"/>
    <sheet name="JM LOAD EQ" sheetId="14" r:id="rId15"/>
    <sheet name="PRE LOAD EQ" sheetId="9" r:id="rId16"/>
    <sheet name="BASE SHEAR" sheetId="10" r:id="rId17"/>
    <sheet name="PORTAL" sheetId="11" r:id="rId18"/>
    <sheet name="BEAM EQ" sheetId="15" r:id="rId19"/>
    <sheet name="JM STIRRUP" sheetId="18" r:id="rId20"/>
    <sheet name="PRE STIRRUP" sheetId="16" r:id="rId21"/>
    <sheet name="COLUMN EQ" sheetId="24" r:id="rId22"/>
    <sheet name="DESIGN SUMMARY" sheetId="30" r:id="rId23"/>
    <sheet name="TIES &amp; STIRRUP EQ" sheetId="31" r:id="rId24"/>
    <sheet name="SCHEDULE" sheetId="33" r:id="rId25"/>
  </sheets>
  <externalReferences>
    <externalReference r:id="rId26"/>
    <externalReference r:id="rId27"/>
  </externalReferences>
  <definedNames>
    <definedName name="_xlnm.Print_Area" localSheetId="16">'BASE SHEAR'!$A$1:$L$81,'BASE SHEAR'!$N$1:$Y$81</definedName>
    <definedName name="_xlnm.Print_Area" localSheetId="18">'BEAM EQ'!$K$1:$S$61,'BEAM EQ'!$A$1:$I$61,'BEAM EQ'!$U$1:$AC$60,'BEAM EQ'!$AE$1:$AM$60,'BEAM EQ'!$AO$1:$AW$60,'BEAM EQ'!$A$63:$I$123,'BEAM EQ'!$K$63:$S$123,'BEAM EQ'!$K$125:$S$185,'BEAM EQ'!$K$187:$S$247</definedName>
    <definedName name="_xlnm.Print_Area" localSheetId="21">'COLUMN EQ'!$A$1:$I$78,'COLUMN EQ'!$K$1:$S$78,'COLUMN EQ'!$U$1:$AC$78</definedName>
    <definedName name="_xlnm.Print_Area" localSheetId="22">'DESIGN SUMMARY'!$A$1:$K$46</definedName>
    <definedName name="_xlnm.Print_Area" localSheetId="7">'DL-LL'!$A$1:$T$42</definedName>
    <definedName name="_xlnm.Print_Area" localSheetId="2">'jm grasp 2'!$A$1:$H$55,'jm grasp 2'!$J$1:$Q$55,'jm grasp 2'!$S$1:$Z$55,'jm grasp 2'!$AB$1:$AI$55,'jm grasp 2'!$AK$1:$AR$29</definedName>
    <definedName name="_xlnm.Print_Area" localSheetId="8">'JM GRASP SUMMARY'!$A$1:$G$36</definedName>
    <definedName name="_xlnm.Print_Area" localSheetId="14">'JM LOAD EQ'!$A$1:$O$32</definedName>
    <definedName name="_xlnm.Print_Area" localSheetId="19">'JM STIRRUP'!$A$1:$H$55,'JM STIRRUP'!$J$1:$Q$55,'JM STIRRUP'!$S$1:$Z$55,'JM STIRRUP'!$AB$1:$AI$55,'JM STIRRUP'!$AK$1:$AR$55</definedName>
    <definedName name="_xlnm.Print_Area" localSheetId="17">PORTAL!$A$1:$R$87,PORTAL!$T$1:$AR$87</definedName>
    <definedName name="_xlnm.Print_Area" localSheetId="5">'pre grasp 2'!$A$1:$V$48,'pre grasp 2'!$A$51:$V$98,'pre grasp 2'!$A$101:$V$148</definedName>
    <definedName name="_xlnm.Print_Area" localSheetId="10">'PRE GRASP SUMMARY 1'!$A$1:$V$48,'PRE GRASP SUMMARY 1'!$A$51:$V$98,'PRE GRASP SUMMARY 1'!$A$101:$V$148</definedName>
    <definedName name="_xlnm.Print_Area" localSheetId="11">'PRE GRASP SUMMARY 2'!$A$1:$V$48,'PRE GRASP SUMMARY 2'!$A$51:$V$98,'PRE GRASP SUMMARY 2'!$A$101:$V$148</definedName>
    <definedName name="_xlnm.Print_Area" localSheetId="15">'PRE LOAD EQ'!$A$1:$I$72</definedName>
    <definedName name="_xlnm.Print_Area" localSheetId="9">'PRE LOADS FOR GRASP'!$A$1:$T$80</definedName>
    <definedName name="_xlnm.Print_Area" localSheetId="20">'PRE STIRRUP'!$A$1:$H$55,'PRE STIRRUP'!$J$1:$Q$55,'PRE STIRRUP'!$A$57:$H$111,'PRE STIRRUP'!$J$57:$Q$111,'PRE STIRRUP'!$A$113:$H$167,'PRE STIRRUP'!$J$113:$Q$167</definedName>
    <definedName name="_xlnm.Print_Area" localSheetId="13">SLAB!$A$1:$K$52,SLAB!$M$1:$W$52,SLAB!$Y$1:$AI$52,SLAB!$AK$1:$AU$52,SLAB!$A$55:$K$106,SLAB!$M$55:$W$106</definedName>
    <definedName name="_xlnm.Print_Area" localSheetId="12">STAIR!$A$1:$L$74</definedName>
    <definedName name="_xlnm.Print_Area" localSheetId="23">'TIES &amp; STIRRUP EQ'!$A$1:$I$51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2" i="35" l="1" a="1"/>
  <c r="N142" i="35" s="1"/>
  <c r="M142" i="35" a="1"/>
  <c r="M142" i="35" s="1"/>
  <c r="L142" i="35"/>
  <c r="N141" i="35" a="1"/>
  <c r="N141" i="35" s="1"/>
  <c r="M141" i="35"/>
  <c r="M141" i="35" a="1"/>
  <c r="L141" i="35"/>
  <c r="N138" i="35" a="1"/>
  <c r="N138" i="35" s="1"/>
  <c r="M138" i="35" a="1"/>
  <c r="M138" i="35" s="1"/>
  <c r="L138" i="35"/>
  <c r="N137" i="35"/>
  <c r="N137" i="35" a="1"/>
  <c r="M137" i="35"/>
  <c r="M137" i="35" a="1"/>
  <c r="L137" i="35"/>
  <c r="N134" i="35" a="1"/>
  <c r="N134" i="35" s="1"/>
  <c r="M134" i="35" a="1"/>
  <c r="M134" i="35" s="1"/>
  <c r="L134" i="35"/>
  <c r="N133" i="35"/>
  <c r="N133" i="35" a="1"/>
  <c r="M133" i="35"/>
  <c r="M133" i="35" a="1"/>
  <c r="L133" i="35"/>
  <c r="N130" i="35" a="1"/>
  <c r="N130" i="35" s="1"/>
  <c r="M130" i="35"/>
  <c r="M130" i="35" a="1"/>
  <c r="L130" i="35"/>
  <c r="N129" i="35" a="1"/>
  <c r="N129" i="35" s="1"/>
  <c r="M129" i="35" a="1"/>
  <c r="M129" i="35" s="1"/>
  <c r="L129" i="35"/>
  <c r="N124" i="35" a="1"/>
  <c r="N124" i="35" s="1"/>
  <c r="M124" i="35" a="1"/>
  <c r="M124" i="35" s="1"/>
  <c r="L124" i="35" a="1"/>
  <c r="L124" i="35" s="1"/>
  <c r="N123" i="35" a="1"/>
  <c r="N123" i="35" s="1"/>
  <c r="M123" i="35" a="1"/>
  <c r="M123" i="35" s="1"/>
  <c r="L123" i="35" a="1"/>
  <c r="L123" i="35" s="1"/>
  <c r="N119" i="35" a="1"/>
  <c r="N119" i="35" s="1"/>
  <c r="M119" i="35" a="1"/>
  <c r="M119" i="35" s="1"/>
  <c r="L119" i="35" a="1"/>
  <c r="L119" i="35" s="1"/>
  <c r="N118" i="35" a="1"/>
  <c r="N118" i="35" s="1"/>
  <c r="M118" i="35" a="1"/>
  <c r="M118" i="35" s="1"/>
  <c r="L118" i="35" a="1"/>
  <c r="L118" i="35" s="1"/>
  <c r="O112" i="35" a="1"/>
  <c r="O112" i="35" s="1"/>
  <c r="N112" i="35" a="1"/>
  <c r="N112" i="35" s="1"/>
  <c r="M112" i="35"/>
  <c r="L112" i="35"/>
  <c r="O111" i="35" a="1"/>
  <c r="O111" i="35" s="1"/>
  <c r="N111" i="35" a="1"/>
  <c r="N111" i="35" s="1"/>
  <c r="M111" i="35"/>
  <c r="L111" i="35"/>
  <c r="O107" i="35" a="1"/>
  <c r="O107" i="35" s="1"/>
  <c r="N107" i="35" a="1"/>
  <c r="N107" i="35" s="1"/>
  <c r="M107" i="35"/>
  <c r="L107" i="35"/>
  <c r="O106" i="35" a="1"/>
  <c r="O106" i="35" s="1"/>
  <c r="N106" i="35" a="1"/>
  <c r="N106" i="35" s="1"/>
  <c r="M106" i="35"/>
  <c r="L106" i="35"/>
  <c r="N92" i="35" a="1"/>
  <c r="N92" i="35" s="1"/>
  <c r="M92" i="35" a="1"/>
  <c r="M92" i="35" s="1"/>
  <c r="L92" i="35"/>
  <c r="N91" i="35"/>
  <c r="N91" i="35" a="1"/>
  <c r="M91" i="35" a="1"/>
  <c r="M91" i="35" s="1"/>
  <c r="L91" i="35"/>
  <c r="N88" i="35" a="1"/>
  <c r="N88" i="35" s="1"/>
  <c r="M88" i="35" a="1"/>
  <c r="M88" i="35" s="1"/>
  <c r="L88" i="35"/>
  <c r="N87" i="35" a="1"/>
  <c r="N87" i="35" s="1"/>
  <c r="M87" i="35"/>
  <c r="M87" i="35" a="1"/>
  <c r="L87" i="35"/>
  <c r="N84" i="35" a="1"/>
  <c r="N84" i="35" s="1"/>
  <c r="M84" i="35"/>
  <c r="M84" i="35" a="1"/>
  <c r="L84" i="35"/>
  <c r="N83" i="35"/>
  <c r="N83" i="35" a="1"/>
  <c r="M83" i="35"/>
  <c r="M83" i="35" a="1"/>
  <c r="L83" i="35"/>
  <c r="N80" i="35"/>
  <c r="N80" i="35" a="1"/>
  <c r="M80" i="35" a="1"/>
  <c r="M80" i="35" s="1"/>
  <c r="L80" i="35"/>
  <c r="N79" i="35"/>
  <c r="N79" i="35" a="1"/>
  <c r="M79" i="35"/>
  <c r="M79" i="35" a="1"/>
  <c r="L79" i="35"/>
  <c r="N74" i="35" a="1"/>
  <c r="N74" i="35" s="1"/>
  <c r="M74" i="35" a="1"/>
  <c r="M74" i="35" s="1"/>
  <c r="L74" i="35" a="1"/>
  <c r="L74" i="35" s="1"/>
  <c r="N73" i="35" a="1"/>
  <c r="N73" i="35" s="1"/>
  <c r="M73" i="35" a="1"/>
  <c r="M73" i="35" s="1"/>
  <c r="L73" i="35" a="1"/>
  <c r="L73" i="35" s="1"/>
  <c r="N69" i="35" a="1"/>
  <c r="N69" i="35" s="1"/>
  <c r="M69" i="35" a="1"/>
  <c r="M69" i="35" s="1"/>
  <c r="L69" i="35" a="1"/>
  <c r="L69" i="35" s="1"/>
  <c r="N68" i="35" a="1"/>
  <c r="N68" i="35" s="1"/>
  <c r="M68" i="35" a="1"/>
  <c r="M68" i="35" s="1"/>
  <c r="L68" i="35" a="1"/>
  <c r="L68" i="35" s="1"/>
  <c r="O62" i="35" a="1"/>
  <c r="O62" i="35" s="1"/>
  <c r="N62" i="35" a="1"/>
  <c r="N62" i="35" s="1"/>
  <c r="M62" i="35"/>
  <c r="L62" i="35"/>
  <c r="O61" i="35" a="1"/>
  <c r="O61" i="35" s="1"/>
  <c r="N61" i="35" a="1"/>
  <c r="N61" i="35" s="1"/>
  <c r="M61" i="35"/>
  <c r="L61" i="35"/>
  <c r="O57" i="35" a="1"/>
  <c r="O57" i="35" s="1"/>
  <c r="N57" i="35" a="1"/>
  <c r="N57" i="35" s="1"/>
  <c r="M57" i="35"/>
  <c r="L57" i="35"/>
  <c r="O56" i="35" a="1"/>
  <c r="O56" i="35" s="1"/>
  <c r="N56" i="35" a="1"/>
  <c r="N56" i="35" s="1"/>
  <c r="M56" i="35"/>
  <c r="L56" i="35"/>
  <c r="L42" i="35"/>
  <c r="L41" i="35"/>
  <c r="L38" i="35"/>
  <c r="L37" i="35"/>
  <c r="L34" i="35"/>
  <c r="L33" i="35"/>
  <c r="L30" i="35"/>
  <c r="L29" i="35"/>
  <c r="N42" i="35" a="1"/>
  <c r="N42" i="35" s="1"/>
  <c r="M42" i="35" a="1"/>
  <c r="M42" i="35" s="1"/>
  <c r="N38" i="35" a="1"/>
  <c r="N38" i="35" s="1"/>
  <c r="M38" i="35" a="1"/>
  <c r="M38" i="35" s="1"/>
  <c r="N34" i="35" a="1"/>
  <c r="N34" i="35" s="1"/>
  <c r="M34" i="35" a="1"/>
  <c r="M34" i="35" s="1"/>
  <c r="N30" i="35" a="1"/>
  <c r="N30" i="35" s="1"/>
  <c r="M30" i="35" a="1"/>
  <c r="M30" i="35" s="1"/>
  <c r="L19" i="35" a="1"/>
  <c r="L19" i="35" s="1"/>
  <c r="M19" i="35" a="1"/>
  <c r="M19" i="35" s="1"/>
  <c r="N19" i="35" a="1"/>
  <c r="N19" i="35" s="1"/>
  <c r="L24" i="35" a="1"/>
  <c r="L24" i="35" s="1"/>
  <c r="M24" i="35" a="1"/>
  <c r="M24" i="35" s="1"/>
  <c r="N24" i="35" a="1"/>
  <c r="N24" i="35" s="1"/>
  <c r="N41" i="35" a="1"/>
  <c r="N41" i="35" s="1"/>
  <c r="M41" i="35" a="1"/>
  <c r="M41" i="35" s="1"/>
  <c r="N37" i="35" a="1"/>
  <c r="N37" i="35" s="1"/>
  <c r="M37" i="35" a="1"/>
  <c r="M37" i="35" s="1"/>
  <c r="N33" i="35" a="1"/>
  <c r="N33" i="35" s="1"/>
  <c r="M33" i="35" a="1"/>
  <c r="M33" i="35" s="1"/>
  <c r="N29" i="35" a="1"/>
  <c r="N29" i="35" s="1"/>
  <c r="M29" i="35" a="1"/>
  <c r="M29" i="35" s="1"/>
  <c r="N23" i="35" a="1"/>
  <c r="N23" i="35" s="1"/>
  <c r="M23" i="35" a="1"/>
  <c r="M23" i="35" s="1"/>
  <c r="L23" i="35" a="1"/>
  <c r="L23" i="35" s="1"/>
  <c r="N18" i="35" a="1"/>
  <c r="N18" i="35" s="1"/>
  <c r="M18" i="35" a="1"/>
  <c r="M18" i="35" s="1"/>
  <c r="L18" i="35" a="1"/>
  <c r="L18" i="35" s="1"/>
  <c r="O12" i="35" a="1"/>
  <c r="O12" i="35" s="1"/>
  <c r="N12" i="35" a="1"/>
  <c r="N12" i="35" s="1"/>
  <c r="M12" i="35"/>
  <c r="L12" i="35"/>
  <c r="O11" i="35" a="1"/>
  <c r="O11" i="35" s="1"/>
  <c r="N11" i="35" a="1"/>
  <c r="N11" i="35" s="1"/>
  <c r="M11" i="35"/>
  <c r="L11" i="35"/>
  <c r="O7" i="35" a="1"/>
  <c r="O7" i="35" s="1"/>
  <c r="N7" i="35" a="1"/>
  <c r="N7" i="35" s="1"/>
  <c r="M7" i="35"/>
  <c r="L7" i="35"/>
  <c r="O6" i="35" a="1"/>
  <c r="O6" i="35" s="1"/>
  <c r="N6" i="35" a="1"/>
  <c r="N6" i="35" s="1"/>
  <c r="M6" i="35"/>
  <c r="L6" i="35"/>
  <c r="D162" i="35"/>
  <c r="C162" i="35"/>
  <c r="D161" i="35"/>
  <c r="C161" i="35"/>
  <c r="D160" i="35"/>
  <c r="C160" i="35"/>
  <c r="D155" i="35"/>
  <c r="C155" i="35"/>
  <c r="D154" i="35"/>
  <c r="C154" i="35"/>
  <c r="D153" i="35"/>
  <c r="C153" i="35"/>
  <c r="D47" i="31"/>
  <c r="D37" i="31"/>
  <c r="D27" i="31"/>
  <c r="D17" i="31"/>
  <c r="D7" i="31"/>
  <c r="G134" i="15"/>
  <c r="G138" i="15" s="1"/>
  <c r="E136" i="15"/>
  <c r="G136" i="15"/>
  <c r="E141" i="15" s="1"/>
  <c r="C169" i="15" s="1"/>
  <c r="F169" i="15" s="1"/>
  <c r="D170" i="15" s="1"/>
  <c r="E173" i="15" s="1"/>
  <c r="E137" i="15"/>
  <c r="E140" i="15" s="1"/>
  <c r="E129" i="15" s="1"/>
  <c r="G137" i="15"/>
  <c r="E138" i="15"/>
  <c r="E139" i="15"/>
  <c r="G139" i="15"/>
  <c r="D145" i="15"/>
  <c r="D150" i="15" s="1"/>
  <c r="D147" i="15"/>
  <c r="D148" i="15" s="1"/>
  <c r="D149" i="15"/>
  <c r="E162" i="15"/>
  <c r="F168" i="15"/>
  <c r="E172" i="15"/>
  <c r="D181" i="15"/>
  <c r="G196" i="15"/>
  <c r="G200" i="15" s="1"/>
  <c r="E198" i="15"/>
  <c r="G198" i="15"/>
  <c r="E199" i="15"/>
  <c r="E202" i="15" s="1"/>
  <c r="E191" i="15" s="1"/>
  <c r="G199" i="15"/>
  <c r="E203" i="15" s="1"/>
  <c r="E200" i="15"/>
  <c r="E201" i="15"/>
  <c r="G201" i="15"/>
  <c r="D207" i="15"/>
  <c r="D212" i="15" s="1"/>
  <c r="C213" i="15" s="1"/>
  <c r="D214" i="15" s="1"/>
  <c r="D215" i="15" s="1"/>
  <c r="D209" i="15"/>
  <c r="F229" i="15" s="1"/>
  <c r="D211" i="15"/>
  <c r="E224" i="15"/>
  <c r="F230" i="15"/>
  <c r="E234" i="15"/>
  <c r="D243" i="15"/>
  <c r="G72" i="15"/>
  <c r="G76" i="15" s="1"/>
  <c r="Q72" i="15"/>
  <c r="Q76" i="15" s="1"/>
  <c r="E74" i="15"/>
  <c r="G74" i="15"/>
  <c r="O74" i="15"/>
  <c r="Q74" i="15"/>
  <c r="E75" i="15"/>
  <c r="G75" i="15"/>
  <c r="O75" i="15"/>
  <c r="Q75" i="15"/>
  <c r="E76" i="15"/>
  <c r="O76" i="15"/>
  <c r="E77" i="15"/>
  <c r="O77" i="15"/>
  <c r="D83" i="15"/>
  <c r="N83" i="15"/>
  <c r="D85" i="15"/>
  <c r="F105" i="15" s="1"/>
  <c r="N85" i="15"/>
  <c r="P105" i="15" s="1"/>
  <c r="D87" i="15"/>
  <c r="N87" i="15"/>
  <c r="M89" i="15" s="1"/>
  <c r="N90" i="15" s="1"/>
  <c r="N91" i="15" s="1"/>
  <c r="D88" i="15"/>
  <c r="C97" i="15" s="1"/>
  <c r="N88" i="15"/>
  <c r="M97" i="15" s="1"/>
  <c r="C89" i="15"/>
  <c r="D90" i="15" s="1"/>
  <c r="D91" i="15" s="1"/>
  <c r="F92" i="15"/>
  <c r="E100" i="15"/>
  <c r="O100" i="15"/>
  <c r="F106" i="15"/>
  <c r="P106" i="15"/>
  <c r="E110" i="15"/>
  <c r="O110" i="15"/>
  <c r="D119" i="15"/>
  <c r="N119" i="15"/>
  <c r="Q134" i="15"/>
  <c r="O136" i="15"/>
  <c r="Q136" i="15"/>
  <c r="O137" i="15"/>
  <c r="Q137" i="15"/>
  <c r="O138" i="15"/>
  <c r="Q138" i="15"/>
  <c r="O141" i="15" s="1"/>
  <c r="M169" i="15" s="1"/>
  <c r="O139" i="15"/>
  <c r="Q139" i="15"/>
  <c r="O140" i="15"/>
  <c r="O129" i="15" s="1"/>
  <c r="N145" i="15"/>
  <c r="N150" i="15" s="1"/>
  <c r="M159" i="15" s="1"/>
  <c r="N160" i="15" s="1"/>
  <c r="N147" i="15"/>
  <c r="P167" i="15" s="1"/>
  <c r="N149" i="15"/>
  <c r="P154" i="15"/>
  <c r="O162" i="15"/>
  <c r="P168" i="15"/>
  <c r="O172" i="15"/>
  <c r="N181" i="15"/>
  <c r="Q196" i="15"/>
  <c r="O198" i="15"/>
  <c r="Q198" i="15"/>
  <c r="O199" i="15"/>
  <c r="O202" i="15" s="1"/>
  <c r="O191" i="15" s="1"/>
  <c r="Q199" i="15"/>
  <c r="O203" i="15" s="1"/>
  <c r="M231" i="15" s="1"/>
  <c r="O200" i="15"/>
  <c r="Q200" i="15"/>
  <c r="O201" i="15"/>
  <c r="Q201" i="15"/>
  <c r="N207" i="15"/>
  <c r="N212" i="15" s="1"/>
  <c r="M221" i="15" s="1"/>
  <c r="N222" i="15" s="1"/>
  <c r="N209" i="15"/>
  <c r="P229" i="15" s="1"/>
  <c r="N211" i="15"/>
  <c r="O224" i="15"/>
  <c r="P230" i="15"/>
  <c r="O234" i="15"/>
  <c r="N243" i="15"/>
  <c r="O17" i="31"/>
  <c r="O14" i="31"/>
  <c r="O13" i="31"/>
  <c r="N7" i="31"/>
  <c r="O10" i="31" s="1"/>
  <c r="D40" i="31"/>
  <c r="D30" i="31"/>
  <c r="H29" i="15"/>
  <c r="D10" i="31"/>
  <c r="C159" i="15" l="1"/>
  <c r="D160" i="15" s="1"/>
  <c r="E163" i="15" s="1"/>
  <c r="C183" i="15" s="1"/>
  <c r="C151" i="15"/>
  <c r="D152" i="15" s="1"/>
  <c r="D153" i="15" s="1"/>
  <c r="D86" i="15"/>
  <c r="D210" i="15"/>
  <c r="Q77" i="15"/>
  <c r="O79" i="15" s="1"/>
  <c r="N86" i="15"/>
  <c r="E78" i="15"/>
  <c r="E67" i="15" s="1"/>
  <c r="D92" i="15" s="1"/>
  <c r="F90" i="15" s="1"/>
  <c r="H90" i="15" s="1"/>
  <c r="D98" i="15" s="1"/>
  <c r="E101" i="15" s="1"/>
  <c r="C121" i="15" s="1"/>
  <c r="D154" i="15"/>
  <c r="F152" i="15" s="1"/>
  <c r="F153" i="15" s="1"/>
  <c r="F154" i="15" s="1"/>
  <c r="D216" i="15"/>
  <c r="F214" i="15" s="1"/>
  <c r="C221" i="15"/>
  <c r="F167" i="15"/>
  <c r="P231" i="15"/>
  <c r="N232" i="15" s="1"/>
  <c r="O235" i="15" s="1"/>
  <c r="O78" i="15"/>
  <c r="O67" i="15" s="1"/>
  <c r="N92" i="15" s="1"/>
  <c r="P90" i="15" s="1"/>
  <c r="R90" i="15" s="1"/>
  <c r="M213" i="15"/>
  <c r="N214" i="15" s="1"/>
  <c r="N215" i="15" s="1"/>
  <c r="N216" i="15" s="1"/>
  <c r="P214" i="15" s="1"/>
  <c r="P215" i="15" s="1"/>
  <c r="P216" i="15" s="1"/>
  <c r="O163" i="15"/>
  <c r="N148" i="15"/>
  <c r="G77" i="15"/>
  <c r="E79" i="15"/>
  <c r="O225" i="15"/>
  <c r="N210" i="15"/>
  <c r="P169" i="15"/>
  <c r="N170" i="15" s="1"/>
  <c r="O173" i="15" s="1"/>
  <c r="M151" i="15"/>
  <c r="N152" i="15" s="1"/>
  <c r="N153" i="15" s="1"/>
  <c r="N154" i="15" s="1"/>
  <c r="P152" i="15" s="1"/>
  <c r="AQ58" i="15"/>
  <c r="AR54" i="15"/>
  <c r="AR53" i="15"/>
  <c r="AH54" i="15"/>
  <c r="AH53" i="15"/>
  <c r="X54" i="15"/>
  <c r="X53" i="15"/>
  <c r="D54" i="15"/>
  <c r="D53" i="15"/>
  <c r="P91" i="15" l="1"/>
  <c r="P92" i="15" s="1"/>
  <c r="H214" i="15"/>
  <c r="C231" i="15" s="1"/>
  <c r="F231" i="15" s="1"/>
  <c r="D232" i="15" s="1"/>
  <c r="E235" i="15" s="1"/>
  <c r="F215" i="15"/>
  <c r="F216" i="15" s="1"/>
  <c r="M107" i="15"/>
  <c r="P107" i="15" s="1"/>
  <c r="N108" i="15" s="1"/>
  <c r="O111" i="15" s="1"/>
  <c r="C107" i="15"/>
  <c r="F107" i="15" s="1"/>
  <c r="D108" i="15" s="1"/>
  <c r="E111" i="15" s="1"/>
  <c r="N98" i="15"/>
  <c r="O101" i="15" s="1"/>
  <c r="Z46" i="24"/>
  <c r="X46" i="24"/>
  <c r="Z47" i="24"/>
  <c r="X47" i="24"/>
  <c r="Z7" i="24"/>
  <c r="X7" i="24"/>
  <c r="Z8" i="24"/>
  <c r="X8" i="24"/>
  <c r="Y76" i="24"/>
  <c r="Y75" i="24"/>
  <c r="Y74" i="24"/>
  <c r="AB74" i="24" s="1"/>
  <c r="Z67" i="24"/>
  <c r="W65" i="24"/>
  <c r="Z65" i="24" s="1"/>
  <c r="Y37" i="24"/>
  <c r="Y36" i="24"/>
  <c r="AB35" i="24"/>
  <c r="Y35" i="24"/>
  <c r="Z28" i="24"/>
  <c r="Z26" i="24"/>
  <c r="W26" i="24"/>
  <c r="P46" i="24"/>
  <c r="N46" i="24"/>
  <c r="P47" i="24"/>
  <c r="N47" i="24"/>
  <c r="N7" i="24"/>
  <c r="P8" i="24"/>
  <c r="N8" i="24"/>
  <c r="F46" i="24"/>
  <c r="P7" i="24" s="1"/>
  <c r="F47" i="24"/>
  <c r="D47" i="24"/>
  <c r="AU10" i="15"/>
  <c r="AK10" i="15"/>
  <c r="AA10" i="15"/>
  <c r="Q10" i="15"/>
  <c r="G10" i="15"/>
  <c r="G28" i="29"/>
  <c r="F28" i="29"/>
  <c r="G26" i="29"/>
  <c r="F26" i="29"/>
  <c r="G24" i="29"/>
  <c r="F8" i="24" s="1"/>
  <c r="F24" i="29"/>
  <c r="D8" i="24" s="1"/>
  <c r="E18" i="29"/>
  <c r="D18" i="29"/>
  <c r="AJ9" i="15" s="1"/>
  <c r="E19" i="29"/>
  <c r="AJ10" i="15" s="1"/>
  <c r="D19" i="29"/>
  <c r="E20" i="29"/>
  <c r="D20" i="29"/>
  <c r="AT9" i="15" s="1"/>
  <c r="C18" i="29"/>
  <c r="B18" i="29"/>
  <c r="C19" i="29"/>
  <c r="AI10" i="15" s="1"/>
  <c r="B19" i="29"/>
  <c r="AI9" i="15" s="1"/>
  <c r="C20" i="29"/>
  <c r="B20" i="29"/>
  <c r="AS9" i="15" s="1"/>
  <c r="C34" i="29"/>
  <c r="C35" i="29"/>
  <c r="AD6" i="18" s="1"/>
  <c r="C36" i="29"/>
  <c r="B34" i="29"/>
  <c r="B35" i="29"/>
  <c r="AD5" i="18" s="1"/>
  <c r="B36" i="29"/>
  <c r="C29" i="29"/>
  <c r="L6" i="18" s="1"/>
  <c r="C30" i="29"/>
  <c r="C31" i="29"/>
  <c r="AM6" i="18" s="1"/>
  <c r="B29" i="29"/>
  <c r="B30" i="29"/>
  <c r="U5" i="18" s="1"/>
  <c r="B31" i="29"/>
  <c r="E12" i="29"/>
  <c r="D12" i="29"/>
  <c r="E13" i="29"/>
  <c r="D13" i="29"/>
  <c r="E14" i="29"/>
  <c r="D14" i="29"/>
  <c r="C12" i="29"/>
  <c r="B12" i="29"/>
  <c r="C13" i="29"/>
  <c r="O10" i="15" s="1"/>
  <c r="B13" i="29"/>
  <c r="O9" i="15" s="1"/>
  <c r="C14" i="29"/>
  <c r="B14" i="29"/>
  <c r="E8" i="29"/>
  <c r="AT10" i="15" s="1"/>
  <c r="D8" i="29"/>
  <c r="E7" i="29"/>
  <c r="Z10" i="15" s="1"/>
  <c r="D7" i="29"/>
  <c r="E6" i="29"/>
  <c r="F10" i="15" s="1"/>
  <c r="D6" i="29"/>
  <c r="F9" i="15" s="1"/>
  <c r="C8" i="29"/>
  <c r="AS10" i="15" s="1"/>
  <c r="B8" i="29"/>
  <c r="C7" i="29"/>
  <c r="B7" i="29"/>
  <c r="C6" i="29"/>
  <c r="Y10" i="15" s="1"/>
  <c r="B6" i="29"/>
  <c r="E9" i="15" s="1"/>
  <c r="C26" i="29"/>
  <c r="C25" i="29"/>
  <c r="C24" i="29"/>
  <c r="C6" i="18" s="1"/>
  <c r="B26" i="29"/>
  <c r="AM5" i="18" s="1"/>
  <c r="B25" i="29"/>
  <c r="C5" i="18" s="1"/>
  <c r="B24" i="29"/>
  <c r="W69" i="24" l="1"/>
  <c r="D222" i="15"/>
  <c r="E225" i="15" s="1"/>
  <c r="C245" i="15" s="1"/>
  <c r="W30" i="24"/>
  <c r="U6" i="18"/>
  <c r="E10" i="15"/>
  <c r="P9" i="15"/>
  <c r="Y9" i="15"/>
  <c r="Z9" i="15"/>
  <c r="P10" i="15"/>
  <c r="L5" i="18"/>
  <c r="X9" i="24"/>
  <c r="X49" i="24"/>
  <c r="X10" i="24"/>
  <c r="X48" i="24"/>
  <c r="E11" i="16" l="1"/>
  <c r="N123" i="16"/>
  <c r="E123" i="16"/>
  <c r="N67" i="16"/>
  <c r="E67" i="16"/>
  <c r="N11" i="16"/>
  <c r="D168" i="26"/>
  <c r="D167" i="26"/>
  <c r="C168" i="26"/>
  <c r="C167" i="26"/>
  <c r="D166" i="26"/>
  <c r="C166" i="26"/>
  <c r="N148" i="26"/>
  <c r="M148" i="26" a="1"/>
  <c r="M148" i="26" s="1"/>
  <c r="N147" i="26"/>
  <c r="M147" i="26" a="1"/>
  <c r="M147" i="26" s="1"/>
  <c r="N98" i="26"/>
  <c r="M98" i="26" a="1"/>
  <c r="M98" i="26" s="1"/>
  <c r="N97" i="26"/>
  <c r="M97" i="26" a="1"/>
  <c r="M97" i="26" s="1"/>
  <c r="N48" i="26"/>
  <c r="M48" i="26" a="1"/>
  <c r="M48" i="26" s="1"/>
  <c r="N47" i="26"/>
  <c r="M47" i="26" a="1"/>
  <c r="M47" i="26" s="1"/>
  <c r="L37" i="26"/>
  <c r="AF13" i="26" s="1"/>
  <c r="D162" i="26"/>
  <c r="C162" i="26"/>
  <c r="D161" i="26"/>
  <c r="C161" i="26"/>
  <c r="D160" i="26"/>
  <c r="C160" i="26"/>
  <c r="D155" i="26"/>
  <c r="C155" i="26"/>
  <c r="D154" i="26"/>
  <c r="C154" i="26"/>
  <c r="D153" i="26"/>
  <c r="C153" i="26"/>
  <c r="L148" i="26"/>
  <c r="K148" i="26" a="1"/>
  <c r="K148" i="26" s="1"/>
  <c r="L147" i="26"/>
  <c r="K147" i="26" a="1"/>
  <c r="K147" i="26" s="1"/>
  <c r="Q146" i="26" a="1"/>
  <c r="Q146" i="26" s="1"/>
  <c r="Q145" i="26" a="1"/>
  <c r="Q145" i="26" s="1"/>
  <c r="R144" i="26"/>
  <c r="Q144" i="26"/>
  <c r="L144" i="26"/>
  <c r="K144" i="26" a="1"/>
  <c r="K144" i="26" s="1"/>
  <c r="L143" i="26"/>
  <c r="K143" i="26" a="1"/>
  <c r="K143" i="26" s="1"/>
  <c r="Q142" i="26" a="1"/>
  <c r="Q142" i="26" s="1"/>
  <c r="Q141" i="26" a="1"/>
  <c r="Q141" i="26" s="1"/>
  <c r="R140" i="26"/>
  <c r="Q140" i="26"/>
  <c r="L139" i="26" a="1"/>
  <c r="L139" i="26" s="1"/>
  <c r="L138" i="26" a="1"/>
  <c r="L138" i="26" s="1"/>
  <c r="M137" i="26"/>
  <c r="L137" i="26"/>
  <c r="Q136" i="26" a="1"/>
  <c r="Q136" i="26" s="1"/>
  <c r="Q135" i="26" a="1"/>
  <c r="Q135" i="26" s="1"/>
  <c r="L135" i="26" a="1"/>
  <c r="L135" i="26" s="1"/>
  <c r="R134" i="26"/>
  <c r="Q134" i="26"/>
  <c r="L134" i="26" a="1"/>
  <c r="L134" i="26" s="1"/>
  <c r="M133" i="26"/>
  <c r="L133" i="26"/>
  <c r="Q132" i="26" a="1"/>
  <c r="Q132" i="26" s="1"/>
  <c r="Q131" i="26" a="1"/>
  <c r="Q131" i="26" s="1"/>
  <c r="L131" i="26" a="1"/>
  <c r="L131" i="26" s="1"/>
  <c r="R130" i="26"/>
  <c r="Q130" i="26"/>
  <c r="L130" i="26" a="1"/>
  <c r="L130" i="26" s="1"/>
  <c r="M129" i="26"/>
  <c r="L129" i="26"/>
  <c r="L98" i="26"/>
  <c r="K98" i="26" a="1"/>
  <c r="K98" i="26" s="1"/>
  <c r="L97" i="26"/>
  <c r="K97" i="26" a="1"/>
  <c r="K97" i="26" s="1"/>
  <c r="Q96" i="26" a="1"/>
  <c r="Q96" i="26" s="1"/>
  <c r="Q95" i="26" a="1"/>
  <c r="Q95" i="26" s="1"/>
  <c r="R94" i="26"/>
  <c r="Q94" i="26"/>
  <c r="L94" i="26"/>
  <c r="K94" i="26" a="1"/>
  <c r="K94" i="26" s="1"/>
  <c r="L93" i="26"/>
  <c r="K93" i="26" a="1"/>
  <c r="K93" i="26" s="1"/>
  <c r="Q92" i="26" a="1"/>
  <c r="Q92" i="26" s="1"/>
  <c r="Q91" i="26" a="1"/>
  <c r="Q91" i="26" s="1"/>
  <c r="R90" i="26"/>
  <c r="Q90" i="26"/>
  <c r="L89" i="26" a="1"/>
  <c r="L89" i="26" s="1"/>
  <c r="L88" i="26" a="1"/>
  <c r="L88" i="26" s="1"/>
  <c r="M87" i="26"/>
  <c r="L87" i="26"/>
  <c r="Q86" i="26" a="1"/>
  <c r="Q86" i="26" s="1"/>
  <c r="Q85" i="26" a="1"/>
  <c r="Q85" i="26" s="1"/>
  <c r="L85" i="26" a="1"/>
  <c r="L85" i="26" s="1"/>
  <c r="R84" i="26"/>
  <c r="Q84" i="26"/>
  <c r="L84" i="26" a="1"/>
  <c r="L84" i="26" s="1"/>
  <c r="M83" i="26"/>
  <c r="L83" i="26"/>
  <c r="Q82" i="26" a="1"/>
  <c r="Q82" i="26" s="1"/>
  <c r="Q81" i="26" a="1"/>
  <c r="Q81" i="26" s="1"/>
  <c r="L81" i="26" a="1"/>
  <c r="L81" i="26" s="1"/>
  <c r="R80" i="26"/>
  <c r="Q80" i="26"/>
  <c r="L80" i="26" a="1"/>
  <c r="L80" i="26" s="1"/>
  <c r="M79" i="26"/>
  <c r="L79" i="26"/>
  <c r="L48" i="26"/>
  <c r="K48" i="26" a="1"/>
  <c r="K48" i="26" s="1"/>
  <c r="L47" i="26"/>
  <c r="K47" i="26" a="1"/>
  <c r="K47" i="26" s="1"/>
  <c r="Q46" i="26" a="1"/>
  <c r="Q46" i="26" s="1"/>
  <c r="Q45" i="26" a="1"/>
  <c r="Q45" i="26" s="1"/>
  <c r="R44" i="26"/>
  <c r="Q44" i="26"/>
  <c r="L44" i="26"/>
  <c r="K44" i="26" a="1"/>
  <c r="K44" i="26" s="1"/>
  <c r="L43" i="26"/>
  <c r="K43" i="26" a="1"/>
  <c r="K43" i="26" s="1"/>
  <c r="Q42" i="26" a="1"/>
  <c r="Q42" i="26" s="1"/>
  <c r="Q41" i="26" a="1"/>
  <c r="Q41" i="26" s="1"/>
  <c r="R40" i="26"/>
  <c r="Q40" i="26"/>
  <c r="L39" i="26" a="1"/>
  <c r="L39" i="26" s="1"/>
  <c r="L38" i="26" a="1"/>
  <c r="L38" i="26" s="1"/>
  <c r="AF16" i="26" s="1"/>
  <c r="M37" i="26"/>
  <c r="AI13" i="26" s="1"/>
  <c r="Q36" i="26" a="1"/>
  <c r="Q36" i="26" s="1"/>
  <c r="Q35" i="26" a="1"/>
  <c r="Q35" i="26" s="1"/>
  <c r="L35" i="26" a="1"/>
  <c r="L35" i="26" s="1"/>
  <c r="R34" i="26"/>
  <c r="Q34" i="26"/>
  <c r="L34" i="26" a="1"/>
  <c r="L34" i="26" s="1"/>
  <c r="M33" i="26"/>
  <c r="L33" i="26"/>
  <c r="Q32" i="26" a="1"/>
  <c r="Q32" i="26" s="1"/>
  <c r="Q31" i="26" a="1"/>
  <c r="Q31" i="26" s="1"/>
  <c r="L31" i="26" a="1"/>
  <c r="L31" i="26" s="1"/>
  <c r="R30" i="26"/>
  <c r="Q30" i="26"/>
  <c r="L30" i="26" a="1"/>
  <c r="L30" i="26" s="1"/>
  <c r="M29" i="26"/>
  <c r="L29" i="26"/>
  <c r="U104" i="3"/>
  <c r="O104" i="3"/>
  <c r="C104" i="3"/>
  <c r="U103" i="3"/>
  <c r="I103" i="3"/>
  <c r="C103" i="3"/>
  <c r="C106" i="3" s="1"/>
  <c r="I102" i="3"/>
  <c r="O101" i="3"/>
  <c r="O103" i="3" s="1"/>
  <c r="C101" i="3"/>
  <c r="U98" i="3"/>
  <c r="O98" i="3"/>
  <c r="I98" i="3"/>
  <c r="C98" i="3"/>
  <c r="U97" i="3"/>
  <c r="O97" i="3"/>
  <c r="I97" i="3"/>
  <c r="C97" i="3"/>
  <c r="T92" i="3"/>
  <c r="N92" i="3"/>
  <c r="H92" i="3"/>
  <c r="B92" i="3"/>
  <c r="V91" i="3"/>
  <c r="J91" i="3"/>
  <c r="T89" i="3"/>
  <c r="P89" i="3"/>
  <c r="H89" i="3"/>
  <c r="D89" i="3"/>
  <c r="N88" i="3"/>
  <c r="B88" i="3"/>
  <c r="P72" i="3"/>
  <c r="D72" i="3"/>
  <c r="V71" i="3"/>
  <c r="J71" i="3"/>
  <c r="T67" i="3"/>
  <c r="H67" i="3"/>
  <c r="P64" i="3"/>
  <c r="U60" i="3" s="1"/>
  <c r="P73" i="3" s="1"/>
  <c r="P74" i="3" s="1"/>
  <c r="O75" i="3" s="1"/>
  <c r="D64" i="3"/>
  <c r="I60" i="3" s="1"/>
  <c r="D73" i="3" s="1"/>
  <c r="D74" i="3" s="1"/>
  <c r="C75" i="3" s="1"/>
  <c r="U59" i="3"/>
  <c r="I59" i="3"/>
  <c r="R21" i="6"/>
  <c r="J61" i="6"/>
  <c r="J62" i="6" s="1"/>
  <c r="D61" i="6"/>
  <c r="D62" i="6" s="1"/>
  <c r="R8" i="6" s="1"/>
  <c r="J58" i="6"/>
  <c r="D58" i="6"/>
  <c r="J57" i="6"/>
  <c r="J59" i="6" s="1"/>
  <c r="D57" i="6"/>
  <c r="R34" i="6" l="1"/>
  <c r="O106" i="3"/>
  <c r="D59" i="6"/>
  <c r="R16" i="6" l="1"/>
  <c r="R3" i="6"/>
  <c r="C26" i="24"/>
  <c r="W6" i="1" l="1" a="1"/>
  <c r="W6" i="1" s="1"/>
  <c r="X56" i="1" a="1"/>
  <c r="X56" i="1" s="1"/>
  <c r="X102" i="1" a="1"/>
  <c r="X102" i="1" s="1"/>
  <c r="L133" i="1"/>
  <c r="L148" i="1"/>
  <c r="K148" i="1" a="1"/>
  <c r="K148" i="1" s="1"/>
  <c r="L147" i="1"/>
  <c r="K147" i="1" a="1"/>
  <c r="K147" i="1" s="1"/>
  <c r="Q146" i="1" a="1"/>
  <c r="Q146" i="1" s="1"/>
  <c r="Q145" i="1" a="1"/>
  <c r="Q145" i="1" s="1"/>
  <c r="R144" i="1"/>
  <c r="Q144" i="1"/>
  <c r="L144" i="1"/>
  <c r="K144" i="1" a="1"/>
  <c r="K144" i="1" s="1"/>
  <c r="L143" i="1"/>
  <c r="K143" i="1" a="1"/>
  <c r="K143" i="1" s="1"/>
  <c r="Q142" i="1"/>
  <c r="Q142" i="1" a="1"/>
  <c r="Q141" i="1" a="1"/>
  <c r="Q141" i="1" s="1"/>
  <c r="R140" i="1"/>
  <c r="Q140" i="1"/>
  <c r="L139" i="1" a="1"/>
  <c r="L139" i="1" s="1"/>
  <c r="L138" i="1" a="1"/>
  <c r="L138" i="1" s="1"/>
  <c r="M137" i="1"/>
  <c r="L137" i="1"/>
  <c r="Q136" i="1" a="1"/>
  <c r="Q136" i="1" s="1"/>
  <c r="Q135" i="1" a="1"/>
  <c r="Q135" i="1" s="1"/>
  <c r="L135" i="1" a="1"/>
  <c r="L135" i="1" s="1"/>
  <c r="R134" i="1"/>
  <c r="Q134" i="1"/>
  <c r="L134" i="1" a="1"/>
  <c r="L134" i="1" s="1"/>
  <c r="M133" i="1"/>
  <c r="Q132" i="1" a="1"/>
  <c r="Q132" i="1" s="1"/>
  <c r="Q131" i="1" a="1"/>
  <c r="Q131" i="1" s="1"/>
  <c r="L131" i="1" a="1"/>
  <c r="L131" i="1" s="1"/>
  <c r="R130" i="1"/>
  <c r="Q130" i="1"/>
  <c r="L130" i="1" a="1"/>
  <c r="L130" i="1" s="1"/>
  <c r="M129" i="1"/>
  <c r="L129" i="1"/>
  <c r="L98" i="1"/>
  <c r="K98" i="1" a="1"/>
  <c r="K98" i="1" s="1"/>
  <c r="L97" i="1"/>
  <c r="K97" i="1" a="1"/>
  <c r="K97" i="1" s="1"/>
  <c r="Q96" i="1" a="1"/>
  <c r="Q96" i="1" s="1"/>
  <c r="Q95" i="1" a="1"/>
  <c r="Q95" i="1" s="1"/>
  <c r="R94" i="1"/>
  <c r="Q94" i="1"/>
  <c r="L94" i="1"/>
  <c r="K94" i="1" a="1"/>
  <c r="K94" i="1" s="1"/>
  <c r="L93" i="1"/>
  <c r="K93" i="1" a="1"/>
  <c r="K93" i="1" s="1"/>
  <c r="Q92" i="1" a="1"/>
  <c r="Q92" i="1" s="1"/>
  <c r="Q91" i="1" a="1"/>
  <c r="Q91" i="1" s="1"/>
  <c r="R90" i="1"/>
  <c r="Q90" i="1"/>
  <c r="L89" i="1" a="1"/>
  <c r="L89" i="1" s="1"/>
  <c r="L88" i="1" a="1"/>
  <c r="L88" i="1" s="1"/>
  <c r="M87" i="1"/>
  <c r="L87" i="1"/>
  <c r="Q86" i="1" a="1"/>
  <c r="Q86" i="1" s="1"/>
  <c r="Q85" i="1" a="1"/>
  <c r="Q85" i="1" s="1"/>
  <c r="L85" i="1" a="1"/>
  <c r="L85" i="1" s="1"/>
  <c r="R84" i="1"/>
  <c r="Q84" i="1"/>
  <c r="L84" i="1" a="1"/>
  <c r="L84" i="1" s="1"/>
  <c r="M83" i="1"/>
  <c r="L83" i="1"/>
  <c r="Q82" i="1" a="1"/>
  <c r="Q82" i="1" s="1"/>
  <c r="Q81" i="1" a="1"/>
  <c r="Q81" i="1" s="1"/>
  <c r="L81" i="1" a="1"/>
  <c r="L81" i="1" s="1"/>
  <c r="R80" i="1"/>
  <c r="Q80" i="1"/>
  <c r="L80" i="1" a="1"/>
  <c r="L80" i="1" s="1"/>
  <c r="M79" i="1"/>
  <c r="L79" i="1"/>
  <c r="L38" i="1" a="1"/>
  <c r="L38" i="1" s="1"/>
  <c r="L34" i="1" a="1"/>
  <c r="L34" i="1" s="1"/>
  <c r="L30" i="1" a="1"/>
  <c r="L30" i="1" s="1"/>
  <c r="Q31" i="1" a="1"/>
  <c r="Q31" i="1" s="1"/>
  <c r="Q41" i="1" a="1"/>
  <c r="Q41" i="1" s="1"/>
  <c r="Q35" i="1" a="1"/>
  <c r="Q35" i="1" s="1"/>
  <c r="Q45" i="1" a="1"/>
  <c r="Q45" i="1" s="1"/>
  <c r="O76" i="24" l="1"/>
  <c r="O75" i="24"/>
  <c r="O74" i="24"/>
  <c r="R74" i="24" s="1"/>
  <c r="P67" i="24"/>
  <c r="M65" i="24"/>
  <c r="P65" i="24" s="1"/>
  <c r="N49" i="24"/>
  <c r="N48" i="24"/>
  <c r="E76" i="24"/>
  <c r="E75" i="24"/>
  <c r="E74" i="24"/>
  <c r="H74" i="24" s="1"/>
  <c r="F67" i="24"/>
  <c r="C65" i="24"/>
  <c r="F65" i="24" s="1"/>
  <c r="D48" i="24"/>
  <c r="O37" i="24"/>
  <c r="E37" i="24"/>
  <c r="O36" i="24"/>
  <c r="E36" i="24"/>
  <c r="O35" i="24"/>
  <c r="R35" i="24" s="1"/>
  <c r="E35" i="24"/>
  <c r="H35" i="24" s="1"/>
  <c r="P28" i="24"/>
  <c r="F28" i="24"/>
  <c r="M26" i="24"/>
  <c r="P26" i="24" s="1"/>
  <c r="F26" i="24"/>
  <c r="H8" i="24"/>
  <c r="G38" i="20"/>
  <c r="H37" i="20"/>
  <c r="G37" i="20"/>
  <c r="C69" i="24" l="1"/>
  <c r="M69" i="24"/>
  <c r="M30" i="24"/>
  <c r="C30" i="24"/>
  <c r="D49" i="24"/>
  <c r="D10" i="24"/>
  <c r="N10" i="24"/>
  <c r="D9" i="24"/>
  <c r="N9" i="24"/>
  <c r="L38" i="20"/>
  <c r="AN24" i="18"/>
  <c r="AN35" i="18" s="1"/>
  <c r="AP35" i="18" s="1"/>
  <c r="AN22" i="18"/>
  <c r="AN33" i="18" s="1"/>
  <c r="AP33" i="18" s="1"/>
  <c r="AE22" i="18"/>
  <c r="AE33" i="18" s="1"/>
  <c r="AG33" i="18" s="1"/>
  <c r="AN19" i="18"/>
  <c r="AE19" i="18"/>
  <c r="V19" i="18"/>
  <c r="V22" i="18" s="1"/>
  <c r="M19" i="18"/>
  <c r="M24" i="18" s="1"/>
  <c r="D19" i="18"/>
  <c r="AM7" i="18"/>
  <c r="AD7" i="18"/>
  <c r="U7" i="18"/>
  <c r="W11" i="18" s="1"/>
  <c r="L7" i="18"/>
  <c r="C7" i="18"/>
  <c r="E11" i="18"/>
  <c r="C4" i="18"/>
  <c r="AM3" i="18"/>
  <c r="AP30" i="18" s="1"/>
  <c r="AN43" i="18" s="1"/>
  <c r="AD3" i="18"/>
  <c r="AH43" i="18" s="1"/>
  <c r="AF50" i="18" s="1"/>
  <c r="U3" i="18"/>
  <c r="V26" i="18" s="1"/>
  <c r="L3" i="18"/>
  <c r="P43" i="18" s="1"/>
  <c r="N50" i="18" s="1"/>
  <c r="C3" i="18"/>
  <c r="D48" i="18" s="1"/>
  <c r="F48" i="18" s="1"/>
  <c r="D162" i="1"/>
  <c r="C162" i="1"/>
  <c r="C160" i="1"/>
  <c r="D160" i="1"/>
  <c r="D161" i="1"/>
  <c r="C161" i="1"/>
  <c r="D155" i="1"/>
  <c r="C155" i="1"/>
  <c r="D154" i="1"/>
  <c r="C154" i="1"/>
  <c r="D153" i="1"/>
  <c r="C153" i="1"/>
  <c r="M160" i="16"/>
  <c r="O160" i="16" s="1"/>
  <c r="D160" i="16"/>
  <c r="F160" i="16" s="1"/>
  <c r="P155" i="16"/>
  <c r="N162" i="16" s="1"/>
  <c r="G155" i="16"/>
  <c r="E162" i="16" s="1"/>
  <c r="O142" i="16"/>
  <c r="M155" i="16" s="1"/>
  <c r="F142" i="16"/>
  <c r="D155" i="16" s="1"/>
  <c r="M138" i="16"/>
  <c r="O138" i="16" s="1"/>
  <c r="D138" i="16"/>
  <c r="F138" i="16" s="1"/>
  <c r="M134" i="16"/>
  <c r="O134" i="16" s="1"/>
  <c r="M131" i="16"/>
  <c r="D131" i="16"/>
  <c r="D136" i="16" s="1"/>
  <c r="M125" i="16"/>
  <c r="O143" i="16" s="1"/>
  <c r="M156" i="16" s="1"/>
  <c r="D125" i="16"/>
  <c r="G156" i="16" s="1"/>
  <c r="E163" i="16" s="1"/>
  <c r="N122" i="16"/>
  <c r="E122" i="16"/>
  <c r="M104" i="16"/>
  <c r="O104" i="16" s="1"/>
  <c r="D104" i="16"/>
  <c r="F104" i="16" s="1"/>
  <c r="P99" i="16"/>
  <c r="N106" i="16" s="1"/>
  <c r="G99" i="16"/>
  <c r="E106" i="16" s="1"/>
  <c r="O86" i="16"/>
  <c r="M99" i="16" s="1"/>
  <c r="F86" i="16"/>
  <c r="D99" i="16" s="1"/>
  <c r="M82" i="16"/>
  <c r="O82" i="16" s="1"/>
  <c r="D82" i="16"/>
  <c r="F82" i="16" s="1"/>
  <c r="M75" i="16"/>
  <c r="M80" i="16" s="1"/>
  <c r="D75" i="16"/>
  <c r="D80" i="16" s="1"/>
  <c r="M69" i="16"/>
  <c r="M76" i="16" s="1"/>
  <c r="D69" i="16"/>
  <c r="F87" i="16" s="1"/>
  <c r="D100" i="16" s="1"/>
  <c r="N66" i="16"/>
  <c r="E66" i="16"/>
  <c r="Q40" i="1"/>
  <c r="Q34" i="1"/>
  <c r="Q30" i="1"/>
  <c r="M48" i="16"/>
  <c r="O48" i="16" s="1"/>
  <c r="P43" i="16"/>
  <c r="N50" i="16" s="1"/>
  <c r="O30" i="16"/>
  <c r="M43" i="16" s="1"/>
  <c r="M26" i="16"/>
  <c r="O26" i="16" s="1"/>
  <c r="M19" i="16"/>
  <c r="M24" i="16" s="1"/>
  <c r="M13" i="16"/>
  <c r="P44" i="16" s="1"/>
  <c r="N51" i="16" s="1"/>
  <c r="L8" i="16"/>
  <c r="N10" i="16"/>
  <c r="D48" i="16"/>
  <c r="F48" i="16" s="1"/>
  <c r="D19" i="16"/>
  <c r="D24" i="16" s="1"/>
  <c r="G43" i="16"/>
  <c r="E50" i="16" s="1"/>
  <c r="D26" i="16"/>
  <c r="AG22" i="18" l="1"/>
  <c r="AP22" i="18"/>
  <c r="AP24" i="18"/>
  <c r="P156" i="16"/>
  <c r="N163" i="16" s="1"/>
  <c r="AO10" i="18"/>
  <c r="AO11" i="18"/>
  <c r="AM8" i="18" s="1"/>
  <c r="N11" i="18"/>
  <c r="AF11" i="18"/>
  <c r="P132" i="16"/>
  <c r="O127" i="16"/>
  <c r="M145" i="16"/>
  <c r="O145" i="16" s="1"/>
  <c r="M132" i="16"/>
  <c r="L120" i="16"/>
  <c r="N132" i="16" s="1"/>
  <c r="Q132" i="16" s="1"/>
  <c r="E10" i="18"/>
  <c r="C8" i="18" s="1"/>
  <c r="D13" i="18"/>
  <c r="F15" i="18" s="1"/>
  <c r="AN13" i="18"/>
  <c r="AQ44" i="18" s="1"/>
  <c r="AO51" i="18" s="1"/>
  <c r="N10" i="18"/>
  <c r="AN26" i="18"/>
  <c r="AN39" i="18" s="1"/>
  <c r="AP39" i="18" s="1"/>
  <c r="AF10" i="18"/>
  <c r="D22" i="18"/>
  <c r="D26" i="18"/>
  <c r="F26" i="18" s="1"/>
  <c r="F30" i="18"/>
  <c r="D43" i="18" s="1"/>
  <c r="W10" i="18"/>
  <c r="D24" i="18"/>
  <c r="D35" i="18" s="1"/>
  <c r="F35" i="18" s="1"/>
  <c r="X26" i="18"/>
  <c r="V39" i="18"/>
  <c r="X39" i="18" s="1"/>
  <c r="X22" i="18"/>
  <c r="V33" i="18"/>
  <c r="X33" i="18" s="1"/>
  <c r="O24" i="18"/>
  <c r="M35" i="18"/>
  <c r="O35" i="18" s="1"/>
  <c r="AE26" i="18"/>
  <c r="X30" i="18"/>
  <c r="V43" i="18" s="1"/>
  <c r="AN48" i="18"/>
  <c r="AP48" i="18" s="1"/>
  <c r="V24" i="18"/>
  <c r="M22" i="18"/>
  <c r="AG30" i="18"/>
  <c r="AE43" i="18" s="1"/>
  <c r="G43" i="18"/>
  <c r="E50" i="18" s="1"/>
  <c r="Y43" i="18"/>
  <c r="W50" i="18" s="1"/>
  <c r="AQ43" i="18"/>
  <c r="AO50" i="18" s="1"/>
  <c r="AE24" i="18"/>
  <c r="M26" i="18"/>
  <c r="V48" i="18"/>
  <c r="X48" i="18" s="1"/>
  <c r="M13" i="18"/>
  <c r="O30" i="18"/>
  <c r="M43" i="18" s="1"/>
  <c r="V13" i="18"/>
  <c r="AE48" i="18"/>
  <c r="AG48" i="18" s="1"/>
  <c r="M48" i="18"/>
  <c r="O48" i="18" s="1"/>
  <c r="AE13" i="18"/>
  <c r="C120" i="16"/>
  <c r="D141" i="16" s="1"/>
  <c r="L64" i="16"/>
  <c r="N76" i="16" s="1"/>
  <c r="C64" i="16"/>
  <c r="D87" i="16" s="1"/>
  <c r="P76" i="16"/>
  <c r="P100" i="16"/>
  <c r="N107" i="16" s="1"/>
  <c r="F136" i="16"/>
  <c r="D147" i="16"/>
  <c r="F147" i="16" s="1"/>
  <c r="M136" i="16"/>
  <c r="F143" i="16"/>
  <c r="D156" i="16" s="1"/>
  <c r="D132" i="16"/>
  <c r="D134" i="16"/>
  <c r="F127" i="16"/>
  <c r="G132" i="16"/>
  <c r="D151" i="16"/>
  <c r="F151" i="16" s="1"/>
  <c r="M151" i="16"/>
  <c r="O151" i="16" s="1"/>
  <c r="F80" i="16"/>
  <c r="D91" i="16"/>
  <c r="F91" i="16" s="1"/>
  <c r="M91" i="16"/>
  <c r="O91" i="16" s="1"/>
  <c r="O80" i="16"/>
  <c r="D76" i="16"/>
  <c r="D78" i="16"/>
  <c r="F71" i="16"/>
  <c r="G76" i="16"/>
  <c r="M78" i="16"/>
  <c r="O87" i="16"/>
  <c r="M100" i="16" s="1"/>
  <c r="D95" i="16"/>
  <c r="F95" i="16" s="1"/>
  <c r="G100" i="16"/>
  <c r="E107" i="16" s="1"/>
  <c r="O71" i="16"/>
  <c r="M95" i="16"/>
  <c r="O95" i="16" s="1"/>
  <c r="M20" i="16"/>
  <c r="M30" i="16"/>
  <c r="Q30" i="16" s="1"/>
  <c r="O15" i="16"/>
  <c r="M35" i="16"/>
  <c r="O35" i="16" s="1"/>
  <c r="O24" i="16"/>
  <c r="O31" i="16"/>
  <c r="M44" i="16" s="1"/>
  <c r="N20" i="16"/>
  <c r="M39" i="16"/>
  <c r="O39" i="16" s="1"/>
  <c r="M31" i="16"/>
  <c r="P20" i="16"/>
  <c r="M29" i="16"/>
  <c r="M37" i="16" s="1"/>
  <c r="M15" i="16"/>
  <c r="Q15" i="16" s="1"/>
  <c r="M22" i="16"/>
  <c r="F26" i="16"/>
  <c r="D39" i="16"/>
  <c r="F39" i="16" s="1"/>
  <c r="D35" i="16"/>
  <c r="F35" i="16" s="1"/>
  <c r="F24" i="16"/>
  <c r="E10" i="16"/>
  <c r="C8" i="16" s="1"/>
  <c r="D13" i="16"/>
  <c r="D22" i="16"/>
  <c r="F30" i="16"/>
  <c r="D43" i="16" s="1"/>
  <c r="M127" i="16" l="1"/>
  <c r="Q127" i="16" s="1"/>
  <c r="M141" i="16"/>
  <c r="M149" i="16" s="1"/>
  <c r="O149" i="16" s="1"/>
  <c r="M142" i="16"/>
  <c r="Q142" i="16" s="1"/>
  <c r="M143" i="16"/>
  <c r="N156" i="16" s="1"/>
  <c r="G44" i="18"/>
  <c r="E51" i="18" s="1"/>
  <c r="G20" i="18"/>
  <c r="D20" i="18"/>
  <c r="F31" i="18"/>
  <c r="D44" i="18" s="1"/>
  <c r="D143" i="16"/>
  <c r="H143" i="16" s="1"/>
  <c r="E132" i="16"/>
  <c r="H132" i="16" s="1"/>
  <c r="D127" i="16"/>
  <c r="H127" i="16" s="1"/>
  <c r="AP26" i="18"/>
  <c r="AQ24" i="18" s="1"/>
  <c r="AD8" i="18"/>
  <c r="AF20" i="18" s="1"/>
  <c r="U8" i="18"/>
  <c r="V15" i="18" s="1"/>
  <c r="AQ20" i="18"/>
  <c r="F24" i="18"/>
  <c r="AN20" i="18"/>
  <c r="AP15" i="18"/>
  <c r="AP31" i="18"/>
  <c r="AN44" i="18" s="1"/>
  <c r="L8" i="18"/>
  <c r="M15" i="18" s="1"/>
  <c r="D39" i="18"/>
  <c r="F39" i="18" s="1"/>
  <c r="D33" i="18"/>
  <c r="F33" i="18" s="1"/>
  <c r="F22" i="18"/>
  <c r="AO20" i="18"/>
  <c r="AN30" i="18"/>
  <c r="AR30" i="18" s="1"/>
  <c r="AN15" i="18"/>
  <c r="AN31" i="18"/>
  <c r="AN29" i="18"/>
  <c r="AH44" i="18"/>
  <c r="AF51" i="18" s="1"/>
  <c r="AH20" i="18"/>
  <c r="AG15" i="18"/>
  <c r="AG31" i="18"/>
  <c r="AE44" i="18" s="1"/>
  <c r="AE20" i="18"/>
  <c r="O15" i="18"/>
  <c r="O31" i="18"/>
  <c r="M44" i="18" s="1"/>
  <c r="P44" i="18"/>
  <c r="N51" i="18" s="1"/>
  <c r="P20" i="18"/>
  <c r="M20" i="18"/>
  <c r="E20" i="18"/>
  <c r="D29" i="18"/>
  <c r="D30" i="18"/>
  <c r="H30" i="18" s="1"/>
  <c r="D15" i="18"/>
  <c r="H15" i="18" s="1"/>
  <c r="D31" i="18"/>
  <c r="O22" i="18"/>
  <c r="M33" i="18"/>
  <c r="O33" i="18" s="1"/>
  <c r="AG26" i="18"/>
  <c r="AE39" i="18"/>
  <c r="AG39" i="18" s="1"/>
  <c r="O26" i="18"/>
  <c r="M39" i="18"/>
  <c r="O39" i="18" s="1"/>
  <c r="Y44" i="18"/>
  <c r="W51" i="18" s="1"/>
  <c r="X31" i="18"/>
  <c r="V44" i="18" s="1"/>
  <c r="Y20" i="18"/>
  <c r="V20" i="18"/>
  <c r="X15" i="18"/>
  <c r="AE35" i="18"/>
  <c r="AG35" i="18" s="1"/>
  <c r="AG24" i="18"/>
  <c r="X24" i="18"/>
  <c r="Y24" i="18" s="1"/>
  <c r="V35" i="18"/>
  <c r="X35" i="18" s="1"/>
  <c r="D142" i="16"/>
  <c r="H142" i="16" s="1"/>
  <c r="M85" i="16"/>
  <c r="M93" i="16" s="1"/>
  <c r="M102" i="16" s="1"/>
  <c r="O102" i="16" s="1"/>
  <c r="P103" i="16" s="1"/>
  <c r="M71" i="16"/>
  <c r="Q71" i="16" s="1"/>
  <c r="M87" i="16"/>
  <c r="Q87" i="16" s="1"/>
  <c r="M86" i="16"/>
  <c r="Q86" i="16" s="1"/>
  <c r="D71" i="16"/>
  <c r="H71" i="16" s="1"/>
  <c r="D86" i="16"/>
  <c r="H86" i="16" s="1"/>
  <c r="E76" i="16"/>
  <c r="H76" i="16" s="1"/>
  <c r="D85" i="16"/>
  <c r="E99" i="16" s="1"/>
  <c r="H99" i="16" s="1"/>
  <c r="Q76" i="16"/>
  <c r="M147" i="16"/>
  <c r="O147" i="16" s="1"/>
  <c r="O136" i="16"/>
  <c r="P136" i="16" s="1"/>
  <c r="M158" i="16"/>
  <c r="O158" i="16" s="1"/>
  <c r="P159" i="16" s="1"/>
  <c r="D154" i="16"/>
  <c r="D162" i="16" s="1"/>
  <c r="H162" i="16" s="1"/>
  <c r="E155" i="16"/>
  <c r="H155" i="16" s="1"/>
  <c r="D145" i="16"/>
  <c r="F145" i="16" s="1"/>
  <c r="F134" i="16"/>
  <c r="G136" i="16" s="1"/>
  <c r="E156" i="16"/>
  <c r="D163" i="16" s="1"/>
  <c r="H163" i="16" s="1"/>
  <c r="D149" i="16"/>
  <c r="N155" i="16"/>
  <c r="Q155" i="16" s="1"/>
  <c r="M154" i="16"/>
  <c r="M162" i="16" s="1"/>
  <c r="Q162" i="16" s="1"/>
  <c r="D89" i="16"/>
  <c r="F89" i="16" s="1"/>
  <c r="F78" i="16"/>
  <c r="G80" i="16" s="1"/>
  <c r="N100" i="16"/>
  <c r="M107" i="16" s="1"/>
  <c r="Q107" i="16" s="1"/>
  <c r="E100" i="16"/>
  <c r="H87" i="16"/>
  <c r="O78" i="16"/>
  <c r="P80" i="16" s="1"/>
  <c r="M89" i="16"/>
  <c r="O89" i="16" s="1"/>
  <c r="Q20" i="16"/>
  <c r="M46" i="16"/>
  <c r="O46" i="16" s="1"/>
  <c r="P47" i="16" s="1"/>
  <c r="O37" i="16"/>
  <c r="N43" i="16"/>
  <c r="Q43" i="16" s="1"/>
  <c r="M42" i="16"/>
  <c r="M50" i="16" s="1"/>
  <c r="Q50" i="16" s="1"/>
  <c r="O22" i="16"/>
  <c r="P24" i="16" s="1"/>
  <c r="M33" i="16"/>
  <c r="O33" i="16" s="1"/>
  <c r="N44" i="16"/>
  <c r="M51" i="16" s="1"/>
  <c r="Q51" i="16" s="1"/>
  <c r="Q31" i="16"/>
  <c r="F15" i="16"/>
  <c r="G44" i="16"/>
  <c r="E51" i="16" s="1"/>
  <c r="G20" i="16"/>
  <c r="F31" i="16"/>
  <c r="D44" i="16" s="1"/>
  <c r="D20" i="16"/>
  <c r="D30" i="16"/>
  <c r="H30" i="16" s="1"/>
  <c r="D15" i="16"/>
  <c r="D29" i="16"/>
  <c r="D31" i="16"/>
  <c r="E20" i="16"/>
  <c r="F22" i="16"/>
  <c r="G24" i="16" s="1"/>
  <c r="D33" i="16"/>
  <c r="F33" i="16" s="1"/>
  <c r="H20" i="18" l="1"/>
  <c r="V29" i="18"/>
  <c r="V42" i="18" s="1"/>
  <c r="V50" i="18" s="1"/>
  <c r="Z50" i="18" s="1"/>
  <c r="V30" i="18"/>
  <c r="Z30" i="18" s="1"/>
  <c r="Q143" i="16"/>
  <c r="H156" i="16"/>
  <c r="P36" i="16"/>
  <c r="AE30" i="18"/>
  <c r="AI30" i="18" s="1"/>
  <c r="AR20" i="18"/>
  <c r="G24" i="18"/>
  <c r="D98" i="16"/>
  <c r="D106" i="16" s="1"/>
  <c r="H106" i="16" s="1"/>
  <c r="D93" i="16"/>
  <c r="F93" i="16" s="1"/>
  <c r="G92" i="16" s="1"/>
  <c r="AE15" i="18"/>
  <c r="AI15" i="18" s="1"/>
  <c r="AE31" i="18"/>
  <c r="AF44" i="18" s="1"/>
  <c r="AE51" i="18" s="1"/>
  <c r="AI51" i="18" s="1"/>
  <c r="AE29" i="18"/>
  <c r="AE42" i="18" s="1"/>
  <c r="AE50" i="18" s="1"/>
  <c r="AI50" i="18" s="1"/>
  <c r="W20" i="18"/>
  <c r="Z20" i="18" s="1"/>
  <c r="V31" i="18"/>
  <c r="W44" i="18" s="1"/>
  <c r="V51" i="18" s="1"/>
  <c r="Z51" i="18" s="1"/>
  <c r="M29" i="18"/>
  <c r="M37" i="18" s="1"/>
  <c r="AR15" i="18"/>
  <c r="AH24" i="18"/>
  <c r="N20" i="18"/>
  <c r="Q20" i="18" s="1"/>
  <c r="M30" i="18"/>
  <c r="Q30" i="18" s="1"/>
  <c r="Q15" i="18"/>
  <c r="M31" i="18"/>
  <c r="AI20" i="18"/>
  <c r="Z15" i="18"/>
  <c r="E43" i="18"/>
  <c r="H43" i="18" s="1"/>
  <c r="D42" i="18"/>
  <c r="D50" i="18" s="1"/>
  <c r="H50" i="18" s="1"/>
  <c r="D37" i="18"/>
  <c r="AO43" i="18"/>
  <c r="AR43" i="18" s="1"/>
  <c r="AN42" i="18"/>
  <c r="AN50" i="18" s="1"/>
  <c r="AR50" i="18" s="1"/>
  <c r="AN37" i="18"/>
  <c r="P24" i="18"/>
  <c r="AO44" i="18"/>
  <c r="AR31" i="18"/>
  <c r="H31" i="18"/>
  <c r="E44" i="18"/>
  <c r="N99" i="16"/>
  <c r="Q99" i="16" s="1"/>
  <c r="M98" i="16"/>
  <c r="M106" i="16" s="1"/>
  <c r="Q106" i="16" s="1"/>
  <c r="O93" i="16"/>
  <c r="P148" i="16"/>
  <c r="M163" i="16"/>
  <c r="Q163" i="16" s="1"/>
  <c r="Q156" i="16"/>
  <c r="D158" i="16"/>
  <c r="F158" i="16" s="1"/>
  <c r="G159" i="16" s="1"/>
  <c r="F149" i="16"/>
  <c r="G148" i="16" s="1"/>
  <c r="D107" i="16"/>
  <c r="H107" i="16" s="1"/>
  <c r="H100" i="16"/>
  <c r="Q100" i="16"/>
  <c r="P92" i="16"/>
  <c r="Q44" i="16"/>
  <c r="H20" i="16"/>
  <c r="H15" i="16"/>
  <c r="E43" i="16"/>
  <c r="H43" i="16" s="1"/>
  <c r="D42" i="16"/>
  <c r="D50" i="16" s="1"/>
  <c r="H50" i="16" s="1"/>
  <c r="D37" i="16"/>
  <c r="E44" i="16"/>
  <c r="D51" i="16" s="1"/>
  <c r="H51" i="16" s="1"/>
  <c r="H31" i="16"/>
  <c r="W43" i="18" l="1"/>
  <c r="Z43" i="18" s="1"/>
  <c r="V37" i="18"/>
  <c r="V46" i="18" s="1"/>
  <c r="X46" i="18" s="1"/>
  <c r="Y47" i="18" s="1"/>
  <c r="AF43" i="18"/>
  <c r="AI43" i="18" s="1"/>
  <c r="AE37" i="18"/>
  <c r="AE46" i="18" s="1"/>
  <c r="AG46" i="18" s="1"/>
  <c r="AH47" i="18" s="1"/>
  <c r="Z31" i="18"/>
  <c r="D102" i="16"/>
  <c r="F102" i="16" s="1"/>
  <c r="G103" i="16" s="1"/>
  <c r="N43" i="18"/>
  <c r="Q43" i="18" s="1"/>
  <c r="AI44" i="18"/>
  <c r="AI31" i="18"/>
  <c r="M42" i="18"/>
  <c r="M50" i="18" s="1"/>
  <c r="Q50" i="18" s="1"/>
  <c r="N44" i="18"/>
  <c r="Q31" i="18"/>
  <c r="Z44" i="18"/>
  <c r="D46" i="18"/>
  <c r="F46" i="18" s="1"/>
  <c r="G47" i="18" s="1"/>
  <c r="F37" i="18"/>
  <c r="G36" i="18" s="1"/>
  <c r="AG37" i="18"/>
  <c r="AH36" i="18" s="1"/>
  <c r="AN46" i="18"/>
  <c r="AP46" i="18" s="1"/>
  <c r="AQ47" i="18" s="1"/>
  <c r="AP37" i="18"/>
  <c r="AQ36" i="18" s="1"/>
  <c r="D51" i="18"/>
  <c r="H51" i="18" s="1"/>
  <c r="H44" i="18"/>
  <c r="M46" i="18"/>
  <c r="O46" i="18" s="1"/>
  <c r="P47" i="18" s="1"/>
  <c r="O37" i="18"/>
  <c r="P36" i="18" s="1"/>
  <c r="AN51" i="18"/>
  <c r="AR51" i="18" s="1"/>
  <c r="AR44" i="18"/>
  <c r="D46" i="16"/>
  <c r="F46" i="16" s="1"/>
  <c r="G47" i="16" s="1"/>
  <c r="F37" i="16"/>
  <c r="G36" i="16" s="1"/>
  <c r="H44" i="16"/>
  <c r="X37" i="18" l="1"/>
  <c r="Y36" i="18" s="1"/>
  <c r="M51" i="18"/>
  <c r="Q51" i="18" s="1"/>
  <c r="Q44" i="18"/>
  <c r="L48" i="1"/>
  <c r="L47" i="1"/>
  <c r="K48" i="1" a="1"/>
  <c r="K48" i="1" s="1"/>
  <c r="K47" i="1" a="1"/>
  <c r="K47" i="1" s="1"/>
  <c r="R44" i="1"/>
  <c r="Q46" i="1" a="1"/>
  <c r="Q46" i="1" s="1"/>
  <c r="Q44" i="1"/>
  <c r="Q42" i="1" a="1"/>
  <c r="Q42" i="1" s="1"/>
  <c r="R40" i="1"/>
  <c r="R34" i="1"/>
  <c r="Q36" i="1" a="1"/>
  <c r="Q36" i="1" s="1"/>
  <c r="Q32" i="1" a="1"/>
  <c r="Q32" i="1" s="1"/>
  <c r="R30" i="1"/>
  <c r="AS47" i="15" l="1"/>
  <c r="AI47" i="15"/>
  <c r="Y47" i="15"/>
  <c r="O47" i="15"/>
  <c r="E47" i="15"/>
  <c r="AT43" i="15"/>
  <c r="AJ43" i="15"/>
  <c r="Z43" i="15"/>
  <c r="P43" i="15"/>
  <c r="F43" i="15"/>
  <c r="AS37" i="15"/>
  <c r="AI37" i="15"/>
  <c r="Y37" i="15"/>
  <c r="O37" i="15"/>
  <c r="E37" i="15"/>
  <c r="AL29" i="15"/>
  <c r="AB29" i="15"/>
  <c r="R29" i="15"/>
  <c r="AR25" i="15"/>
  <c r="AH25" i="15"/>
  <c r="X25" i="15"/>
  <c r="N25" i="15"/>
  <c r="D25" i="15"/>
  <c r="AR23" i="15"/>
  <c r="AT42" i="15" s="1"/>
  <c r="AH23" i="15"/>
  <c r="AJ42" i="15" s="1"/>
  <c r="X23" i="15"/>
  <c r="Z42" i="15" s="1"/>
  <c r="N23" i="15"/>
  <c r="N24" i="15" s="1"/>
  <c r="D23" i="15"/>
  <c r="D24" i="15" s="1"/>
  <c r="AR21" i="15"/>
  <c r="AR26" i="15" s="1"/>
  <c r="AH21" i="15"/>
  <c r="AH26" i="15" s="1"/>
  <c r="X21" i="15"/>
  <c r="X26" i="15" s="1"/>
  <c r="N21" i="15"/>
  <c r="N26" i="15" s="1"/>
  <c r="D21" i="15"/>
  <c r="D26" i="15" s="1"/>
  <c r="AK14" i="15"/>
  <c r="AU9" i="15"/>
  <c r="AS14" i="15" s="1"/>
  <c r="AK9" i="15"/>
  <c r="AA9" i="15"/>
  <c r="Y14" i="15" s="1"/>
  <c r="Q9" i="15"/>
  <c r="G9" i="15"/>
  <c r="AO70" i="11"/>
  <c r="AO71" i="11" s="1"/>
  <c r="AQ72" i="11" s="1"/>
  <c r="AO77" i="11"/>
  <c r="AO78" i="11" s="1"/>
  <c r="AQ79" i="11" s="1"/>
  <c r="AO63" i="11"/>
  <c r="AO64" i="11" s="1"/>
  <c r="AQ65" i="11" s="1"/>
  <c r="AO48" i="11"/>
  <c r="AO49" i="11" s="1"/>
  <c r="AQ50" i="11" s="1"/>
  <c r="AO41" i="11"/>
  <c r="AO42" i="11" s="1"/>
  <c r="AQ43" i="11" s="1"/>
  <c r="AO34" i="11"/>
  <c r="AO35" i="11" s="1"/>
  <c r="AQ36" i="11" s="1"/>
  <c r="AO19" i="11"/>
  <c r="AO20" i="11" s="1"/>
  <c r="AQ21" i="11" s="1"/>
  <c r="AO12" i="11"/>
  <c r="AO13" i="11" s="1"/>
  <c r="AQ14" i="11" s="1"/>
  <c r="AO5" i="11"/>
  <c r="AO6" i="11" s="1"/>
  <c r="AQ7" i="11" s="1"/>
  <c r="AQ8" i="11" s="1"/>
  <c r="AR52" i="15" l="1"/>
  <c r="AR56" i="15" s="1"/>
  <c r="AU52" i="15"/>
  <c r="AK52" i="15"/>
  <c r="AH52" i="15"/>
  <c r="AH56" i="15" s="1"/>
  <c r="AA52" i="15"/>
  <c r="X52" i="15"/>
  <c r="X56" i="15" s="1"/>
  <c r="N56" i="15"/>
  <c r="D52" i="15"/>
  <c r="D56" i="15" s="1"/>
  <c r="G52" i="15"/>
  <c r="Q12" i="15"/>
  <c r="Q14" i="15"/>
  <c r="O12" i="15"/>
  <c r="O14" i="15"/>
  <c r="AI14" i="15"/>
  <c r="G14" i="15"/>
  <c r="AA14" i="15"/>
  <c r="AU14" i="15"/>
  <c r="E14" i="15"/>
  <c r="AM66" i="11"/>
  <c r="X66" i="11"/>
  <c r="AM80" i="11"/>
  <c r="X80" i="11"/>
  <c r="AM73" i="11"/>
  <c r="X73" i="11"/>
  <c r="X37" i="11"/>
  <c r="AM37" i="11"/>
  <c r="AM44" i="11"/>
  <c r="X44" i="11"/>
  <c r="AM51" i="11"/>
  <c r="X51" i="11"/>
  <c r="M34" i="15"/>
  <c r="M27" i="15"/>
  <c r="N28" i="15" s="1"/>
  <c r="N29" i="15" s="1"/>
  <c r="AQ27" i="15"/>
  <c r="AR28" i="15" s="1"/>
  <c r="AR29" i="15" s="1"/>
  <c r="AQ34" i="15"/>
  <c r="F42" i="15"/>
  <c r="P42" i="15"/>
  <c r="AA15" i="15"/>
  <c r="O13" i="15"/>
  <c r="E13" i="15"/>
  <c r="AU13" i="15"/>
  <c r="G13" i="15"/>
  <c r="AA12" i="15"/>
  <c r="AK15" i="15"/>
  <c r="AI15" i="15"/>
  <c r="AS13" i="15"/>
  <c r="Y15" i="15"/>
  <c r="Y12" i="15"/>
  <c r="C27" i="15"/>
  <c r="D28" i="15" s="1"/>
  <c r="D29" i="15" s="1"/>
  <c r="C34" i="15"/>
  <c r="AG34" i="15"/>
  <c r="AG27" i="15"/>
  <c r="AH28" i="15" s="1"/>
  <c r="AH29" i="15" s="1"/>
  <c r="W34" i="15"/>
  <c r="W27" i="15"/>
  <c r="X28" i="15" s="1"/>
  <c r="X29" i="15" s="1"/>
  <c r="AI12" i="15"/>
  <c r="Y13" i="15"/>
  <c r="E15" i="15"/>
  <c r="AS15" i="15"/>
  <c r="X24" i="15"/>
  <c r="AK12" i="15"/>
  <c r="AA13" i="15"/>
  <c r="G15" i="15"/>
  <c r="AU15" i="15"/>
  <c r="AH24" i="15"/>
  <c r="Q13" i="15"/>
  <c r="E12" i="15"/>
  <c r="AS12" i="15"/>
  <c r="AI13" i="15"/>
  <c r="O15" i="15"/>
  <c r="AR24" i="15"/>
  <c r="G12" i="15"/>
  <c r="AU12" i="15"/>
  <c r="AK13" i="15"/>
  <c r="Q15" i="15"/>
  <c r="AQ44" i="11"/>
  <c r="AQ51" i="11"/>
  <c r="AQ37" i="11"/>
  <c r="AQ66" i="11"/>
  <c r="AH8" i="11"/>
  <c r="AH9" i="11" s="1"/>
  <c r="AC8" i="11"/>
  <c r="AQ73" i="11"/>
  <c r="AM22" i="11"/>
  <c r="X22" i="11"/>
  <c r="AQ22" i="11"/>
  <c r="AQ15" i="11"/>
  <c r="AM15" i="11"/>
  <c r="X15" i="11"/>
  <c r="AQ80" i="11"/>
  <c r="X8" i="11"/>
  <c r="AM8" i="11"/>
  <c r="O17" i="15" l="1"/>
  <c r="E17" i="15"/>
  <c r="AH73" i="11"/>
  <c r="AC73" i="11"/>
  <c r="AH80" i="11"/>
  <c r="AC80" i="11"/>
  <c r="AM67" i="11"/>
  <c r="AM63" i="11"/>
  <c r="X70" i="11"/>
  <c r="X74" i="11"/>
  <c r="AM74" i="11"/>
  <c r="AM70" i="11"/>
  <c r="X81" i="11"/>
  <c r="X77" i="11"/>
  <c r="AM81" i="11"/>
  <c r="AM77" i="11"/>
  <c r="AH66" i="11"/>
  <c r="AC66" i="11"/>
  <c r="X67" i="11"/>
  <c r="X63" i="11"/>
  <c r="Y63" i="11" s="1"/>
  <c r="X38" i="11"/>
  <c r="X34" i="11"/>
  <c r="Y34" i="11" s="1"/>
  <c r="X48" i="11"/>
  <c r="X52" i="11"/>
  <c r="X41" i="11"/>
  <c r="X45" i="11"/>
  <c r="AH37" i="11"/>
  <c r="AC37" i="11"/>
  <c r="AH44" i="11"/>
  <c r="AC44" i="11"/>
  <c r="AM45" i="11"/>
  <c r="AM41" i="11"/>
  <c r="AH51" i="11"/>
  <c r="AC51" i="11"/>
  <c r="AM52" i="11"/>
  <c r="AM48" i="11"/>
  <c r="AM38" i="11"/>
  <c r="AM34" i="11"/>
  <c r="Y17" i="15"/>
  <c r="AI17" i="15"/>
  <c r="AS16" i="15"/>
  <c r="AS5" i="15" s="1"/>
  <c r="AR30" i="15" s="1"/>
  <c r="AT28" i="15" s="1"/>
  <c r="AV28" i="15" s="1"/>
  <c r="Y16" i="15"/>
  <c r="Y5" i="15" s="1"/>
  <c r="X30" i="15" s="1"/>
  <c r="Z28" i="15" s="1"/>
  <c r="O16" i="15"/>
  <c r="O5" i="15" s="1"/>
  <c r="N30" i="15" s="1"/>
  <c r="P28" i="15" s="1"/>
  <c r="AI16" i="15"/>
  <c r="AI5" i="15" s="1"/>
  <c r="AH30" i="15" s="1"/>
  <c r="AJ28" i="15" s="1"/>
  <c r="AL28" i="15" s="1"/>
  <c r="E16" i="15"/>
  <c r="E5" i="15" s="1"/>
  <c r="D30" i="15" s="1"/>
  <c r="F28" i="15" s="1"/>
  <c r="H28" i="15" s="1"/>
  <c r="AS17" i="15"/>
  <c r="AH15" i="11"/>
  <c r="AC15" i="11"/>
  <c r="AH5" i="11"/>
  <c r="AM9" i="11"/>
  <c r="AM5" i="11"/>
  <c r="AH22" i="11"/>
  <c r="AH23" i="11" s="1"/>
  <c r="AC22" i="11"/>
  <c r="AC9" i="11"/>
  <c r="AC5" i="11"/>
  <c r="X9" i="11"/>
  <c r="X5" i="11"/>
  <c r="Y5" i="11" s="1"/>
  <c r="X23" i="11"/>
  <c r="X19" i="11"/>
  <c r="X12" i="11"/>
  <c r="Y12" i="11" s="1"/>
  <c r="X16" i="11"/>
  <c r="AM23" i="11"/>
  <c r="AM19" i="11"/>
  <c r="AM16" i="11"/>
  <c r="AM12" i="11"/>
  <c r="Y48" i="11" l="1"/>
  <c r="Y41" i="11"/>
  <c r="Z29" i="15"/>
  <c r="Z30" i="15" s="1"/>
  <c r="AB28" i="15"/>
  <c r="P29" i="15"/>
  <c r="P30" i="15" s="1"/>
  <c r="N35" i="15"/>
  <c r="O38" i="15" s="1"/>
  <c r="AT29" i="15"/>
  <c r="AT30" i="15" s="1"/>
  <c r="AR35" i="15"/>
  <c r="AS38" i="15" s="1"/>
  <c r="Y77" i="11"/>
  <c r="AH63" i="11"/>
  <c r="AH67" i="11"/>
  <c r="Y70" i="11"/>
  <c r="AC67" i="11"/>
  <c r="AC63" i="11"/>
  <c r="AC81" i="11"/>
  <c r="AC77" i="11"/>
  <c r="AH81" i="11"/>
  <c r="AH77" i="11"/>
  <c r="AA77" i="11"/>
  <c r="Z77" i="11"/>
  <c r="AA63" i="11"/>
  <c r="Z63" i="11"/>
  <c r="AC74" i="11"/>
  <c r="AC70" i="11"/>
  <c r="AH70" i="11"/>
  <c r="AH74" i="11"/>
  <c r="AC38" i="11"/>
  <c r="AC34" i="11"/>
  <c r="AA48" i="11"/>
  <c r="Z48" i="11"/>
  <c r="AA41" i="11"/>
  <c r="Z41" i="11"/>
  <c r="AH38" i="11"/>
  <c r="AH34" i="11"/>
  <c r="AH48" i="11"/>
  <c r="AH52" i="11"/>
  <c r="AC45" i="11"/>
  <c r="AC41" i="11"/>
  <c r="AA34" i="11"/>
  <c r="AD34" i="11" s="1"/>
  <c r="Z34" i="11"/>
  <c r="AC48" i="11"/>
  <c r="AC52" i="11"/>
  <c r="AH41" i="11"/>
  <c r="AH45" i="11"/>
  <c r="Y19" i="11"/>
  <c r="AA19" i="11" s="1"/>
  <c r="AH16" i="11"/>
  <c r="AH12" i="11"/>
  <c r="W44" i="15"/>
  <c r="Z44" i="15" s="1"/>
  <c r="X45" i="15" s="1"/>
  <c r="Y48" i="15" s="1"/>
  <c r="D35" i="15"/>
  <c r="E38" i="15" s="1"/>
  <c r="C58" i="15" s="1"/>
  <c r="F29" i="15"/>
  <c r="F30" i="15" s="1"/>
  <c r="AJ29" i="15"/>
  <c r="AJ30" i="15" s="1"/>
  <c r="AC12" i="11"/>
  <c r="AC16" i="11"/>
  <c r="AA12" i="11"/>
  <c r="Z12" i="11"/>
  <c r="AH19" i="11"/>
  <c r="AA5" i="11"/>
  <c r="AD5" i="11" s="1"/>
  <c r="Z5" i="11"/>
  <c r="AC19" i="11"/>
  <c r="AC23" i="11"/>
  <c r="AD12" i="11" l="1"/>
  <c r="AD63" i="11"/>
  <c r="AE63" i="11"/>
  <c r="AF63" i="11"/>
  <c r="AI63" i="11" s="1"/>
  <c r="AA70" i="11"/>
  <c r="AD70" i="11" s="1"/>
  <c r="Z70" i="11"/>
  <c r="X65" i="11"/>
  <c r="X68" i="11" s="1"/>
  <c r="AD77" i="11"/>
  <c r="X43" i="11"/>
  <c r="X46" i="11" s="1"/>
  <c r="AD41" i="11"/>
  <c r="X50" i="11"/>
  <c r="X53" i="11" s="1"/>
  <c r="X36" i="11"/>
  <c r="X39" i="11" s="1"/>
  <c r="AE34" i="11"/>
  <c r="AF34" i="11"/>
  <c r="AI34" i="11" s="1"/>
  <c r="AD48" i="11"/>
  <c r="Z19" i="11"/>
  <c r="X21" i="11" s="1"/>
  <c r="AD19" i="11"/>
  <c r="X35" i="15"/>
  <c r="Y38" i="15" s="1"/>
  <c r="W58" i="15" s="1"/>
  <c r="M44" i="15"/>
  <c r="P44" i="15" s="1"/>
  <c r="N45" i="15" s="1"/>
  <c r="O48" i="15" s="1"/>
  <c r="AQ44" i="15"/>
  <c r="AT44" i="15" s="1"/>
  <c r="AR45" i="15" s="1"/>
  <c r="AS48" i="15" s="1"/>
  <c r="AH35" i="15"/>
  <c r="AI38" i="15" s="1"/>
  <c r="AG58" i="15" s="1"/>
  <c r="AG44" i="15"/>
  <c r="AJ44" i="15" s="1"/>
  <c r="AH45" i="15" s="1"/>
  <c r="AI48" i="15" s="1"/>
  <c r="C44" i="15"/>
  <c r="F44" i="15" s="1"/>
  <c r="D45" i="15" s="1"/>
  <c r="E48" i="15" s="1"/>
  <c r="AF5" i="11"/>
  <c r="AI5" i="11" s="1"/>
  <c r="AE5" i="11"/>
  <c r="AC7" i="11" s="1"/>
  <c r="AF19" i="11"/>
  <c r="AI19" i="11" s="1"/>
  <c r="AE19" i="11"/>
  <c r="X7" i="11"/>
  <c r="X14" i="11"/>
  <c r="AF70" i="11" l="1"/>
  <c r="AI70" i="11" s="1"/>
  <c r="AE70" i="11"/>
  <c r="X72" i="11"/>
  <c r="X75" i="11" s="1"/>
  <c r="AC72" i="11"/>
  <c r="AC75" i="11" s="1"/>
  <c r="AC79" i="11"/>
  <c r="AC82" i="11" s="1"/>
  <c r="AH65" i="11"/>
  <c r="AH68" i="11" s="1"/>
  <c r="X79" i="11"/>
  <c r="X82" i="11" s="1"/>
  <c r="W85" i="11" s="1"/>
  <c r="AK63" i="11"/>
  <c r="AJ63" i="11"/>
  <c r="AL65" i="11" s="1"/>
  <c r="AL68" i="11" s="1"/>
  <c r="AE77" i="11"/>
  <c r="AF77" i="11"/>
  <c r="AI77" i="11" s="1"/>
  <c r="AC65" i="11"/>
  <c r="AC68" i="11" s="1"/>
  <c r="AF41" i="11"/>
  <c r="AI41" i="11" s="1"/>
  <c r="AE41" i="11"/>
  <c r="AE48" i="11"/>
  <c r="AF48" i="11"/>
  <c r="AI48" i="11" s="1"/>
  <c r="AC36" i="11"/>
  <c r="AC39" i="11" s="1"/>
  <c r="AJ34" i="11"/>
  <c r="AL36" i="11" s="1"/>
  <c r="AL39" i="11" s="1"/>
  <c r="AK34" i="11"/>
  <c r="X24" i="11"/>
  <c r="H7" i="24" s="1"/>
  <c r="W56" i="11"/>
  <c r="X10" i="11"/>
  <c r="X17" i="11"/>
  <c r="AK19" i="11"/>
  <c r="AJ19" i="11"/>
  <c r="AF12" i="11"/>
  <c r="AI12" i="11" s="1"/>
  <c r="AE12" i="11"/>
  <c r="AC10" i="11"/>
  <c r="AJ5" i="11"/>
  <c r="AL7" i="11" s="1"/>
  <c r="AL10" i="11" s="1"/>
  <c r="AK5" i="11"/>
  <c r="D11" i="24" l="1"/>
  <c r="D13" i="24" s="1"/>
  <c r="C18" i="24" s="1"/>
  <c r="C20" i="24" s="1"/>
  <c r="C22" i="24" s="1"/>
  <c r="C23" i="24" s="1"/>
  <c r="D12" i="24"/>
  <c r="AJ77" i="11"/>
  <c r="AK77" i="11"/>
  <c r="AK70" i="11"/>
  <c r="AJ70" i="11"/>
  <c r="AL72" i="11" s="1"/>
  <c r="AL75" i="11" s="1"/>
  <c r="AC50" i="11"/>
  <c r="AC53" i="11" s="1"/>
  <c r="AB7" i="24" s="1"/>
  <c r="AK48" i="11"/>
  <c r="AJ48" i="11"/>
  <c r="AC43" i="11"/>
  <c r="AC46" i="11" s="1"/>
  <c r="AK41" i="11"/>
  <c r="AJ41" i="11"/>
  <c r="AL43" i="11" s="1"/>
  <c r="AL46" i="11" s="1"/>
  <c r="AH36" i="11"/>
  <c r="AH39" i="11" s="1"/>
  <c r="W27" i="11"/>
  <c r="AC21" i="11"/>
  <c r="AC14" i="11"/>
  <c r="AH7" i="11"/>
  <c r="AJ12" i="11"/>
  <c r="AL14" i="11" s="1"/>
  <c r="AK12" i="11"/>
  <c r="AH79" i="11" l="1"/>
  <c r="AH82" i="11" s="1"/>
  <c r="AH72" i="11"/>
  <c r="AH75" i="11" s="1"/>
  <c r="AL79" i="11"/>
  <c r="AL82" i="11" s="1"/>
  <c r="AL50" i="11"/>
  <c r="AL53" i="11" s="1"/>
  <c r="AH43" i="11"/>
  <c r="AH46" i="11" s="1"/>
  <c r="AH50" i="11"/>
  <c r="AH53" i="11" s="1"/>
  <c r="AB46" i="24" s="1"/>
  <c r="AC24" i="11"/>
  <c r="H46" i="24" s="1"/>
  <c r="AH10" i="11"/>
  <c r="AL17" i="11"/>
  <c r="BC21" i="11"/>
  <c r="BC22" i="11"/>
  <c r="AC17" i="11"/>
  <c r="AH14" i="11"/>
  <c r="AH17" i="11" s="1"/>
  <c r="AH21" i="11"/>
  <c r="AH24" i="11" s="1"/>
  <c r="AL21" i="11"/>
  <c r="R7" i="24" l="1"/>
  <c r="AL24" i="11"/>
  <c r="R46" i="24" s="1"/>
  <c r="BC20" i="11"/>
  <c r="Y85" i="11"/>
  <c r="Z85" i="11" s="1"/>
  <c r="BA20" i="11"/>
  <c r="BA21" i="11"/>
  <c r="BA22" i="11"/>
  <c r="Y27" i="11"/>
  <c r="Z27" i="11" s="1"/>
  <c r="Y56" i="11"/>
  <c r="Z56" i="11" s="1"/>
  <c r="L31" i="14" l="1"/>
  <c r="G31" i="14"/>
  <c r="B31" i="14"/>
  <c r="L30" i="14"/>
  <c r="G30" i="14"/>
  <c r="B30" i="14"/>
  <c r="L29" i="14"/>
  <c r="G29" i="14"/>
  <c r="B29" i="14"/>
  <c r="L28" i="14"/>
  <c r="G28" i="14"/>
  <c r="B28" i="14"/>
  <c r="L25" i="14"/>
  <c r="G25" i="14"/>
  <c r="B25" i="14"/>
  <c r="L24" i="14"/>
  <c r="G24" i="14"/>
  <c r="B24" i="14"/>
  <c r="L23" i="14"/>
  <c r="G23" i="14"/>
  <c r="B23" i="14"/>
  <c r="L22" i="14"/>
  <c r="G22" i="14"/>
  <c r="B22" i="14"/>
  <c r="L19" i="14"/>
  <c r="G19" i="14"/>
  <c r="B19" i="14"/>
  <c r="L18" i="14"/>
  <c r="G18" i="14"/>
  <c r="B18" i="14"/>
  <c r="L17" i="14"/>
  <c r="G17" i="14"/>
  <c r="G20" i="14" s="1"/>
  <c r="B17" i="14"/>
  <c r="L39" i="13"/>
  <c r="Q36" i="13"/>
  <c r="Q39" i="13" s="1"/>
  <c r="L36" i="13"/>
  <c r="G36" i="13"/>
  <c r="G39" i="13" s="1"/>
  <c r="B36" i="13"/>
  <c r="B39" i="13" s="1"/>
  <c r="Q28" i="13"/>
  <c r="L28" i="13"/>
  <c r="G28" i="13"/>
  <c r="B28" i="13"/>
  <c r="Q22" i="13"/>
  <c r="L22" i="13"/>
  <c r="G22" i="13"/>
  <c r="B22" i="13"/>
  <c r="S12" i="13"/>
  <c r="Q25" i="13" s="1"/>
  <c r="N12" i="13"/>
  <c r="L25" i="13" s="1"/>
  <c r="I12" i="13"/>
  <c r="G25" i="13" s="1"/>
  <c r="D12" i="13"/>
  <c r="B25" i="13" s="1"/>
  <c r="O102" i="12"/>
  <c r="U101" i="12"/>
  <c r="Q101" i="12"/>
  <c r="O101" i="12"/>
  <c r="V100" i="12"/>
  <c r="U100" i="12"/>
  <c r="V89" i="12"/>
  <c r="AB88" i="12"/>
  <c r="X88" i="12"/>
  <c r="V88" i="12"/>
  <c r="AC87" i="12"/>
  <c r="AB87" i="12"/>
  <c r="V87" i="12"/>
  <c r="X86" i="12"/>
  <c r="V86" i="12"/>
  <c r="U63" i="12"/>
  <c r="AA62" i="12"/>
  <c r="W62" i="12"/>
  <c r="U62" i="12"/>
  <c r="AB61" i="12"/>
  <c r="AA61" i="12"/>
  <c r="U54" i="12"/>
  <c r="AA53" i="12"/>
  <c r="W53" i="12"/>
  <c r="U53" i="12"/>
  <c r="AB52" i="12"/>
  <c r="AA52" i="12"/>
  <c r="U52" i="12"/>
  <c r="T22" i="12"/>
  <c r="Z21" i="12"/>
  <c r="V21" i="12"/>
  <c r="T21" i="12"/>
  <c r="AA20" i="12"/>
  <c r="Z20" i="12"/>
  <c r="E81" i="11"/>
  <c r="E78" i="11" s="1"/>
  <c r="E74" i="11"/>
  <c r="E71" i="11" s="1"/>
  <c r="E67" i="11"/>
  <c r="O67" i="11" s="1"/>
  <c r="O64" i="11" s="1"/>
  <c r="O68" i="11" s="1"/>
  <c r="E52" i="11"/>
  <c r="J52" i="11" s="1"/>
  <c r="J49" i="11" s="1"/>
  <c r="E45" i="11"/>
  <c r="E42" i="11" s="1"/>
  <c r="E38" i="11"/>
  <c r="E39" i="11" s="1"/>
  <c r="E23" i="11"/>
  <c r="O23" i="11" s="1"/>
  <c r="O20" i="11" s="1"/>
  <c r="O24" i="11" s="1"/>
  <c r="E16" i="11"/>
  <c r="J16" i="11" s="1"/>
  <c r="J13" i="11" s="1"/>
  <c r="E9" i="11"/>
  <c r="E6" i="11" s="1"/>
  <c r="F6" i="11" s="1"/>
  <c r="Q80" i="10"/>
  <c r="P80" i="10"/>
  <c r="Q53" i="10"/>
  <c r="P53" i="10"/>
  <c r="Q26" i="10"/>
  <c r="P26" i="10"/>
  <c r="Q79" i="10"/>
  <c r="P79" i="10"/>
  <c r="Q52" i="10"/>
  <c r="P52" i="10"/>
  <c r="Q25" i="10"/>
  <c r="P25" i="10"/>
  <c r="Q78" i="10"/>
  <c r="P78" i="10"/>
  <c r="Q51" i="10"/>
  <c r="R51" i="10" s="1"/>
  <c r="P51" i="10"/>
  <c r="Q24" i="10"/>
  <c r="P24" i="10"/>
  <c r="U63" i="10"/>
  <c r="U36" i="10"/>
  <c r="U9" i="10"/>
  <c r="U62" i="10"/>
  <c r="U35" i="10"/>
  <c r="U8" i="10"/>
  <c r="T58" i="10"/>
  <c r="V71" i="10" s="1"/>
  <c r="T31" i="10"/>
  <c r="V44" i="10" s="1"/>
  <c r="T4" i="10"/>
  <c r="V17" i="10" s="1"/>
  <c r="T57" i="10"/>
  <c r="Q66" i="10" s="1"/>
  <c r="T30" i="10"/>
  <c r="Q39" i="10" s="1"/>
  <c r="T3" i="10"/>
  <c r="Q12" i="10" s="1"/>
  <c r="C80" i="10"/>
  <c r="C53" i="10"/>
  <c r="C26" i="10"/>
  <c r="C79" i="10"/>
  <c r="C52" i="10"/>
  <c r="C25" i="10"/>
  <c r="C78" i="10"/>
  <c r="C51" i="10"/>
  <c r="C24" i="10"/>
  <c r="H63" i="10"/>
  <c r="H36" i="10"/>
  <c r="H9" i="10"/>
  <c r="H62" i="10"/>
  <c r="H35" i="10"/>
  <c r="H8" i="10"/>
  <c r="B58" i="10"/>
  <c r="D78" i="10" s="1"/>
  <c r="B31" i="10"/>
  <c r="D51" i="10" s="1"/>
  <c r="B4" i="10"/>
  <c r="D24" i="10" s="1"/>
  <c r="G57" i="10"/>
  <c r="D66" i="10" s="1"/>
  <c r="B57" i="10"/>
  <c r="D79" i="10" s="1"/>
  <c r="G30" i="10"/>
  <c r="D39" i="10" s="1"/>
  <c r="B30" i="10"/>
  <c r="D52" i="10" s="1"/>
  <c r="E52" i="10" s="1"/>
  <c r="G3" i="10"/>
  <c r="D12" i="10" s="1"/>
  <c r="B3" i="10"/>
  <c r="D25" i="10" s="1"/>
  <c r="B56" i="10"/>
  <c r="D80" i="10" s="1"/>
  <c r="E80" i="10" s="1"/>
  <c r="B29" i="10"/>
  <c r="D53" i="10" s="1"/>
  <c r="E53" i="10" s="1"/>
  <c r="B2" i="10"/>
  <c r="D26" i="10" s="1"/>
  <c r="E26" i="10" s="1"/>
  <c r="I69" i="9"/>
  <c r="I62" i="9"/>
  <c r="I61" i="9"/>
  <c r="I59" i="9"/>
  <c r="I54" i="9"/>
  <c r="I53" i="9"/>
  <c r="I71" i="9"/>
  <c r="I70" i="9"/>
  <c r="I68" i="9"/>
  <c r="I64" i="9"/>
  <c r="I63" i="9"/>
  <c r="I60" i="9"/>
  <c r="I58" i="9"/>
  <c r="I65" i="9" s="1"/>
  <c r="I52" i="9"/>
  <c r="F44" i="9"/>
  <c r="I44" i="9" s="1"/>
  <c r="I46" i="9"/>
  <c r="I45" i="9"/>
  <c r="I43" i="9"/>
  <c r="I39" i="9"/>
  <c r="I38" i="9"/>
  <c r="I37" i="9"/>
  <c r="I36" i="9"/>
  <c r="I35" i="9"/>
  <c r="I31" i="9"/>
  <c r="I30" i="9"/>
  <c r="I29" i="9"/>
  <c r="I23" i="9"/>
  <c r="I22" i="9"/>
  <c r="I21" i="9"/>
  <c r="I20" i="9"/>
  <c r="I13" i="9"/>
  <c r="I14" i="9"/>
  <c r="I15" i="9"/>
  <c r="I16" i="9"/>
  <c r="I12" i="9"/>
  <c r="I6" i="9"/>
  <c r="I7" i="9"/>
  <c r="I8" i="9"/>
  <c r="I5" i="9"/>
  <c r="I24" i="9" l="1"/>
  <c r="I55" i="9"/>
  <c r="B32" i="14"/>
  <c r="R26" i="10"/>
  <c r="I40" i="9"/>
  <c r="B26" i="14"/>
  <c r="L26" i="14"/>
  <c r="G32" i="14"/>
  <c r="B20" i="14"/>
  <c r="L32" i="14"/>
  <c r="L20" i="14"/>
  <c r="G26" i="14"/>
  <c r="I72" i="9"/>
  <c r="R79" i="10"/>
  <c r="E25" i="10"/>
  <c r="Q71" i="10"/>
  <c r="O74" i="10" s="1"/>
  <c r="R53" i="10"/>
  <c r="I17" i="9"/>
  <c r="I47" i="9"/>
  <c r="E35" i="11"/>
  <c r="F35" i="11" s="1"/>
  <c r="H35" i="11" s="1"/>
  <c r="E82" i="11"/>
  <c r="J38" i="11"/>
  <c r="J39" i="11" s="1"/>
  <c r="F42" i="11"/>
  <c r="G42" i="11" s="1"/>
  <c r="J45" i="11"/>
  <c r="J42" i="11" s="1"/>
  <c r="J46" i="11" s="1"/>
  <c r="O16" i="11"/>
  <c r="O13" i="11" s="1"/>
  <c r="O17" i="11" s="1"/>
  <c r="E24" i="11"/>
  <c r="E49" i="11"/>
  <c r="E68" i="11"/>
  <c r="F71" i="11" s="1"/>
  <c r="H71" i="11" s="1"/>
  <c r="J9" i="11"/>
  <c r="J10" i="11" s="1"/>
  <c r="O9" i="11"/>
  <c r="O6" i="11" s="1"/>
  <c r="O10" i="11" s="1"/>
  <c r="O52" i="11"/>
  <c r="O49" i="11" s="1"/>
  <c r="O53" i="11" s="1"/>
  <c r="J81" i="11"/>
  <c r="J78" i="11" s="1"/>
  <c r="J82" i="11" s="1"/>
  <c r="E53" i="11"/>
  <c r="O81" i="11"/>
  <c r="O78" i="11" s="1"/>
  <c r="O82" i="11" s="1"/>
  <c r="E64" i="11"/>
  <c r="F64" i="11" s="1"/>
  <c r="H64" i="11" s="1"/>
  <c r="E20" i="11"/>
  <c r="R80" i="10"/>
  <c r="E79" i="10"/>
  <c r="V14" i="10"/>
  <c r="R24" i="10"/>
  <c r="R52" i="10"/>
  <c r="Q44" i="10"/>
  <c r="O47" i="10" s="1"/>
  <c r="V68" i="10"/>
  <c r="Q54" i="10"/>
  <c r="R25" i="10"/>
  <c r="Q41" i="10"/>
  <c r="R78" i="10"/>
  <c r="I32" i="9"/>
  <c r="I9" i="9"/>
  <c r="B30" i="13"/>
  <c r="B38" i="13" s="1"/>
  <c r="G30" i="13"/>
  <c r="G42" i="13" s="1"/>
  <c r="L30" i="13"/>
  <c r="L38" i="13" s="1"/>
  <c r="Q30" i="13"/>
  <c r="Q38" i="13" s="1"/>
  <c r="G6" i="11"/>
  <c r="H6" i="11"/>
  <c r="J53" i="11"/>
  <c r="J17" i="11"/>
  <c r="E17" i="11"/>
  <c r="O45" i="11"/>
  <c r="O42" i="11" s="1"/>
  <c r="O46" i="11" s="1"/>
  <c r="J74" i="11"/>
  <c r="J71" i="11" s="1"/>
  <c r="E13" i="11"/>
  <c r="E46" i="11"/>
  <c r="F49" i="11" s="1"/>
  <c r="O74" i="11"/>
  <c r="O71" i="11" s="1"/>
  <c r="O75" i="11" s="1"/>
  <c r="E75" i="11"/>
  <c r="F78" i="11" s="1"/>
  <c r="E10" i="11"/>
  <c r="J23" i="11"/>
  <c r="J20" i="11" s="1"/>
  <c r="O38" i="11"/>
  <c r="O35" i="11" s="1"/>
  <c r="O39" i="11" s="1"/>
  <c r="J67" i="11"/>
  <c r="Q14" i="10"/>
  <c r="Q68" i="10"/>
  <c r="E24" i="10"/>
  <c r="D27" i="10"/>
  <c r="D54" i="10"/>
  <c r="E51" i="10"/>
  <c r="E78" i="10"/>
  <c r="D81" i="10"/>
  <c r="G31" i="10"/>
  <c r="D41" i="10" s="1"/>
  <c r="V41" i="10"/>
  <c r="G58" i="10"/>
  <c r="I71" i="10" s="1"/>
  <c r="Q17" i="10"/>
  <c r="O20" i="10" s="1"/>
  <c r="Q27" i="10"/>
  <c r="Q81" i="10"/>
  <c r="G4" i="10"/>
  <c r="I17" i="10" s="1"/>
  <c r="AD24" i="9"/>
  <c r="H42" i="11" l="1"/>
  <c r="K42" i="11" s="1"/>
  <c r="R54" i="10"/>
  <c r="S52" i="10" s="1"/>
  <c r="R81" i="10"/>
  <c r="S78" i="10" s="1"/>
  <c r="G38" i="13"/>
  <c r="F20" i="11"/>
  <c r="G35" i="11"/>
  <c r="E37" i="11" s="1"/>
  <c r="E40" i="11" s="1"/>
  <c r="R27" i="10"/>
  <c r="S25" i="10" s="1"/>
  <c r="T25" i="10" s="1"/>
  <c r="J35" i="11"/>
  <c r="K35" i="11" s="1"/>
  <c r="G71" i="11"/>
  <c r="G64" i="11"/>
  <c r="E66" i="11" s="1"/>
  <c r="E69" i="11" s="1"/>
  <c r="E73" i="11" s="1"/>
  <c r="E76" i="11" s="1"/>
  <c r="D44" i="10"/>
  <c r="B47" i="10" s="1"/>
  <c r="F13" i="11"/>
  <c r="H13" i="11" s="1"/>
  <c r="K13" i="11" s="1"/>
  <c r="J6" i="11"/>
  <c r="I14" i="10"/>
  <c r="D17" i="10"/>
  <c r="B20" i="10" s="1"/>
  <c r="T52" i="10"/>
  <c r="D71" i="10"/>
  <c r="B74" i="10" s="1"/>
  <c r="S79" i="10"/>
  <c r="T79" i="10" s="1"/>
  <c r="M42" i="11"/>
  <c r="L42" i="11"/>
  <c r="H78" i="11"/>
  <c r="G78" i="11"/>
  <c r="H49" i="11"/>
  <c r="K49" i="11" s="1"/>
  <c r="G49" i="11"/>
  <c r="G13" i="11"/>
  <c r="J24" i="11"/>
  <c r="J75" i="11"/>
  <c r="E8" i="11"/>
  <c r="E11" i="11" s="1"/>
  <c r="J68" i="11"/>
  <c r="K71" i="11" s="1"/>
  <c r="J64" i="11"/>
  <c r="K64" i="11" s="1"/>
  <c r="H20" i="11"/>
  <c r="K20" i="11" s="1"/>
  <c r="G20" i="11"/>
  <c r="K6" i="11"/>
  <c r="E44" i="11"/>
  <c r="E47" i="11" s="1"/>
  <c r="T78" i="10"/>
  <c r="S53" i="10"/>
  <c r="T53" i="10" s="1"/>
  <c r="S51" i="10"/>
  <c r="D68" i="10"/>
  <c r="S24" i="10"/>
  <c r="D14" i="10"/>
  <c r="E27" i="10"/>
  <c r="F24" i="10" s="1"/>
  <c r="I68" i="10"/>
  <c r="E54" i="10"/>
  <c r="E81" i="10"/>
  <c r="I44" i="10"/>
  <c r="I41" i="10"/>
  <c r="L35" i="11" l="1"/>
  <c r="M35" i="11"/>
  <c r="S80" i="10"/>
  <c r="T80" i="10" s="1"/>
  <c r="S26" i="10"/>
  <c r="T26" i="10" s="1"/>
  <c r="K78" i="11"/>
  <c r="L78" i="11" s="1"/>
  <c r="T81" i="10"/>
  <c r="V80" i="10" s="1"/>
  <c r="V79" i="10" s="1"/>
  <c r="V78" i="10" s="1"/>
  <c r="X78" i="10" s="1"/>
  <c r="X79" i="10" s="1"/>
  <c r="X80" i="10" s="1"/>
  <c r="M20" i="11"/>
  <c r="L20" i="11"/>
  <c r="M71" i="11"/>
  <c r="L71" i="11"/>
  <c r="E51" i="11"/>
  <c r="E54" i="11" s="1"/>
  <c r="E80" i="11"/>
  <c r="E83" i="11" s="1"/>
  <c r="E86" i="11" s="1"/>
  <c r="M64" i="11"/>
  <c r="L64" i="11"/>
  <c r="M49" i="11"/>
  <c r="L49" i="11"/>
  <c r="E15" i="11"/>
  <c r="E18" i="11" s="1"/>
  <c r="N37" i="11"/>
  <c r="N40" i="11" s="1"/>
  <c r="N44" i="11" s="1"/>
  <c r="N47" i="11" s="1"/>
  <c r="J37" i="11"/>
  <c r="M6" i="11"/>
  <c r="L6" i="11"/>
  <c r="L13" i="11"/>
  <c r="M13" i="11"/>
  <c r="T24" i="10"/>
  <c r="T27" i="10" s="1"/>
  <c r="V26" i="10" s="1"/>
  <c r="V25" i="10" s="1"/>
  <c r="V24" i="10" s="1"/>
  <c r="X24" i="10" s="1"/>
  <c r="X25" i="10" s="1"/>
  <c r="X26" i="10" s="1"/>
  <c r="F79" i="10"/>
  <c r="G79" i="10" s="1"/>
  <c r="F80" i="10"/>
  <c r="G80" i="10" s="1"/>
  <c r="S54" i="10"/>
  <c r="T51" i="10"/>
  <c r="T54" i="10" s="1"/>
  <c r="V53" i="10" s="1"/>
  <c r="V52" i="10" s="1"/>
  <c r="V51" i="10" s="1"/>
  <c r="X51" i="10" s="1"/>
  <c r="X52" i="10" s="1"/>
  <c r="X53" i="10" s="1"/>
  <c r="G24" i="10"/>
  <c r="F53" i="10"/>
  <c r="G53" i="10" s="1"/>
  <c r="F52" i="10"/>
  <c r="G52" i="10" s="1"/>
  <c r="F78" i="10"/>
  <c r="F51" i="10"/>
  <c r="F25" i="10"/>
  <c r="G25" i="10" s="1"/>
  <c r="F26" i="10"/>
  <c r="G26" i="10" s="1"/>
  <c r="S81" i="10" l="1"/>
  <c r="E57" i="11"/>
  <c r="H47" i="24"/>
  <c r="S27" i="10"/>
  <c r="M78" i="11"/>
  <c r="G27" i="10"/>
  <c r="I26" i="10" s="1"/>
  <c r="I25" i="10" s="1"/>
  <c r="I24" i="10" s="1"/>
  <c r="K24" i="10" s="1"/>
  <c r="K25" i="10" s="1"/>
  <c r="K26" i="10" s="1"/>
  <c r="E22" i="11"/>
  <c r="E25" i="11" s="1"/>
  <c r="E28" i="11" s="1"/>
  <c r="N66" i="11"/>
  <c r="N69" i="11" s="1"/>
  <c r="N73" i="11" s="1"/>
  <c r="N76" i="11" s="1"/>
  <c r="N80" i="11" s="1"/>
  <c r="N83" i="11" s="1"/>
  <c r="R47" i="24" s="1"/>
  <c r="J66" i="11"/>
  <c r="N8" i="11"/>
  <c r="N11" i="11" s="1"/>
  <c r="N15" i="11" s="1"/>
  <c r="N18" i="11" s="1"/>
  <c r="N22" i="11" s="1"/>
  <c r="N25" i="11" s="1"/>
  <c r="J8" i="11"/>
  <c r="J40" i="11"/>
  <c r="J44" i="11" s="1"/>
  <c r="J47" i="11" s="1"/>
  <c r="J51" i="11" s="1"/>
  <c r="J54" i="11" s="1"/>
  <c r="N51" i="11"/>
  <c r="N54" i="11" s="1"/>
  <c r="F27" i="10"/>
  <c r="G51" i="10"/>
  <c r="G54" i="10" s="1"/>
  <c r="I53" i="10" s="1"/>
  <c r="I52" i="10" s="1"/>
  <c r="I51" i="10" s="1"/>
  <c r="K51" i="10" s="1"/>
  <c r="K52" i="10" s="1"/>
  <c r="K53" i="10" s="1"/>
  <c r="F54" i="10"/>
  <c r="G78" i="10"/>
  <c r="G81" i="10" s="1"/>
  <c r="I80" i="10" s="1"/>
  <c r="I79" i="10" s="1"/>
  <c r="I78" i="10" s="1"/>
  <c r="K78" i="10" s="1"/>
  <c r="K79" i="10" s="1"/>
  <c r="K80" i="10" s="1"/>
  <c r="F81" i="10"/>
  <c r="N50" i="24" l="1"/>
  <c r="N51" i="24"/>
  <c r="AB8" i="24"/>
  <c r="AB47" i="24"/>
  <c r="R8" i="24"/>
  <c r="D50" i="24"/>
  <c r="D52" i="24" s="1"/>
  <c r="C57" i="24" s="1"/>
  <c r="C59" i="24" s="1"/>
  <c r="C61" i="24" s="1"/>
  <c r="C62" i="24" s="1"/>
  <c r="D51" i="24"/>
  <c r="G57" i="11"/>
  <c r="J11" i="11"/>
  <c r="J15" i="11" s="1"/>
  <c r="J18" i="11" s="1"/>
  <c r="J22" i="11" s="1"/>
  <c r="J25" i="11" s="1"/>
  <c r="J69" i="11"/>
  <c r="J73" i="11" s="1"/>
  <c r="J76" i="11" s="1"/>
  <c r="J80" i="11" s="1"/>
  <c r="J83" i="11" s="1"/>
  <c r="N11" i="24" l="1"/>
  <c r="N12" i="24"/>
  <c r="X51" i="24"/>
  <c r="X50" i="24"/>
  <c r="X52" i="24" s="1"/>
  <c r="W57" i="24" s="1"/>
  <c r="W59" i="24" s="1"/>
  <c r="W61" i="24" s="1"/>
  <c r="W62" i="24" s="1"/>
  <c r="X12" i="24"/>
  <c r="X11" i="24"/>
  <c r="N52" i="24"/>
  <c r="M57" i="24" s="1"/>
  <c r="M59" i="24" s="1"/>
  <c r="M61" i="24" s="1"/>
  <c r="M62" i="24" s="1"/>
  <c r="G86" i="11"/>
  <c r="G28" i="11"/>
  <c r="X13" i="24" l="1"/>
  <c r="W18" i="24" s="1"/>
  <c r="W20" i="24" s="1"/>
  <c r="W22" i="24" s="1"/>
  <c r="W23" i="24" s="1"/>
  <c r="N13" i="24"/>
  <c r="M18" i="24" s="1"/>
  <c r="M20" i="24" s="1"/>
  <c r="M22" i="24" s="1"/>
  <c r="M23" i="24" s="1"/>
  <c r="C74" i="6"/>
  <c r="N20" i="6" s="1"/>
  <c r="C69" i="6"/>
  <c r="N7" i="6" s="1"/>
  <c r="R31" i="6" l="1"/>
  <c r="N35" i="6"/>
  <c r="R5" i="6"/>
  <c r="B66" i="8" l="1"/>
  <c r="B58" i="8"/>
  <c r="B52" i="8"/>
  <c r="B45" i="8"/>
  <c r="B37" i="8"/>
  <c r="B31" i="8"/>
  <c r="C22" i="8"/>
  <c r="C23" i="8" s="1"/>
  <c r="C17" i="8"/>
  <c r="B16" i="8"/>
  <c r="C16" i="8" s="1"/>
  <c r="B10" i="8"/>
  <c r="B11" i="8" s="1"/>
  <c r="G8" i="8"/>
  <c r="B8" i="8"/>
  <c r="B53" i="8" s="1"/>
  <c r="G7" i="8"/>
  <c r="B71" i="8" s="1"/>
  <c r="B12" i="8" l="1"/>
  <c r="D11" i="8"/>
  <c r="B32" i="8"/>
  <c r="B65" i="8" l="1"/>
  <c r="B36" i="8"/>
  <c r="B44" i="8"/>
  <c r="B63" i="8"/>
  <c r="B67" i="8" s="1"/>
  <c r="B70" i="8"/>
  <c r="B72" i="8" s="1"/>
  <c r="B42" i="8"/>
  <c r="B46" i="8" s="1"/>
  <c r="B57" i="8"/>
  <c r="C15" i="8"/>
  <c r="C19" i="8" s="1"/>
  <c r="C26" i="8" s="1"/>
  <c r="B68" i="8" l="1"/>
  <c r="D68" i="8" s="1"/>
  <c r="B50" i="8"/>
  <c r="B51" i="8" s="1"/>
  <c r="B54" i="8" s="1"/>
  <c r="D54" i="8" s="1"/>
  <c r="B55" i="8" s="1"/>
  <c r="B59" i="8" s="1"/>
  <c r="B60" i="8" s="1"/>
  <c r="D60" i="8" s="1"/>
  <c r="B29" i="8"/>
  <c r="B30" i="8" s="1"/>
  <c r="B33" i="8" s="1"/>
  <c r="D33" i="8" s="1"/>
  <c r="B34" i="8" s="1"/>
  <c r="B38" i="8" s="1"/>
  <c r="B39" i="8" s="1"/>
  <c r="D39" i="8" s="1"/>
  <c r="B74" i="8"/>
  <c r="B73" i="8"/>
  <c r="B47" i="8"/>
  <c r="D47" i="8" s="1"/>
  <c r="J40" i="6" l="1"/>
  <c r="J41" i="6" s="1"/>
  <c r="N40" i="6" s="1"/>
  <c r="D40" i="6"/>
  <c r="D41" i="6" s="1"/>
  <c r="N39" i="6" s="1"/>
  <c r="J37" i="6"/>
  <c r="D37" i="6"/>
  <c r="J36" i="6"/>
  <c r="D36" i="6"/>
  <c r="J19" i="6"/>
  <c r="J20" i="6" s="1"/>
  <c r="D19" i="6"/>
  <c r="J16" i="6"/>
  <c r="D16" i="6"/>
  <c r="J15" i="6"/>
  <c r="D15" i="6"/>
  <c r="J38" i="6" l="1"/>
  <c r="N31" i="6" s="1"/>
  <c r="D17" i="6"/>
  <c r="N3" i="6" s="1"/>
  <c r="N16" i="6"/>
  <c r="D20" i="6"/>
  <c r="D38" i="6"/>
  <c r="N30" i="6" s="1"/>
  <c r="J17" i="6"/>
  <c r="L44" i="1"/>
  <c r="L43" i="1"/>
  <c r="K44" i="1" a="1"/>
  <c r="K44" i="1" s="1"/>
  <c r="K43" i="1" a="1"/>
  <c r="K43" i="1" s="1"/>
  <c r="L35" i="1" a="1"/>
  <c r="L35" i="1" s="1"/>
  <c r="L39" i="1" a="1"/>
  <c r="L39" i="1" s="1"/>
  <c r="L31" i="1" a="1"/>
  <c r="L31" i="1" s="1"/>
  <c r="U50" i="3"/>
  <c r="O50" i="3"/>
  <c r="C50" i="3"/>
  <c r="C52" i="3" s="1"/>
  <c r="U49" i="3"/>
  <c r="I49" i="3"/>
  <c r="C49" i="3"/>
  <c r="I48" i="3"/>
  <c r="O47" i="3"/>
  <c r="O49" i="3" s="1"/>
  <c r="C47" i="3"/>
  <c r="AN44" i="3"/>
  <c r="AB44" i="3"/>
  <c r="U44" i="3"/>
  <c r="O44" i="3"/>
  <c r="I44" i="3"/>
  <c r="C44" i="3"/>
  <c r="AN43" i="3"/>
  <c r="AB43" i="3"/>
  <c r="U43" i="3"/>
  <c r="O43" i="3"/>
  <c r="I43" i="3"/>
  <c r="C43" i="3"/>
  <c r="AM38" i="3"/>
  <c r="AA38" i="3"/>
  <c r="T38" i="3"/>
  <c r="N38" i="3"/>
  <c r="H38" i="3"/>
  <c r="B38" i="3"/>
  <c r="AO37" i="3"/>
  <c r="AC37" i="3"/>
  <c r="V37" i="3"/>
  <c r="J37" i="3"/>
  <c r="AT35" i="3"/>
  <c r="AM35" i="3"/>
  <c r="AH35" i="3"/>
  <c r="AA35" i="3"/>
  <c r="T35" i="3"/>
  <c r="P35" i="3"/>
  <c r="H35" i="3"/>
  <c r="D35" i="3"/>
  <c r="AT34" i="3"/>
  <c r="AH34" i="3"/>
  <c r="N34" i="3"/>
  <c r="B34" i="3"/>
  <c r="AT27" i="3"/>
  <c r="AH27" i="3"/>
  <c r="AT24" i="3"/>
  <c r="AT26" i="3" s="1"/>
  <c r="AH24" i="3"/>
  <c r="AH26" i="3" s="1"/>
  <c r="AH29" i="3" s="1"/>
  <c r="AN18" i="3"/>
  <c r="AB18" i="3"/>
  <c r="P18" i="3"/>
  <c r="P19" i="3" s="1"/>
  <c r="P20" i="3" s="1"/>
  <c r="O21" i="3" s="1"/>
  <c r="D18" i="3"/>
  <c r="AT17" i="3"/>
  <c r="AH17" i="3"/>
  <c r="V17" i="3"/>
  <c r="J17" i="3"/>
  <c r="AR13" i="3"/>
  <c r="AF13" i="3"/>
  <c r="T13" i="3"/>
  <c r="H13" i="3"/>
  <c r="AN10" i="3"/>
  <c r="AS6" i="3" s="1"/>
  <c r="AN19" i="3" s="1"/>
  <c r="AN20" i="3" s="1"/>
  <c r="AM21" i="3" s="1"/>
  <c r="AM26" i="3" s="1"/>
  <c r="AM28" i="3" s="1"/>
  <c r="AM32" i="3" s="1"/>
  <c r="AM36" i="3" s="1"/>
  <c r="AM37" i="3" s="1"/>
  <c r="AM40" i="3" s="1"/>
  <c r="AB10" i="3"/>
  <c r="AG6" i="3" s="1"/>
  <c r="P10" i="3"/>
  <c r="D10" i="3"/>
  <c r="U6" i="3"/>
  <c r="I6" i="3"/>
  <c r="AS5" i="3"/>
  <c r="AG5" i="3"/>
  <c r="U5" i="3"/>
  <c r="I5" i="3"/>
  <c r="AF16" i="1"/>
  <c r="M37" i="1"/>
  <c r="AI13" i="1" s="1"/>
  <c r="L37" i="1"/>
  <c r="AF13" i="1" s="1"/>
  <c r="M29" i="1"/>
  <c r="M33" i="1"/>
  <c r="L33" i="1"/>
  <c r="L29" i="1"/>
  <c r="AB19" i="3" l="1"/>
  <c r="AB20" i="3" s="1"/>
  <c r="AA21" i="3" s="1"/>
  <c r="AA26" i="3" s="1"/>
  <c r="AA28" i="3" s="1"/>
  <c r="AA32" i="3" s="1"/>
  <c r="AA36" i="3" s="1"/>
  <c r="AA37" i="3" s="1"/>
  <c r="AA40" i="3" s="1"/>
  <c r="O52" i="3"/>
  <c r="D19" i="3"/>
  <c r="D20" i="3" s="1"/>
  <c r="AT29" i="3"/>
  <c r="N38" i="6"/>
  <c r="R29" i="6"/>
  <c r="N29" i="6"/>
  <c r="N23" i="6"/>
  <c r="N10" i="6"/>
  <c r="O24" i="3"/>
  <c r="N27" i="3" s="1"/>
  <c r="N31" i="3" s="1"/>
  <c r="N35" i="3" s="1"/>
  <c r="N37" i="3" s="1"/>
  <c r="N40" i="3" s="1"/>
  <c r="C24" i="3"/>
  <c r="B27" i="3" s="1"/>
  <c r="B31" i="3" s="1"/>
  <c r="B35" i="3" s="1"/>
  <c r="B37" i="3" s="1"/>
  <c r="B40" i="3" s="1"/>
  <c r="C21" i="3"/>
  <c r="O78" i="3" l="1"/>
  <c r="N81" i="3" s="1"/>
  <c r="N85" i="3" s="1"/>
  <c r="N89" i="3" s="1"/>
  <c r="N91" i="3" s="1"/>
  <c r="N94" i="3" s="1"/>
  <c r="C78" i="3"/>
  <c r="B81" i="3" s="1"/>
  <c r="B85" i="3" s="1"/>
  <c r="B89" i="3" s="1"/>
  <c r="B91" i="3" s="1"/>
  <c r="B94" i="3" s="1"/>
  <c r="T80" i="3"/>
  <c r="T82" i="3" s="1"/>
  <c r="T86" i="3" s="1"/>
  <c r="T90" i="3" s="1"/>
  <c r="T91" i="3" s="1"/>
  <c r="T94" i="3" s="1"/>
  <c r="H80" i="3"/>
  <c r="H82" i="3" s="1"/>
  <c r="H86" i="3" s="1"/>
  <c r="H90" i="3" s="1"/>
  <c r="H91" i="3" s="1"/>
  <c r="H94" i="3" s="1"/>
  <c r="T26" i="3"/>
  <c r="T28" i="3" s="1"/>
  <c r="T32" i="3" s="1"/>
  <c r="T36" i="3" s="1"/>
  <c r="T37" i="3" s="1"/>
  <c r="T40" i="3" s="1"/>
  <c r="H26" i="3"/>
  <c r="H28" i="3" s="1"/>
  <c r="H32" i="3" s="1"/>
  <c r="H36" i="3" s="1"/>
  <c r="H37" i="3" s="1"/>
  <c r="H4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O14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<sst xmlns="http://schemas.openxmlformats.org/spreadsheetml/2006/main" count="6318" uniqueCount="727">
  <si>
    <t>Member</t>
  </si>
  <si>
    <t>Mz.i [KN-m]</t>
  </si>
  <si>
    <t>Mz.pos [KN-m]</t>
  </si>
  <si>
    <t>Mz.j [KN-m]</t>
  </si>
  <si>
    <t>Fy.i [KN]</t>
  </si>
  <si>
    <t>Fy.j [KN]</t>
  </si>
  <si>
    <t>Fx.i [KN]</t>
  </si>
  <si>
    <t>Fx.j [KN]</t>
  </si>
  <si>
    <t>GRID 1</t>
  </si>
  <si>
    <t>DEAD LOADS</t>
  </si>
  <si>
    <t>LIVE LOADS</t>
  </si>
  <si>
    <t>1.2DL + 1.6LL</t>
  </si>
  <si>
    <t>SUMMARY</t>
  </si>
  <si>
    <t>AT SUPPORT</t>
  </si>
  <si>
    <t>AT MIDSPAN</t>
  </si>
  <si>
    <t>DL</t>
  </si>
  <si>
    <t>LL</t>
  </si>
  <si>
    <t>1.2DL+1.6LL</t>
  </si>
  <si>
    <t>MAX</t>
  </si>
  <si>
    <t>M (KNm)</t>
  </si>
  <si>
    <t>V (KN)</t>
  </si>
  <si>
    <t>GRID 2</t>
  </si>
  <si>
    <t>GRID 3</t>
  </si>
  <si>
    <t>DESIGN PARAMETERS</t>
  </si>
  <si>
    <t>fy=</t>
  </si>
  <si>
    <t>Mpa</t>
  </si>
  <si>
    <t>ρ=</t>
  </si>
  <si>
    <t>0.5ρ(0.004)</t>
  </si>
  <si>
    <t>f'c=</t>
  </si>
  <si>
    <t>β=</t>
  </si>
  <si>
    <t>kN/m</t>
  </si>
  <si>
    <t>ρ(0.004)=</t>
  </si>
  <si>
    <t>=</t>
  </si>
  <si>
    <t>ρb=</t>
  </si>
  <si>
    <t>0.85f'cβ(600)/(fy(fy+600))=</t>
  </si>
  <si>
    <t>ρmax=</t>
  </si>
  <si>
    <t>0.634(pb)=</t>
  </si>
  <si>
    <t>ρmin=</t>
  </si>
  <si>
    <t>1.4/fy=</t>
  </si>
  <si>
    <t>0.5ρ(0.004)=</t>
  </si>
  <si>
    <t>ω=</t>
  </si>
  <si>
    <t>ρ(fy)/f'c=</t>
  </si>
  <si>
    <t>say</t>
  </si>
  <si>
    <t>mm</t>
  </si>
  <si>
    <t>Ru=</t>
  </si>
  <si>
    <t>φf'cω(1-0.50ω)=</t>
  </si>
  <si>
    <t>b=</t>
  </si>
  <si>
    <t>bd^2=</t>
  </si>
  <si>
    <t>Mu/(φRn)=</t>
  </si>
  <si>
    <t>d=</t>
  </si>
  <si>
    <t>h=</t>
  </si>
  <si>
    <t>1.4/fy</t>
  </si>
  <si>
    <t>STEEL REINFORCEMENT</t>
  </si>
  <si>
    <t>As=</t>
  </si>
  <si>
    <t>ρbd=</t>
  </si>
  <si>
    <t>NO. OF STEEL REINFORCEMENT</t>
  </si>
  <si>
    <t>Asbar =</t>
  </si>
  <si>
    <r>
      <t>mm</t>
    </r>
    <r>
      <rPr>
        <sz val="10"/>
        <color theme="1"/>
        <rFont val="Calibri"/>
        <family val="2"/>
      </rPr>
      <t>²</t>
    </r>
  </si>
  <si>
    <t>No. of bars=</t>
  </si>
  <si>
    <t>DESIGN OF ONE-WAY SLAB (S1)</t>
  </si>
  <si>
    <t>DESIGN OF ONE-WAY SLAB (S2)</t>
  </si>
  <si>
    <t xml:space="preserve">f'c  = </t>
  </si>
  <si>
    <t>Effective depth of the stair slab considering 1 meter strip:</t>
  </si>
  <si>
    <t xml:space="preserve">fy   = </t>
  </si>
  <si>
    <t>MPa</t>
  </si>
  <si>
    <t xml:space="preserve"> b (1m strip) =</t>
  </si>
  <si>
    <t>Steel covering =</t>
  </si>
  <si>
    <t>Wl =</t>
  </si>
  <si>
    <t>Pa</t>
  </si>
  <si>
    <r>
      <t>γ</t>
    </r>
    <r>
      <rPr>
        <vertAlign val="subscript"/>
        <sz val="9"/>
        <color theme="1"/>
        <rFont val="Century Gothic"/>
        <family val="2"/>
      </rPr>
      <t>concrete         =</t>
    </r>
  </si>
  <si>
    <r>
      <t>KN/m</t>
    </r>
    <r>
      <rPr>
        <vertAlign val="superscript"/>
        <sz val="9"/>
        <color theme="1"/>
        <rFont val="Century Gothic"/>
        <family val="2"/>
      </rPr>
      <t>3</t>
    </r>
  </si>
  <si>
    <t>Wd =</t>
  </si>
  <si>
    <t>Uniform Live Load</t>
  </si>
  <si>
    <t>Length 1 =</t>
  </si>
  <si>
    <t>m</t>
  </si>
  <si>
    <t>Length 2 =</t>
  </si>
  <si>
    <t>Service Load</t>
  </si>
  <si>
    <t>Concrete Topping</t>
  </si>
  <si>
    <t>Minimum slab thickness:</t>
  </si>
  <si>
    <t>Floor Finish</t>
  </si>
  <si>
    <t>h =</t>
  </si>
  <si>
    <t>Weight of Mortar &amp; Tile</t>
  </si>
  <si>
    <t>Ceiling</t>
  </si>
  <si>
    <t xml:space="preserve">h = </t>
  </si>
  <si>
    <t>Utilities</t>
  </si>
  <si>
    <t>say, h=</t>
  </si>
  <si>
    <t>Wt. of Electric fix &amp; Plumbing</t>
  </si>
  <si>
    <t>Effective depth, d</t>
  </si>
  <si>
    <t>d =</t>
  </si>
  <si>
    <r>
      <t>h</t>
    </r>
    <r>
      <rPr>
        <vertAlign val="subscript"/>
        <sz val="9"/>
        <color theme="1"/>
        <rFont val="Century Gothic"/>
        <family val="2"/>
      </rPr>
      <t>min</t>
    </r>
    <r>
      <rPr>
        <sz val="9"/>
        <color theme="1"/>
        <rFont val="Century Gothic"/>
        <family val="2"/>
      </rPr>
      <t>-steel covering-1/2(Ø</t>
    </r>
    <r>
      <rPr>
        <vertAlign val="subscript"/>
        <sz val="9"/>
        <color theme="1"/>
        <rFont val="Century Gothic"/>
        <family val="2"/>
      </rPr>
      <t>b</t>
    </r>
    <r>
      <rPr>
        <sz val="9"/>
        <color theme="1"/>
        <rFont val="Century Gothic"/>
        <family val="2"/>
      </rPr>
      <t>)</t>
    </r>
  </si>
  <si>
    <t>hmin*23.5</t>
  </si>
  <si>
    <t>KPa</t>
  </si>
  <si>
    <t>Wdtotal =</t>
  </si>
  <si>
    <t>2.9375+3.640</t>
  </si>
  <si>
    <t xml:space="preserve">Wu = </t>
  </si>
  <si>
    <r>
      <t>1.2W</t>
    </r>
    <r>
      <rPr>
        <vertAlign val="subscript"/>
        <sz val="9"/>
        <color theme="1"/>
        <rFont val="Century Gothic"/>
        <family val="2"/>
      </rPr>
      <t>DL</t>
    </r>
    <r>
      <rPr>
        <sz val="9"/>
        <color theme="1"/>
        <rFont val="Century Gothic"/>
        <family val="2"/>
      </rPr>
      <t xml:space="preserve"> +1.6W</t>
    </r>
    <r>
      <rPr>
        <vertAlign val="subscript"/>
        <sz val="9"/>
        <color theme="1"/>
        <rFont val="Century Gothic"/>
        <family val="2"/>
      </rPr>
      <t>LL</t>
    </r>
  </si>
  <si>
    <t>Wt. total of slab=</t>
  </si>
  <si>
    <t>REINFORCEMENT DETAILS</t>
  </si>
  <si>
    <t>At Midspan</t>
  </si>
  <si>
    <t xml:space="preserve">At Support </t>
  </si>
  <si>
    <t>For Temperature Bars</t>
  </si>
  <si>
    <t>use</t>
  </si>
  <si>
    <t>(10mm Ø)</t>
  </si>
  <si>
    <t xml:space="preserve">Mu = </t>
  </si>
  <si>
    <t>Mu =</t>
  </si>
  <si>
    <r>
      <t>ρ</t>
    </r>
    <r>
      <rPr>
        <b/>
        <vertAlign val="subscript"/>
        <sz val="9"/>
        <color theme="1"/>
        <rFont val="Century Gothic"/>
        <family val="2"/>
      </rPr>
      <t xml:space="preserve">t </t>
    </r>
    <r>
      <rPr>
        <b/>
        <sz val="9"/>
        <color theme="1"/>
        <rFont val="Century Gothic"/>
        <family val="2"/>
      </rPr>
      <t xml:space="preserve"> =</t>
    </r>
  </si>
  <si>
    <t>At =</t>
  </si>
  <si>
    <t xml:space="preserve"> ρtbh</t>
  </si>
  <si>
    <t xml:space="preserve">Ru  = </t>
  </si>
  <si>
    <t>Ab =</t>
  </si>
  <si>
    <t>Spacing, S</t>
  </si>
  <si>
    <t>ρ =</t>
  </si>
  <si>
    <t>S =</t>
  </si>
  <si>
    <t>say, S =</t>
  </si>
  <si>
    <t>for ρmin</t>
  </si>
  <si>
    <t>for ρmax</t>
  </si>
  <si>
    <t>Maximum Spacing of the Code:</t>
  </si>
  <si>
    <t>ρ min =</t>
  </si>
  <si>
    <t>ρ max =</t>
  </si>
  <si>
    <t xml:space="preserve">a.) 5h </t>
  </si>
  <si>
    <t>use ρ  =</t>
  </si>
  <si>
    <t>b.) 450</t>
  </si>
  <si>
    <t>As = ρbd</t>
  </si>
  <si>
    <t xml:space="preserve">As = </t>
  </si>
  <si>
    <t xml:space="preserve"> mm</t>
  </si>
  <si>
    <t xml:space="preserve">a.) 3h </t>
  </si>
  <si>
    <t>a.) 3h =</t>
  </si>
  <si>
    <t>thus, use 12mm Bottom bars at 300 mm o.c. at midspan</t>
  </si>
  <si>
    <t>thus, use 12mm Top bars at 300 mm o.c. at support</t>
  </si>
  <si>
    <t xml:space="preserve"> </t>
  </si>
  <si>
    <t xml:space="preserve">thus, use 10mm temperature bars at 350 mm o.c. </t>
  </si>
  <si>
    <t>350 mm</t>
  </si>
  <si>
    <t xml:space="preserve">say </t>
  </si>
  <si>
    <t>DESIGN OF STIRRUPS AT GRID A (2ND AND 3RD FLOOR)</t>
  </si>
  <si>
    <t>DESIGN OF STIRRUPS AT GRID B (2ND AND 3RD FLOOR)</t>
  </si>
  <si>
    <t>DESIGN OF STIRRUPS AT GRID C (2ND AND 3RD FLOOR)</t>
  </si>
  <si>
    <t>DESIGN OF STIRRUPS AT GRID D (2ND AND 3RD FLOOR)</t>
  </si>
  <si>
    <t>kN</t>
  </si>
  <si>
    <t>KN</t>
  </si>
  <si>
    <t>CASE 1</t>
  </si>
  <si>
    <t>Stirrurps are not needed</t>
  </si>
  <si>
    <t>CASE 2</t>
  </si>
  <si>
    <t>Av =</t>
  </si>
  <si>
    <t>Use</t>
  </si>
  <si>
    <t>CASE 3</t>
  </si>
  <si>
    <t>CASE 4</t>
  </si>
  <si>
    <t>CASE 5</t>
  </si>
  <si>
    <t>P (KN)</t>
  </si>
  <si>
    <t>2ND FLR</t>
  </si>
  <si>
    <t>INSIDE COL</t>
  </si>
  <si>
    <t>OUTSIDE COL</t>
  </si>
  <si>
    <t>Ast=</t>
  </si>
  <si>
    <t>0.02Ag</t>
  </si>
  <si>
    <t>DIMENSION AND REINFORCEMENT DETAILS</t>
  </si>
  <si>
    <t>Pu=</t>
  </si>
  <si>
    <t>N</t>
  </si>
  <si>
    <t>φ0.80 [ 0.85f'c (Ag-Ast) + fyAst ]</t>
  </si>
  <si>
    <t>Ag=</t>
  </si>
  <si>
    <r>
      <t>mm</t>
    </r>
    <r>
      <rPr>
        <sz val="10"/>
        <color rgb="FF000000"/>
        <rFont val="Calibri"/>
        <family val="2"/>
      </rPr>
      <t>²</t>
    </r>
  </si>
  <si>
    <r>
      <t>b</t>
    </r>
    <r>
      <rPr>
        <vertAlign val="superscript"/>
        <sz val="10"/>
        <color rgb="FF000000"/>
        <rFont val="Century Gothic"/>
        <family val="2"/>
      </rPr>
      <t>2</t>
    </r>
    <r>
      <rPr>
        <sz val="10"/>
        <color rgb="FF000000"/>
        <rFont val="Century Gothic"/>
        <family val="2"/>
      </rPr>
      <t>=</t>
    </r>
  </si>
  <si>
    <t>Number of main bars</t>
  </si>
  <si>
    <t>Ab=</t>
  </si>
  <si>
    <t>N=</t>
  </si>
  <si>
    <t>Ast/Ab</t>
  </si>
  <si>
    <t>bars</t>
  </si>
  <si>
    <t>Maximum spacing of ties:</t>
  </si>
  <si>
    <t>16 x db=</t>
  </si>
  <si>
    <t>48 x tie diameter=</t>
  </si>
  <si>
    <t>Least dimension of column=</t>
  </si>
  <si>
    <t>SLAB 1 (2.5mx4m)</t>
  </si>
  <si>
    <t>SLAB 2 (2.5mx2m)</t>
  </si>
  <si>
    <t>Wt of concrete</t>
  </si>
  <si>
    <t>KN/m3</t>
  </si>
  <si>
    <t>Slab thickness</t>
  </si>
  <si>
    <t>Longer side</t>
  </si>
  <si>
    <t>Shorter side</t>
  </si>
  <si>
    <t>Electric fix &amp; Plumbing</t>
  </si>
  <si>
    <t>Floor Live Pressure</t>
  </si>
  <si>
    <t>DEAD LOAD</t>
  </si>
  <si>
    <t>Selfweight</t>
  </si>
  <si>
    <t>KN/m</t>
  </si>
  <si>
    <t>Service loads</t>
  </si>
  <si>
    <t>TOTAL DEAD LOAD</t>
  </si>
  <si>
    <t>LIVE LOAD</t>
  </si>
  <si>
    <t>Floor live load</t>
  </si>
  <si>
    <t>TOTAL LIVE LOAD</t>
  </si>
  <si>
    <t>ONE WAY SLAB LOAD GENERATOR</t>
  </si>
  <si>
    <t>SLAB 3 (1mx4m) - CANTILEVER</t>
  </si>
  <si>
    <t>SLAB 4 (1mx2m) - CANTILEVER</t>
  </si>
  <si>
    <t>Slab 1</t>
  </si>
  <si>
    <t>Slab 3</t>
  </si>
  <si>
    <t>Slab 4</t>
  </si>
  <si>
    <t>Slab 1 - x2</t>
  </si>
  <si>
    <t>Stair</t>
  </si>
  <si>
    <t xml:space="preserve">FINISHED SLAB DESIGN - added SLAB 4 - cantilever (1mx2m) </t>
  </si>
  <si>
    <t>FINISHED BEAM DESIGN - added grid 1-3 beam REBAR</t>
  </si>
  <si>
    <t>FINISHED STIRRUP DESIGN - added grid 1-3 beam STIRRUP</t>
  </si>
  <si>
    <t>FINISHED COLUMN design - added maximum longitudinal Pu at FLR 1, FLR 2 inside and outside column</t>
  </si>
  <si>
    <t>FINISHED GRASP RESULTS - DL,LL, 1.2DL+1.6LL</t>
  </si>
  <si>
    <t>MATERIAL PROPERTIES</t>
  </si>
  <si>
    <t>STAIR DIMENSION</t>
  </si>
  <si>
    <t>f'c</t>
  </si>
  <si>
    <t>Hf</t>
  </si>
  <si>
    <t>width</t>
  </si>
  <si>
    <t>fy</t>
  </si>
  <si>
    <t>Lf</t>
  </si>
  <si>
    <t>db</t>
  </si>
  <si>
    <t>steps</t>
  </si>
  <si>
    <t>dtr</t>
  </si>
  <si>
    <t>L</t>
  </si>
  <si>
    <t>clear cover</t>
  </si>
  <si>
    <t>rise</t>
  </si>
  <si>
    <t>β</t>
  </si>
  <si>
    <t>tread</t>
  </si>
  <si>
    <t>SLAB THICKNESS (Simply supported)</t>
  </si>
  <si>
    <t>fy factor</t>
  </si>
  <si>
    <t>thickness h</t>
  </si>
  <si>
    <t>effective depth d</t>
  </si>
  <si>
    <t>LOAD ANALYSIS</t>
  </si>
  <si>
    <t>FACTORED DEAD LOAD</t>
  </si>
  <si>
    <t>Kpa</t>
  </si>
  <si>
    <t>self weight</t>
  </si>
  <si>
    <t xml:space="preserve"> --</t>
  </si>
  <si>
    <t>floor finish</t>
  </si>
  <si>
    <t>ceiling</t>
  </si>
  <si>
    <t>(add if necessary)</t>
  </si>
  <si>
    <t>WuDL</t>
  </si>
  <si>
    <t>FACTORED LIVE LOAD</t>
  </si>
  <si>
    <t>floor live load</t>
  </si>
  <si>
    <t>WuLL</t>
  </si>
  <si>
    <t>TOTAL FACTORED LOAD</t>
  </si>
  <si>
    <t>Wu</t>
  </si>
  <si>
    <t>SPACING OF BARS AT MIDSPAN</t>
  </si>
  <si>
    <t>MAIN BARS</t>
  </si>
  <si>
    <t>Mu</t>
  </si>
  <si>
    <t>KNm</t>
  </si>
  <si>
    <t>Rn</t>
  </si>
  <si>
    <t>ρmin</t>
  </si>
  <si>
    <t>ρmax</t>
  </si>
  <si>
    <t>ρ</t>
  </si>
  <si>
    <t>As</t>
  </si>
  <si>
    <t>mm^2</t>
  </si>
  <si>
    <t>S1</t>
  </si>
  <si>
    <t>S2</t>
  </si>
  <si>
    <t>S</t>
  </si>
  <si>
    <t>Sdb</t>
  </si>
  <si>
    <t>TEMPERATURE BARS</t>
  </si>
  <si>
    <t>At</t>
  </si>
  <si>
    <t>Str</t>
  </si>
  <si>
    <t>SPACING OF BARS AT SUPPORT</t>
  </si>
  <si>
    <t>POST ANALYSIS</t>
  </si>
  <si>
    <t>Volstep</t>
  </si>
  <si>
    <t>cu.m</t>
  </si>
  <si>
    <t>Volslab</t>
  </si>
  <si>
    <t>Volstair</t>
  </si>
  <si>
    <t>Wstair along width</t>
  </si>
  <si>
    <t>TRANSFER TO SUPPORT</t>
  </si>
  <si>
    <t>Wstair along length</t>
  </si>
  <si>
    <t>Wall external</t>
  </si>
  <si>
    <t>WALL LOAD</t>
  </si>
  <si>
    <t>Wall height</t>
  </si>
  <si>
    <t>Wall thickness</t>
  </si>
  <si>
    <t>Density</t>
  </si>
  <si>
    <t>KN/m^3</t>
  </si>
  <si>
    <t>EXTERNAL WALL</t>
  </si>
  <si>
    <t>WALL LINE LOAD</t>
  </si>
  <si>
    <t>INTERNAL WALL</t>
  </si>
  <si>
    <t>3RD FLOOR GRID 1</t>
  </si>
  <si>
    <t>2ND FLOOR GRID 1</t>
  </si>
  <si>
    <t>2ND FLOOR GRID 2</t>
  </si>
  <si>
    <t>3RD FLOOR GRID 3</t>
  </si>
  <si>
    <t>2ND FLOOR GRID 3</t>
  </si>
  <si>
    <t>Wall internal</t>
  </si>
  <si>
    <t>3RD FLOOR GRID 2</t>
  </si>
  <si>
    <t>FINISHED GRASP LOADINGS - GRID 1-3,FLR 2-3</t>
  </si>
  <si>
    <t>FINISHED STAIR DESIGN</t>
  </si>
  <si>
    <t>GROUND FLR</t>
  </si>
  <si>
    <t>COLUMN</t>
  </si>
  <si>
    <t>Density (KN/cu.m)</t>
  </si>
  <si>
    <t>Pressure (KN/sq.m)</t>
  </si>
  <si>
    <t>Width (m)</t>
  </si>
  <si>
    <t>Length (m)</t>
  </si>
  <si>
    <t>Qty (pcs)</t>
  </si>
  <si>
    <t>W (KN)</t>
  </si>
  <si>
    <t>Depth (m)</t>
  </si>
  <si>
    <t>TOTAL FLOOR WEIGHT</t>
  </si>
  <si>
    <t>STAIR</t>
  </si>
  <si>
    <t>Vol stair (cu.m)</t>
  </si>
  <si>
    <t>SLAB 1</t>
  </si>
  <si>
    <t>ROOFDECK</t>
  </si>
  <si>
    <t>ROOF DECK</t>
  </si>
  <si>
    <t>ADDED FRAME SELF WEIGHT COMPUTATION - grid 1</t>
  </si>
  <si>
    <t>TIE BEAM</t>
  </si>
  <si>
    <t>EXTERNAL COLUMN</t>
  </si>
  <si>
    <t>2ND FLR BEAM</t>
  </si>
  <si>
    <t>3RD FLR BEAM</t>
  </si>
  <si>
    <t>INTERAL COLUMN</t>
  </si>
  <si>
    <t>SLAB 3</t>
  </si>
  <si>
    <t>SLAB 4</t>
  </si>
  <si>
    <t>FINISHED FRAME SELF WEIGHT COMPUTATION - grid 1 2 3</t>
  </si>
  <si>
    <t>INTERNAL COLUMN</t>
  </si>
  <si>
    <t>DESIGN BASE SHEAR AT GRID A</t>
  </si>
  <si>
    <t>DESIGN BASE SHEAR AT GRID B AND C</t>
  </si>
  <si>
    <t>DESIGN BASE SHEAR AT GRID D</t>
  </si>
  <si>
    <t>Occupancy category: III</t>
  </si>
  <si>
    <t xml:space="preserve">I          = </t>
  </si>
  <si>
    <t>Z  =</t>
  </si>
  <si>
    <t>Occupancy category:  III</t>
  </si>
  <si>
    <t>Special Reinforced Concrete Moment Frames</t>
  </si>
  <si>
    <t xml:space="preserve">R         = </t>
  </si>
  <si>
    <t>Seismic Source Type: TYPE C</t>
  </si>
  <si>
    <t>Seismic Source Type: Type C</t>
  </si>
  <si>
    <t xml:space="preserve">Location: </t>
  </si>
  <si>
    <t>Distance from fault line = 10 km</t>
  </si>
  <si>
    <t>seconds</t>
  </si>
  <si>
    <t>`</t>
  </si>
  <si>
    <t>USE:</t>
  </si>
  <si>
    <t>V =</t>
  </si>
  <si>
    <t>Level</t>
  </si>
  <si>
    <t>S.H.</t>
  </si>
  <si>
    <t>Wxhx</t>
  </si>
  <si>
    <t>Storey shear (kN)</t>
  </si>
  <si>
    <t>Moment (kN-m)</t>
  </si>
  <si>
    <t>F</t>
  </si>
  <si>
    <t>DESIGN BASE SHEAR AT GRID 1</t>
  </si>
  <si>
    <t>DESIGN BASE SHEAR AT GRID 2</t>
  </si>
  <si>
    <t>DESIGN BASE SHEAR AT GRID 3</t>
  </si>
  <si>
    <t>FINISHED BASE SHEAR FOR GRID 1 2 3</t>
  </si>
  <si>
    <t>FINISHED STIRRUP DESIGN - fixed lookup formula for b h d</t>
  </si>
  <si>
    <t>FINISHED BEAM DESIGN - included forgotten tie beam, fixed b,h,d</t>
  </si>
  <si>
    <r>
      <t>W</t>
    </r>
    <r>
      <rPr>
        <sz val="6"/>
        <color theme="1"/>
        <rFont val="Century Gothic"/>
        <family val="2"/>
      </rPr>
      <t>GROUND</t>
    </r>
    <r>
      <rPr>
        <vertAlign val="subscript"/>
        <sz val="11"/>
        <color theme="1"/>
        <rFont val="Century Gothic"/>
        <family val="2"/>
      </rPr>
      <t xml:space="preserve">          </t>
    </r>
    <r>
      <rPr>
        <sz val="11"/>
        <color theme="1"/>
        <rFont val="Century Gothic"/>
        <family val="2"/>
      </rPr>
      <t xml:space="preserve">= </t>
    </r>
  </si>
  <si>
    <r>
      <t>W</t>
    </r>
    <r>
      <rPr>
        <vertAlign val="subscript"/>
        <sz val="11"/>
        <color theme="1"/>
        <rFont val="Century Gothic"/>
        <family val="2"/>
      </rPr>
      <t xml:space="preserve">2ND          </t>
    </r>
    <r>
      <rPr>
        <sz val="11"/>
        <color theme="1"/>
        <rFont val="Century Gothic"/>
        <family val="2"/>
      </rPr>
      <t xml:space="preserve">= </t>
    </r>
  </si>
  <si>
    <r>
      <t>h</t>
    </r>
    <r>
      <rPr>
        <vertAlign val="subscript"/>
        <sz val="11"/>
        <color theme="1"/>
        <rFont val="Century Gothic"/>
        <family val="2"/>
      </rPr>
      <t>n</t>
    </r>
    <r>
      <rPr>
        <sz val="11"/>
        <color theme="1"/>
        <rFont val="Century Gothic"/>
        <family val="2"/>
      </rPr>
      <t xml:space="preserve">       =</t>
    </r>
  </si>
  <si>
    <r>
      <t>W</t>
    </r>
    <r>
      <rPr>
        <vertAlign val="subscript"/>
        <sz val="11"/>
        <color theme="1"/>
        <rFont val="Century Gothic"/>
        <family val="2"/>
      </rPr>
      <t xml:space="preserve">ROOFDECK </t>
    </r>
    <r>
      <rPr>
        <sz val="11"/>
        <color theme="1"/>
        <rFont val="Century Gothic"/>
        <family val="2"/>
      </rPr>
      <t xml:space="preserve">= </t>
    </r>
  </si>
  <si>
    <r>
      <t>W</t>
    </r>
    <r>
      <rPr>
        <vertAlign val="subscript"/>
        <sz val="11"/>
        <color theme="1"/>
        <rFont val="Century Gothic"/>
        <family val="2"/>
      </rPr>
      <t>total</t>
    </r>
    <r>
      <rPr>
        <sz val="11"/>
        <color theme="1"/>
        <rFont val="Century Gothic"/>
        <family val="2"/>
      </rPr>
      <t xml:space="preserve"> = </t>
    </r>
  </si>
  <si>
    <r>
      <t>C</t>
    </r>
    <r>
      <rPr>
        <vertAlign val="subscript"/>
        <sz val="11"/>
        <color theme="1"/>
        <rFont val="Century Gothic"/>
        <family val="2"/>
      </rPr>
      <t>t</t>
    </r>
    <r>
      <rPr>
        <sz val="11"/>
        <color theme="1"/>
        <rFont val="Century Gothic"/>
        <family val="2"/>
      </rPr>
      <t xml:space="preserve"> =</t>
    </r>
  </si>
  <si>
    <r>
      <t>Soil Profile Type : S</t>
    </r>
    <r>
      <rPr>
        <vertAlign val="subscript"/>
        <sz val="11"/>
        <color theme="1"/>
        <rFont val="Century Gothic"/>
        <family val="2"/>
      </rPr>
      <t>D</t>
    </r>
  </si>
  <si>
    <r>
      <t>C</t>
    </r>
    <r>
      <rPr>
        <vertAlign val="subscript"/>
        <sz val="11"/>
        <color theme="1"/>
        <rFont val="Century Gothic"/>
        <family val="2"/>
      </rPr>
      <t>a</t>
    </r>
    <r>
      <rPr>
        <sz val="11"/>
        <color theme="1"/>
        <rFont val="Century Gothic"/>
        <family val="2"/>
      </rPr>
      <t xml:space="preserve"> = 0.44 N</t>
    </r>
    <r>
      <rPr>
        <vertAlign val="subscript"/>
        <sz val="11"/>
        <color theme="1"/>
        <rFont val="Century Gothic"/>
        <family val="2"/>
      </rPr>
      <t>a</t>
    </r>
  </si>
  <si>
    <r>
      <t>C</t>
    </r>
    <r>
      <rPr>
        <vertAlign val="subscript"/>
        <sz val="11"/>
        <color theme="1"/>
        <rFont val="Century Gothic"/>
        <family val="2"/>
      </rPr>
      <t>v</t>
    </r>
    <r>
      <rPr>
        <sz val="11"/>
        <color theme="1"/>
        <rFont val="Century Gothic"/>
        <family val="2"/>
      </rPr>
      <t xml:space="preserve">  = 0.64 N</t>
    </r>
    <r>
      <rPr>
        <vertAlign val="subscript"/>
        <sz val="11"/>
        <color theme="1"/>
        <rFont val="Century Gothic"/>
        <family val="2"/>
      </rPr>
      <t>v</t>
    </r>
  </si>
  <si>
    <r>
      <t>N</t>
    </r>
    <r>
      <rPr>
        <vertAlign val="subscript"/>
        <sz val="11"/>
        <color theme="1"/>
        <rFont val="Century Gothic"/>
        <family val="2"/>
      </rPr>
      <t>a</t>
    </r>
    <r>
      <rPr>
        <sz val="11"/>
        <color theme="1"/>
        <rFont val="Century Gothic"/>
        <family val="2"/>
      </rPr>
      <t xml:space="preserve">   =</t>
    </r>
  </si>
  <si>
    <r>
      <t>N</t>
    </r>
    <r>
      <rPr>
        <vertAlign val="subscript"/>
        <sz val="11"/>
        <color theme="1"/>
        <rFont val="Century Gothic"/>
        <family val="2"/>
      </rPr>
      <t>v</t>
    </r>
    <r>
      <rPr>
        <sz val="11"/>
        <color theme="1"/>
        <rFont val="Century Gothic"/>
        <family val="2"/>
      </rPr>
      <t xml:space="preserve">    =</t>
    </r>
  </si>
  <si>
    <r>
      <t>h</t>
    </r>
    <r>
      <rPr>
        <vertAlign val="subscript"/>
        <sz val="11"/>
        <color theme="1"/>
        <rFont val="Century Gothic"/>
        <family val="2"/>
      </rPr>
      <t>x</t>
    </r>
  </si>
  <si>
    <r>
      <t>W</t>
    </r>
    <r>
      <rPr>
        <vertAlign val="subscript"/>
        <sz val="11"/>
        <color theme="1"/>
        <rFont val="Century Gothic"/>
        <family val="2"/>
      </rPr>
      <t>x</t>
    </r>
  </si>
  <si>
    <r>
      <t>W</t>
    </r>
    <r>
      <rPr>
        <vertAlign val="subscript"/>
        <sz val="11"/>
        <color theme="1"/>
        <rFont val="Century Gothic"/>
        <family val="2"/>
      </rPr>
      <t>x</t>
    </r>
    <r>
      <rPr>
        <sz val="11"/>
        <color theme="1"/>
        <rFont val="Century Gothic"/>
        <family val="2"/>
      </rPr>
      <t>h</t>
    </r>
    <r>
      <rPr>
        <vertAlign val="subscript"/>
        <sz val="11"/>
        <color theme="1"/>
        <rFont val="Century Gothic"/>
        <family val="2"/>
      </rPr>
      <t>x</t>
    </r>
  </si>
  <si>
    <r>
      <t>Lateral force (F</t>
    </r>
    <r>
      <rPr>
        <vertAlign val="subscript"/>
        <sz val="11"/>
        <color theme="1"/>
        <rFont val="Century Gothic"/>
        <family val="2"/>
      </rPr>
      <t>x)</t>
    </r>
  </si>
  <si>
    <t>∑Wxhx</t>
  </si>
  <si>
    <t>AT GRID A</t>
  </si>
  <si>
    <t>Column Shear</t>
  </si>
  <si>
    <t>Column Moment</t>
  </si>
  <si>
    <t>Girder Moment</t>
  </si>
  <si>
    <t>Girder Shear</t>
  </si>
  <si>
    <t>Column Axial</t>
  </si>
  <si>
    <t>ok!!!!!!!</t>
  </si>
  <si>
    <t>AT GRID B AND C</t>
  </si>
  <si>
    <t>AT GRID D</t>
  </si>
  <si>
    <t>Vumax (amongst grids)</t>
  </si>
  <si>
    <t>Mumax (amongst grids) @ support</t>
  </si>
  <si>
    <t>Mumax (amongst grids) @ midspan</t>
  </si>
  <si>
    <t>2ND FLOOR</t>
  </si>
  <si>
    <t>DL=</t>
  </si>
  <si>
    <t>M</t>
  </si>
  <si>
    <t>SUPPORT</t>
  </si>
  <si>
    <t>MIDSPAN</t>
  </si>
  <si>
    <t>3RD FLOOR</t>
  </si>
  <si>
    <t>V</t>
  </si>
  <si>
    <t>LL=</t>
  </si>
  <si>
    <t>AT GRID B</t>
  </si>
  <si>
    <t>AT GRID C</t>
  </si>
  <si>
    <t>FOR COLUMN</t>
  </si>
  <si>
    <t>1ST FLOOR</t>
  </si>
  <si>
    <t>OUTSIDE</t>
  </si>
  <si>
    <t>INSIDE</t>
  </si>
  <si>
    <t>2ND AND 3RD FLOOR (GRID A)</t>
  </si>
  <si>
    <t>2ND AND 3RD FLOOR (GRID B AND C)</t>
  </si>
  <si>
    <t>2ND FLOOR (GRID D)</t>
  </si>
  <si>
    <t>3RD FLOOR (GRID D)</t>
  </si>
  <si>
    <t>Unit weight of concrete</t>
  </si>
  <si>
    <t>kN/cu. M</t>
  </si>
  <si>
    <t>Unit weight of wall</t>
  </si>
  <si>
    <t>Live Load</t>
  </si>
  <si>
    <t>kPa</t>
  </si>
  <si>
    <t>Live Load 1</t>
  </si>
  <si>
    <t>Live Load 2</t>
  </si>
  <si>
    <t>Dead load</t>
  </si>
  <si>
    <t xml:space="preserve">Weight of Mortar and Tiles   </t>
  </si>
  <si>
    <t xml:space="preserve">Ceiling Loads                         </t>
  </si>
  <si>
    <t xml:space="preserve">Weight of Electric Fix 
 and Plumbing                   
</t>
  </si>
  <si>
    <t>TOTAL DL</t>
  </si>
  <si>
    <t>Length 1</t>
  </si>
  <si>
    <t>Length 2</t>
  </si>
  <si>
    <t>Height</t>
  </si>
  <si>
    <t>Wall (t)</t>
  </si>
  <si>
    <t>Slab (t)</t>
  </si>
  <si>
    <t>Weight Of The Slab</t>
  </si>
  <si>
    <r>
      <t xml:space="preserve">Wslab </t>
    </r>
    <r>
      <rPr>
        <sz val="11"/>
        <color theme="1"/>
        <rFont val="Century Gothic"/>
        <family val="2"/>
      </rPr>
      <t>=</t>
    </r>
    <r>
      <rPr>
        <b/>
        <sz val="11"/>
        <color theme="1"/>
        <rFont val="Century Gothic"/>
        <family val="2"/>
      </rPr>
      <t xml:space="preserve"> </t>
    </r>
  </si>
  <si>
    <t>Unit. Wt. of Con. (Slab t)</t>
  </si>
  <si>
    <t xml:space="preserve">          =</t>
  </si>
  <si>
    <t>Weight Of Design Dead Loads</t>
  </si>
  <si>
    <t xml:space="preserve">Wddl  = </t>
  </si>
  <si>
    <t xml:space="preserve">            =</t>
  </si>
  <si>
    <t>Weight Of Wall</t>
  </si>
  <si>
    <t>Wwall =</t>
  </si>
  <si>
    <t>Unit. Wt. of Wall (Wall t)(Height)</t>
  </si>
  <si>
    <r>
      <t>TOTAL WEIGHT (W</t>
    </r>
    <r>
      <rPr>
        <b/>
        <sz val="8"/>
        <color theme="1"/>
        <rFont val="Century Gothic"/>
        <family val="2"/>
      </rPr>
      <t xml:space="preserve">DL = </t>
    </r>
    <r>
      <rPr>
        <b/>
        <sz val="11"/>
        <color theme="1"/>
        <rFont val="Century Gothic"/>
        <family val="2"/>
      </rPr>
      <t>Wddl + Wslab)</t>
    </r>
  </si>
  <si>
    <r>
      <t>W</t>
    </r>
    <r>
      <rPr>
        <b/>
        <sz val="8"/>
        <color theme="1"/>
        <rFont val="Century Gothic"/>
        <family val="2"/>
      </rPr>
      <t xml:space="preserve">DL    </t>
    </r>
    <r>
      <rPr>
        <b/>
        <sz val="10"/>
        <color theme="1"/>
        <rFont val="Century Gothic"/>
        <family val="2"/>
      </rPr>
      <t xml:space="preserve">  = </t>
    </r>
  </si>
  <si>
    <t>Weight Of Slab Distribution</t>
  </si>
  <si>
    <t>Ws =</t>
  </si>
  <si>
    <t>L1/2 +L2/2</t>
  </si>
  <si>
    <t>DEADLOAD</t>
  </si>
  <si>
    <t>LIVELOAD</t>
  </si>
  <si>
    <t>AT 3RD FLOOR WITHOUT WALL</t>
  </si>
  <si>
    <t xml:space="preserve">GRID A </t>
  </si>
  <si>
    <t xml:space="preserve">GRID B </t>
  </si>
  <si>
    <t>Unit weight of concrete (kN/m3)</t>
  </si>
  <si>
    <t>Height 1</t>
  </si>
  <si>
    <t>Height 2</t>
  </si>
  <si>
    <t>Wall 1 (t)</t>
  </si>
  <si>
    <t>L (Wall)1</t>
  </si>
  <si>
    <t>Length(S1)</t>
  </si>
  <si>
    <t>Tributary 1</t>
  </si>
  <si>
    <t>Column</t>
  </si>
  <si>
    <t>Beam</t>
  </si>
  <si>
    <t>Roof Beam</t>
  </si>
  <si>
    <t>L Beam</t>
  </si>
  <si>
    <t>GROUND FLOOR</t>
  </si>
  <si>
    <t>Wall 1</t>
  </si>
  <si>
    <t>TOTAL</t>
  </si>
  <si>
    <t>SECOND FLOOR</t>
  </si>
  <si>
    <t>Slab1</t>
  </si>
  <si>
    <t>Slab</t>
  </si>
  <si>
    <t>RD</t>
  </si>
  <si>
    <t>FIXED LAYOUT AND ADDED PRINT AREA FOR EASIER PRINT</t>
  </si>
  <si>
    <t>AT GRID 1</t>
  </si>
  <si>
    <t>V+2V+2V+V</t>
  </si>
  <si>
    <t>6V</t>
  </si>
  <si>
    <t>2V</t>
  </si>
  <si>
    <t>LEGEND:</t>
  </si>
  <si>
    <t>AT GRID 2</t>
  </si>
  <si>
    <t>AT GRID 3</t>
  </si>
  <si>
    <t>DESIGN OF BEAM WITH EARTHQUAKE AT GRID A (2ND AND 3RD FLOOR)</t>
  </si>
  <si>
    <t>DESIGN OF BEAM WITH EARTHQUAKE AT GRID B (2ND AND 3RD FLOOR)</t>
  </si>
  <si>
    <t>DESIGN OF BEAM WITH EARTHQUAKE AT GRID C (2ND AND 3RD FLOOR)</t>
  </si>
  <si>
    <t>DESIGN OF BEAM WITH EARTHQUAKE AT GRID D (2ND AND 3RD FLOOR)</t>
  </si>
  <si>
    <t>DESIGN OF TIE BEAM WITH EARTHQUAKE AT GRID A,B,C, AND D</t>
  </si>
  <si>
    <t>Mu=</t>
  </si>
  <si>
    <t>kN-m</t>
  </si>
  <si>
    <t>assume d=1.5b</t>
  </si>
  <si>
    <t>LOAD COMBINATIONS:</t>
  </si>
  <si>
    <t>DL(KN.m)</t>
  </si>
  <si>
    <t>LL(KN.m)</t>
  </si>
  <si>
    <t>EL(KN.m)</t>
  </si>
  <si>
    <t>U = 1.4DL                          =</t>
  </si>
  <si>
    <t>KN.m</t>
  </si>
  <si>
    <t>U = 1.2DL + 1.6LL            =</t>
  </si>
  <si>
    <t>U = 0.9DL + 1EL               =</t>
  </si>
  <si>
    <t>USE :</t>
  </si>
  <si>
    <t xml:space="preserve">U = </t>
  </si>
  <si>
    <t>BEAM DIMENSION</t>
  </si>
  <si>
    <t>use : ρ</t>
  </si>
  <si>
    <t>AT SUPPORT :</t>
  </si>
  <si>
    <t>mm2</t>
  </si>
  <si>
    <t>As/Asb=</t>
  </si>
  <si>
    <t>pcs.</t>
  </si>
  <si>
    <t>AT MIDSPAN :</t>
  </si>
  <si>
    <t>16mmØ RSB</t>
  </si>
  <si>
    <t>DESIGN OF TIE BEAM WITH EARTHQUAKE AT GRID 2 (1ST FLOOR)</t>
  </si>
  <si>
    <t>DESIGN OF TIE BEAM WITH EARTHQUAKE AT GRID 3 (1ST FLOOR)</t>
  </si>
  <si>
    <t>DESIGN OF BEAM WITH EARTHQUAKE AT GRID3 (2ND FLOOR)</t>
  </si>
  <si>
    <t>DESIGN OF BEAM WITH EARTHQUAKE AT GRID 1 (2ND &amp; 3RD FLOOR)</t>
  </si>
  <si>
    <t>DESIGN OF BEAM WITH EARTHQUAKE AT GRID 2 (2ND &amp; 3RDFLOOR)</t>
  </si>
  <si>
    <t>BEAM SUMMARY (DL , LL)</t>
  </si>
  <si>
    <t>LOAD</t>
  </si>
  <si>
    <t>2ND-3RD FLR BEAM</t>
  </si>
  <si>
    <t>CASE</t>
  </si>
  <si>
    <t>FLOOR</t>
  </si>
  <si>
    <t>BEAM SUMMARY (ALL FLOORS)</t>
  </si>
  <si>
    <t>COLUMN SUMMARY (1.2DL+1.6LL)</t>
  </si>
  <si>
    <t>COLUMN SUMMARY (DL,LL)</t>
  </si>
  <si>
    <t>FLR 1</t>
  </si>
  <si>
    <t>FLR 2-3</t>
  </si>
  <si>
    <t>FINISHED PORTAL FRAME FOR GRID 1-3</t>
  </si>
  <si>
    <t>UPDATED GRASP RESULT SUMMARY FOR GRID 1-3</t>
  </si>
  <si>
    <t>FINISHED BEAM W EQ</t>
  </si>
  <si>
    <t>DESIGN PARAMETERS AND LOAD COMBINATIONS</t>
  </si>
  <si>
    <t>d effective=</t>
  </si>
  <si>
    <t>base   =</t>
  </si>
  <si>
    <t>fyt=</t>
  </si>
  <si>
    <t xml:space="preserve"> DL       =</t>
  </si>
  <si>
    <t>Kn</t>
  </si>
  <si>
    <t>Ø=</t>
  </si>
  <si>
    <t>LL         =</t>
  </si>
  <si>
    <t>EL        =</t>
  </si>
  <si>
    <t>Vu        =</t>
  </si>
  <si>
    <r>
      <t xml:space="preserve">Øt        </t>
    </r>
    <r>
      <rPr>
        <b/>
        <sz val="10"/>
        <color theme="1"/>
        <rFont val="Century Gothic"/>
        <family val="2"/>
      </rPr>
      <t>=</t>
    </r>
  </si>
  <si>
    <t>1.2DL + 1.6LL                =</t>
  </si>
  <si>
    <t>DESIGN COMPUTATIONS</t>
  </si>
  <si>
    <t>USE 10mmØ  stirrups spaced  @ 170 mm O.C</t>
  </si>
  <si>
    <t>USE 10mmØ  stirrups spaced  @ 140 mm O.C</t>
  </si>
  <si>
    <t>DESIGN OF STIRRUPS AT GRID 1 TIE BEAM</t>
  </si>
  <si>
    <t>DESIGN OF STIRRUPS AT GRID 1 2ND &amp; 3RD FLR</t>
  </si>
  <si>
    <t>USE 10mmØ  stirrups spaced  @ 130 mm O.C</t>
  </si>
  <si>
    <t>USE 10mmØ  stirrups spaced  @ 160 mm O.C</t>
  </si>
  <si>
    <t>DESIGN OF STIRRUPS AT GRID 2 TIE BEAM</t>
  </si>
  <si>
    <t>DESIGN OF STIRRUPS AT GRID 2 2ND &amp; 3RD FLR</t>
  </si>
  <si>
    <t>DESIGN OF STIRRUPS AT GRID 3 TIE BEAM</t>
  </si>
  <si>
    <t>DESIGN OF STIRRUPS AT GRID 3 2ND &amp; 3RD FLR</t>
  </si>
  <si>
    <t>USE 10mmØ  stirrups spaced  @ 150 mm O.C</t>
  </si>
  <si>
    <t>FINISHED STIRRUP W EQ</t>
  </si>
  <si>
    <t>MAX P AMONGST GRIDS</t>
  </si>
  <si>
    <t>INSIDE  COLUMN</t>
  </si>
  <si>
    <t>OUTSIDE COLUMN</t>
  </si>
  <si>
    <t>FLR</t>
  </si>
  <si>
    <t>IN COLUMN</t>
  </si>
  <si>
    <t>OUT COLUMN</t>
  </si>
  <si>
    <t>UPDATED GRASP RESULT PDL,PLL</t>
  </si>
  <si>
    <t>Pmax DL (all grid)</t>
  </si>
  <si>
    <t>Pmax LL (all grid)</t>
  </si>
  <si>
    <t>φ=</t>
  </si>
  <si>
    <t>Longitudinal (KN)</t>
  </si>
  <si>
    <t xml:space="preserve">DL = </t>
  </si>
  <si>
    <t xml:space="preserve">LL = </t>
  </si>
  <si>
    <t>EL =</t>
  </si>
  <si>
    <t>Transverse (KN)</t>
  </si>
  <si>
    <t>U = 1.4DL                        =</t>
  </si>
  <si>
    <t>U = 1.2DL + 1.6LL           =</t>
  </si>
  <si>
    <t>U = 0.9DL + 1EL              =</t>
  </si>
  <si>
    <t>say  b=</t>
  </si>
  <si>
    <t>mm Ø bar</t>
  </si>
  <si>
    <t>FINISHED COLUMN W EQ</t>
  </si>
  <si>
    <t>FINISHED SETTING PRINT AREA FOR "W EQ"</t>
  </si>
  <si>
    <t>FIXED PORTAL GRID 1-3 WRONG COLUMN FORMULA</t>
  </si>
  <si>
    <t>GRID A</t>
  </si>
  <si>
    <t>GRID B</t>
  </si>
  <si>
    <t>GRID C</t>
  </si>
  <si>
    <t>GRID D</t>
  </si>
  <si>
    <t>FLR 2</t>
  </si>
  <si>
    <t>STRUCTURAL AND SEISMIC ANALYSIS OF PROPOSED TWO-STOREY RESIDENTIAL BUILDING WITH ROOF DECK</t>
  </si>
  <si>
    <t>UPDATES</t>
  </si>
  <si>
    <t>always check layout for print. Yung iba putol kasi maliit yung cell size</t>
  </si>
  <si>
    <t>FIXED PRINT LAYOUT 1.5 TOP AND LEFT MARGIN 1.0 BOTTOM AND RIGHT MARGIN</t>
  </si>
  <si>
    <t>an update is written every time file is saved</t>
  </si>
  <si>
    <t>NOTES</t>
  </si>
  <si>
    <t>baka di ma-open ng ibang user yung cell content na naka reference sa other file/sheet</t>
  </si>
  <si>
    <t xml:space="preserve">thus, use 10mm temperature bars at 390mm o.c. </t>
  </si>
  <si>
    <t>thus, use 12mm Top bars at 250 mm o.c. at support</t>
  </si>
  <si>
    <t>COMPUTATION OF LOADINGS</t>
  </si>
  <si>
    <t>use db=</t>
  </si>
  <si>
    <t>pcs. of</t>
  </si>
  <si>
    <t>FIXED CELL MERGING AND SIZES</t>
  </si>
  <si>
    <r>
      <t xml:space="preserve">STAIRCASE DESIGN </t>
    </r>
    <r>
      <rPr>
        <sz val="15"/>
        <color theme="0"/>
        <rFont val="Century Gothic"/>
        <family val="2"/>
      </rPr>
      <t>(SINGLE FLIGHT)</t>
    </r>
  </si>
  <si>
    <t>FLOOR WEIGHT COMPUTATION</t>
  </si>
  <si>
    <r>
      <t>≤</t>
    </r>
    <r>
      <rPr>
        <b/>
        <sz val="11"/>
        <color theme="1"/>
        <rFont val="Calibri"/>
        <family val="2"/>
        <scheme val="minor"/>
      </rPr>
      <t xml:space="preserve"> </t>
    </r>
  </si>
  <si>
    <r>
      <t>≤</t>
    </r>
    <r>
      <rPr>
        <b/>
        <sz val="11"/>
        <color theme="1"/>
        <rFont val="Calibri"/>
        <family val="2"/>
        <scheme val="minor"/>
      </rPr>
      <t xml:space="preserve">  </t>
    </r>
  </si>
  <si>
    <t>DESIGN OF  TIE BEAM STIRRUPS AT GRID A,B,C, AND D</t>
  </si>
  <si>
    <t>wqqqqqqqqqqqqqqqq</t>
  </si>
  <si>
    <t>CHANGED COLOR THEME TO GREYSACALE</t>
  </si>
  <si>
    <t>check page break preview to see pages to be printed</t>
  </si>
  <si>
    <t>may something sa formula ng portal</t>
  </si>
  <si>
    <t>1ST PRINT</t>
  </si>
  <si>
    <t>FIXED WRONG FORMULA FOR PORTAL METHOD IN GRID 1-2-3</t>
  </si>
  <si>
    <t>FIXED COLUMN W EQ DESIGN</t>
  </si>
  <si>
    <t>USE 10mmØ  stirrups spaced  @ 80 mm O.C</t>
  </si>
  <si>
    <t>FIXED BEAM DESIGN FOR GRID 1-2-3 W EQ</t>
  </si>
  <si>
    <t>FIXED STIRRUP DESIGN FOR GRID 1-2-3 Q EQ</t>
  </si>
  <si>
    <t>Dimension of square column is 300 with 10 pcs of 16 mm Ø bar</t>
  </si>
  <si>
    <t>2ND FLR SLAB</t>
  </si>
  <si>
    <t>2ND FLOOR SLAB</t>
  </si>
  <si>
    <t>3RD FLR SLAB</t>
  </si>
  <si>
    <t>3RD FLOOR SLAB</t>
  </si>
  <si>
    <t>DESIGN OF ONE-WAY SLAB (S1) - 2ND FLR</t>
  </si>
  <si>
    <t>DESIGN OF ONE-WAY SLAB (S2) - 2ND FLR</t>
  </si>
  <si>
    <t>DESIGN OF ONE-WAY SLAB (S3) - 2ND FLR</t>
  </si>
  <si>
    <t>DESIGN OF ONE-WAY SLAB (S4) - 2ND FLR</t>
  </si>
  <si>
    <t>CHANGED GRASP LOADINGS FOR 3RD FLOOR SLABS</t>
  </si>
  <si>
    <t>ADDED SLAB 1 AND SLAB 2 FOR 3RD FLOOR</t>
  </si>
  <si>
    <t>CHANGED CANTILEVER SLAB LIVE LOAD TO 2.9</t>
  </si>
  <si>
    <t>VU MAX</t>
  </si>
  <si>
    <t>CHANGED GRASP 1-, CONSIDERED ALTERNATE LIVE LOAD</t>
  </si>
  <si>
    <t>BEAM DESIGN:GRID 2 3 4 2ND TO 3RD FLR BEAMS = 450 mm REST IS 400</t>
  </si>
  <si>
    <t>STIRRUP DESIGN: CHANGED Vu</t>
  </si>
  <si>
    <t>APPLIED CHANGES IN GRID 1 2 3 &amp; CHANGED:</t>
  </si>
  <si>
    <t>Pmax 1.2DL+1.6LL (all grid)</t>
  </si>
  <si>
    <t>CHANGED Pmax SUMARY FOR ALL CASES</t>
  </si>
  <si>
    <t>DESIGNED COLUMNS</t>
  </si>
  <si>
    <t>REDESIGNED USING EQ PARAMETERS</t>
  </si>
  <si>
    <t>CHANGED COMBINATION TO 1LL RATHER THAN 0.5LL</t>
  </si>
  <si>
    <t>U = 1.2DL + 1LL + 1EL     =</t>
  </si>
  <si>
    <t>1.2DL + 1LL + 1EL     =</t>
  </si>
  <si>
    <t>U = 1.2DL +1LL + 1EL =</t>
  </si>
  <si>
    <t xml:space="preserve">DEAD LOAD </t>
  </si>
  <si>
    <t>2ND FOOR</t>
  </si>
  <si>
    <t>LL(ALTERNATE)</t>
  </si>
  <si>
    <t>SHEAR VALUES</t>
  </si>
  <si>
    <t>MOMENT VALUES</t>
  </si>
  <si>
    <t>AVIAL VALUES</t>
  </si>
  <si>
    <t>Dimension of square column is 300 mm with 8 pcs of 16 mm Ø bar</t>
  </si>
  <si>
    <t>DESIGN OF OUTSIDE COLUMN (ALONG GRID A)</t>
  </si>
  <si>
    <t>DESIGN OF OUTSIDE COLUMN (ALONG GRID B)</t>
  </si>
  <si>
    <t>Dimension of square column is 300mm with 8 pcs of 16 mm Ø bar</t>
  </si>
  <si>
    <t>DESIGN OF OUTSIDE COLUMN (ALONG GRID C)</t>
  </si>
  <si>
    <t>DESIGN OF OUTSIDE COLUMN (ALONG DRID D)</t>
  </si>
  <si>
    <t>DESIGN OF INSIDE COLUMN (ALONG GRID B)</t>
  </si>
  <si>
    <t>DESIGN OF INSIDE COLUMN (ALONG DRID C)</t>
  </si>
  <si>
    <t>SIZE (b x dt mm)</t>
  </si>
  <si>
    <t>SPACING OF STIRRUPS</t>
  </si>
  <si>
    <t>10mmØ TIES spaced at 140mm O.C.</t>
  </si>
  <si>
    <t>DESIGN OF BEAM SUMMARY</t>
  </si>
  <si>
    <t>250 X 350</t>
  </si>
  <si>
    <t>10mmØ TIES spaced at 130mm O.C.</t>
  </si>
  <si>
    <t>COLUMN DESIGN SUMMARY</t>
  </si>
  <si>
    <t>SIZE (mm)</t>
  </si>
  <si>
    <t>STEEL REQUIREMENT</t>
  </si>
  <si>
    <t>SPACING OF LATERAL TIES</t>
  </si>
  <si>
    <t>EXTERIOR COLUMN</t>
  </si>
  <si>
    <t xml:space="preserve">10mmØ TIES spaced at 250 mm O.C. </t>
  </si>
  <si>
    <t>INTERIOR COLUMN</t>
  </si>
  <si>
    <t>300 X 300</t>
  </si>
  <si>
    <t>8-16 mmØ MAIN BARS</t>
  </si>
  <si>
    <t>GRASP RESULT SUMMARY AT GRID A,B,C, AND D</t>
  </si>
  <si>
    <t>MINIMUM REQUIREMENTS FOR SEISMIC-RESISTANT DETAILS</t>
  </si>
  <si>
    <t>S= d/4</t>
  </si>
  <si>
    <t>S=8db</t>
  </si>
  <si>
    <t>S=24 dbt</t>
  </si>
  <si>
    <t>S=300mm</t>
  </si>
  <si>
    <t>mmØ bar</t>
  </si>
  <si>
    <t xml:space="preserve">Using </t>
  </si>
  <si>
    <t>S=</t>
  </si>
  <si>
    <t>s=d/2</t>
  </si>
  <si>
    <t>AT CONFINED REGION</t>
  </si>
  <si>
    <t>2H = 800 mm</t>
  </si>
  <si>
    <t>20mmØ RSB</t>
  </si>
  <si>
    <t>AT UNCONFINED REGION</t>
  </si>
  <si>
    <t xml:space="preserve">Use 10 mm Ø stirrups spaced @ 85mm at confined region and 170mm @ rest </t>
  </si>
  <si>
    <t>4-20mmØ AT SUPPORT - TWO LAYERS: 2-20mmØ AT MIDSPAN</t>
  </si>
  <si>
    <t>3-20mmØ AT SUPPORT - TWO LAYERS: 2-20mmØ AT MIDSPAN</t>
  </si>
  <si>
    <t>10mmØ TIES spaced at 170mm O.C., 85mm at confined region</t>
  </si>
  <si>
    <t>10mmØ TIES spaced at 160mm O.C., 85mm at confined region</t>
  </si>
  <si>
    <t>10mmØ TIES spaced at 150mm O.C., 85mm at confined region</t>
  </si>
  <si>
    <t>280 X 400</t>
  </si>
  <si>
    <t>SCHEDULE OF BEAM</t>
  </si>
  <si>
    <t>MARK</t>
  </si>
  <si>
    <t>WIDTH(MM)</t>
  </si>
  <si>
    <t>DEPTH (MM)</t>
  </si>
  <si>
    <t>B1</t>
  </si>
  <si>
    <t>B2</t>
  </si>
  <si>
    <t>B3</t>
  </si>
  <si>
    <t>4-20MM RSB TOP BARS</t>
  </si>
  <si>
    <t>2-20MM RSB BOT BARS</t>
  </si>
  <si>
    <t>2-20MM TOP BARS</t>
  </si>
  <si>
    <t>4-20MM RSB BOT BARS</t>
  </si>
  <si>
    <t xml:space="preserve">Use 10 mm Ø stirrups spaced @ 70mm at confined region and 145 mm @ rest </t>
  </si>
  <si>
    <t>USE S= 85mm AT CONFINED REGION AND USE S=170mm AT REST</t>
  </si>
  <si>
    <t xml:space="preserve">Use 10 mm Ø stirrups spaced @ 85mm at confined region and 160mm @ rest </t>
  </si>
  <si>
    <t xml:space="preserve">Use 10 mm Ø stirrups spaced @ 85mm at confined region and 150mm @ rest </t>
  </si>
  <si>
    <t xml:space="preserve">Use 10 mm Ø stirrups spaced @ 100mm at confined region and 130mm @ rest </t>
  </si>
  <si>
    <t>SPACING OF STIRRUPS AT GRID A,B,C,AND D</t>
  </si>
  <si>
    <t>SPACING OF TIE BEAM STIRRUPS AT GRID A,B,C,AND D</t>
  </si>
  <si>
    <t>SPACING OF STIRRUPS AT GRID 1 AND 3</t>
  </si>
  <si>
    <t>SPACING OF STIRRUPS AT GRID 2</t>
  </si>
  <si>
    <t>SPACING OF TIE BEAM STIRRUPS AT GRID 1,2, AND 3</t>
  </si>
  <si>
    <t>USE S= 100mm AT CONFINED REGION AND USE S=130mm AT REST</t>
  </si>
  <si>
    <t>USE S= 85mm AT CONFINED REGION AND USE S=160mm AT REST</t>
  </si>
  <si>
    <t>USE S= 85mm AT CONFINED REGION AND USE S=150mm AT REST</t>
  </si>
  <si>
    <t>USE S= 70mm AT CONFINED REGION AND USE S=140mm AT REST</t>
  </si>
  <si>
    <t>CLEAR SPAN =</t>
  </si>
  <si>
    <t>CONFINED LENGTH:</t>
  </si>
  <si>
    <t>lo= Larger of C1 or C2=</t>
  </si>
  <si>
    <t>Ln/6=</t>
  </si>
  <si>
    <t>Lo=</t>
  </si>
  <si>
    <t>use lo=</t>
  </si>
  <si>
    <t>AT CONFINED SECTION:</t>
  </si>
  <si>
    <r>
      <t xml:space="preserve">S </t>
    </r>
    <r>
      <rPr>
        <sz val="11"/>
        <color theme="1"/>
        <rFont val="Calibri"/>
        <family val="2"/>
      </rPr>
      <t>≤ 0.25 X ( smaller of C1 or C2 )=</t>
    </r>
  </si>
  <si>
    <t>300 mm</t>
  </si>
  <si>
    <t>10 mm</t>
  </si>
  <si>
    <t>16 mm</t>
  </si>
  <si>
    <t>S ≤ 6db=</t>
  </si>
  <si>
    <t>AT UNCONFINED REGION:</t>
  </si>
  <si>
    <t>SPACING OF TIES</t>
  </si>
  <si>
    <t>S ≤  150mm=</t>
  </si>
  <si>
    <t>SUMMARY:</t>
  </si>
  <si>
    <t>Use lo =</t>
  </si>
  <si>
    <t>Use S =</t>
  </si>
  <si>
    <t>mm at confined region</t>
  </si>
  <si>
    <t xml:space="preserve">Use S= </t>
  </si>
  <si>
    <t xml:space="preserve">Use 10 mm Ø bar ties spaced @ 120 mm O.C </t>
  </si>
  <si>
    <t>DESIGN OF TIE BEAM WITH EARTHQUAKE AT GRID 1,2,AND 3 (1ST FLOOR)</t>
  </si>
  <si>
    <t>S=6db</t>
  </si>
  <si>
    <t>3-20mmØ AT SUPPORT -  2-20mmØ AT MIDSPAN</t>
  </si>
  <si>
    <t>4-20mmØ AT SUPPORT -  2-20mmØ AT MIDSPAN</t>
  </si>
  <si>
    <t>BEAM SUMMARY</t>
  </si>
  <si>
    <t>Mmax</t>
  </si>
  <si>
    <t>Vmax</t>
  </si>
  <si>
    <t>Pmax</t>
  </si>
  <si>
    <t>support</t>
  </si>
  <si>
    <t>midspan</t>
  </si>
  <si>
    <t>COLUMN SUMMARY</t>
  </si>
  <si>
    <t>REACTION SUMMARY</t>
  </si>
  <si>
    <t>Node</t>
  </si>
  <si>
    <t>Fx [KN]</t>
  </si>
  <si>
    <t>Fy [KN]</t>
  </si>
  <si>
    <t>Mz [KN-m]</t>
  </si>
  <si>
    <t>Node 1</t>
  </si>
  <si>
    <t>Node 2</t>
  </si>
  <si>
    <t>Node 3</t>
  </si>
  <si>
    <t>Node 4</t>
  </si>
  <si>
    <t>v</t>
  </si>
  <si>
    <t>p</t>
  </si>
  <si>
    <t>right click a sheet &gt; unhide</t>
  </si>
  <si>
    <t>jan 25-30</t>
  </si>
  <si>
    <t>STIRRUPS DESIGN CONSIDERING SEISMIC PROVISIONS</t>
  </si>
  <si>
    <t>ADDED SCHEDULE</t>
  </si>
  <si>
    <t>ADDED SUMMARY</t>
  </si>
  <si>
    <t>ADDED KUAN</t>
  </si>
  <si>
    <t>PUMASA NA</t>
  </si>
  <si>
    <t>FOUNDATION ENGINEERING</t>
  </si>
  <si>
    <t>ADDED A SUMMARY OF SUPPORTS ON GRID 1-3</t>
  </si>
  <si>
    <t>RENAMED SHEETS</t>
  </si>
  <si>
    <t>NAKA HIDE YUNG LUMANG GRASP</t>
  </si>
  <si>
    <t>DO NOT DELETE SHEETS! HIDE INSTEAD!</t>
  </si>
  <si>
    <t>Mzi = Moment (M)</t>
  </si>
  <si>
    <t>Fxi = Shear (V)</t>
  </si>
  <si>
    <t>Fyi = Axial Load (P)</t>
  </si>
  <si>
    <t>(+) upward, countercockwise</t>
  </si>
  <si>
    <t>(-) downward, cockwise</t>
  </si>
  <si>
    <t>GRASP SIGN CONVENTION:</t>
  </si>
  <si>
    <t xml:space="preserve">      OR: TABLE&gt;NODAL REACTIONS</t>
  </si>
  <si>
    <t>GRASP FRAME REACTIONS:  Member number of columns connecting to footing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</si>
</sst>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"/>
    <numFmt numFmtId="165" formatCode="0.00000"/>
    <numFmt numFmtId="166" formatCode="0.000"/>
    <numFmt numFmtId="167" formatCode="0.000000"/>
    <numFmt numFmtId="168" formatCode="0.0"/>
  </numFmts>
  <fonts count="5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sz val="10"/>
      <color rgb="FF000000"/>
      <name val="Century Gothic"/>
      <family val="2"/>
    </font>
    <font>
      <b/>
      <sz val="10"/>
      <color rgb="FF000000"/>
      <name val="Century Gothic"/>
      <family val="2"/>
    </font>
    <font>
      <sz val="10"/>
      <color theme="1"/>
      <name val="Calibri"/>
      <family val="2"/>
    </font>
    <font>
      <b/>
      <sz val="9"/>
      <color theme="1"/>
      <name val="Century Gothic"/>
      <family val="2"/>
    </font>
    <font>
      <sz val="9"/>
      <color theme="1"/>
      <name val="Century Gothic"/>
      <family val="2"/>
    </font>
    <font>
      <vertAlign val="subscript"/>
      <sz val="9"/>
      <color theme="1"/>
      <name val="Century Gothic"/>
      <family val="2"/>
    </font>
    <font>
      <vertAlign val="superscript"/>
      <sz val="9"/>
      <color theme="1"/>
      <name val="Century Gothic"/>
      <family val="2"/>
    </font>
    <font>
      <b/>
      <vertAlign val="subscript"/>
      <sz val="9"/>
      <color theme="1"/>
      <name val="Century Gothic"/>
      <family val="2"/>
    </font>
    <font>
      <u/>
      <sz val="9"/>
      <color theme="1"/>
      <name val="Century Gothic"/>
      <family val="2"/>
    </font>
    <font>
      <sz val="9"/>
      <name val="Century Gothic"/>
      <family val="2"/>
    </font>
    <font>
      <b/>
      <sz val="9"/>
      <name val="Century Gothic"/>
      <family val="2"/>
    </font>
    <font>
      <b/>
      <sz val="10"/>
      <color theme="0"/>
      <name val="Century Gothic"/>
      <family val="1"/>
    </font>
    <font>
      <sz val="10"/>
      <name val="Century Gothic"/>
      <family val="2"/>
    </font>
    <font>
      <sz val="10"/>
      <color rgb="FF000000"/>
      <name val="Calibri"/>
      <family val="2"/>
    </font>
    <font>
      <vertAlign val="superscript"/>
      <sz val="10"/>
      <color rgb="FF000000"/>
      <name val="Century Gothic"/>
      <family val="2"/>
    </font>
    <font>
      <b/>
      <sz val="10"/>
      <name val="Century Gothic"/>
      <family val="2"/>
    </font>
    <font>
      <b/>
      <sz val="10"/>
      <color rgb="FFFF0000"/>
      <name val="Century Gothic"/>
      <family val="2"/>
    </font>
    <font>
      <sz val="11"/>
      <color theme="1"/>
      <name val="Century Gothic"/>
      <family val="2"/>
    </font>
    <font>
      <b/>
      <sz val="11"/>
      <color rgb="FFFF0000"/>
      <name val="Century Gothic"/>
      <family val="2"/>
    </font>
    <font>
      <sz val="15"/>
      <color theme="1"/>
      <name val="Century Gothic"/>
      <family val="2"/>
    </font>
    <font>
      <sz val="6"/>
      <color theme="1"/>
      <name val="Century Gothic"/>
      <family val="2"/>
    </font>
    <font>
      <vertAlign val="subscript"/>
      <sz val="11"/>
      <color theme="1"/>
      <name val="Century Gothic"/>
      <family val="2"/>
    </font>
    <font>
      <sz val="18"/>
      <color theme="1"/>
      <name val="Century Gothic"/>
      <family val="2"/>
    </font>
    <font>
      <u/>
      <sz val="11"/>
      <color theme="1"/>
      <name val="Century Gothic"/>
      <family val="2"/>
    </font>
    <font>
      <sz val="11"/>
      <name val="Century Gothic"/>
      <family val="2"/>
    </font>
    <font>
      <sz val="11"/>
      <color rgb="FFFF0000"/>
      <name val="Century Gothic"/>
      <family val="2"/>
    </font>
    <font>
      <sz val="11"/>
      <color rgb="FF000000"/>
      <name val="Century Gothic"/>
      <family val="2"/>
    </font>
    <font>
      <b/>
      <sz val="8"/>
      <color theme="1"/>
      <name val="Century Gothic"/>
      <family val="2"/>
    </font>
    <font>
      <b/>
      <sz val="8.5"/>
      <color theme="1"/>
      <name val="Century Gothic"/>
      <family val="2"/>
    </font>
    <font>
      <b/>
      <sz val="10"/>
      <color rgb="FF0070C0"/>
      <name val="Century Gothic"/>
      <family val="2"/>
    </font>
    <font>
      <sz val="10"/>
      <color rgb="FF7030A0"/>
      <name val="Century Gothic"/>
      <family val="2"/>
    </font>
    <font>
      <b/>
      <u/>
      <sz val="10"/>
      <color theme="1"/>
      <name val="Century Gothic"/>
      <family val="2"/>
    </font>
    <font>
      <sz val="11"/>
      <color theme="0"/>
      <name val="Calibri"/>
      <family val="2"/>
      <scheme val="minor"/>
    </font>
    <font>
      <b/>
      <sz val="15"/>
      <color theme="0"/>
      <name val="Century Gothic"/>
      <family val="2"/>
    </font>
    <font>
      <sz val="15"/>
      <color theme="0"/>
      <name val="Century Gothic"/>
      <family val="2"/>
    </font>
    <font>
      <sz val="15"/>
      <color theme="1"/>
      <name val="Calibri"/>
      <family val="2"/>
      <scheme val="minor"/>
    </font>
    <font>
      <sz val="15"/>
      <color theme="0"/>
      <name val="Calibri"/>
      <family val="2"/>
      <scheme val="minor"/>
    </font>
    <font>
      <sz val="36"/>
      <color theme="2"/>
      <name val="Century Gothic"/>
      <family val="2"/>
    </font>
    <font>
      <sz val="11"/>
      <color theme="4" tint="0.79998168889431442"/>
      <name val="Century Gothic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36"/>
      <color theme="2"/>
      <name val="Century Gothic"/>
      <family val="2"/>
    </font>
    <font>
      <b/>
      <sz val="12"/>
      <color theme="1"/>
      <name val="Century Gothic"/>
      <family val="2"/>
    </font>
    <font>
      <b/>
      <sz val="36"/>
      <color theme="0"/>
      <name val="Century Gothic"/>
      <family val="2"/>
    </font>
  </fonts>
  <fills count="22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18" fillId="7" borderId="0">
      <alignment horizontal="center" vertical="center"/>
    </xf>
    <xf numFmtId="0" fontId="2" fillId="0" borderId="0"/>
  </cellStyleXfs>
  <cellXfs count="68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5" xfId="0" applyBorder="1"/>
    <xf numFmtId="11" fontId="0" fillId="0" borderId="0" xfId="0" applyNumberFormat="1"/>
    <xf numFmtId="0" fontId="4" fillId="0" borderId="0" xfId="0" applyFont="1"/>
    <xf numFmtId="0" fontId="4" fillId="0" borderId="4" xfId="0" applyFont="1" applyBorder="1" applyAlignment="1">
      <alignment horizontal="left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2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5" xfId="0" applyFont="1" applyBorder="1"/>
    <xf numFmtId="2" fontId="4" fillId="0" borderId="0" xfId="0" applyNumberFormat="1" applyFont="1"/>
    <xf numFmtId="0" fontId="6" fillId="0" borderId="0" xfId="0" applyFont="1" applyAlignment="1">
      <alignment horizontal="right"/>
    </xf>
    <xf numFmtId="2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9" xfId="0" applyFont="1" applyBorder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0" fontId="6" fillId="0" borderId="4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8" fillId="0" borderId="4" xfId="0" applyFont="1" applyBorder="1" applyAlignment="1">
      <alignment horizontal="right" vertical="center"/>
    </xf>
    <xf numFmtId="0" fontId="4" fillId="0" borderId="4" xfId="0" applyFont="1" applyBorder="1"/>
    <xf numFmtId="0" fontId="6" fillId="0" borderId="0" xfId="0" applyFont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164" fontId="10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0" fontId="6" fillId="0" borderId="0" xfId="0" applyFont="1" applyAlignment="1">
      <alignment vertical="top"/>
    </xf>
    <xf numFmtId="0" fontId="6" fillId="0" borderId="5" xfId="0" applyFont="1" applyBorder="1" applyAlignment="1">
      <alignment vertical="top"/>
    </xf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right"/>
    </xf>
    <xf numFmtId="0" fontId="7" fillId="0" borderId="0" xfId="0" applyFont="1"/>
    <xf numFmtId="0" fontId="7" fillId="0" borderId="5" xfId="0" applyFont="1" applyBorder="1"/>
    <xf numFmtId="0" fontId="7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right"/>
    </xf>
    <xf numFmtId="2" fontId="7" fillId="0" borderId="0" xfId="0" applyNumberFormat="1" applyFont="1" applyAlignment="1">
      <alignment horizontal="left" vertical="center"/>
    </xf>
    <xf numFmtId="0" fontId="7" fillId="0" borderId="4" xfId="0" applyFont="1" applyBorder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24" fillId="0" borderId="0" xfId="0" applyFont="1"/>
    <xf numFmtId="0" fontId="24" fillId="0" borderId="4" xfId="0" applyFont="1" applyBorder="1"/>
    <xf numFmtId="0" fontId="24" fillId="0" borderId="13" xfId="0" applyFont="1" applyBorder="1" applyAlignment="1">
      <alignment horizontal="right"/>
    </xf>
    <xf numFmtId="0" fontId="24" fillId="0" borderId="5" xfId="0" applyFont="1" applyBorder="1"/>
    <xf numFmtId="0" fontId="24" fillId="0" borderId="9" xfId="0" applyFont="1" applyBorder="1" applyAlignment="1">
      <alignment horizontal="right"/>
    </xf>
    <xf numFmtId="0" fontId="24" fillId="0" borderId="0" xfId="0" applyFont="1" applyAlignment="1">
      <alignment horizontal="right"/>
    </xf>
    <xf numFmtId="0" fontId="24" fillId="0" borderId="4" xfId="0" applyFont="1" applyBorder="1" applyAlignment="1">
      <alignment horizontal="left"/>
    </xf>
    <xf numFmtId="0" fontId="24" fillId="0" borderId="0" xfId="0" applyFont="1" applyAlignment="1">
      <alignment horizontal="left"/>
    </xf>
    <xf numFmtId="0" fontId="24" fillId="0" borderId="1" xfId="0" applyFont="1" applyBorder="1"/>
    <xf numFmtId="0" fontId="24" fillId="0" borderId="2" xfId="0" applyFont="1" applyBorder="1"/>
    <xf numFmtId="0" fontId="24" fillId="0" borderId="2" xfId="0" applyFont="1" applyBorder="1" applyAlignment="1">
      <alignment horizontal="right"/>
    </xf>
    <xf numFmtId="0" fontId="24" fillId="0" borderId="3" xfId="0" applyFont="1" applyBorder="1"/>
    <xf numFmtId="2" fontId="24" fillId="0" borderId="0" xfId="0" applyNumberFormat="1" applyFont="1" applyAlignment="1">
      <alignment horizontal="right"/>
    </xf>
    <xf numFmtId="0" fontId="25" fillId="0" borderId="0" xfId="0" applyFont="1"/>
    <xf numFmtId="0" fontId="24" fillId="0" borderId="6" xfId="0" applyFont="1" applyBorder="1"/>
    <xf numFmtId="0" fontId="24" fillId="0" borderId="9" xfId="0" applyFont="1" applyBorder="1"/>
    <xf numFmtId="0" fontId="24" fillId="0" borderId="7" xfId="0" applyFont="1" applyBorder="1"/>
    <xf numFmtId="0" fontId="24" fillId="0" borderId="8" xfId="0" applyFont="1" applyBorder="1"/>
    <xf numFmtId="0" fontId="24" fillId="0" borderId="4" xfId="0" applyFont="1" applyBorder="1" applyAlignment="1">
      <alignment horizontal="right"/>
    </xf>
    <xf numFmtId="0" fontId="24" fillId="0" borderId="13" xfId="0" applyFont="1" applyBorder="1"/>
    <xf numFmtId="0" fontId="24" fillId="0" borderId="6" xfId="0" applyFont="1" applyBorder="1" applyAlignment="1">
      <alignment horizontal="right"/>
    </xf>
    <xf numFmtId="2" fontId="24" fillId="0" borderId="7" xfId="0" applyNumberFormat="1" applyFont="1" applyBorder="1"/>
    <xf numFmtId="166" fontId="24" fillId="0" borderId="0" xfId="0" applyNumberFormat="1" applyFont="1" applyProtection="1">
      <protection locked="0"/>
    </xf>
    <xf numFmtId="0" fontId="24" fillId="0" borderId="0" xfId="0" applyFont="1" applyProtection="1">
      <protection locked="0"/>
    </xf>
    <xf numFmtId="0" fontId="24" fillId="0" borderId="4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4" fillId="0" borderId="14" xfId="0" applyFont="1" applyBorder="1"/>
    <xf numFmtId="166" fontId="24" fillId="0" borderId="14" xfId="0" applyNumberFormat="1" applyFont="1" applyBorder="1"/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right"/>
    </xf>
    <xf numFmtId="0" fontId="5" fillId="0" borderId="0" xfId="0" applyFont="1"/>
    <xf numFmtId="166" fontId="5" fillId="0" borderId="0" xfId="0" applyNumberFormat="1" applyFont="1"/>
    <xf numFmtId="0" fontId="5" fillId="0" borderId="4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4" xfId="0" applyFont="1" applyBorder="1" applyAlignment="1" applyProtection="1">
      <alignment horizontal="right"/>
      <protection locked="0"/>
    </xf>
    <xf numFmtId="2" fontId="24" fillId="0" borderId="0" xfId="0" applyNumberFormat="1" applyFont="1" applyProtection="1">
      <protection locked="0"/>
    </xf>
    <xf numFmtId="165" fontId="24" fillId="0" borderId="0" xfId="0" applyNumberFormat="1" applyFont="1" applyProtection="1">
      <protection locked="0"/>
    </xf>
    <xf numFmtId="0" fontId="24" fillId="0" borderId="0" xfId="0" applyFont="1" applyAlignment="1" applyProtection="1">
      <alignment horizontal="right"/>
      <protection locked="0"/>
    </xf>
    <xf numFmtId="0" fontId="24" fillId="0" borderId="0" xfId="0" applyFont="1" applyAlignment="1" applyProtection="1">
      <alignment horizontal="left"/>
      <protection locked="0"/>
    </xf>
    <xf numFmtId="0" fontId="24" fillId="0" borderId="4" xfId="0" applyFont="1" applyBorder="1" applyAlignment="1">
      <alignment horizontal="left" indent="1"/>
    </xf>
    <xf numFmtId="0" fontId="5" fillId="0" borderId="5" xfId="0" applyFont="1" applyBorder="1"/>
    <xf numFmtId="0" fontId="24" fillId="0" borderId="6" xfId="0" applyFont="1" applyBorder="1" applyAlignment="1">
      <alignment horizontal="left"/>
    </xf>
    <xf numFmtId="0" fontId="5" fillId="0" borderId="7" xfId="0" applyFont="1" applyBorder="1"/>
    <xf numFmtId="0" fontId="5" fillId="0" borderId="8" xfId="0" applyFont="1" applyBorder="1"/>
    <xf numFmtId="166" fontId="24" fillId="0" borderId="0" xfId="0" applyNumberFormat="1" applyFont="1"/>
    <xf numFmtId="0" fontId="24" fillId="0" borderId="6" xfId="0" applyFont="1" applyBorder="1" applyAlignment="1">
      <alignment horizontal="left" indent="1"/>
    </xf>
    <xf numFmtId="0" fontId="24" fillId="6" borderId="0" xfId="0" applyFont="1" applyFill="1"/>
    <xf numFmtId="0" fontId="24" fillId="6" borderId="5" xfId="0" applyFont="1" applyFill="1" applyBorder="1"/>
    <xf numFmtId="2" fontId="0" fillId="0" borderId="9" xfId="0" applyNumberFormat="1" applyBorder="1" applyAlignment="1">
      <alignment horizontal="center"/>
    </xf>
    <xf numFmtId="0" fontId="24" fillId="0" borderId="0" xfId="0" applyFont="1" applyAlignment="1">
      <alignment wrapText="1"/>
    </xf>
    <xf numFmtId="0" fontId="5" fillId="0" borderId="4" xfId="0" applyFont="1" applyBorder="1"/>
    <xf numFmtId="0" fontId="24" fillId="0" borderId="7" xfId="0" applyFont="1" applyBorder="1" applyAlignment="1">
      <alignment wrapText="1"/>
    </xf>
    <xf numFmtId="0" fontId="24" fillId="0" borderId="9" xfId="0" applyFont="1" applyBorder="1" applyAlignment="1">
      <alignment wrapText="1"/>
    </xf>
    <xf numFmtId="0" fontId="24" fillId="0" borderId="24" xfId="0" applyFont="1" applyBorder="1" applyAlignment="1">
      <alignment horizontal="right"/>
    </xf>
    <xf numFmtId="0" fontId="24" fillId="0" borderId="29" xfId="0" applyFont="1" applyBorder="1"/>
    <xf numFmtId="0" fontId="24" fillId="0" borderId="4" xfId="0" applyFont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24" fillId="0" borderId="0" xfId="0" applyFont="1" applyAlignment="1">
      <alignment vertical="center"/>
    </xf>
    <xf numFmtId="0" fontId="29" fillId="0" borderId="0" xfId="0" applyFont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166" fontId="24" fillId="0" borderId="0" xfId="0" applyNumberFormat="1" applyFont="1" applyAlignment="1">
      <alignment vertical="center"/>
    </xf>
    <xf numFmtId="2" fontId="29" fillId="0" borderId="0" xfId="0" applyNumberFormat="1" applyFont="1" applyAlignment="1">
      <alignment horizontal="center" vertical="center"/>
    </xf>
    <xf numFmtId="0" fontId="24" fillId="0" borderId="5" xfId="0" applyFont="1" applyBorder="1" applyAlignment="1">
      <alignment vertical="center"/>
    </xf>
    <xf numFmtId="2" fontId="24" fillId="0" borderId="0" xfId="0" applyNumberFormat="1" applyFont="1" applyAlignment="1">
      <alignment vertical="center"/>
    </xf>
    <xf numFmtId="165" fontId="24" fillId="0" borderId="0" xfId="0" applyNumberFormat="1" applyFont="1" applyAlignment="1">
      <alignment horizontal="left" vertical="center"/>
    </xf>
    <xf numFmtId="2" fontId="24" fillId="0" borderId="0" xfId="0" applyNumberFormat="1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165" fontId="24" fillId="0" borderId="9" xfId="0" applyNumberFormat="1" applyFont="1" applyBorder="1" applyAlignment="1">
      <alignment horizontal="center" vertical="center"/>
    </xf>
    <xf numFmtId="165" fontId="24" fillId="0" borderId="25" xfId="0" applyNumberFormat="1" applyFont="1" applyBorder="1" applyAlignment="1">
      <alignment vertical="center"/>
    </xf>
    <xf numFmtId="166" fontId="24" fillId="0" borderId="9" xfId="0" applyNumberFormat="1" applyFont="1" applyBorder="1" applyAlignment="1">
      <alignment horizontal="center" vertical="center"/>
    </xf>
    <xf numFmtId="2" fontId="24" fillId="0" borderId="9" xfId="0" applyNumberFormat="1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165" fontId="5" fillId="0" borderId="7" xfId="0" applyNumberFormat="1" applyFont="1" applyBorder="1" applyAlignment="1">
      <alignment horizontal="center" vertical="center"/>
    </xf>
    <xf numFmtId="165" fontId="5" fillId="0" borderId="28" xfId="0" applyNumberFormat="1" applyFont="1" applyBorder="1" applyAlignment="1">
      <alignment vertical="center"/>
    </xf>
    <xf numFmtId="0" fontId="24" fillId="0" borderId="8" xfId="0" applyFont="1" applyBorder="1" applyAlignment="1">
      <alignment horizontal="center" vertical="center"/>
    </xf>
    <xf numFmtId="166" fontId="5" fillId="0" borderId="7" xfId="0" applyNumberFormat="1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2" fontId="24" fillId="0" borderId="0" xfId="0" applyNumberFormat="1" applyFont="1"/>
    <xf numFmtId="2" fontId="24" fillId="0" borderId="4" xfId="0" applyNumberFormat="1" applyFont="1" applyBorder="1"/>
    <xf numFmtId="2" fontId="24" fillId="0" borderId="5" xfId="0" applyNumberFormat="1" applyFont="1" applyBorder="1"/>
    <xf numFmtId="2" fontId="24" fillId="0" borderId="4" xfId="3" applyNumberFormat="1" applyFont="1" applyBorder="1"/>
    <xf numFmtId="2" fontId="24" fillId="0" borderId="7" xfId="3" applyNumberFormat="1" applyFont="1" applyBorder="1"/>
    <xf numFmtId="2" fontId="24" fillId="8" borderId="4" xfId="3" applyNumberFormat="1" applyFont="1" applyFill="1" applyBorder="1"/>
    <xf numFmtId="2" fontId="24" fillId="0" borderId="5" xfId="3" applyNumberFormat="1" applyFont="1" applyBorder="1"/>
    <xf numFmtId="2" fontId="24" fillId="8" borderId="1" xfId="3" applyNumberFormat="1" applyFont="1" applyFill="1" applyBorder="1"/>
    <xf numFmtId="2" fontId="24" fillId="4" borderId="2" xfId="3" applyNumberFormat="1" applyFont="1" applyFill="1" applyBorder="1"/>
    <xf numFmtId="2" fontId="24" fillId="9" borderId="2" xfId="3" applyNumberFormat="1" applyFont="1" applyFill="1" applyBorder="1"/>
    <xf numFmtId="2" fontId="24" fillId="0" borderId="3" xfId="3" applyNumberFormat="1" applyFont="1" applyBorder="1"/>
    <xf numFmtId="2" fontId="24" fillId="10" borderId="4" xfId="3" applyNumberFormat="1" applyFont="1" applyFill="1" applyBorder="1"/>
    <xf numFmtId="2" fontId="24" fillId="10" borderId="5" xfId="3" applyNumberFormat="1" applyFont="1" applyFill="1" applyBorder="1"/>
    <xf numFmtId="2" fontId="24" fillId="11" borderId="4" xfId="3" applyNumberFormat="1" applyFont="1" applyFill="1" applyBorder="1"/>
    <xf numFmtId="2" fontId="24" fillId="11" borderId="9" xfId="3" applyNumberFormat="1" applyFont="1" applyFill="1" applyBorder="1"/>
    <xf numFmtId="2" fontId="24" fillId="0" borderId="6" xfId="0" applyNumberFormat="1" applyFont="1" applyBorder="1"/>
    <xf numFmtId="2" fontId="24" fillId="0" borderId="8" xfId="0" applyNumberFormat="1" applyFont="1" applyBorder="1"/>
    <xf numFmtId="2" fontId="24" fillId="8" borderId="9" xfId="3" applyNumberFormat="1" applyFont="1" applyFill="1" applyBorder="1"/>
    <xf numFmtId="2" fontId="24" fillId="4" borderId="9" xfId="3" applyNumberFormat="1" applyFont="1" applyFill="1" applyBorder="1"/>
    <xf numFmtId="2" fontId="24" fillId="9" borderId="9" xfId="3" applyNumberFormat="1" applyFont="1" applyFill="1" applyBorder="1"/>
    <xf numFmtId="2" fontId="24" fillId="10" borderId="9" xfId="3" applyNumberFormat="1" applyFont="1" applyFill="1" applyBorder="1"/>
    <xf numFmtId="2" fontId="24" fillId="0" borderId="6" xfId="3" applyNumberFormat="1" applyFont="1" applyBorder="1"/>
    <xf numFmtId="2" fontId="24" fillId="0" borderId="8" xfId="3" applyNumberFormat="1" applyFont="1" applyBorder="1"/>
    <xf numFmtId="0" fontId="0" fillId="12" borderId="0" xfId="0" applyFill="1"/>
    <xf numFmtId="11" fontId="0" fillId="12" borderId="0" xfId="0" applyNumberFormat="1" applyFill="1"/>
    <xf numFmtId="0" fontId="24" fillId="0" borderId="5" xfId="0" applyFont="1" applyBorder="1" applyAlignment="1">
      <alignment horizontal="left"/>
    </xf>
    <xf numFmtId="0" fontId="33" fillId="0" borderId="5" xfId="0" applyFont="1" applyBorder="1" applyAlignment="1">
      <alignment horizontal="left" vertical="center"/>
    </xf>
    <xf numFmtId="0" fontId="5" fillId="0" borderId="4" xfId="0" applyFont="1" applyBorder="1" applyAlignment="1">
      <alignment horizontal="left"/>
    </xf>
    <xf numFmtId="0" fontId="5" fillId="0" borderId="0" xfId="0" applyFont="1" applyAlignment="1">
      <alignment horizontal="left"/>
    </xf>
    <xf numFmtId="166" fontId="24" fillId="0" borderId="0" xfId="0" applyNumberFormat="1" applyFont="1" applyAlignment="1">
      <alignment horizontal="left"/>
    </xf>
    <xf numFmtId="165" fontId="24" fillId="0" borderId="0" xfId="0" applyNumberFormat="1" applyFont="1" applyAlignment="1">
      <alignment horizontal="left"/>
    </xf>
    <xf numFmtId="0" fontId="5" fillId="0" borderId="7" xfId="0" applyFont="1" applyBorder="1" applyAlignment="1">
      <alignment horizontal="left"/>
    </xf>
    <xf numFmtId="0" fontId="24" fillId="0" borderId="8" xfId="0" applyFont="1" applyBorder="1" applyAlignment="1">
      <alignment horizontal="left"/>
    </xf>
    <xf numFmtId="0" fontId="24" fillId="0" borderId="24" xfId="0" applyFont="1" applyBorder="1" applyAlignment="1">
      <alignment horizontal="left" vertical="center"/>
    </xf>
    <xf numFmtId="0" fontId="5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7" fillId="0" borderId="5" xfId="0" applyFont="1" applyBorder="1" applyAlignment="1">
      <alignment horizontal="center"/>
    </xf>
    <xf numFmtId="2" fontId="24" fillId="0" borderId="0" xfId="0" applyNumberFormat="1" applyFont="1" applyAlignment="1">
      <alignment horizontal="center" vertical="center"/>
    </xf>
    <xf numFmtId="2" fontId="24" fillId="0" borderId="0" xfId="3" applyNumberFormat="1" applyFont="1"/>
    <xf numFmtId="2" fontId="24" fillId="0" borderId="0" xfId="3" applyNumberFormat="1" applyFont="1" applyAlignment="1">
      <alignment horizontal="center" vertical="center"/>
    </xf>
    <xf numFmtId="2" fontId="24" fillId="8" borderId="0" xfId="3" applyNumberFormat="1" applyFont="1" applyFill="1"/>
    <xf numFmtId="2" fontId="24" fillId="4" borderId="0" xfId="3" applyNumberFormat="1" applyFont="1" applyFill="1"/>
    <xf numFmtId="2" fontId="24" fillId="9" borderId="0" xfId="3" applyNumberFormat="1" applyFont="1" applyFill="1"/>
    <xf numFmtId="2" fontId="31" fillId="0" borderId="0" xfId="3" applyNumberFormat="1" applyFont="1"/>
    <xf numFmtId="2" fontId="24" fillId="0" borderId="0" xfId="3" applyNumberFormat="1" applyFont="1" applyAlignment="1">
      <alignment horizontal="right"/>
    </xf>
    <xf numFmtId="2" fontId="5" fillId="0" borderId="4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0" fontId="24" fillId="0" borderId="4" xfId="3" applyFont="1" applyBorder="1"/>
    <xf numFmtId="0" fontId="24" fillId="0" borderId="0" xfId="3" applyFont="1"/>
    <xf numFmtId="0" fontId="24" fillId="0" borderId="9" xfId="3" applyFont="1" applyBorder="1" applyAlignment="1">
      <alignment horizontal="center" vertical="center"/>
    </xf>
    <xf numFmtId="0" fontId="24" fillId="0" borderId="24" xfId="3" applyFont="1" applyBorder="1"/>
    <xf numFmtId="0" fontId="24" fillId="0" borderId="7" xfId="3" applyFont="1" applyBorder="1"/>
    <xf numFmtId="0" fontId="24" fillId="8" borderId="1" xfId="3" applyFont="1" applyFill="1" applyBorder="1"/>
    <xf numFmtId="0" fontId="24" fillId="4" borderId="2" xfId="3" applyFont="1" applyFill="1" applyBorder="1"/>
    <xf numFmtId="0" fontId="24" fillId="9" borderId="2" xfId="3" applyFont="1" applyFill="1" applyBorder="1"/>
    <xf numFmtId="0" fontId="24" fillId="0" borderId="2" xfId="3" applyFont="1" applyBorder="1"/>
    <xf numFmtId="0" fontId="24" fillId="0" borderId="3" xfId="3" applyFont="1" applyBorder="1"/>
    <xf numFmtId="0" fontId="24" fillId="8" borderId="2" xfId="3" applyFont="1" applyFill="1" applyBorder="1"/>
    <xf numFmtId="0" fontId="24" fillId="8" borderId="0" xfId="3" applyFont="1" applyFill="1"/>
    <xf numFmtId="0" fontId="24" fillId="0" borderId="9" xfId="0" applyFont="1" applyBorder="1" applyAlignment="1">
      <alignment horizontal="left"/>
    </xf>
    <xf numFmtId="0" fontId="31" fillId="0" borderId="0" xfId="3" applyFont="1"/>
    <xf numFmtId="0" fontId="24" fillId="0" borderId="5" xfId="3" applyFont="1" applyBorder="1"/>
    <xf numFmtId="0" fontId="24" fillId="10" borderId="4" xfId="3" applyFont="1" applyFill="1" applyBorder="1"/>
    <xf numFmtId="0" fontId="24" fillId="10" borderId="5" xfId="3" applyFont="1" applyFill="1" applyBorder="1"/>
    <xf numFmtId="0" fontId="24" fillId="0" borderId="9" xfId="3" applyFont="1" applyBorder="1"/>
    <xf numFmtId="0" fontId="24" fillId="11" borderId="24" xfId="3" applyFont="1" applyFill="1" applyBorder="1"/>
    <xf numFmtId="0" fontId="24" fillId="11" borderId="26" xfId="3" applyFont="1" applyFill="1" applyBorder="1"/>
    <xf numFmtId="0" fontId="24" fillId="8" borderId="4" xfId="3" applyFont="1" applyFill="1" applyBorder="1"/>
    <xf numFmtId="0" fontId="24" fillId="10" borderId="0" xfId="3" applyFont="1" applyFill="1"/>
    <xf numFmtId="0" fontId="24" fillId="4" borderId="0" xfId="3" applyFont="1" applyFill="1"/>
    <xf numFmtId="0" fontId="24" fillId="9" borderId="0" xfId="3" applyFont="1" applyFill="1"/>
    <xf numFmtId="0" fontId="32" fillId="0" borderId="0" xfId="0" applyFont="1" applyAlignment="1">
      <alignment horizontal="center" vertical="center"/>
    </xf>
    <xf numFmtId="0" fontId="25" fillId="0" borderId="0" xfId="0" applyFont="1" applyAlignment="1">
      <alignment horizontal="left"/>
    </xf>
    <xf numFmtId="0" fontId="24" fillId="11" borderId="30" xfId="3" applyFont="1" applyFill="1" applyBorder="1"/>
    <xf numFmtId="0" fontId="24" fillId="8" borderId="30" xfId="3" applyFont="1" applyFill="1" applyBorder="1"/>
    <xf numFmtId="0" fontId="24" fillId="4" borderId="30" xfId="3" applyFont="1" applyFill="1" applyBorder="1"/>
    <xf numFmtId="0" fontId="24" fillId="9" borderId="30" xfId="3" applyFont="1" applyFill="1" applyBorder="1"/>
    <xf numFmtId="0" fontId="24" fillId="10" borderId="30" xfId="3" applyFont="1" applyFill="1" applyBorder="1"/>
    <xf numFmtId="0" fontId="24" fillId="0" borderId="7" xfId="0" applyFont="1" applyBorder="1" applyAlignment="1">
      <alignment horizontal="left"/>
    </xf>
    <xf numFmtId="166" fontId="5" fillId="0" borderId="9" xfId="0" applyNumberFormat="1" applyFont="1" applyBorder="1" applyAlignment="1">
      <alignment horizontal="left"/>
    </xf>
    <xf numFmtId="2" fontId="4" fillId="0" borderId="5" xfId="0" applyNumberFormat="1" applyFont="1" applyBorder="1" applyAlignment="1">
      <alignment horizontal="center" vertical="center"/>
    </xf>
    <xf numFmtId="2" fontId="6" fillId="0" borderId="4" xfId="0" applyNumberFormat="1" applyFont="1" applyBorder="1" applyAlignment="1">
      <alignment horizontal="right" vertical="center"/>
    </xf>
    <xf numFmtId="2" fontId="4" fillId="0" borderId="0" xfId="0" applyNumberFormat="1" applyFont="1" applyAlignment="1">
      <alignment horizontal="left" vertical="center"/>
    </xf>
    <xf numFmtId="2" fontId="6" fillId="0" borderId="0" xfId="0" applyNumberFormat="1" applyFont="1" applyAlignment="1">
      <alignment horizontal="right" vertical="center"/>
    </xf>
    <xf numFmtId="2" fontId="1" fillId="0" borderId="0" xfId="0" applyNumberFormat="1" applyFon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6" fillId="0" borderId="5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right" vertical="center"/>
    </xf>
    <xf numFmtId="2" fontId="6" fillId="0" borderId="5" xfId="0" applyNumberFormat="1" applyFont="1" applyBorder="1" applyAlignment="1">
      <alignment horizontal="left" vertical="center"/>
    </xf>
    <xf numFmtId="2" fontId="4" fillId="0" borderId="5" xfId="0" applyNumberFormat="1" applyFont="1" applyBorder="1" applyAlignment="1">
      <alignment horizontal="left" vertical="center"/>
    </xf>
    <xf numFmtId="2" fontId="6" fillId="0" borderId="0" xfId="0" applyNumberFormat="1" applyFont="1" applyAlignment="1">
      <alignment horizontal="left" vertical="center"/>
    </xf>
    <xf numFmtId="0" fontId="0" fillId="0" borderId="9" xfId="0" applyBorder="1" applyAlignment="1">
      <alignment horizontal="center" vertical="top"/>
    </xf>
    <xf numFmtId="2" fontId="0" fillId="0" borderId="9" xfId="0" applyNumberFormat="1" applyBorder="1" applyAlignment="1">
      <alignment horizontal="center" vertical="center"/>
    </xf>
    <xf numFmtId="2" fontId="4" fillId="0" borderId="0" xfId="0" applyNumberFormat="1" applyFont="1" applyAlignment="1">
      <alignment horizontal="left"/>
    </xf>
    <xf numFmtId="0" fontId="4" fillId="0" borderId="5" xfId="0" applyFont="1" applyBorder="1" applyAlignment="1">
      <alignment horizontal="left"/>
    </xf>
    <xf numFmtId="166" fontId="4" fillId="0" borderId="0" xfId="0" applyNumberFormat="1" applyFont="1" applyAlignment="1">
      <alignment horizontal="left"/>
    </xf>
    <xf numFmtId="0" fontId="6" fillId="0" borderId="4" xfId="0" applyFont="1" applyBorder="1"/>
    <xf numFmtId="2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0" fontId="6" fillId="0" borderId="5" xfId="0" applyFont="1" applyBorder="1"/>
    <xf numFmtId="0" fontId="4" fillId="0" borderId="4" xfId="0" applyFont="1" applyBorder="1" applyAlignment="1">
      <alignment horizontal="center"/>
    </xf>
    <xf numFmtId="2" fontId="4" fillId="0" borderId="0" xfId="0" applyNumberFormat="1" applyFont="1" applyAlignment="1">
      <alignment horizontal="right"/>
    </xf>
    <xf numFmtId="2" fontId="4" fillId="0" borderId="9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7" fillId="0" borderId="9" xfId="0" applyFont="1" applyBorder="1" applyAlignment="1">
      <alignment horizontal="left"/>
    </xf>
    <xf numFmtId="0" fontId="4" fillId="0" borderId="9" xfId="0" applyFont="1" applyBorder="1"/>
    <xf numFmtId="2" fontId="4" fillId="0" borderId="9" xfId="0" applyNumberFormat="1" applyFont="1" applyBorder="1"/>
    <xf numFmtId="166" fontId="5" fillId="0" borderId="0" xfId="0" applyNumberFormat="1" applyFont="1" applyAlignment="1">
      <alignment horizontal="left"/>
    </xf>
    <xf numFmtId="11" fontId="24" fillId="0" borderId="0" xfId="0" applyNumberFormat="1" applyFont="1"/>
    <xf numFmtId="17" fontId="24" fillId="0" borderId="4" xfId="0" applyNumberFormat="1" applyFont="1" applyBorder="1"/>
    <xf numFmtId="165" fontId="11" fillId="0" borderId="0" xfId="0" applyNumberFormat="1" applyFont="1" applyAlignment="1">
      <alignment vertical="center"/>
    </xf>
    <xf numFmtId="0" fontId="11" fillId="0" borderId="5" xfId="0" applyFont="1" applyBorder="1" applyAlignment="1">
      <alignment vertical="center"/>
    </xf>
    <xf numFmtId="165" fontId="11" fillId="0" borderId="0" xfId="0" applyNumberFormat="1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4" xfId="0" applyFont="1" applyBorder="1" applyAlignment="1">
      <alignment vertical="center"/>
    </xf>
    <xf numFmtId="0" fontId="10" fillId="0" borderId="4" xfId="0" applyFont="1" applyBorder="1" applyAlignment="1">
      <alignment horizontal="left" vertical="center"/>
    </xf>
    <xf numFmtId="1" fontId="10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1" fillId="0" borderId="4" xfId="0" applyFont="1" applyBorder="1" applyAlignment="1">
      <alignment horizontal="right" vertical="center"/>
    </xf>
    <xf numFmtId="0" fontId="11" fillId="0" borderId="0" xfId="0" applyFont="1" applyAlignment="1">
      <alignment horizontal="right" vertical="center"/>
    </xf>
    <xf numFmtId="164" fontId="11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0" fillId="5" borderId="0" xfId="0" applyFont="1" applyFill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7" xfId="0" applyFont="1" applyBorder="1" applyAlignment="1">
      <alignment vertical="center"/>
    </xf>
    <xf numFmtId="165" fontId="11" fillId="0" borderId="7" xfId="0" applyNumberFormat="1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" fillId="0" borderId="5" xfId="0" applyFont="1" applyBorder="1"/>
    <xf numFmtId="2" fontId="6" fillId="0" borderId="4" xfId="0" applyNumberFormat="1" applyFont="1" applyBorder="1" applyAlignment="1">
      <alignment horizontal="left" vertical="center"/>
    </xf>
    <xf numFmtId="2" fontId="4" fillId="0" borderId="4" xfId="0" applyNumberFormat="1" applyFont="1" applyBorder="1" applyAlignment="1">
      <alignment horizontal="left" vertical="center"/>
    </xf>
    <xf numFmtId="2" fontId="38" fillId="0" borderId="4" xfId="0" applyNumberFormat="1" applyFont="1" applyBorder="1" applyAlignment="1">
      <alignment horizontal="left" vertical="center"/>
    </xf>
    <xf numFmtId="2" fontId="6" fillId="0" borderId="4" xfId="0" applyNumberFormat="1" applyFont="1" applyBorder="1" applyAlignment="1">
      <alignment vertical="center"/>
    </xf>
    <xf numFmtId="2" fontId="6" fillId="0" borderId="0" xfId="0" applyNumberFormat="1" applyFont="1" applyAlignment="1">
      <alignment vertical="center"/>
    </xf>
    <xf numFmtId="2" fontId="6" fillId="0" borderId="0" xfId="0" applyNumberFormat="1" applyFont="1" applyAlignment="1">
      <alignment horizontal="right" vertical="center" wrapText="1"/>
    </xf>
    <xf numFmtId="2" fontId="22" fillId="0" borderId="0" xfId="0" applyNumberFormat="1" applyFont="1" applyAlignment="1">
      <alignment horizontal="right" vertical="center"/>
    </xf>
    <xf numFmtId="2" fontId="19" fillId="0" borderId="0" xfId="0" applyNumberFormat="1" applyFont="1" applyAlignment="1">
      <alignment vertical="center"/>
    </xf>
    <xf numFmtId="0" fontId="5" fillId="0" borderId="24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24" fillId="0" borderId="24" xfId="0" applyFont="1" applyBorder="1" applyAlignment="1">
      <alignment horizontal="right" vertical="center"/>
    </xf>
    <xf numFmtId="0" fontId="24" fillId="0" borderId="9" xfId="0" applyFont="1" applyBorder="1" applyAlignment="1">
      <alignment vertical="center"/>
    </xf>
    <xf numFmtId="0" fontId="24" fillId="0" borderId="29" xfId="0" applyFont="1" applyBorder="1" applyAlignment="1">
      <alignment vertical="center"/>
    </xf>
    <xf numFmtId="0" fontId="5" fillId="0" borderId="24" xfId="0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0" fontId="39" fillId="0" borderId="0" xfId="0" applyFont="1" applyAlignment="1">
      <alignment vertical="center"/>
    </xf>
    <xf numFmtId="0" fontId="24" fillId="0" borderId="5" xfId="0" applyFont="1" applyBorder="1" applyAlignment="1">
      <alignment horizontal="left" vertical="center"/>
    </xf>
    <xf numFmtId="0" fontId="41" fillId="13" borderId="0" xfId="0" applyFont="1" applyFill="1" applyAlignment="1">
      <alignment vertical="center"/>
    </xf>
    <xf numFmtId="0" fontId="24" fillId="14" borderId="4" xfId="0" applyFont="1" applyFill="1" applyBorder="1"/>
    <xf numFmtId="0" fontId="24" fillId="14" borderId="0" xfId="0" applyFont="1" applyFill="1"/>
    <xf numFmtId="0" fontId="24" fillId="14" borderId="5" xfId="0" applyFont="1" applyFill="1" applyBorder="1"/>
    <xf numFmtId="11" fontId="24" fillId="14" borderId="0" xfId="0" applyNumberFormat="1" applyFont="1" applyFill="1"/>
    <xf numFmtId="0" fontId="5" fillId="16" borderId="4" xfId="0" applyFont="1" applyFill="1" applyBorder="1"/>
    <xf numFmtId="0" fontId="5" fillId="16" borderId="6" xfId="0" applyFont="1" applyFill="1" applyBorder="1"/>
    <xf numFmtId="0" fontId="5" fillId="15" borderId="4" xfId="0" applyFont="1" applyFill="1" applyBorder="1"/>
    <xf numFmtId="0" fontId="24" fillId="15" borderId="0" xfId="0" applyFont="1" applyFill="1"/>
    <xf numFmtId="0" fontId="5" fillId="15" borderId="4" xfId="0" applyFont="1" applyFill="1" applyBorder="1" applyAlignment="1">
      <alignment horizontal="left"/>
    </xf>
    <xf numFmtId="0" fontId="24" fillId="15" borderId="5" xfId="0" applyFont="1" applyFill="1" applyBorder="1"/>
    <xf numFmtId="0" fontId="24" fillId="15" borderId="0" xfId="0" applyFont="1" applyFill="1" applyAlignment="1">
      <alignment horizontal="left"/>
    </xf>
    <xf numFmtId="0" fontId="24" fillId="15" borderId="5" xfId="0" applyFont="1" applyFill="1" applyBorder="1" applyAlignment="1">
      <alignment horizontal="left"/>
    </xf>
    <xf numFmtId="1" fontId="5" fillId="0" borderId="0" xfId="0" applyNumberFormat="1" applyFont="1" applyAlignment="1" applyProtection="1">
      <alignment horizontal="right"/>
      <protection locked="0"/>
    </xf>
    <xf numFmtId="0" fontId="5" fillId="15" borderId="4" xfId="0" applyFont="1" applyFill="1" applyBorder="1" applyAlignment="1">
      <alignment horizontal="right"/>
    </xf>
    <xf numFmtId="166" fontId="5" fillId="15" borderId="0" xfId="0" applyNumberFormat="1" applyFont="1" applyFill="1" applyProtection="1">
      <protection locked="0"/>
    </xf>
    <xf numFmtId="0" fontId="5" fillId="15" borderId="0" xfId="0" applyFont="1" applyFill="1" applyAlignment="1">
      <alignment horizontal="right"/>
    </xf>
    <xf numFmtId="1" fontId="5" fillId="15" borderId="0" xfId="0" applyNumberFormat="1" applyFont="1" applyFill="1" applyAlignment="1" applyProtection="1">
      <alignment horizontal="left"/>
      <protection locked="0"/>
    </xf>
    <xf numFmtId="0" fontId="5" fillId="15" borderId="0" xfId="0" applyFont="1" applyFill="1"/>
    <xf numFmtId="0" fontId="5" fillId="0" borderId="4" xfId="0" applyFont="1" applyBorder="1" applyAlignment="1" applyProtection="1">
      <alignment horizontal="right"/>
      <protection locked="0"/>
    </xf>
    <xf numFmtId="0" fontId="5" fillId="0" borderId="0" xfId="0" applyFont="1" applyProtection="1">
      <protection locked="0"/>
    </xf>
    <xf numFmtId="0" fontId="5" fillId="0" borderId="6" xfId="0" applyFont="1" applyBorder="1" applyAlignment="1" applyProtection="1">
      <alignment horizontal="right"/>
      <protection locked="0"/>
    </xf>
    <xf numFmtId="0" fontId="5" fillId="0" borderId="7" xfId="0" applyFont="1" applyBorder="1" applyProtection="1">
      <protection locked="0"/>
    </xf>
    <xf numFmtId="0" fontId="0" fillId="0" borderId="7" xfId="0" applyBorder="1"/>
    <xf numFmtId="0" fontId="0" fillId="0" borderId="8" xfId="0" applyBorder="1"/>
    <xf numFmtId="0" fontId="17" fillId="15" borderId="0" xfId="0" applyFont="1" applyFill="1" applyAlignment="1">
      <alignment horizontal="left" vertical="center"/>
    </xf>
    <xf numFmtId="0" fontId="17" fillId="15" borderId="5" xfId="0" applyFont="1" applyFill="1" applyBorder="1" applyAlignment="1">
      <alignment horizontal="left" vertical="center"/>
    </xf>
    <xf numFmtId="0" fontId="0" fillId="15" borderId="0" xfId="0" applyFill="1"/>
    <xf numFmtId="0" fontId="5" fillId="16" borderId="4" xfId="0" applyFont="1" applyFill="1" applyBorder="1" applyAlignment="1">
      <alignment horizontal="left"/>
    </xf>
    <xf numFmtId="0" fontId="5" fillId="16" borderId="0" xfId="0" applyFont="1" applyFill="1" applyAlignment="1">
      <alignment horizontal="left"/>
    </xf>
    <xf numFmtId="165" fontId="5" fillId="15" borderId="0" xfId="0" applyNumberFormat="1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6" xfId="0" applyFont="1" applyFill="1" applyBorder="1" applyAlignment="1">
      <alignment horizontal="left"/>
    </xf>
    <xf numFmtId="0" fontId="5" fillId="15" borderId="7" xfId="0" applyFont="1" applyFill="1" applyBorder="1" applyAlignment="1">
      <alignment horizontal="left"/>
    </xf>
    <xf numFmtId="0" fontId="5" fillId="15" borderId="8" xfId="0" applyFont="1" applyFill="1" applyBorder="1"/>
    <xf numFmtId="2" fontId="5" fillId="0" borderId="0" xfId="0" applyNumberFormat="1" applyFont="1"/>
    <xf numFmtId="2" fontId="19" fillId="15" borderId="4" xfId="0" applyNumberFormat="1" applyFont="1" applyFill="1" applyBorder="1" applyAlignment="1">
      <alignment horizontal="left" vertical="center"/>
    </xf>
    <xf numFmtId="2" fontId="22" fillId="15" borderId="0" xfId="0" applyNumberFormat="1" applyFont="1" applyFill="1" applyAlignment="1">
      <alignment horizontal="right" vertical="center"/>
    </xf>
    <xf numFmtId="2" fontId="22" fillId="15" borderId="0" xfId="0" applyNumberFormat="1" applyFont="1" applyFill="1" applyAlignment="1">
      <alignment horizontal="center" vertical="center"/>
    </xf>
    <xf numFmtId="2" fontId="22" fillId="15" borderId="0" xfId="0" applyNumberFormat="1" applyFont="1" applyFill="1" applyAlignment="1">
      <alignment vertical="center"/>
    </xf>
    <xf numFmtId="2" fontId="6" fillId="15" borderId="0" xfId="0" applyNumberFormat="1" applyFont="1" applyFill="1" applyAlignment="1">
      <alignment horizontal="left" vertical="center"/>
    </xf>
    <xf numFmtId="2" fontId="4" fillId="15" borderId="0" xfId="0" applyNumberFormat="1" applyFont="1" applyFill="1" applyAlignment="1">
      <alignment horizontal="left" vertical="center"/>
    </xf>
    <xf numFmtId="0" fontId="6" fillId="15" borderId="4" xfId="0" applyFont="1" applyFill="1" applyBorder="1"/>
    <xf numFmtId="0" fontId="6" fillId="0" borderId="5" xfId="0" applyFont="1" applyBorder="1" applyAlignment="1">
      <alignment horizontal="center"/>
    </xf>
    <xf numFmtId="2" fontId="6" fillId="0" borderId="0" xfId="0" applyNumberFormat="1" applyFont="1"/>
    <xf numFmtId="166" fontId="5" fillId="0" borderId="0" xfId="0" applyNumberFormat="1" applyFont="1" applyAlignment="1">
      <alignment horizontal="right"/>
    </xf>
    <xf numFmtId="0" fontId="5" fillId="0" borderId="7" xfId="0" applyFont="1" applyBorder="1" applyAlignment="1">
      <alignment horizontal="right"/>
    </xf>
    <xf numFmtId="0" fontId="5" fillId="0" borderId="6" xfId="0" applyFont="1" applyBorder="1"/>
    <xf numFmtId="0" fontId="5" fillId="0" borderId="4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5" fillId="0" borderId="0" xfId="0" applyNumberFormat="1" applyFont="1" applyAlignment="1">
      <alignment vertical="center"/>
    </xf>
    <xf numFmtId="2" fontId="22" fillId="15" borderId="5" xfId="0" applyNumberFormat="1" applyFont="1" applyFill="1" applyBorder="1" applyAlignment="1">
      <alignment vertical="center"/>
    </xf>
    <xf numFmtId="0" fontId="2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1" fillId="0" borderId="0" xfId="0" applyFont="1"/>
    <xf numFmtId="0" fontId="43" fillId="0" borderId="0" xfId="0" applyFont="1"/>
    <xf numFmtId="0" fontId="26" fillId="0" borderId="0" xfId="0" applyFont="1"/>
    <xf numFmtId="2" fontId="41" fillId="0" borderId="0" xfId="0" applyNumberFormat="1" applyFont="1" applyAlignment="1">
      <alignment horizontal="center" vertical="center"/>
    </xf>
    <xf numFmtId="0" fontId="43" fillId="0" borderId="0" xfId="0" applyFont="1" applyAlignment="1">
      <alignment horizontal="left"/>
    </xf>
    <xf numFmtId="0" fontId="42" fillId="0" borderId="0" xfId="0" applyFont="1"/>
    <xf numFmtId="0" fontId="24" fillId="17" borderId="4" xfId="0" applyFont="1" applyFill="1" applyBorder="1"/>
    <xf numFmtId="0" fontId="24" fillId="17" borderId="0" xfId="0" applyFont="1" applyFill="1"/>
    <xf numFmtId="0" fontId="24" fillId="17" borderId="5" xfId="0" applyFont="1" applyFill="1" applyBorder="1"/>
    <xf numFmtId="0" fontId="24" fillId="6" borderId="4" xfId="0" applyFont="1" applyFill="1" applyBorder="1"/>
    <xf numFmtId="0" fontId="24" fillId="18" borderId="4" xfId="0" applyFont="1" applyFill="1" applyBorder="1"/>
    <xf numFmtId="0" fontId="24" fillId="18" borderId="0" xfId="0" applyFont="1" applyFill="1"/>
    <xf numFmtId="0" fontId="24" fillId="18" borderId="5" xfId="0" applyFont="1" applyFill="1" applyBorder="1"/>
    <xf numFmtId="11" fontId="24" fillId="18" borderId="0" xfId="0" applyNumberFormat="1" applyFont="1" applyFill="1"/>
    <xf numFmtId="0" fontId="45" fillId="17" borderId="0" xfId="0" applyFont="1" applyFill="1"/>
    <xf numFmtId="0" fontId="24" fillId="19" borderId="4" xfId="0" applyFont="1" applyFill="1" applyBorder="1"/>
    <xf numFmtId="0" fontId="24" fillId="19" borderId="0" xfId="0" applyFont="1" applyFill="1"/>
    <xf numFmtId="0" fontId="24" fillId="6" borderId="7" xfId="0" applyFont="1" applyFill="1" applyBorder="1"/>
    <xf numFmtId="11" fontId="24" fillId="6" borderId="0" xfId="0" applyNumberFormat="1" applyFont="1" applyFill="1"/>
    <xf numFmtId="166" fontId="24" fillId="4" borderId="2" xfId="3" applyNumberFormat="1" applyFont="1" applyFill="1" applyBorder="1"/>
    <xf numFmtId="11" fontId="24" fillId="19" borderId="0" xfId="0" applyNumberFormat="1" applyFont="1" applyFill="1"/>
    <xf numFmtId="0" fontId="24" fillId="0" borderId="0" xfId="0" applyFont="1" applyAlignment="1">
      <alignment horizontal="left" indent="1"/>
    </xf>
    <xf numFmtId="167" fontId="24" fillId="0" borderId="0" xfId="0" applyNumberFormat="1" applyFont="1" applyAlignment="1">
      <alignment horizontal="left" vertical="center"/>
    </xf>
    <xf numFmtId="0" fontId="1" fillId="0" borderId="9" xfId="0" applyFont="1" applyBorder="1" applyAlignment="1">
      <alignment horizontal="center" vertical="center"/>
    </xf>
    <xf numFmtId="0" fontId="0" fillId="0" borderId="9" xfId="0" applyBorder="1"/>
    <xf numFmtId="0" fontId="4" fillId="0" borderId="9" xfId="0" applyFont="1" applyBorder="1" applyAlignment="1">
      <alignment horizontal="right"/>
    </xf>
    <xf numFmtId="0" fontId="4" fillId="0" borderId="9" xfId="0" applyFont="1" applyBorder="1" applyAlignment="1">
      <alignment horizontal="center"/>
    </xf>
    <xf numFmtId="2" fontId="4" fillId="0" borderId="9" xfId="0" applyNumberFormat="1" applyFont="1" applyBorder="1" applyAlignment="1">
      <alignment horizontal="left" vertical="center"/>
    </xf>
    <xf numFmtId="2" fontId="4" fillId="0" borderId="9" xfId="0" applyNumberFormat="1" applyFont="1" applyBorder="1" applyAlignment="1">
      <alignment horizontal="right" vertical="center"/>
    </xf>
    <xf numFmtId="2" fontId="22" fillId="0" borderId="9" xfId="0" applyNumberFormat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2" fontId="7" fillId="0" borderId="9" xfId="0" applyNumberFormat="1" applyFont="1" applyBorder="1" applyAlignment="1">
      <alignment horizontal="center"/>
    </xf>
    <xf numFmtId="0" fontId="8" fillId="0" borderId="9" xfId="0" applyFont="1" applyBorder="1" applyAlignment="1">
      <alignment horizontal="left"/>
    </xf>
    <xf numFmtId="0" fontId="1" fillId="0" borderId="0" xfId="0" applyFont="1" applyAlignment="1">
      <alignment horizontal="center"/>
    </xf>
    <xf numFmtId="1" fontId="6" fillId="0" borderId="9" xfId="0" applyNumberFormat="1" applyFont="1" applyBorder="1" applyAlignment="1">
      <alignment horizontal="center" vertical="center"/>
    </xf>
    <xf numFmtId="2" fontId="6" fillId="15" borderId="0" xfId="0" applyNumberFormat="1" applyFont="1" applyFill="1" applyAlignment="1">
      <alignment horizontal="right" vertical="center"/>
    </xf>
    <xf numFmtId="2" fontId="6" fillId="15" borderId="0" xfId="0" applyNumberFormat="1" applyFont="1" applyFill="1" applyAlignment="1">
      <alignment horizontal="center" vertical="center"/>
    </xf>
    <xf numFmtId="1" fontId="22" fillId="15" borderId="0" xfId="0" applyNumberFormat="1" applyFont="1" applyFill="1" applyAlignment="1">
      <alignment horizontal="center" vertical="center"/>
    </xf>
    <xf numFmtId="0" fontId="1" fillId="0" borderId="0" xfId="0" applyFont="1"/>
    <xf numFmtId="0" fontId="0" fillId="0" borderId="9" xfId="0" applyBorder="1" applyAlignment="1">
      <alignment horizontal="center" vertical="center"/>
    </xf>
    <xf numFmtId="2" fontId="4" fillId="0" borderId="16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168" fontId="24" fillId="0" borderId="0" xfId="3" applyNumberFormat="1" applyFont="1"/>
    <xf numFmtId="1" fontId="24" fillId="0" borderId="0" xfId="0" applyNumberFormat="1" applyFont="1"/>
    <xf numFmtId="168" fontId="24" fillId="0" borderId="9" xfId="3" applyNumberFormat="1" applyFont="1" applyBorder="1"/>
    <xf numFmtId="2" fontId="24" fillId="0" borderId="9" xfId="3" applyNumberFormat="1" applyFont="1" applyBorder="1"/>
    <xf numFmtId="2" fontId="4" fillId="0" borderId="33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left" vertical="center"/>
    </xf>
    <xf numFmtId="0" fontId="0" fillId="0" borderId="16" xfId="0" applyBorder="1"/>
    <xf numFmtId="0" fontId="0" fillId="0" borderId="4" xfId="0" applyBorder="1"/>
    <xf numFmtId="0" fontId="1" fillId="0" borderId="4" xfId="0" applyFont="1" applyBorder="1"/>
    <xf numFmtId="0" fontId="0" fillId="0" borderId="6" xfId="0" applyBorder="1"/>
    <xf numFmtId="2" fontId="4" fillId="0" borderId="0" xfId="0" applyNumberFormat="1" applyFont="1" applyAlignment="1">
      <alignment horizontal="right" vertical="center"/>
    </xf>
    <xf numFmtId="2" fontId="6" fillId="9" borderId="0" xfId="0" applyNumberFormat="1" applyFont="1" applyFill="1" applyAlignment="1">
      <alignment horizontal="left" vertical="center"/>
    </xf>
    <xf numFmtId="2" fontId="4" fillId="9" borderId="0" xfId="0" applyNumberFormat="1" applyFont="1" applyFill="1" applyAlignment="1">
      <alignment horizontal="left" vertical="center"/>
    </xf>
    <xf numFmtId="2" fontId="19" fillId="15" borderId="6" xfId="0" applyNumberFormat="1" applyFont="1" applyFill="1" applyBorder="1" applyAlignment="1">
      <alignment horizontal="left" vertical="center"/>
    </xf>
    <xf numFmtId="2" fontId="22" fillId="15" borderId="7" xfId="0" applyNumberFormat="1" applyFont="1" applyFill="1" applyBorder="1" applyAlignment="1">
      <alignment horizontal="right" vertical="center"/>
    </xf>
    <xf numFmtId="2" fontId="22" fillId="15" borderId="7" xfId="0" applyNumberFormat="1" applyFont="1" applyFill="1" applyBorder="1" applyAlignment="1">
      <alignment horizontal="center" vertical="center"/>
    </xf>
    <xf numFmtId="2" fontId="22" fillId="15" borderId="7" xfId="0" applyNumberFormat="1" applyFont="1" applyFill="1" applyBorder="1" applyAlignment="1">
      <alignment vertical="center"/>
    </xf>
    <xf numFmtId="2" fontId="22" fillId="15" borderId="8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top"/>
    </xf>
    <xf numFmtId="164" fontId="4" fillId="0" borderId="0" xfId="0" applyNumberFormat="1" applyFont="1" applyAlignment="1">
      <alignment horizontal="right" vertical="center"/>
    </xf>
    <xf numFmtId="2" fontId="6" fillId="0" borderId="0" xfId="0" applyNumberFormat="1" applyFont="1" applyAlignment="1">
      <alignment vertical="center" wrapText="1"/>
    </xf>
    <xf numFmtId="2" fontId="4" fillId="15" borderId="6" xfId="0" applyNumberFormat="1" applyFont="1" applyFill="1" applyBorder="1" applyAlignment="1">
      <alignment horizontal="left" vertical="center"/>
    </xf>
    <xf numFmtId="2" fontId="6" fillId="15" borderId="7" xfId="0" applyNumberFormat="1" applyFont="1" applyFill="1" applyBorder="1" applyAlignment="1">
      <alignment horizontal="right" vertical="center"/>
    </xf>
    <xf numFmtId="2" fontId="6" fillId="15" borderId="7" xfId="0" applyNumberFormat="1" applyFont="1" applyFill="1" applyBorder="1" applyAlignment="1">
      <alignment horizontal="center" vertical="center"/>
    </xf>
    <xf numFmtId="2" fontId="6" fillId="15" borderId="7" xfId="0" applyNumberFormat="1" applyFont="1" applyFill="1" applyBorder="1" applyAlignment="1">
      <alignment horizontal="left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4" fillId="15" borderId="0" xfId="0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right" vertical="center"/>
    </xf>
    <xf numFmtId="0" fontId="40" fillId="13" borderId="1" xfId="0" applyFont="1" applyFill="1" applyBorder="1" applyAlignment="1">
      <alignment horizontal="center" vertical="center"/>
    </xf>
    <xf numFmtId="0" fontId="40" fillId="13" borderId="2" xfId="0" applyFont="1" applyFill="1" applyBorder="1" applyAlignment="1">
      <alignment horizontal="center" vertical="center"/>
    </xf>
    <xf numFmtId="0" fontId="40" fillId="13" borderId="3" xfId="0" applyFont="1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40" fillId="13" borderId="1" xfId="0" applyFont="1" applyFill="1" applyBorder="1" applyAlignment="1">
      <alignment horizontal="center"/>
    </xf>
    <xf numFmtId="0" fontId="40" fillId="13" borderId="2" xfId="0" applyFont="1" applyFill="1" applyBorder="1" applyAlignment="1">
      <alignment horizontal="center"/>
    </xf>
    <xf numFmtId="0" fontId="40" fillId="13" borderId="3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24" fillId="0" borderId="0" xfId="0" applyFont="1" applyAlignment="1">
      <alignment horizontal="left"/>
    </xf>
    <xf numFmtId="0" fontId="24" fillId="0" borderId="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4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24" fillId="0" borderId="4" xfId="0" applyFont="1" applyBorder="1" applyAlignment="1">
      <alignment horizontal="left" vertical="top" wrapText="1"/>
    </xf>
    <xf numFmtId="0" fontId="24" fillId="0" borderId="0" xfId="0" applyFont="1" applyAlignment="1">
      <alignment horizontal="left" vertical="top" wrapText="1"/>
    </xf>
    <xf numFmtId="0" fontId="24" fillId="16" borderId="4" xfId="0" applyFont="1" applyFill="1" applyBorder="1" applyAlignment="1">
      <alignment horizontal="left"/>
    </xf>
    <xf numFmtId="0" fontId="24" fillId="16" borderId="0" xfId="0" applyFont="1" applyFill="1" applyAlignment="1">
      <alignment horizontal="left"/>
    </xf>
    <xf numFmtId="0" fontId="24" fillId="0" borderId="4" xfId="0" applyFont="1" applyBorder="1" applyAlignment="1">
      <alignment horizontal="left"/>
    </xf>
    <xf numFmtId="0" fontId="1" fillId="0" borderId="25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40" fillId="13" borderId="10" xfId="0" applyFont="1" applyFill="1" applyBorder="1" applyAlignment="1">
      <alignment horizontal="center"/>
    </xf>
    <xf numFmtId="0" fontId="40" fillId="13" borderId="11" xfId="0" applyFont="1" applyFill="1" applyBorder="1" applyAlignment="1">
      <alignment horizontal="center"/>
    </xf>
    <xf numFmtId="0" fontId="40" fillId="13" borderId="12" xfId="0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/>
    </xf>
    <xf numFmtId="0" fontId="5" fillId="15" borderId="0" xfId="0" applyFont="1" applyFill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5" fillId="15" borderId="10" xfId="0" applyFont="1" applyFill="1" applyBorder="1" applyAlignment="1">
      <alignment horizontal="center"/>
    </xf>
    <xf numFmtId="0" fontId="5" fillId="15" borderId="11" xfId="0" applyFont="1" applyFill="1" applyBorder="1" applyAlignment="1">
      <alignment horizontal="center"/>
    </xf>
    <xf numFmtId="0" fontId="5" fillId="15" borderId="12" xfId="0" applyFont="1" applyFill="1" applyBorder="1" applyAlignment="1">
      <alignment horizontal="center"/>
    </xf>
    <xf numFmtId="0" fontId="40" fillId="13" borderId="10" xfId="0" applyFont="1" applyFill="1" applyBorder="1" applyAlignment="1">
      <alignment horizontal="center" vertical="top" wrapText="1"/>
    </xf>
    <xf numFmtId="0" fontId="40" fillId="13" borderId="11" xfId="0" applyFont="1" applyFill="1" applyBorder="1" applyAlignment="1">
      <alignment horizontal="center" vertical="top" wrapText="1"/>
    </xf>
    <xf numFmtId="0" fontId="40" fillId="13" borderId="12" xfId="0" applyFont="1" applyFill="1" applyBorder="1" applyAlignment="1">
      <alignment horizontal="center" vertical="top" wrapText="1"/>
    </xf>
    <xf numFmtId="0" fontId="5" fillId="15" borderId="7" xfId="0" applyFont="1" applyFill="1" applyBorder="1" applyAlignment="1" applyProtection="1">
      <alignment horizontal="center"/>
      <protection locked="0"/>
    </xf>
    <xf numFmtId="0" fontId="5" fillId="15" borderId="8" xfId="0" applyFont="1" applyFill="1" applyBorder="1" applyAlignment="1" applyProtection="1">
      <alignment horizontal="center"/>
      <protection locked="0"/>
    </xf>
    <xf numFmtId="0" fontId="5" fillId="16" borderId="10" xfId="0" applyFont="1" applyFill="1" applyBorder="1" applyAlignment="1" applyProtection="1">
      <alignment horizontal="center"/>
      <protection locked="0"/>
    </xf>
    <xf numFmtId="0" fontId="5" fillId="16" borderId="11" xfId="0" applyFont="1" applyFill="1" applyBorder="1" applyAlignment="1" applyProtection="1">
      <alignment horizontal="center"/>
      <protection locked="0"/>
    </xf>
    <xf numFmtId="0" fontId="5" fillId="16" borderId="12" xfId="0" applyFont="1" applyFill="1" applyBorder="1" applyAlignment="1" applyProtection="1">
      <alignment horizontal="center"/>
      <protection locked="0"/>
    </xf>
    <xf numFmtId="165" fontId="24" fillId="0" borderId="0" xfId="0" applyNumberFormat="1" applyFont="1" applyAlignment="1" applyProtection="1">
      <alignment horizontal="left"/>
      <protection locked="0"/>
    </xf>
    <xf numFmtId="0" fontId="5" fillId="15" borderId="0" xfId="0" applyFont="1" applyFill="1" applyAlignment="1" applyProtection="1">
      <alignment horizontal="center"/>
      <protection locked="0"/>
    </xf>
    <xf numFmtId="0" fontId="5" fillId="15" borderId="5" xfId="0" applyFont="1" applyFill="1" applyBorder="1" applyAlignment="1" applyProtection="1">
      <alignment horizontal="center"/>
      <protection locked="0"/>
    </xf>
    <xf numFmtId="0" fontId="5" fillId="16" borderId="10" xfId="0" applyFont="1" applyFill="1" applyBorder="1" applyAlignment="1">
      <alignment horizontal="center"/>
    </xf>
    <xf numFmtId="0" fontId="5" fillId="16" borderId="11" xfId="0" applyFont="1" applyFill="1" applyBorder="1" applyAlignment="1">
      <alignment horizontal="center"/>
    </xf>
    <xf numFmtId="0" fontId="5" fillId="16" borderId="12" xfId="0" applyFont="1" applyFill="1" applyBorder="1" applyAlignment="1">
      <alignment horizontal="center"/>
    </xf>
    <xf numFmtId="0" fontId="40" fillId="13" borderId="10" xfId="0" applyFont="1" applyFill="1" applyBorder="1" applyAlignment="1">
      <alignment horizontal="center" vertical="center"/>
    </xf>
    <xf numFmtId="0" fontId="40" fillId="13" borderId="11" xfId="0" applyFont="1" applyFill="1" applyBorder="1" applyAlignment="1">
      <alignment horizontal="center" vertical="center"/>
    </xf>
    <xf numFmtId="0" fontId="10" fillId="0" borderId="4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7" fillId="15" borderId="0" xfId="0" applyFont="1" applyFill="1" applyAlignment="1">
      <alignment horizontal="center" vertical="center"/>
    </xf>
    <xf numFmtId="0" fontId="17" fillId="15" borderId="5" xfId="0" applyFont="1" applyFill="1" applyBorder="1" applyAlignment="1">
      <alignment horizontal="center" vertical="center"/>
    </xf>
    <xf numFmtId="0" fontId="17" fillId="15" borderId="0" xfId="0" applyFont="1" applyFill="1" applyAlignment="1">
      <alignment horizontal="left" vertical="center"/>
    </xf>
    <xf numFmtId="0" fontId="17" fillId="15" borderId="5" xfId="0" applyFont="1" applyFill="1" applyBorder="1" applyAlignment="1">
      <alignment horizontal="left" vertical="center"/>
    </xf>
    <xf numFmtId="0" fontId="17" fillId="15" borderId="4" xfId="0" applyFont="1" applyFill="1" applyBorder="1" applyAlignment="1">
      <alignment horizontal="center" vertical="center" wrapText="1"/>
    </xf>
    <xf numFmtId="0" fontId="17" fillId="15" borderId="0" xfId="0" applyFont="1" applyFill="1" applyAlignment="1">
      <alignment horizontal="center" vertical="center" wrapText="1"/>
    </xf>
    <xf numFmtId="0" fontId="17" fillId="15" borderId="4" xfId="0" applyFont="1" applyFill="1" applyBorder="1" applyAlignment="1">
      <alignment horizontal="center" vertical="center"/>
    </xf>
    <xf numFmtId="0" fontId="5" fillId="16" borderId="4" xfId="0" applyFont="1" applyFill="1" applyBorder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0" fontId="11" fillId="16" borderId="5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5" fillId="0" borderId="0" xfId="0" applyFont="1" applyAlignment="1">
      <alignment horizontal="left" vertical="center" wrapText="1"/>
    </xf>
    <xf numFmtId="0" fontId="35" fillId="0" borderId="5" xfId="0" applyFont="1" applyBorder="1" applyAlignment="1">
      <alignment horizontal="left" vertical="center" wrapText="1"/>
    </xf>
    <xf numFmtId="0" fontId="10" fillId="16" borderId="0" xfId="0" applyFont="1" applyFill="1" applyAlignment="1">
      <alignment horizontal="center" vertical="center"/>
    </xf>
    <xf numFmtId="0" fontId="10" fillId="16" borderId="5" xfId="0" applyFont="1" applyFill="1" applyBorder="1" applyAlignment="1">
      <alignment horizontal="center" vertical="center"/>
    </xf>
    <xf numFmtId="0" fontId="5" fillId="16" borderId="4" xfId="0" applyFont="1" applyFill="1" applyBorder="1" applyAlignment="1">
      <alignment horizontal="left" wrapText="1"/>
    </xf>
    <xf numFmtId="0" fontId="5" fillId="16" borderId="0" xfId="0" applyFont="1" applyFill="1" applyAlignment="1">
      <alignment horizontal="left" wrapText="1"/>
    </xf>
    <xf numFmtId="0" fontId="5" fillId="16" borderId="4" xfId="0" applyFont="1" applyFill="1" applyBorder="1" applyAlignment="1">
      <alignment horizontal="center"/>
    </xf>
    <xf numFmtId="0" fontId="5" fillId="16" borderId="0" xfId="0" applyFont="1" applyFill="1" applyAlignment="1">
      <alignment horizontal="center"/>
    </xf>
    <xf numFmtId="0" fontId="5" fillId="16" borderId="5" xfId="0" applyFont="1" applyFill="1" applyBorder="1" applyAlignment="1">
      <alignment horizontal="center"/>
    </xf>
    <xf numFmtId="0" fontId="5" fillId="15" borderId="7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0" fontId="40" fillId="13" borderId="2" xfId="0" applyFont="1" applyFill="1" applyBorder="1" applyAlignment="1">
      <alignment horizontal="center" wrapText="1"/>
    </xf>
    <xf numFmtId="0" fontId="40" fillId="13" borderId="3" xfId="0" applyFont="1" applyFill="1" applyBorder="1" applyAlignment="1">
      <alignment horizontal="center" wrapText="1"/>
    </xf>
    <xf numFmtId="0" fontId="24" fillId="0" borderId="17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23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0" borderId="2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0" borderId="0" xfId="0" applyFont="1" applyAlignment="1">
      <alignment horizontal="left" vertical="center"/>
    </xf>
    <xf numFmtId="165" fontId="24" fillId="0" borderId="25" xfId="0" applyNumberFormat="1" applyFont="1" applyBorder="1" applyAlignment="1">
      <alignment horizontal="center" vertical="center"/>
    </xf>
    <xf numFmtId="165" fontId="24" fillId="0" borderId="27" xfId="0" applyNumberFormat="1" applyFont="1" applyBorder="1" applyAlignment="1">
      <alignment horizontal="center" vertical="center"/>
    </xf>
    <xf numFmtId="165" fontId="24" fillId="0" borderId="26" xfId="0" applyNumberFormat="1" applyFont="1" applyBorder="1" applyAlignment="1">
      <alignment horizontal="center" vertical="center"/>
    </xf>
    <xf numFmtId="165" fontId="5" fillId="0" borderId="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24" fillId="0" borderId="4" xfId="0" applyFont="1" applyBorder="1" applyAlignment="1">
      <alignment horizontal="left" vertical="center"/>
    </xf>
    <xf numFmtId="0" fontId="41" fillId="13" borderId="2" xfId="0" applyFont="1" applyFill="1" applyBorder="1" applyAlignment="1">
      <alignment horizontal="center" vertical="center"/>
    </xf>
    <xf numFmtId="0" fontId="41" fillId="13" borderId="3" xfId="0" applyFont="1" applyFill="1" applyBorder="1" applyAlignment="1">
      <alignment horizontal="center" vertical="center"/>
    </xf>
    <xf numFmtId="166" fontId="24" fillId="0" borderId="16" xfId="0" applyNumberFormat="1" applyFont="1" applyBorder="1" applyAlignment="1">
      <alignment horizontal="center" vertical="center"/>
    </xf>
    <xf numFmtId="166" fontId="24" fillId="0" borderId="13" xfId="0" applyNumberFormat="1" applyFont="1" applyBorder="1" applyAlignment="1">
      <alignment horizontal="center" vertical="center"/>
    </xf>
    <xf numFmtId="2" fontId="24" fillId="0" borderId="16" xfId="0" applyNumberFormat="1" applyFont="1" applyBorder="1" applyAlignment="1">
      <alignment horizontal="center" vertical="center"/>
    </xf>
    <xf numFmtId="2" fontId="24" fillId="0" borderId="13" xfId="0" applyNumberFormat="1" applyFont="1" applyBorder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2" fontId="24" fillId="0" borderId="0" xfId="0" applyNumberFormat="1" applyFont="1" applyAlignment="1">
      <alignment vertical="center"/>
    </xf>
    <xf numFmtId="2" fontId="24" fillId="0" borderId="0" xfId="0" applyNumberFormat="1" applyFont="1" applyAlignment="1">
      <alignment horizontal="center" vertical="center"/>
    </xf>
    <xf numFmtId="0" fontId="24" fillId="0" borderId="6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2" fontId="40" fillId="13" borderId="1" xfId="0" applyNumberFormat="1" applyFont="1" applyFill="1" applyBorder="1" applyAlignment="1">
      <alignment horizontal="center"/>
    </xf>
    <xf numFmtId="2" fontId="40" fillId="13" borderId="2" xfId="0" applyNumberFormat="1" applyFont="1" applyFill="1" applyBorder="1" applyAlignment="1">
      <alignment horizontal="center"/>
    </xf>
    <xf numFmtId="2" fontId="40" fillId="13" borderId="3" xfId="0" applyNumberFormat="1" applyFont="1" applyFill="1" applyBorder="1" applyAlignment="1">
      <alignment horizontal="center"/>
    </xf>
    <xf numFmtId="2" fontId="6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5" fillId="16" borderId="4" xfId="0" applyNumberFormat="1" applyFont="1" applyFill="1" applyBorder="1" applyAlignment="1">
      <alignment horizontal="center" vertical="center"/>
    </xf>
    <xf numFmtId="2" fontId="5" fillId="16" borderId="0" xfId="0" applyNumberFormat="1" applyFont="1" applyFill="1" applyAlignment="1">
      <alignment horizontal="center" vertical="center"/>
    </xf>
    <xf numFmtId="2" fontId="5" fillId="16" borderId="5" xfId="0" applyNumberFormat="1" applyFont="1" applyFill="1" applyBorder="1" applyAlignment="1">
      <alignment horizontal="center" vertical="center"/>
    </xf>
    <xf numFmtId="2" fontId="6" fillId="16" borderId="4" xfId="0" applyNumberFormat="1" applyFont="1" applyFill="1" applyBorder="1" applyAlignment="1">
      <alignment horizontal="center" vertical="center"/>
    </xf>
    <xf numFmtId="2" fontId="6" fillId="16" borderId="0" xfId="0" applyNumberFormat="1" applyFont="1" applyFill="1" applyAlignment="1">
      <alignment horizontal="center" vertical="center"/>
    </xf>
    <xf numFmtId="2" fontId="6" fillId="16" borderId="5" xfId="0" applyNumberFormat="1" applyFont="1" applyFill="1" applyBorder="1" applyAlignment="1">
      <alignment horizontal="center" vertical="center"/>
    </xf>
    <xf numFmtId="2" fontId="6" fillId="0" borderId="4" xfId="0" applyNumberFormat="1" applyFont="1" applyBorder="1" applyAlignment="1">
      <alignment horizontal="left" vertical="center"/>
    </xf>
    <xf numFmtId="2" fontId="6" fillId="0" borderId="0" xfId="0" applyNumberFormat="1" applyFont="1" applyAlignment="1">
      <alignment horizontal="left" vertical="center"/>
    </xf>
    <xf numFmtId="2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1" fillId="17" borderId="4" xfId="0" applyFont="1" applyFill="1" applyBorder="1" applyAlignment="1">
      <alignment horizontal="center"/>
    </xf>
    <xf numFmtId="0" fontId="1" fillId="17" borderId="0" xfId="0" applyFont="1" applyFill="1" applyAlignment="1">
      <alignment horizontal="center"/>
    </xf>
    <xf numFmtId="0" fontId="1" fillId="17" borderId="5" xfId="0" applyFont="1" applyFill="1" applyBorder="1" applyAlignment="1">
      <alignment horizontal="center"/>
    </xf>
    <xf numFmtId="2" fontId="24" fillId="16" borderId="0" xfId="0" applyNumberFormat="1" applyFont="1" applyFill="1" applyAlignment="1">
      <alignment horizontal="center" vertical="center"/>
    </xf>
    <xf numFmtId="2" fontId="24" fillId="16" borderId="5" xfId="0" applyNumberFormat="1" applyFont="1" applyFill="1" applyBorder="1" applyAlignment="1">
      <alignment horizontal="center" vertical="center"/>
    </xf>
    <xf numFmtId="2" fontId="40" fillId="13" borderId="1" xfId="0" applyNumberFormat="1" applyFont="1" applyFill="1" applyBorder="1" applyAlignment="1">
      <alignment horizontal="center" vertical="center"/>
    </xf>
    <xf numFmtId="2" fontId="40" fillId="13" borderId="2" xfId="0" applyNumberFormat="1" applyFont="1" applyFill="1" applyBorder="1" applyAlignment="1">
      <alignment horizontal="center" vertical="center"/>
    </xf>
    <xf numFmtId="2" fontId="40" fillId="13" borderId="3" xfId="0" applyNumberFormat="1" applyFont="1" applyFill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0" fontId="1" fillId="17" borderId="6" xfId="0" applyFont="1" applyFill="1" applyBorder="1" applyAlignment="1">
      <alignment horizontal="center"/>
    </xf>
    <xf numFmtId="0" fontId="1" fillId="17" borderId="7" xfId="0" applyFont="1" applyFill="1" applyBorder="1" applyAlignment="1">
      <alignment horizontal="center"/>
    </xf>
    <xf numFmtId="0" fontId="1" fillId="17" borderId="8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15" borderId="6" xfId="0" applyFont="1" applyFill="1" applyBorder="1" applyAlignment="1">
      <alignment horizontal="center" vertical="center"/>
    </xf>
    <xf numFmtId="0" fontId="6" fillId="15" borderId="7" xfId="0" applyFont="1" applyFill="1" applyBorder="1" applyAlignment="1">
      <alignment horizontal="center" vertical="center"/>
    </xf>
    <xf numFmtId="0" fontId="6" fillId="15" borderId="8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right"/>
    </xf>
    <xf numFmtId="0" fontId="6" fillId="16" borderId="4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6" fillId="16" borderId="5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vertical="top"/>
    </xf>
    <xf numFmtId="0" fontId="40" fillId="13" borderId="2" xfId="0" applyFont="1" applyFill="1" applyBorder="1" applyAlignment="1">
      <alignment horizontal="center" vertical="top"/>
    </xf>
    <xf numFmtId="0" fontId="40" fillId="13" borderId="3" xfId="0" applyFont="1" applyFill="1" applyBorder="1" applyAlignment="1">
      <alignment horizontal="center" vertical="top"/>
    </xf>
    <xf numFmtId="0" fontId="22" fillId="16" borderId="4" xfId="0" applyFont="1" applyFill="1" applyBorder="1" applyAlignment="1">
      <alignment horizontal="center"/>
    </xf>
    <xf numFmtId="0" fontId="22" fillId="16" borderId="0" xfId="0" applyFont="1" applyFill="1" applyAlignment="1">
      <alignment horizontal="center"/>
    </xf>
    <xf numFmtId="0" fontId="22" fillId="16" borderId="5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22" fillId="15" borderId="6" xfId="0" applyFont="1" applyFill="1" applyBorder="1" applyAlignment="1">
      <alignment horizontal="center"/>
    </xf>
    <xf numFmtId="0" fontId="23" fillId="15" borderId="7" xfId="0" applyFont="1" applyFill="1" applyBorder="1" applyAlignment="1">
      <alignment horizontal="center"/>
    </xf>
    <xf numFmtId="0" fontId="23" fillId="15" borderId="8" xfId="0" applyFont="1" applyFill="1" applyBorder="1" applyAlignment="1">
      <alignment horizontal="center"/>
    </xf>
    <xf numFmtId="0" fontId="4" fillId="0" borderId="0" xfId="0" applyFont="1" applyAlignment="1">
      <alignment horizontal="left" vertical="top"/>
    </xf>
    <xf numFmtId="0" fontId="7" fillId="0" borderId="0" xfId="0" applyFont="1" applyAlignment="1">
      <alignment horizontal="right"/>
    </xf>
    <xf numFmtId="0" fontId="5" fillId="16" borderId="0" xfId="0" applyFont="1" applyFill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43" fontId="7" fillId="0" borderId="4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center"/>
    </xf>
    <xf numFmtId="43" fontId="7" fillId="0" borderId="4" xfId="1" applyFont="1" applyBorder="1" applyAlignment="1">
      <alignment horizontal="center"/>
    </xf>
    <xf numFmtId="43" fontId="7" fillId="0" borderId="0" xfId="1" applyFont="1" applyBorder="1" applyAlignment="1">
      <alignment horizontal="center"/>
    </xf>
    <xf numFmtId="0" fontId="4" fillId="0" borderId="0" xfId="0" applyFont="1" applyAlignment="1">
      <alignment horizontal="left"/>
    </xf>
    <xf numFmtId="0" fontId="40" fillId="20" borderId="1" xfId="0" applyFont="1" applyFill="1" applyBorder="1" applyAlignment="1">
      <alignment horizontal="center" vertical="top"/>
    </xf>
    <xf numFmtId="0" fontId="40" fillId="20" borderId="2" xfId="0" applyFont="1" applyFill="1" applyBorder="1" applyAlignment="1">
      <alignment horizontal="center" vertical="top"/>
    </xf>
    <xf numFmtId="0" fontId="40" fillId="20" borderId="3" xfId="0" applyFont="1" applyFill="1" applyBorder="1" applyAlignment="1">
      <alignment horizontal="center" vertical="top"/>
    </xf>
    <xf numFmtId="0" fontId="1" fillId="0" borderId="4" xfId="0" applyFont="1" applyBorder="1" applyAlignment="1">
      <alignment horizontal="center"/>
    </xf>
    <xf numFmtId="2" fontId="4" fillId="0" borderId="4" xfId="0" applyNumberFormat="1" applyFont="1" applyBorder="1" applyAlignment="1">
      <alignment horizontal="center" vertical="center"/>
    </xf>
    <xf numFmtId="0" fontId="5" fillId="0" borderId="0" xfId="0" applyFont="1" applyFill="1"/>
    <xf numFmtId="0" fontId="24" fillId="0" borderId="0" xfId="0" applyFont="1" applyFill="1"/>
    <xf numFmtId="0" fontId="24" fillId="0" borderId="0" xfId="0" applyFont="1" applyFill="1" applyBorder="1"/>
    <xf numFmtId="0" fontId="24" fillId="0" borderId="9" xfId="0" applyFont="1" applyBorder="1" applyAlignment="1">
      <alignment horizontal="center"/>
    </xf>
    <xf numFmtId="0" fontId="24" fillId="0" borderId="25" xfId="0" applyFont="1" applyBorder="1" applyAlignment="1">
      <alignment horizontal="center"/>
    </xf>
    <xf numFmtId="0" fontId="24" fillId="0" borderId="0" xfId="0" applyFont="1" applyBorder="1"/>
    <xf numFmtId="0" fontId="24" fillId="0" borderId="17" xfId="0" applyFont="1" applyBorder="1"/>
    <xf numFmtId="0" fontId="24" fillId="0" borderId="21" xfId="0" applyFont="1" applyBorder="1"/>
    <xf numFmtId="0" fontId="24" fillId="0" borderId="22" xfId="0" applyFont="1" applyBorder="1"/>
    <xf numFmtId="0" fontId="24" fillId="0" borderId="16" xfId="0" applyFont="1" applyBorder="1"/>
    <xf numFmtId="0" fontId="5" fillId="0" borderId="0" xfId="0" applyFont="1" applyBorder="1"/>
    <xf numFmtId="0" fontId="24" fillId="14" borderId="0" xfId="0" applyFont="1" applyFill="1" applyBorder="1"/>
    <xf numFmtId="0" fontId="24" fillId="19" borderId="0" xfId="0" applyFont="1" applyFill="1" applyBorder="1"/>
    <xf numFmtId="0" fontId="24" fillId="6" borderId="0" xfId="0" applyFont="1" applyFill="1" applyBorder="1"/>
    <xf numFmtId="11" fontId="24" fillId="19" borderId="0" xfId="0" applyNumberFormat="1" applyFont="1" applyFill="1" applyBorder="1"/>
    <xf numFmtId="0" fontId="24" fillId="17" borderId="0" xfId="0" applyFont="1" applyFill="1" applyBorder="1"/>
    <xf numFmtId="11" fontId="24" fillId="14" borderId="0" xfId="0" applyNumberFormat="1" applyFont="1" applyFill="1" applyBorder="1"/>
    <xf numFmtId="11" fontId="24" fillId="6" borderId="0" xfId="0" applyNumberFormat="1" applyFont="1" applyFill="1" applyBorder="1"/>
    <xf numFmtId="0" fontId="0" fillId="0" borderId="0" xfId="0" applyBorder="1"/>
    <xf numFmtId="0" fontId="24" fillId="0" borderId="31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0" fontId="24" fillId="0" borderId="22" xfId="0" applyFont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/>
    <xf numFmtId="0" fontId="1" fillId="15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51" fillId="21" borderId="0" xfId="0" applyFont="1" applyFill="1" applyAlignment="1">
      <alignment horizontal="center"/>
    </xf>
    <xf numFmtId="0" fontId="44" fillId="21" borderId="0" xfId="0" applyFont="1" applyFill="1" applyAlignment="1">
      <alignment horizontal="center"/>
    </xf>
    <xf numFmtId="0" fontId="0" fillId="0" borderId="0" xfId="0" applyFill="1"/>
    <xf numFmtId="2" fontId="4" fillId="0" borderId="0" xfId="0" applyNumberFormat="1" applyFont="1" applyFill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0" fontId="0" fillId="0" borderId="0" xfId="0" applyFill="1" applyBorder="1"/>
    <xf numFmtId="2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horizontal="left" vertical="center"/>
    </xf>
    <xf numFmtId="2" fontId="4" fillId="0" borderId="0" xfId="0" applyNumberFormat="1" applyFont="1" applyBorder="1" applyAlignment="1">
      <alignment horizontal="center" vertical="center"/>
    </xf>
    <xf numFmtId="0" fontId="1" fillId="0" borderId="0" xfId="0" applyFont="1" applyBorder="1"/>
    <xf numFmtId="2" fontId="6" fillId="0" borderId="0" xfId="0" applyNumberFormat="1" applyFont="1" applyBorder="1" applyAlignment="1">
      <alignment horizontal="right" vertical="center"/>
    </xf>
    <xf numFmtId="2" fontId="6" fillId="0" borderId="0" xfId="0" applyNumberFormat="1" applyFont="1" applyBorder="1" applyAlignment="1">
      <alignment horizontal="left" vertical="center"/>
    </xf>
    <xf numFmtId="2" fontId="6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2" fontId="4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2" fontId="6" fillId="15" borderId="1" xfId="0" applyNumberFormat="1" applyFont="1" applyFill="1" applyBorder="1" applyAlignment="1">
      <alignment horizontal="center" vertical="center"/>
    </xf>
    <xf numFmtId="2" fontId="6" fillId="15" borderId="2" xfId="0" applyNumberFormat="1" applyFont="1" applyFill="1" applyBorder="1" applyAlignment="1">
      <alignment horizontal="center" vertical="center"/>
    </xf>
    <xf numFmtId="2" fontId="6" fillId="15" borderId="3" xfId="0" applyNumberFormat="1" applyFont="1" applyFill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7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52" fillId="0" borderId="10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2" fillId="0" borderId="12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11" xfId="0" applyFont="1" applyBorder="1" applyAlignment="1">
      <alignment horizontal="center"/>
    </xf>
    <xf numFmtId="0" fontId="53" fillId="21" borderId="1" xfId="0" applyFont="1" applyFill="1" applyBorder="1" applyAlignment="1">
      <alignment horizontal="center" wrapText="1"/>
    </xf>
    <xf numFmtId="0" fontId="53" fillId="21" borderId="2" xfId="0" applyFont="1" applyFill="1" applyBorder="1" applyAlignment="1">
      <alignment horizontal="center" wrapText="1"/>
    </xf>
    <xf numFmtId="0" fontId="53" fillId="21" borderId="3" xfId="0" applyFont="1" applyFill="1" applyBorder="1" applyAlignment="1">
      <alignment horizontal="center" wrapText="1"/>
    </xf>
    <xf numFmtId="0" fontId="53" fillId="21" borderId="4" xfId="0" applyFont="1" applyFill="1" applyBorder="1" applyAlignment="1">
      <alignment horizontal="center" wrapText="1"/>
    </xf>
    <xf numFmtId="0" fontId="53" fillId="21" borderId="0" xfId="0" applyFont="1" applyFill="1" applyAlignment="1">
      <alignment horizontal="center" wrapText="1"/>
    </xf>
    <xf numFmtId="0" fontId="53" fillId="21" borderId="5" xfId="0" applyFont="1" applyFill="1" applyBorder="1" applyAlignment="1">
      <alignment horizontal="center" wrapText="1"/>
    </xf>
    <xf numFmtId="0" fontId="53" fillId="21" borderId="6" xfId="0" applyFont="1" applyFill="1" applyBorder="1" applyAlignment="1">
      <alignment horizontal="center" wrapText="1"/>
    </xf>
    <xf numFmtId="0" fontId="53" fillId="21" borderId="7" xfId="0" applyFont="1" applyFill="1" applyBorder="1" applyAlignment="1">
      <alignment horizontal="center" wrapText="1"/>
    </xf>
    <xf numFmtId="0" fontId="53" fillId="21" borderId="8" xfId="0" applyFont="1" applyFill="1" applyBorder="1" applyAlignment="1">
      <alignment horizontal="center" wrapText="1"/>
    </xf>
    <xf numFmtId="0" fontId="5" fillId="16" borderId="1" xfId="0" applyFont="1" applyFill="1" applyBorder="1" applyAlignment="1">
      <alignment horizontal="center"/>
    </xf>
    <xf numFmtId="0" fontId="5" fillId="16" borderId="2" xfId="0" applyFont="1" applyFill="1" applyBorder="1" applyAlignment="1">
      <alignment horizontal="center"/>
    </xf>
    <xf numFmtId="0" fontId="5" fillId="16" borderId="3" xfId="0" applyFont="1" applyFill="1" applyBorder="1" applyAlignment="1">
      <alignment horizontal="center"/>
    </xf>
    <xf numFmtId="0" fontId="52" fillId="0" borderId="0" xfId="0" applyFont="1" applyFill="1"/>
  </cellXfs>
  <cellStyles count="4">
    <cellStyle name="Comma" xfId="1" builtinId="3"/>
    <cellStyle name="Normal" xfId="0" builtinId="0"/>
    <cellStyle name="Normal 3" xfId="3" xr:uid="{00000000-0005-0000-0000-000002000000}"/>
    <cellStyle name="Style 2" xfId="2" xr:uid="{00000000-0005-0000-0000-000003000000}"/>
  </cellStyles>
  <dxfs count="0"/>
  <tableStyles count="0" defaultTableStyle="TableStyleMedium2" defaultPivotStyle="PivotStyleLight16"/>
  <colors>
    <mruColors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7.png"/><Relationship Id="rId7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285749</xdr:colOff>
      <xdr:row>4</xdr:row>
      <xdr:rowOff>120007</xdr:rowOff>
    </xdr:from>
    <xdr:to>
      <xdr:col>20</xdr:col>
      <xdr:colOff>323850</xdr:colOff>
      <xdr:row>19</xdr:row>
      <xdr:rowOff>82040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49" y="882007"/>
          <a:ext cx="1866901" cy="2819533"/>
        </a:xfrm>
        <a:prstGeom prst="rect">
          <a:avLst/>
        </a:prstGeom>
      </xdr:spPr>
    </xdr:pic>
    <xdr:clientData/>
  </xdr:twoCellAnchor>
  <xdr:twoCellAnchor editAs="oneCell">
    <xdr:from>
      <xdr:col>20</xdr:col>
      <xdr:colOff>524787</xdr:colOff>
      <xdr:row>4</xdr:row>
      <xdr:rowOff>142875</xdr:rowOff>
    </xdr:from>
    <xdr:to>
      <xdr:col>24</xdr:col>
      <xdr:colOff>114712</xdr:colOff>
      <xdr:row>19</xdr:row>
      <xdr:rowOff>76769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16787" y="904875"/>
          <a:ext cx="2028325" cy="2791394"/>
        </a:xfrm>
        <a:prstGeom prst="rect">
          <a:avLst/>
        </a:prstGeom>
      </xdr:spPr>
    </xdr:pic>
    <xdr:clientData/>
  </xdr:twoCellAnchor>
  <xdr:twoCellAnchor editAs="oneCell">
    <xdr:from>
      <xdr:col>17</xdr:col>
      <xdr:colOff>447675</xdr:colOff>
      <xdr:row>26</xdr:row>
      <xdr:rowOff>20659</xdr:rowOff>
    </xdr:from>
    <xdr:to>
      <xdr:col>20</xdr:col>
      <xdr:colOff>371853</xdr:colOff>
      <xdr:row>40</xdr:row>
      <xdr:rowOff>38678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4973659"/>
          <a:ext cx="1752978" cy="2685019"/>
        </a:xfrm>
        <a:prstGeom prst="rect">
          <a:avLst/>
        </a:prstGeom>
      </xdr:spPr>
    </xdr:pic>
    <xdr:clientData/>
  </xdr:twoCellAnchor>
  <xdr:twoCellAnchor editAs="oneCell">
    <xdr:from>
      <xdr:col>20</xdr:col>
      <xdr:colOff>552449</xdr:colOff>
      <xdr:row>26</xdr:row>
      <xdr:rowOff>85132</xdr:rowOff>
    </xdr:from>
    <xdr:to>
      <xdr:col>23</xdr:col>
      <xdr:colOff>523874</xdr:colOff>
      <xdr:row>40</xdr:row>
      <xdr:rowOff>19147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49" y="5038132"/>
          <a:ext cx="1800225" cy="2601015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542924</xdr:colOff>
      <xdr:row>46</xdr:row>
      <xdr:rowOff>142874</xdr:rowOff>
    </xdr:from>
    <xdr:to>
      <xdr:col>20</xdr:col>
      <xdr:colOff>571879</xdr:colOff>
      <xdr:row>61</xdr:row>
      <xdr:rowOff>143459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6124" y="8905874"/>
          <a:ext cx="1857755" cy="2858085"/>
        </a:xfrm>
        <a:prstGeom prst="rect">
          <a:avLst/>
        </a:prstGeom>
      </xdr:spPr>
    </xdr:pic>
    <xdr:clientData/>
  </xdr:twoCellAnchor>
  <xdr:twoCellAnchor editAs="oneCell">
    <xdr:from>
      <xdr:col>21</xdr:col>
      <xdr:colOff>390524</xdr:colOff>
      <xdr:row>46</xdr:row>
      <xdr:rowOff>157488</xdr:rowOff>
    </xdr:from>
    <xdr:to>
      <xdr:col>24</xdr:col>
      <xdr:colOff>438150</xdr:colOff>
      <xdr:row>62</xdr:row>
      <xdr:rowOff>14093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92124" y="8920488"/>
          <a:ext cx="1876426" cy="29046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310607</xdr:colOff>
      <xdr:row>40</xdr:row>
      <xdr:rowOff>173178</xdr:rowOff>
    </xdr:from>
    <xdr:to>
      <xdr:col>12</xdr:col>
      <xdr:colOff>48214</xdr:colOff>
      <xdr:row>54</xdr:row>
      <xdr:rowOff>101158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8280" y="7377542"/>
          <a:ext cx="1760371" cy="2449508"/>
        </a:xfrm>
        <a:prstGeom prst="rect">
          <a:avLst/>
        </a:prstGeom>
      </xdr:spPr>
    </xdr:pic>
    <xdr:clientData/>
  </xdr:twoCellAnchor>
  <xdr:twoCellAnchor editAs="oneCell">
    <xdr:from>
      <xdr:col>12</xdr:col>
      <xdr:colOff>112440</xdr:colOff>
      <xdr:row>40</xdr:row>
      <xdr:rowOff>46681</xdr:rowOff>
    </xdr:from>
    <xdr:to>
      <xdr:col>14</xdr:col>
      <xdr:colOff>18478</xdr:colOff>
      <xdr:row>54</xdr:row>
      <xdr:rowOff>154306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2411" y="7100624"/>
          <a:ext cx="1658638" cy="2546025"/>
        </a:xfrm>
        <a:prstGeom prst="rect">
          <a:avLst/>
        </a:prstGeom>
      </xdr:spPr>
    </xdr:pic>
    <xdr:clientData/>
  </xdr:twoCellAnchor>
  <xdr:twoCellAnchor editAs="oneCell">
    <xdr:from>
      <xdr:col>18</xdr:col>
      <xdr:colOff>597553</xdr:colOff>
      <xdr:row>25</xdr:row>
      <xdr:rowOff>180974</xdr:rowOff>
    </xdr:from>
    <xdr:to>
      <xdr:col>21</xdr:col>
      <xdr:colOff>322293</xdr:colOff>
      <xdr:row>41</xdr:row>
      <xdr:rowOff>12029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48803" y="4943474"/>
          <a:ext cx="1950108" cy="2886674"/>
        </a:xfrm>
        <a:prstGeom prst="rect">
          <a:avLst/>
        </a:prstGeom>
      </xdr:spPr>
    </xdr:pic>
    <xdr:clientData/>
  </xdr:twoCellAnchor>
  <xdr:twoCellAnchor editAs="oneCell">
    <xdr:from>
      <xdr:col>22</xdr:col>
      <xdr:colOff>13606</xdr:colOff>
      <xdr:row>25</xdr:row>
      <xdr:rowOff>125214</xdr:rowOff>
    </xdr:from>
    <xdr:to>
      <xdr:col>25</xdr:col>
      <xdr:colOff>4946</xdr:colOff>
      <xdr:row>40</xdr:row>
      <xdr:rowOff>128507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03256" y="4887714"/>
          <a:ext cx="1847850" cy="2860792"/>
        </a:xfrm>
        <a:prstGeom prst="rect">
          <a:avLst/>
        </a:prstGeom>
      </xdr:spPr>
    </xdr:pic>
    <xdr:clientData/>
  </xdr:twoCellAnchor>
  <xdr:oneCellAnchor>
    <xdr:from>
      <xdr:col>0</xdr:col>
      <xdr:colOff>35704</xdr:colOff>
      <xdr:row>40</xdr:row>
      <xdr:rowOff>110837</xdr:rowOff>
    </xdr:from>
    <xdr:ext cx="2021586" cy="2445474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04" y="7329055"/>
          <a:ext cx="2021586" cy="2445474"/>
        </a:xfrm>
        <a:prstGeom prst="rect">
          <a:avLst/>
        </a:prstGeom>
      </xdr:spPr>
    </xdr:pic>
    <xdr:clientData/>
  </xdr:oneCellAnchor>
  <xdr:oneCellAnchor>
    <xdr:from>
      <xdr:col>3</xdr:col>
      <xdr:colOff>80277</xdr:colOff>
      <xdr:row>40</xdr:row>
      <xdr:rowOff>83127</xdr:rowOff>
    </xdr:from>
    <xdr:ext cx="1650819" cy="242773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9077" y="7301345"/>
          <a:ext cx="1650819" cy="2427733"/>
        </a:xfrm>
        <a:prstGeom prst="rect">
          <a:avLst/>
        </a:prstGeom>
      </xdr:spPr>
    </xdr:pic>
    <xdr:clientData/>
  </xdr:oneCellAnchor>
  <xdr:twoCellAnchor editAs="oneCell">
    <xdr:from>
      <xdr:col>27</xdr:col>
      <xdr:colOff>67757</xdr:colOff>
      <xdr:row>40</xdr:row>
      <xdr:rowOff>126089</xdr:rowOff>
    </xdr:from>
    <xdr:to>
      <xdr:col>29</xdr:col>
      <xdr:colOff>469955</xdr:colOff>
      <xdr:row>54</xdr:row>
      <xdr:rowOff>89301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912414" y="7180032"/>
          <a:ext cx="1871770" cy="2401612"/>
        </a:xfrm>
        <a:prstGeom prst="rect">
          <a:avLst/>
        </a:prstGeom>
        <a:solidFill>
          <a:srgbClr val="FFC000"/>
        </a:solidFill>
      </xdr:spPr>
    </xdr:pic>
    <xdr:clientData/>
  </xdr:twoCellAnchor>
  <xdr:twoCellAnchor editAs="oneCell">
    <xdr:from>
      <xdr:col>30</xdr:col>
      <xdr:colOff>42862</xdr:colOff>
      <xdr:row>40</xdr:row>
      <xdr:rowOff>110837</xdr:rowOff>
    </xdr:from>
    <xdr:to>
      <xdr:col>32</xdr:col>
      <xdr:colOff>322450</xdr:colOff>
      <xdr:row>54</xdr:row>
      <xdr:rowOff>97849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grayscl/>
        </a:blip>
        <a:stretch>
          <a:fillRect/>
        </a:stretch>
      </xdr:blipFill>
      <xdr:spPr>
        <a:xfrm>
          <a:off x="19896426" y="7329055"/>
          <a:ext cx="1734316" cy="2508540"/>
        </a:xfrm>
        <a:prstGeom prst="rect">
          <a:avLst/>
        </a:prstGeom>
      </xdr:spPr>
    </xdr:pic>
    <xdr:clientData/>
  </xdr:twoCellAnchor>
  <xdr:twoCellAnchor editAs="oneCell">
    <xdr:from>
      <xdr:col>9</xdr:col>
      <xdr:colOff>274903</xdr:colOff>
      <xdr:row>40</xdr:row>
      <xdr:rowOff>109843</xdr:rowOff>
    </xdr:from>
    <xdr:to>
      <xdr:col>12</xdr:col>
      <xdr:colOff>12510</xdr:colOff>
      <xdr:row>54</xdr:row>
      <xdr:rowOff>37823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719246" y="7163786"/>
          <a:ext cx="1773235" cy="2366380"/>
        </a:xfrm>
        <a:prstGeom prst="rect">
          <a:avLst/>
        </a:prstGeom>
      </xdr:spPr>
    </xdr:pic>
    <xdr:clientData/>
  </xdr:twoCellAnchor>
  <xdr:twoCellAnchor editAs="oneCell">
    <xdr:from>
      <xdr:col>12</xdr:col>
      <xdr:colOff>76736</xdr:colOff>
      <xdr:row>40</xdr:row>
      <xdr:rowOff>37776</xdr:rowOff>
    </xdr:from>
    <xdr:to>
      <xdr:col>13</xdr:col>
      <xdr:colOff>973374</xdr:colOff>
      <xdr:row>54</xdr:row>
      <xdr:rowOff>112744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grayscl/>
        </a:blip>
        <a:stretch>
          <a:fillRect/>
        </a:stretch>
      </xdr:blipFill>
      <xdr:spPr>
        <a:xfrm>
          <a:off x="8556707" y="7091719"/>
          <a:ext cx="1636867" cy="2513368"/>
        </a:xfrm>
        <a:prstGeom prst="rect">
          <a:avLst/>
        </a:prstGeom>
      </xdr:spPr>
    </xdr:pic>
    <xdr:clientData/>
  </xdr:twoCellAnchor>
  <xdr:twoCellAnchor editAs="oneCell">
    <xdr:from>
      <xdr:col>18</xdr:col>
      <xdr:colOff>561849</xdr:colOff>
      <xdr:row>25</xdr:row>
      <xdr:rowOff>131791</xdr:rowOff>
    </xdr:from>
    <xdr:to>
      <xdr:col>21</xdr:col>
      <xdr:colOff>286589</xdr:colOff>
      <xdr:row>40</xdr:row>
      <xdr:rowOff>150575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grayscl/>
        </a:blip>
        <a:stretch>
          <a:fillRect/>
        </a:stretch>
      </xdr:blipFill>
      <xdr:spPr>
        <a:xfrm>
          <a:off x="14180867" y="4703791"/>
          <a:ext cx="1955322" cy="2720420"/>
        </a:xfrm>
        <a:prstGeom prst="rect">
          <a:avLst/>
        </a:prstGeom>
      </xdr:spPr>
    </xdr:pic>
    <xdr:clientData/>
  </xdr:twoCellAnchor>
  <xdr:twoCellAnchor editAs="oneCell">
    <xdr:from>
      <xdr:col>21</xdr:col>
      <xdr:colOff>601357</xdr:colOff>
      <xdr:row>25</xdr:row>
      <xdr:rowOff>83651</xdr:rowOff>
    </xdr:from>
    <xdr:to>
      <xdr:col>24</xdr:col>
      <xdr:colOff>578842</xdr:colOff>
      <xdr:row>40</xdr:row>
      <xdr:rowOff>86944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grayscl/>
        </a:blip>
        <a:stretch>
          <a:fillRect/>
        </a:stretch>
      </xdr:blipFill>
      <xdr:spPr>
        <a:xfrm>
          <a:off x="16450957" y="4655651"/>
          <a:ext cx="1847849" cy="2704929"/>
        </a:xfrm>
        <a:prstGeom prst="rect">
          <a:avLst/>
        </a:prstGeom>
      </xdr:spPr>
    </xdr:pic>
    <xdr:clientData/>
  </xdr:twoCellAnchor>
  <xdr:oneCellAnchor>
    <xdr:from>
      <xdr:col>0</xdr:col>
      <xdr:colOff>195944</xdr:colOff>
      <xdr:row>40</xdr:row>
      <xdr:rowOff>80160</xdr:rowOff>
    </xdr:from>
    <xdr:ext cx="2021586" cy="244547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grayscl/>
        </a:blip>
        <a:stretch>
          <a:fillRect/>
        </a:stretch>
      </xdr:blipFill>
      <xdr:spPr>
        <a:xfrm>
          <a:off x="195944" y="7134103"/>
          <a:ext cx="2021586" cy="2445474"/>
        </a:xfrm>
        <a:prstGeom prst="rect">
          <a:avLst/>
        </a:prstGeom>
      </xdr:spPr>
    </xdr:pic>
    <xdr:clientData/>
  </xdr:oneCellAnchor>
  <xdr:oneCellAnchor>
    <xdr:from>
      <xdr:col>3</xdr:col>
      <xdr:colOff>44573</xdr:colOff>
      <xdr:row>40</xdr:row>
      <xdr:rowOff>41564</xdr:rowOff>
    </xdr:from>
    <xdr:ext cx="1650819" cy="242773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grayscl/>
        </a:blip>
        <a:stretch>
          <a:fillRect/>
        </a:stretch>
      </xdr:blipFill>
      <xdr:spPr>
        <a:xfrm>
          <a:off x="2192028" y="7315200"/>
          <a:ext cx="1650819" cy="2427733"/>
        </a:xfrm>
        <a:prstGeom prst="rect">
          <a:avLst/>
        </a:prstGeom>
      </xdr:spPr>
    </xdr:pic>
    <xdr:clientData/>
  </xdr:oneCellAnchor>
  <xdr:twoCellAnchor editAs="oneCell">
    <xdr:from>
      <xdr:col>27</xdr:col>
      <xdr:colOff>151794</xdr:colOff>
      <xdr:row>40</xdr:row>
      <xdr:rowOff>138956</xdr:rowOff>
    </xdr:from>
    <xdr:to>
      <xdr:col>29</xdr:col>
      <xdr:colOff>553992</xdr:colOff>
      <xdr:row>54</xdr:row>
      <xdr:rowOff>102168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grayscl/>
        </a:blip>
        <a:stretch>
          <a:fillRect/>
        </a:stretch>
      </xdr:blipFill>
      <xdr:spPr>
        <a:xfrm>
          <a:off x="19996451" y="7192899"/>
          <a:ext cx="1871770" cy="2401612"/>
        </a:xfrm>
        <a:prstGeom prst="rect">
          <a:avLst/>
        </a:prstGeom>
        <a:solidFill>
          <a:srgbClr val="FFC000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32657</xdr:colOff>
      <xdr:row>74</xdr:row>
      <xdr:rowOff>0</xdr:rowOff>
    </xdr:from>
    <xdr:to>
      <xdr:col>6</xdr:col>
      <xdr:colOff>550810</xdr:colOff>
      <xdr:row>92</xdr:row>
      <xdr:rowOff>54429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57" y="13694229"/>
          <a:ext cx="4175753" cy="3385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32659</xdr:rowOff>
    </xdr:from>
    <xdr:to>
      <xdr:col>6</xdr:col>
      <xdr:colOff>550985</xdr:colOff>
      <xdr:row>111</xdr:row>
      <xdr:rowOff>119743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242973"/>
          <a:ext cx="4208585" cy="3418113"/>
        </a:xfrm>
        <a:prstGeom prst="rect">
          <a:avLst/>
        </a:prstGeom>
      </xdr:spPr>
    </xdr:pic>
    <xdr:clientData/>
  </xdr:twoCellAnchor>
  <xdr:twoCellAnchor editAs="oneCell">
    <xdr:from>
      <xdr:col>9</xdr:col>
      <xdr:colOff>185058</xdr:colOff>
      <xdr:row>73</xdr:row>
      <xdr:rowOff>141516</xdr:rowOff>
    </xdr:from>
    <xdr:to>
      <xdr:col>17</xdr:col>
      <xdr:colOff>45082</xdr:colOff>
      <xdr:row>94</xdr:row>
      <xdr:rowOff>43544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1458" y="13650687"/>
          <a:ext cx="4736824" cy="3788228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93</xdr:row>
      <xdr:rowOff>174172</xdr:rowOff>
    </xdr:from>
    <xdr:to>
      <xdr:col>17</xdr:col>
      <xdr:colOff>76199</xdr:colOff>
      <xdr:row>115</xdr:row>
      <xdr:rowOff>183425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800" y="17384486"/>
          <a:ext cx="4800599" cy="408051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74</xdr:row>
      <xdr:rowOff>0</xdr:rowOff>
    </xdr:from>
    <xdr:to>
      <xdr:col>26</xdr:col>
      <xdr:colOff>10886</xdr:colOff>
      <xdr:row>94</xdr:row>
      <xdr:rowOff>127020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3694229"/>
          <a:ext cx="4887686" cy="3828162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95</xdr:row>
      <xdr:rowOff>1</xdr:rowOff>
    </xdr:from>
    <xdr:to>
      <xdr:col>25</xdr:col>
      <xdr:colOff>402771</xdr:colOff>
      <xdr:row>116</xdr:row>
      <xdr:rowOff>16873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1" y="17580430"/>
          <a:ext cx="4669970" cy="3903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1078</xdr:colOff>
      <xdr:row>1</xdr:row>
      <xdr:rowOff>78896</xdr:rowOff>
    </xdr:from>
    <xdr:to>
      <xdr:col>12</xdr:col>
      <xdr:colOff>296353</xdr:colOff>
      <xdr:row>15</xdr:row>
      <xdr:rowOff>126823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1778" y="261776"/>
          <a:ext cx="2124075" cy="2608247"/>
        </a:xfrm>
        <a:prstGeom prst="rect">
          <a:avLst/>
        </a:prstGeom>
      </xdr:spPr>
    </xdr:pic>
    <xdr:clientData/>
  </xdr:twoCellAnchor>
  <xdr:twoCellAnchor editAs="oneCell">
    <xdr:from>
      <xdr:col>13</xdr:col>
      <xdr:colOff>37740</xdr:colOff>
      <xdr:row>0</xdr:row>
      <xdr:rowOff>102618</xdr:rowOff>
    </xdr:from>
    <xdr:to>
      <xdr:col>15</xdr:col>
      <xdr:colOff>505903</xdr:colOff>
      <xdr:row>14</xdr:row>
      <xdr:rowOff>57618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6840" y="102618"/>
          <a:ext cx="1687363" cy="251532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123824</xdr:colOff>
      <xdr:row>22</xdr:row>
      <xdr:rowOff>83727</xdr:rowOff>
    </xdr:from>
    <xdr:to>
      <xdr:col>12</xdr:col>
      <xdr:colOff>371879</xdr:colOff>
      <xdr:row>38</xdr:row>
      <xdr:rowOff>86320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524" y="4107087"/>
          <a:ext cx="2076855" cy="2928673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104774</xdr:colOff>
      <xdr:row>21</xdr:row>
      <xdr:rowOff>156806</xdr:rowOff>
    </xdr:from>
    <xdr:to>
      <xdr:col>16</xdr:col>
      <xdr:colOff>209923</xdr:colOff>
      <xdr:row>38</xdr:row>
      <xdr:rowOff>153024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3874" y="3997286"/>
          <a:ext cx="1933949" cy="3105178"/>
        </a:xfrm>
        <a:prstGeom prst="rect">
          <a:avLst/>
        </a:prstGeom>
      </xdr:spPr>
    </xdr:pic>
    <xdr:clientData/>
  </xdr:twoCellAnchor>
  <xdr:twoCellAnchor editAs="oneCell">
    <xdr:from>
      <xdr:col>9</xdr:col>
      <xdr:colOff>469646</xdr:colOff>
      <xdr:row>43</xdr:row>
      <xdr:rowOff>9524</xdr:rowOff>
    </xdr:from>
    <xdr:to>
      <xdr:col>12</xdr:col>
      <xdr:colOff>590954</xdr:colOff>
      <xdr:row>58</xdr:row>
      <xdr:rowOff>38698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0346" y="7873364"/>
          <a:ext cx="1950108" cy="2772374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43</xdr:row>
      <xdr:rowOff>95281</xdr:rowOff>
    </xdr:from>
    <xdr:to>
      <xdr:col>16</xdr:col>
      <xdr:colOff>438150</xdr:colOff>
      <xdr:row>58</xdr:row>
      <xdr:rowOff>98573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58200" y="7959121"/>
          <a:ext cx="1847850" cy="2746492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62</xdr:row>
      <xdr:rowOff>187263</xdr:rowOff>
    </xdr:from>
    <xdr:to>
      <xdr:col>13</xdr:col>
      <xdr:colOff>67086</xdr:colOff>
      <xdr:row>79</xdr:row>
      <xdr:rowOff>105348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48350" y="11518203"/>
          <a:ext cx="2257836" cy="3034665"/>
        </a:xfrm>
        <a:prstGeom prst="rect">
          <a:avLst/>
        </a:prstGeom>
        <a:solidFill>
          <a:srgbClr val="FFC000"/>
        </a:solidFill>
      </xdr:spPr>
    </xdr:pic>
    <xdr:clientData/>
  </xdr:twoCellAnchor>
  <xdr:twoCellAnchor editAs="oneCell">
    <xdr:from>
      <xdr:col>13</xdr:col>
      <xdr:colOff>590550</xdr:colOff>
      <xdr:row>62</xdr:row>
      <xdr:rowOff>142875</xdr:rowOff>
    </xdr:from>
    <xdr:to>
      <xdr:col>17</xdr:col>
      <xdr:colOff>238512</xdr:colOff>
      <xdr:row>79</xdr:row>
      <xdr:rowOff>105369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9650" y="11481435"/>
          <a:ext cx="2086362" cy="30714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380361</xdr:colOff>
      <xdr:row>1</xdr:row>
      <xdr:rowOff>18528</xdr:rowOff>
    </xdr:from>
    <xdr:to>
      <xdr:col>21</xdr:col>
      <xdr:colOff>564778</xdr:colOff>
      <xdr:row>13</xdr:row>
      <xdr:rowOff>172317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4143" y="267910"/>
          <a:ext cx="2733653" cy="2322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214512</xdr:colOff>
      <xdr:row>13</xdr:row>
      <xdr:rowOff>116541</xdr:rowOff>
    </xdr:from>
    <xdr:to>
      <xdr:col>21</xdr:col>
      <xdr:colOff>565673</xdr:colOff>
      <xdr:row>26</xdr:row>
      <xdr:rowOff>82304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0653" y="2519082"/>
          <a:ext cx="2906102" cy="2296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146971</xdr:colOff>
      <xdr:row>51</xdr:row>
      <xdr:rowOff>83127</xdr:rowOff>
    </xdr:from>
    <xdr:to>
      <xdr:col>21</xdr:col>
      <xdr:colOff>222672</xdr:colOff>
      <xdr:row>63</xdr:row>
      <xdr:rowOff>158339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2898" y="9434945"/>
          <a:ext cx="2633844" cy="2105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160601</xdr:colOff>
      <xdr:row>63</xdr:row>
      <xdr:rowOff>65143</xdr:rowOff>
    </xdr:from>
    <xdr:to>
      <xdr:col>21</xdr:col>
      <xdr:colOff>304457</xdr:colOff>
      <xdr:row>75</xdr:row>
      <xdr:rowOff>149952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grayscl/>
        </a:blip>
        <a:stretch>
          <a:fillRect/>
        </a:stretch>
      </xdr:blipFill>
      <xdr:spPr>
        <a:xfrm>
          <a:off x="11355074" y="11578270"/>
          <a:ext cx="2701999" cy="2115491"/>
        </a:xfrm>
        <a:prstGeom prst="rect">
          <a:avLst/>
        </a:prstGeom>
      </xdr:spPr>
    </xdr:pic>
    <xdr:clientData/>
  </xdr:twoCellAnchor>
  <xdr:twoCellAnchor editAs="oneCell">
    <xdr:from>
      <xdr:col>17</xdr:col>
      <xdr:colOff>268435</xdr:colOff>
      <xdr:row>114</xdr:row>
      <xdr:rowOff>110836</xdr:rowOff>
    </xdr:from>
    <xdr:to>
      <xdr:col>21</xdr:col>
      <xdr:colOff>299361</xdr:colOff>
      <xdr:row>126</xdr:row>
      <xdr:rowOff>54777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0217" y="20851091"/>
          <a:ext cx="2580162" cy="21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249380</xdr:colOff>
      <xdr:row>101</xdr:row>
      <xdr:rowOff>79953</xdr:rowOff>
    </xdr:from>
    <xdr:to>
      <xdr:col>21</xdr:col>
      <xdr:colOff>429490</xdr:colOff>
      <xdr:row>114</xdr:row>
      <xdr:rowOff>109696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1162" y="18478789"/>
          <a:ext cx="2729346" cy="2371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420587</xdr:colOff>
      <xdr:row>1</xdr:row>
      <xdr:rowOff>63105</xdr:rowOff>
    </xdr:from>
    <xdr:to>
      <xdr:col>21</xdr:col>
      <xdr:colOff>732778</xdr:colOff>
      <xdr:row>14</xdr:row>
      <xdr:rowOff>41565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8442" y="312487"/>
          <a:ext cx="2861427" cy="2319878"/>
        </a:xfrm>
        <a:prstGeom prst="rect">
          <a:avLst/>
        </a:prstGeom>
      </xdr:spPr>
    </xdr:pic>
    <xdr:clientData/>
  </xdr:twoCellAnchor>
  <xdr:twoCellAnchor editAs="oneCell">
    <xdr:from>
      <xdr:col>17</xdr:col>
      <xdr:colOff>346368</xdr:colOff>
      <xdr:row>13</xdr:row>
      <xdr:rowOff>155770</xdr:rowOff>
    </xdr:from>
    <xdr:to>
      <xdr:col>21</xdr:col>
      <xdr:colOff>681056</xdr:colOff>
      <xdr:row>26</xdr:row>
      <xdr:rowOff>156607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14223" y="2566461"/>
          <a:ext cx="2883924" cy="2342255"/>
        </a:xfrm>
        <a:prstGeom prst="rect">
          <a:avLst/>
        </a:prstGeom>
      </xdr:spPr>
    </xdr:pic>
    <xdr:clientData/>
  </xdr:twoCellAnchor>
  <xdr:twoCellAnchor editAs="oneCell">
    <xdr:from>
      <xdr:col>17</xdr:col>
      <xdr:colOff>351313</xdr:colOff>
      <xdr:row>51</xdr:row>
      <xdr:rowOff>32881</xdr:rowOff>
    </xdr:from>
    <xdr:to>
      <xdr:col>21</xdr:col>
      <xdr:colOff>659209</xdr:colOff>
      <xdr:row>63</xdr:row>
      <xdr:rowOff>156535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19168" y="9356990"/>
          <a:ext cx="2857132" cy="2284963"/>
        </a:xfrm>
        <a:prstGeom prst="rect">
          <a:avLst/>
        </a:prstGeom>
      </xdr:spPr>
    </xdr:pic>
    <xdr:clientData/>
  </xdr:twoCellAnchor>
  <xdr:twoCellAnchor editAs="oneCell">
    <xdr:from>
      <xdr:col>17</xdr:col>
      <xdr:colOff>299804</xdr:colOff>
      <xdr:row>101</xdr:row>
      <xdr:rowOff>51029</xdr:rowOff>
    </xdr:from>
    <xdr:to>
      <xdr:col>21</xdr:col>
      <xdr:colOff>588464</xdr:colOff>
      <xdr:row>113</xdr:row>
      <xdr:rowOff>161845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19118" y="17914486"/>
          <a:ext cx="2846803" cy="2200873"/>
        </a:xfrm>
        <a:prstGeom prst="rect">
          <a:avLst/>
        </a:prstGeom>
      </xdr:spPr>
    </xdr:pic>
    <xdr:clientData/>
  </xdr:twoCellAnchor>
  <xdr:twoCellAnchor editAs="oneCell">
    <xdr:from>
      <xdr:col>17</xdr:col>
      <xdr:colOff>350394</xdr:colOff>
      <xdr:row>114</xdr:row>
      <xdr:rowOff>5004</xdr:rowOff>
    </xdr:from>
    <xdr:to>
      <xdr:col>21</xdr:col>
      <xdr:colOff>555171</xdr:colOff>
      <xdr:row>127</xdr:row>
      <xdr:rowOff>27833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9708" y="20132690"/>
          <a:ext cx="2762920" cy="22870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263235</xdr:colOff>
      <xdr:row>2</xdr:row>
      <xdr:rowOff>55416</xdr:rowOff>
    </xdr:from>
    <xdr:to>
      <xdr:col>21</xdr:col>
      <xdr:colOff>712269</xdr:colOff>
      <xdr:row>21</xdr:row>
      <xdr:rowOff>171673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B71CE6-012D-44C4-8C40-E9575E742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5090" y="484907"/>
          <a:ext cx="4702379" cy="3546765"/>
        </a:xfrm>
        <a:prstGeom prst="rect">
          <a:avLst/>
        </a:prstGeom>
      </xdr:spPr>
    </xdr:pic>
    <xdr:clientData/>
  </xdr:twoCellAnchor>
  <xdr:twoCellAnchor editAs="oneCell">
    <xdr:from>
      <xdr:col>15</xdr:col>
      <xdr:colOff>370707</xdr:colOff>
      <xdr:row>22</xdr:row>
      <xdr:rowOff>37010</xdr:rowOff>
    </xdr:from>
    <xdr:to>
      <xdr:col>21</xdr:col>
      <xdr:colOff>687885</xdr:colOff>
      <xdr:row>42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6043AC-AD2F-425A-B308-F058FFDCF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2562" y="4068683"/>
          <a:ext cx="4570523" cy="3565172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338657</xdr:colOff>
      <xdr:row>72</xdr:row>
      <xdr:rowOff>166254</xdr:rowOff>
    </xdr:from>
    <xdr:to>
      <xdr:col>21</xdr:col>
      <xdr:colOff>748242</xdr:colOff>
      <xdr:row>92</xdr:row>
      <xdr:rowOff>96982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D045E2-321E-4645-A702-511162F3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0512" y="13272654"/>
          <a:ext cx="4662930" cy="3532910"/>
        </a:xfrm>
        <a:prstGeom prst="rect">
          <a:avLst/>
        </a:prstGeom>
      </xdr:spPr>
    </xdr:pic>
    <xdr:clientData/>
  </xdr:twoCellAnchor>
  <xdr:twoCellAnchor editAs="oneCell">
    <xdr:from>
      <xdr:col>15</xdr:col>
      <xdr:colOff>387927</xdr:colOff>
      <xdr:row>53</xdr:row>
      <xdr:rowOff>28464</xdr:rowOff>
    </xdr:from>
    <xdr:to>
      <xdr:col>21</xdr:col>
      <xdr:colOff>795097</xdr:colOff>
      <xdr:row>73</xdr:row>
      <xdr:rowOff>707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6A2090-D45B-4447-9E9F-BB0EAA9D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69782" y="9712791"/>
          <a:ext cx="4660515" cy="3574425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346364</xdr:colOff>
      <xdr:row>102</xdr:row>
      <xdr:rowOff>5273</xdr:rowOff>
    </xdr:from>
    <xdr:to>
      <xdr:col>21</xdr:col>
      <xdr:colOff>759339</xdr:colOff>
      <xdr:row>121</xdr:row>
      <xdr:rowOff>62267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C31EF6-7F5E-46E2-94E2-593253A1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8219" y="18584218"/>
          <a:ext cx="4666320" cy="3479067"/>
        </a:xfrm>
        <a:prstGeom prst="rect">
          <a:avLst/>
        </a:prstGeom>
      </xdr:spPr>
    </xdr:pic>
    <xdr:clientData/>
  </xdr:twoCellAnchor>
  <xdr:twoCellAnchor editAs="oneCell">
    <xdr:from>
      <xdr:col>15</xdr:col>
      <xdr:colOff>282599</xdr:colOff>
      <xdr:row>121</xdr:row>
      <xdr:rowOff>41565</xdr:rowOff>
    </xdr:from>
    <xdr:to>
      <xdr:col>21</xdr:col>
      <xdr:colOff>821631</xdr:colOff>
      <xdr:row>142</xdr:row>
      <xdr:rowOff>69273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49FE60-1036-46BB-A1C6-80D4E784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4454" y="22042583"/>
          <a:ext cx="4792377" cy="38099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116279</xdr:colOff>
      <xdr:row>9</xdr:row>
      <xdr:rowOff>12165</xdr:rowOff>
    </xdr:from>
    <xdr:to>
      <xdr:col>11</xdr:col>
      <xdr:colOff>424544</xdr:colOff>
      <xdr:row>24</xdr:row>
      <xdr:rowOff>77100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99" y="1757145"/>
          <a:ext cx="3965865" cy="280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10</xdr:row>
      <xdr:rowOff>28575</xdr:rowOff>
    </xdr:from>
    <xdr:ext cx="985548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C00-000002000000}"/>
                </a:ext>
              </a:extLst>
            </xdr:cNvPr>
            <xdr:cNvSpPr txBox="1"/>
          </xdr:nvSpPr>
          <xdr:spPr>
            <a:xfrm rot="10800000" flipV="1">
              <a:off x="461962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PH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</m:t>
                  </m:r>
                  <m:f>
                    <m:fPr>
                      <m:ctrlPr>
                        <a:rPr lang="en-PH" sz="12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24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14:m>
                <m:oMath xmlns:m="http://schemas.openxmlformats.org/officeDocument/2006/math">
                  <m:f>
                    <m:fPr>
                      <m:ctrlPr>
                        <a:rPr lang="en-PH" sz="120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700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C34ED7-30A3-4191-86F3-DE87CC60DF23}"/>
                </a:ext>
              </a:extLst>
            </xdr:cNvPr>
            <xdr:cNvSpPr txBox="1"/>
          </xdr:nvSpPr>
          <xdr:spPr>
            <a:xfrm rot="10800000" flipV="1">
              <a:off x="461962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𝐿/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24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/700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604934</xdr:colOff>
      <xdr:row>24</xdr:row>
      <xdr:rowOff>111384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1229774" y="437858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</xdr:col>
      <xdr:colOff>0</xdr:colOff>
      <xdr:row>28</xdr:row>
      <xdr:rowOff>0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SpPr txBox="1"/>
          </xdr:nvSpPr>
          <xdr:spPr>
            <a:xfrm>
              <a:off x="624840" y="4937760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820A36D-73E5-4319-BD55-AD6162FE0146}"/>
                </a:ext>
              </a:extLst>
            </xdr:cNvPr>
            <xdr:cNvSpPr txBox="1"/>
          </xdr:nvSpPr>
          <xdr:spPr>
            <a:xfrm>
              <a:off x="624840" y="4937760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𝑐)/𝑓𝑦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1−2𝑅𝑢/(0.85𝑓^′ 𝑐)  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7</xdr:col>
      <xdr:colOff>295275</xdr:colOff>
      <xdr:row>31</xdr:row>
      <xdr:rowOff>157162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4905375" y="559784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7</xdr:col>
      <xdr:colOff>38100</xdr:colOff>
      <xdr:row>29</xdr:row>
      <xdr:rowOff>19051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SpPr txBox="1"/>
          </xdr:nvSpPr>
          <xdr:spPr>
            <a:xfrm>
              <a:off x="464820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PH" sz="1100" b="0" i="1">
                          <a:latin typeface="Cambria Math" panose="02040503050406030204" pitchFamily="18" charset="0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𝑓𝑦</m:t>
                      </m:r>
                    </m:den>
                  </m:f>
                </m:oMath>
              </a14:m>
              <a:r>
                <a:rPr lang="en-PH" sz="1100"/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latin typeface="Cambria Math" panose="02040503050406030204" pitchFamily="18" charset="0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)</a:t>
              </a: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C7F3FDA-7F7B-4C0A-8506-A43CF1A768F6}"/>
                </a:ext>
              </a:extLst>
            </xdr:cNvPr>
            <xdr:cNvSpPr txBox="1"/>
          </xdr:nvSpPr>
          <xdr:spPr>
            <a:xfrm>
              <a:off x="464820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0.85𝑓^′ 𝑐)/𝑓𝑦</a:t>
              </a:r>
              <a:r>
                <a:rPr lang="en-PH" sz="1100"/>
                <a:t>(1</a:t>
              </a:r>
              <a:r>
                <a:rPr lang="en-PH" sz="1100" b="0" i="0">
                  <a:latin typeface="Cambria Math" panose="02040503050406030204" pitchFamily="18" charset="0"/>
                </a:rPr>
                <a:t>−</a:t>
              </a:r>
              <a:r>
                <a:rPr lang="en-PH" sz="1100" i="0">
                  <a:latin typeface="Cambria Math" panose="02040503050406030204" pitchFamily="18" charset="0"/>
                </a:rPr>
                <a:t>√(</a:t>
              </a:r>
              <a:r>
                <a:rPr lang="en-PH" sz="1100" b="0" i="0">
                  <a:latin typeface="Cambria Math" panose="02040503050406030204" pitchFamily="18" charset="0"/>
                </a:rPr>
                <a:t>1−2𝑅𝑢/(0.85𝑓^′ 𝑐)  )</a:t>
              </a:r>
              <a:r>
                <a:rPr lang="en-PH" sz="1100"/>
                <a:t>)</a:t>
              </a:r>
            </a:p>
          </xdr:txBody>
        </xdr:sp>
      </mc:Fallback>
    </mc:AlternateContent>
    <xdr:clientData/>
  </xdr:oneCellAnchor>
  <xdr:oneCellAnchor>
    <xdr:from>
      <xdr:col>7</xdr:col>
      <xdr:colOff>295275</xdr:colOff>
      <xdr:row>32</xdr:row>
      <xdr:rowOff>157162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4905375" y="576548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</xdr:col>
      <xdr:colOff>180561</xdr:colOff>
      <xdr:row>23</xdr:row>
      <xdr:rowOff>10767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SpPr txBox="1"/>
          </xdr:nvSpPr>
          <xdr:spPr>
            <a:xfrm>
              <a:off x="805401" y="4087467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14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320CA894-A6DC-4204-9026-CBF32137DD70}"/>
                </a:ext>
              </a:extLst>
            </xdr:cNvPr>
            <xdr:cNvSpPr txBox="1"/>
          </xdr:nvSpPr>
          <xdr:spPr>
            <a:xfrm>
              <a:off x="805401" y="4087467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14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</xdr:col>
      <xdr:colOff>48039</xdr:colOff>
      <xdr:row>25</xdr:row>
      <xdr:rowOff>19051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C00-000009000000}"/>
                </a:ext>
              </a:extLst>
            </xdr:cNvPr>
            <xdr:cNvSpPr txBox="1"/>
          </xdr:nvSpPr>
          <xdr:spPr>
            <a:xfrm>
              <a:off x="672879" y="4453891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Ø</m:t>
                    </m:r>
                    <m:r>
                      <a:rPr lang="en-PH" sz="1100" i="1">
                        <a:latin typeface="Cambria Math" panose="02040503050406030204" pitchFamily="18" charset="0"/>
                      </a:rPr>
                      <m:t>𝑅𝑢𝑏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p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C73EB1A-A4DF-4029-9D8D-C4CD1A998B8C}"/>
                </a:ext>
              </a:extLst>
            </xdr:cNvPr>
            <xdr:cNvSpPr txBox="1"/>
          </xdr:nvSpPr>
          <xdr:spPr>
            <a:xfrm>
              <a:off x="672879" y="4453891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Ø𝑅𝑢𝑏</a:t>
              </a:r>
              <a:r>
                <a:rPr lang="en-PH" sz="1100" b="0" i="0">
                  <a:latin typeface="Cambria Math" panose="02040503050406030204" pitchFamily="18" charset="0"/>
                </a:rPr>
                <a:t>𝑑^2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7</xdr:col>
      <xdr:colOff>66261</xdr:colOff>
      <xdr:row>23</xdr:row>
      <xdr:rowOff>0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SpPr txBox="1"/>
          </xdr:nvSpPr>
          <xdr:spPr>
            <a:xfrm>
              <a:off x="467636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10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171190A-5B63-45FE-A5EC-731D3BBF46D9}"/>
                </a:ext>
              </a:extLst>
            </xdr:cNvPr>
            <xdr:cNvSpPr txBox="1"/>
          </xdr:nvSpPr>
          <xdr:spPr>
            <a:xfrm>
              <a:off x="467636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10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7</xdr:col>
      <xdr:colOff>0</xdr:colOff>
      <xdr:row>26</xdr:row>
      <xdr:rowOff>0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0C00-00000B000000}"/>
                </a:ext>
              </a:extLst>
            </xdr:cNvPr>
            <xdr:cNvSpPr txBox="1"/>
          </xdr:nvSpPr>
          <xdr:spPr>
            <a:xfrm>
              <a:off x="461010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PH" sz="1100" i="0">
                        <a:latin typeface="Cambria Math" panose="02040503050406030204" pitchFamily="18" charset="0"/>
                      </a:rPr>
                      <m:t>Ø</m:t>
                    </m:r>
                    <m:r>
                      <m:rPr>
                        <m:sty m:val="p"/>
                      </m:rPr>
                      <a:rPr lang="en-PH" sz="1100" i="0">
                        <a:latin typeface="Cambria Math" panose="02040503050406030204" pitchFamily="18" charset="0"/>
                      </a:rPr>
                      <m:t>Rub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PH" sz="1100" b="0" i="0">
                            <a:latin typeface="Cambria Math" panose="02040503050406030204" pitchFamily="18" charset="0"/>
                          </a:rPr>
                          <m:t>d</m:t>
                        </m:r>
                      </m:e>
                      <m:sup>
                        <m:r>
                          <a:rPr lang="en-PH" sz="1100" b="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 i="0">
                <a:latin typeface="Stylus BT" panose="020E04020202060203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7B82EAE7-8260-409F-9F2D-ABF7821B6A65}"/>
                </a:ext>
              </a:extLst>
            </xdr:cNvPr>
            <xdr:cNvSpPr txBox="1"/>
          </xdr:nvSpPr>
          <xdr:spPr>
            <a:xfrm>
              <a:off x="461010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ØRub</a:t>
              </a:r>
              <a:r>
                <a:rPr lang="en-PH" sz="1100" b="0" i="0">
                  <a:latin typeface="Cambria Math" panose="02040503050406030204" pitchFamily="18" charset="0"/>
                </a:rPr>
                <a:t>d^2</a:t>
              </a:r>
              <a:endParaRPr lang="en-PH" sz="1100" i="0">
                <a:latin typeface="Stylus BT" panose="020E0402020206020304" pitchFamily="34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67163</xdr:colOff>
      <xdr:row>31</xdr:row>
      <xdr:rowOff>199361</xdr:rowOff>
    </xdr:from>
    <xdr:ext cx="208026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SpPr txBox="1"/>
          </xdr:nvSpPr>
          <xdr:spPr>
            <a:xfrm>
              <a:off x="2177903" y="5609561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158D896-65C9-4F71-8F18-6B855A2AFCA3}"/>
                </a:ext>
              </a:extLst>
            </xdr:cNvPr>
            <xdr:cNvSpPr txBox="1"/>
          </xdr:nvSpPr>
          <xdr:spPr>
            <a:xfrm>
              <a:off x="2177903" y="5609561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8</xdr:col>
      <xdr:colOff>462642</xdr:colOff>
      <xdr:row>33</xdr:row>
      <xdr:rowOff>163286</xdr:rowOff>
    </xdr:from>
    <xdr:ext cx="15494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C00-00000D000000}"/>
                </a:ext>
              </a:extLst>
            </xdr:cNvPr>
            <xdr:cNvSpPr txBox="1"/>
          </xdr:nvSpPr>
          <xdr:spPr>
            <a:xfrm>
              <a:off x="5697582" y="5939246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7F7B2912-69AA-4BDC-9BF4-B6C65CAD7934}"/>
                </a:ext>
              </a:extLst>
            </xdr:cNvPr>
            <xdr:cNvSpPr txBox="1"/>
          </xdr:nvSpPr>
          <xdr:spPr>
            <a:xfrm>
              <a:off x="5697582" y="5939246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534097</xdr:colOff>
      <xdr:row>16</xdr:row>
      <xdr:rowOff>128068</xdr:rowOff>
    </xdr:from>
    <xdr:ext cx="2626846" cy="916849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4517" y="2962708"/>
          <a:ext cx="2626846" cy="916849"/>
        </a:xfrm>
        <a:prstGeom prst="rect">
          <a:avLst/>
        </a:prstGeom>
      </xdr:spPr>
    </xdr:pic>
    <xdr:clientData/>
  </xdr:oneCellAnchor>
  <xdr:oneCellAnchor>
    <xdr:from>
      <xdr:col>26</xdr:col>
      <xdr:colOff>295275</xdr:colOff>
      <xdr:row>31</xdr:row>
      <xdr:rowOff>157162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18179415" y="559784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26</xdr:col>
      <xdr:colOff>38100</xdr:colOff>
      <xdr:row>29</xdr:row>
      <xdr:rowOff>19051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SpPr txBox="1"/>
          </xdr:nvSpPr>
          <xdr:spPr>
            <a:xfrm>
              <a:off x="1792224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PH" sz="1100" b="0" i="1">
                          <a:latin typeface="Cambria Math" panose="02040503050406030204" pitchFamily="18" charset="0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𝑓𝑦</m:t>
                      </m:r>
                    </m:den>
                  </m:f>
                </m:oMath>
              </a14:m>
              <a:r>
                <a:rPr lang="en-PH" sz="1100"/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latin typeface="Cambria Math" panose="02040503050406030204" pitchFamily="18" charset="0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)</a:t>
              </a:r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3F80CC51-F2F8-4BEB-82EB-C6471B5A3501}"/>
                </a:ext>
              </a:extLst>
            </xdr:cNvPr>
            <xdr:cNvSpPr txBox="1"/>
          </xdr:nvSpPr>
          <xdr:spPr>
            <a:xfrm>
              <a:off x="1792224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0.85𝑓^′ 𝑐)/𝑓𝑦</a:t>
              </a:r>
              <a:r>
                <a:rPr lang="en-PH" sz="1100"/>
                <a:t>(1</a:t>
              </a:r>
              <a:r>
                <a:rPr lang="en-PH" sz="1100" b="0" i="0">
                  <a:latin typeface="Cambria Math" panose="02040503050406030204" pitchFamily="18" charset="0"/>
                </a:rPr>
                <a:t>−</a:t>
              </a:r>
              <a:r>
                <a:rPr lang="en-PH" sz="1100" i="0">
                  <a:latin typeface="Cambria Math" panose="02040503050406030204" pitchFamily="18" charset="0"/>
                </a:rPr>
                <a:t>√(</a:t>
              </a:r>
              <a:r>
                <a:rPr lang="en-PH" sz="1100" b="0" i="0">
                  <a:latin typeface="Cambria Math" panose="02040503050406030204" pitchFamily="18" charset="0"/>
                </a:rPr>
                <a:t>1−2𝑅𝑢/(0.85𝑓^′ 𝑐)  )</a:t>
              </a:r>
              <a:r>
                <a:rPr lang="en-PH" sz="1100"/>
                <a:t>)</a:t>
              </a:r>
            </a:p>
          </xdr:txBody>
        </xdr:sp>
      </mc:Fallback>
    </mc:AlternateContent>
    <xdr:clientData/>
  </xdr:oneCellAnchor>
  <xdr:oneCellAnchor>
    <xdr:from>
      <xdr:col>26</xdr:col>
      <xdr:colOff>295275</xdr:colOff>
      <xdr:row>32</xdr:row>
      <xdr:rowOff>157162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 txBox="1"/>
      </xdr:nvSpPr>
      <xdr:spPr>
        <a:xfrm>
          <a:off x="18179415" y="576548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26</xdr:col>
      <xdr:colOff>66261</xdr:colOff>
      <xdr:row>23</xdr:row>
      <xdr:rowOff>0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0C00-000012000000}"/>
                </a:ext>
              </a:extLst>
            </xdr:cNvPr>
            <xdr:cNvSpPr txBox="1"/>
          </xdr:nvSpPr>
          <xdr:spPr>
            <a:xfrm>
              <a:off x="1795040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8B726D56-19D4-4358-8B83-5D4E03AE844A}"/>
                </a:ext>
              </a:extLst>
            </xdr:cNvPr>
            <xdr:cNvSpPr txBox="1"/>
          </xdr:nvSpPr>
          <xdr:spPr>
            <a:xfrm>
              <a:off x="1795040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2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26</xdr:col>
      <xdr:colOff>0</xdr:colOff>
      <xdr:row>26</xdr:row>
      <xdr:rowOff>0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00000000-0008-0000-0C00-000013000000}"/>
                </a:ext>
              </a:extLst>
            </xdr:cNvPr>
            <xdr:cNvSpPr txBox="1"/>
          </xdr:nvSpPr>
          <xdr:spPr>
            <a:xfrm>
              <a:off x="1788414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PH" sz="1100" i="0">
                        <a:latin typeface="Cambria Math" panose="02040503050406030204" pitchFamily="18" charset="0"/>
                      </a:rPr>
                      <m:t>Ø</m:t>
                    </m:r>
                    <m:r>
                      <m:rPr>
                        <m:sty m:val="p"/>
                      </m:rPr>
                      <a:rPr lang="en-PH" sz="1100" i="0">
                        <a:latin typeface="Cambria Math" panose="02040503050406030204" pitchFamily="18" charset="0"/>
                      </a:rPr>
                      <m:t>Rub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PH" sz="1100" b="0" i="0">
                            <a:latin typeface="Cambria Math" panose="02040503050406030204" pitchFamily="18" charset="0"/>
                          </a:rPr>
                          <m:t>d</m:t>
                        </m:r>
                      </m:e>
                      <m:sup>
                        <m:r>
                          <a:rPr lang="en-PH" sz="1100" b="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 i="0">
                <a:latin typeface="Stylus BT" panose="020E0402020206020304" pitchFamily="34" charset="0"/>
              </a:endParaRPr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5FE4B94F-119F-4A5A-97F2-BF60DADFCF7F}"/>
                </a:ext>
              </a:extLst>
            </xdr:cNvPr>
            <xdr:cNvSpPr txBox="1"/>
          </xdr:nvSpPr>
          <xdr:spPr>
            <a:xfrm>
              <a:off x="1788414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ØRub</a:t>
              </a:r>
              <a:r>
                <a:rPr lang="en-PH" sz="1100" b="0" i="0">
                  <a:latin typeface="Cambria Math" panose="02040503050406030204" pitchFamily="18" charset="0"/>
                </a:rPr>
                <a:t>d^2</a:t>
              </a:r>
              <a:endParaRPr lang="en-PH" sz="1100" i="0">
                <a:latin typeface="Stylus BT" panose="020E0402020206020304" pitchFamily="34" charset="0"/>
              </a:endParaRPr>
            </a:p>
          </xdr:txBody>
        </xdr:sp>
      </mc:Fallback>
    </mc:AlternateContent>
    <xdr:clientData/>
  </xdr:oneCellAnchor>
  <xdr:oneCellAnchor>
    <xdr:from>
      <xdr:col>28</xdr:col>
      <xdr:colOff>0</xdr:colOff>
      <xdr:row>34</xdr:row>
      <xdr:rowOff>0</xdr:rowOff>
    </xdr:from>
    <xdr:ext cx="15494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0000000-0008-0000-0C00-000014000000}"/>
                </a:ext>
              </a:extLst>
            </xdr:cNvPr>
            <xdr:cNvSpPr txBox="1"/>
          </xdr:nvSpPr>
          <xdr:spPr>
            <a:xfrm>
              <a:off x="19133820" y="5943600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7F0C0866-1E0D-41EB-B363-3DB54677D626}"/>
                </a:ext>
              </a:extLst>
            </xdr:cNvPr>
            <xdr:cNvSpPr txBox="1"/>
          </xdr:nvSpPr>
          <xdr:spPr>
            <a:xfrm>
              <a:off x="19133820" y="5943600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19</xdr:col>
      <xdr:colOff>9525</xdr:colOff>
      <xdr:row>10</xdr:row>
      <xdr:rowOff>28575</xdr:rowOff>
    </xdr:from>
    <xdr:ext cx="985548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 txBox="1"/>
          </xdr:nvSpPr>
          <xdr:spPr>
            <a:xfrm rot="10800000" flipV="1">
              <a:off x="1319212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PH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</m:t>
                  </m:r>
                  <m:f>
                    <m:fPr>
                      <m:ctrlPr>
                        <a:rPr lang="en-PH" sz="12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28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14:m>
                <m:oMath xmlns:m="http://schemas.openxmlformats.org/officeDocument/2006/math">
                  <m:f>
                    <m:fPr>
                      <m:ctrlPr>
                        <a:rPr lang="en-PH" sz="120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700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B8F2440E-83BB-4862-951B-429CB2946481}"/>
                </a:ext>
              </a:extLst>
            </xdr:cNvPr>
            <xdr:cNvSpPr txBox="1"/>
          </xdr:nvSpPr>
          <xdr:spPr>
            <a:xfrm rot="10800000" flipV="1">
              <a:off x="1319212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𝐿/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28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/700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13</xdr:col>
      <xdr:colOff>604934</xdr:colOff>
      <xdr:row>24</xdr:row>
      <xdr:rowOff>111384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SpPr txBox="1"/>
      </xdr:nvSpPr>
      <xdr:spPr>
        <a:xfrm>
          <a:off x="9802274" y="437858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13</xdr:col>
      <xdr:colOff>0</xdr:colOff>
      <xdr:row>28</xdr:row>
      <xdr:rowOff>0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 txBox="1"/>
          </xdr:nvSpPr>
          <xdr:spPr>
            <a:xfrm>
              <a:off x="9197340" y="4937760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FFC276F6-ECD1-4429-968B-853304301E72}"/>
                </a:ext>
              </a:extLst>
            </xdr:cNvPr>
            <xdr:cNvSpPr txBox="1"/>
          </xdr:nvSpPr>
          <xdr:spPr>
            <a:xfrm>
              <a:off x="9197340" y="4937760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𝑐)/𝑓𝑦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1−2𝑅𝑢/(0.85𝑓^′ 𝑐)  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19</xdr:col>
      <xdr:colOff>295275</xdr:colOff>
      <xdr:row>31</xdr:row>
      <xdr:rowOff>157162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 txBox="1"/>
      </xdr:nvSpPr>
      <xdr:spPr>
        <a:xfrm>
          <a:off x="13477875" y="559784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19</xdr:col>
      <xdr:colOff>38100</xdr:colOff>
      <xdr:row>29</xdr:row>
      <xdr:rowOff>19051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 txBox="1"/>
          </xdr:nvSpPr>
          <xdr:spPr>
            <a:xfrm>
              <a:off x="1322070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PH" sz="1100" b="0" i="1">
                          <a:latin typeface="Cambria Math" panose="02040503050406030204" pitchFamily="18" charset="0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𝑓𝑦</m:t>
                      </m:r>
                    </m:den>
                  </m:f>
                </m:oMath>
              </a14:m>
              <a:r>
                <a:rPr lang="en-PH" sz="1100"/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latin typeface="Cambria Math" panose="02040503050406030204" pitchFamily="18" charset="0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)</a:t>
              </a:r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7A9F18F-3184-4030-9058-A7C34A824E82}"/>
                </a:ext>
              </a:extLst>
            </xdr:cNvPr>
            <xdr:cNvSpPr txBox="1"/>
          </xdr:nvSpPr>
          <xdr:spPr>
            <a:xfrm>
              <a:off x="1322070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0.85𝑓^′ 𝑐)/𝑓𝑦</a:t>
              </a:r>
              <a:r>
                <a:rPr lang="en-PH" sz="1100"/>
                <a:t>(1</a:t>
              </a:r>
              <a:r>
                <a:rPr lang="en-PH" sz="1100" b="0" i="0">
                  <a:latin typeface="Cambria Math" panose="02040503050406030204" pitchFamily="18" charset="0"/>
                </a:rPr>
                <a:t>−</a:t>
              </a:r>
              <a:r>
                <a:rPr lang="en-PH" sz="1100" i="0">
                  <a:latin typeface="Cambria Math" panose="02040503050406030204" pitchFamily="18" charset="0"/>
                </a:rPr>
                <a:t>√(</a:t>
              </a:r>
              <a:r>
                <a:rPr lang="en-PH" sz="1100" b="0" i="0">
                  <a:latin typeface="Cambria Math" panose="02040503050406030204" pitchFamily="18" charset="0"/>
                </a:rPr>
                <a:t>1−2𝑅𝑢/(0.85𝑓^′ 𝑐)  )</a:t>
              </a:r>
              <a:r>
                <a:rPr lang="en-PH" sz="1100"/>
                <a:t>)</a:t>
              </a:r>
            </a:p>
          </xdr:txBody>
        </xdr:sp>
      </mc:Fallback>
    </mc:AlternateContent>
    <xdr:clientData/>
  </xdr:oneCellAnchor>
  <xdr:oneCellAnchor>
    <xdr:from>
      <xdr:col>19</xdr:col>
      <xdr:colOff>295275</xdr:colOff>
      <xdr:row>32</xdr:row>
      <xdr:rowOff>157162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 txBox="1"/>
      </xdr:nvSpPr>
      <xdr:spPr>
        <a:xfrm>
          <a:off x="13477875" y="576548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13</xdr:col>
      <xdr:colOff>180561</xdr:colOff>
      <xdr:row>23</xdr:row>
      <xdr:rowOff>10767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SpPr txBox="1"/>
          </xdr:nvSpPr>
          <xdr:spPr>
            <a:xfrm>
              <a:off x="9377901" y="4087467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14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50023999-C3B8-4752-97DF-40253E4A6D34}"/>
                </a:ext>
              </a:extLst>
            </xdr:cNvPr>
            <xdr:cNvSpPr txBox="1"/>
          </xdr:nvSpPr>
          <xdr:spPr>
            <a:xfrm>
              <a:off x="9377901" y="4087467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14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13</xdr:col>
      <xdr:colOff>48039</xdr:colOff>
      <xdr:row>25</xdr:row>
      <xdr:rowOff>19051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0000000-0008-0000-0C00-00001C000000}"/>
                </a:ext>
              </a:extLst>
            </xdr:cNvPr>
            <xdr:cNvSpPr txBox="1"/>
          </xdr:nvSpPr>
          <xdr:spPr>
            <a:xfrm>
              <a:off x="9245379" y="4453891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Ø</m:t>
                    </m:r>
                    <m:r>
                      <a:rPr lang="en-PH" sz="1100" i="1">
                        <a:latin typeface="Cambria Math" panose="02040503050406030204" pitchFamily="18" charset="0"/>
                      </a:rPr>
                      <m:t>𝑅𝑢𝑏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p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C8838553-5753-447E-A2CE-68E5C9A088E2}"/>
                </a:ext>
              </a:extLst>
            </xdr:cNvPr>
            <xdr:cNvSpPr txBox="1"/>
          </xdr:nvSpPr>
          <xdr:spPr>
            <a:xfrm>
              <a:off x="9245379" y="4453891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Ø𝑅𝑢𝑏</a:t>
              </a:r>
              <a:r>
                <a:rPr lang="en-PH" sz="1100" b="0" i="0">
                  <a:latin typeface="Cambria Math" panose="02040503050406030204" pitchFamily="18" charset="0"/>
                </a:rPr>
                <a:t>𝑑^2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19</xdr:col>
      <xdr:colOff>66261</xdr:colOff>
      <xdr:row>23</xdr:row>
      <xdr:rowOff>0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SpPr txBox="1"/>
          </xdr:nvSpPr>
          <xdr:spPr>
            <a:xfrm>
              <a:off x="1324886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10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9A18661A-2BDA-4FFD-B6B7-1E20ADA73F64}"/>
                </a:ext>
              </a:extLst>
            </xdr:cNvPr>
            <xdr:cNvSpPr txBox="1"/>
          </xdr:nvSpPr>
          <xdr:spPr>
            <a:xfrm>
              <a:off x="1324886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10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26</xdr:row>
      <xdr:rowOff>0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00000000-0008-0000-0C00-00001E000000}"/>
                </a:ext>
              </a:extLst>
            </xdr:cNvPr>
            <xdr:cNvSpPr txBox="1"/>
          </xdr:nvSpPr>
          <xdr:spPr>
            <a:xfrm>
              <a:off x="1318260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PH" sz="1100" i="0">
                        <a:latin typeface="Cambria Math" panose="02040503050406030204" pitchFamily="18" charset="0"/>
                      </a:rPr>
                      <m:t>Ø</m:t>
                    </m:r>
                    <m:r>
                      <m:rPr>
                        <m:sty m:val="p"/>
                      </m:rPr>
                      <a:rPr lang="en-PH" sz="1100" i="0">
                        <a:latin typeface="Cambria Math" panose="02040503050406030204" pitchFamily="18" charset="0"/>
                      </a:rPr>
                      <m:t>Rub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PH" sz="1100" b="0" i="0">
                            <a:latin typeface="Cambria Math" panose="02040503050406030204" pitchFamily="18" charset="0"/>
                          </a:rPr>
                          <m:t>d</m:t>
                        </m:r>
                      </m:e>
                      <m:sup>
                        <m:r>
                          <a:rPr lang="en-PH" sz="1100" b="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 i="0">
                <a:latin typeface="Stylus BT" panose="020E0402020206020304" pitchFamily="34" charset="0"/>
              </a:endParaRPr>
            </a:p>
          </xdr:txBody>
        </xdr:sp>
      </mc:Choice>
      <mc:Fallback xmlns="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A3138A61-1340-4128-A74A-2AC5AB9D9D5B}"/>
                </a:ext>
              </a:extLst>
            </xdr:cNvPr>
            <xdr:cNvSpPr txBox="1"/>
          </xdr:nvSpPr>
          <xdr:spPr>
            <a:xfrm>
              <a:off x="1318260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ØRub</a:t>
              </a:r>
              <a:r>
                <a:rPr lang="en-PH" sz="1100" b="0" i="0">
                  <a:latin typeface="Cambria Math" panose="02040503050406030204" pitchFamily="18" charset="0"/>
                </a:rPr>
                <a:t>d^2</a:t>
              </a:r>
              <a:endParaRPr lang="en-PH" sz="1100" i="0">
                <a:latin typeface="Stylus BT" panose="020E0402020206020304" pitchFamily="34" charset="0"/>
              </a:endParaRPr>
            </a:p>
          </xdr:txBody>
        </xdr:sp>
      </mc:Fallback>
    </mc:AlternateContent>
    <xdr:clientData/>
  </xdr:oneCellAnchor>
  <xdr:oneCellAnchor>
    <xdr:from>
      <xdr:col>15</xdr:col>
      <xdr:colOff>67163</xdr:colOff>
      <xdr:row>31</xdr:row>
      <xdr:rowOff>199361</xdr:rowOff>
    </xdr:from>
    <xdr:ext cx="208026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00000000-0008-0000-0C00-00001F000000}"/>
                </a:ext>
              </a:extLst>
            </xdr:cNvPr>
            <xdr:cNvSpPr txBox="1"/>
          </xdr:nvSpPr>
          <xdr:spPr>
            <a:xfrm>
              <a:off x="10514183" y="5609561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289236CB-1F82-4FBF-92CF-DA7B4218EFFA}"/>
                </a:ext>
              </a:extLst>
            </xdr:cNvPr>
            <xdr:cNvSpPr txBox="1"/>
          </xdr:nvSpPr>
          <xdr:spPr>
            <a:xfrm>
              <a:off x="10514183" y="5609561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20</xdr:col>
      <xdr:colOff>556426</xdr:colOff>
      <xdr:row>33</xdr:row>
      <xdr:rowOff>139840</xdr:rowOff>
    </xdr:from>
    <xdr:ext cx="15494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00000000-0008-0000-0C00-000020000000}"/>
                </a:ext>
              </a:extLst>
            </xdr:cNvPr>
            <xdr:cNvSpPr txBox="1"/>
          </xdr:nvSpPr>
          <xdr:spPr>
            <a:xfrm>
              <a:off x="12748426" y="6212394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BCB0D5FC-29E0-49D0-8B86-41937B74CD23}"/>
                </a:ext>
              </a:extLst>
            </xdr:cNvPr>
            <xdr:cNvSpPr txBox="1"/>
          </xdr:nvSpPr>
          <xdr:spPr>
            <a:xfrm>
              <a:off x="12748426" y="6212394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553536</xdr:colOff>
      <xdr:row>17</xdr:row>
      <xdr:rowOff>11435</xdr:rowOff>
    </xdr:from>
    <xdr:ext cx="2626846" cy="916849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6456" y="3044195"/>
          <a:ext cx="2626846" cy="916849"/>
        </a:xfrm>
        <a:prstGeom prst="rect">
          <a:avLst/>
        </a:prstGeom>
      </xdr:spPr>
    </xdr:pic>
    <xdr:clientData/>
  </xdr:oneCellAnchor>
  <xdr:oneCellAnchor>
    <xdr:from>
      <xdr:col>31</xdr:col>
      <xdr:colOff>9525</xdr:colOff>
      <xdr:row>10</xdr:row>
      <xdr:rowOff>28575</xdr:rowOff>
    </xdr:from>
    <xdr:ext cx="985548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00000000-0008-0000-0C00-000022000000}"/>
                </a:ext>
              </a:extLst>
            </xdr:cNvPr>
            <xdr:cNvSpPr txBox="1"/>
          </xdr:nvSpPr>
          <xdr:spPr>
            <a:xfrm rot="10800000" flipV="1">
              <a:off x="2101786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PH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</m:t>
                  </m:r>
                  <m:f>
                    <m:fPr>
                      <m:ctrlPr>
                        <a:rPr lang="en-PH" sz="12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14:m>
                <m:oMath xmlns:m="http://schemas.openxmlformats.org/officeDocument/2006/math">
                  <m:f>
                    <m:fPr>
                      <m:ctrlPr>
                        <a:rPr lang="en-PH" sz="120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700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46E1B956-3675-4EEA-A743-50BF81CE58E3}"/>
                </a:ext>
              </a:extLst>
            </xdr:cNvPr>
            <xdr:cNvSpPr txBox="1"/>
          </xdr:nvSpPr>
          <xdr:spPr>
            <a:xfrm rot="10800000" flipV="1">
              <a:off x="2101786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𝐿/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/700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553536</xdr:colOff>
      <xdr:row>17</xdr:row>
      <xdr:rowOff>11435</xdr:rowOff>
    </xdr:from>
    <xdr:ext cx="2626846" cy="916849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12196" y="3044195"/>
          <a:ext cx="2626846" cy="916849"/>
        </a:xfrm>
        <a:prstGeom prst="rect">
          <a:avLst/>
        </a:prstGeom>
      </xdr:spPr>
    </xdr:pic>
    <xdr:clientData/>
  </xdr:oneCellAnchor>
  <xdr:oneCellAnchor>
    <xdr:from>
      <xdr:col>38</xdr:col>
      <xdr:colOff>295275</xdr:colOff>
      <xdr:row>31</xdr:row>
      <xdr:rowOff>157162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 txBox="1"/>
      </xdr:nvSpPr>
      <xdr:spPr>
        <a:xfrm>
          <a:off x="26073735" y="559784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38</xdr:col>
      <xdr:colOff>38100</xdr:colOff>
      <xdr:row>29</xdr:row>
      <xdr:rowOff>19051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00000000-0008-0000-0C00-000025000000}"/>
                </a:ext>
              </a:extLst>
            </xdr:cNvPr>
            <xdr:cNvSpPr txBox="1"/>
          </xdr:nvSpPr>
          <xdr:spPr>
            <a:xfrm>
              <a:off x="2581656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PH" sz="1100" b="0" i="1">
                          <a:latin typeface="Cambria Math" panose="02040503050406030204" pitchFamily="18" charset="0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𝑓𝑦</m:t>
                      </m:r>
                    </m:den>
                  </m:f>
                </m:oMath>
              </a14:m>
              <a:r>
                <a:rPr lang="en-PH" sz="1100"/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latin typeface="Cambria Math" panose="02040503050406030204" pitchFamily="18" charset="0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)</a:t>
              </a:r>
            </a:p>
          </xdr:txBody>
        </xdr:sp>
      </mc:Choice>
      <mc:Fallback xmlns="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8FC2EFE3-DF57-4628-9EAA-CF071EC83A50}"/>
                </a:ext>
              </a:extLst>
            </xdr:cNvPr>
            <xdr:cNvSpPr txBox="1"/>
          </xdr:nvSpPr>
          <xdr:spPr>
            <a:xfrm>
              <a:off x="25816560" y="5124451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0.85𝑓^′ 𝑐)/𝑓𝑦</a:t>
              </a:r>
              <a:r>
                <a:rPr lang="en-PH" sz="1100"/>
                <a:t>(1</a:t>
              </a:r>
              <a:r>
                <a:rPr lang="en-PH" sz="1100" b="0" i="0">
                  <a:latin typeface="Cambria Math" panose="02040503050406030204" pitchFamily="18" charset="0"/>
                </a:rPr>
                <a:t>−</a:t>
              </a:r>
              <a:r>
                <a:rPr lang="en-PH" sz="1100" i="0">
                  <a:latin typeface="Cambria Math" panose="02040503050406030204" pitchFamily="18" charset="0"/>
                </a:rPr>
                <a:t>√(</a:t>
              </a:r>
              <a:r>
                <a:rPr lang="en-PH" sz="1100" b="0" i="0">
                  <a:latin typeface="Cambria Math" panose="02040503050406030204" pitchFamily="18" charset="0"/>
                </a:rPr>
                <a:t>1−2𝑅𝑢/(0.85𝑓^′ 𝑐)  )</a:t>
              </a:r>
              <a:r>
                <a:rPr lang="en-PH" sz="1100"/>
                <a:t>)</a:t>
              </a:r>
            </a:p>
          </xdr:txBody>
        </xdr:sp>
      </mc:Fallback>
    </mc:AlternateContent>
    <xdr:clientData/>
  </xdr:oneCellAnchor>
  <xdr:oneCellAnchor>
    <xdr:from>
      <xdr:col>38</xdr:col>
      <xdr:colOff>295275</xdr:colOff>
      <xdr:row>32</xdr:row>
      <xdr:rowOff>157162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 txBox="1"/>
      </xdr:nvSpPr>
      <xdr:spPr>
        <a:xfrm>
          <a:off x="26073735" y="576548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38</xdr:col>
      <xdr:colOff>66261</xdr:colOff>
      <xdr:row>23</xdr:row>
      <xdr:rowOff>0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00000000-0008-0000-0C00-000027000000}"/>
                </a:ext>
              </a:extLst>
            </xdr:cNvPr>
            <xdr:cNvSpPr txBox="1"/>
          </xdr:nvSpPr>
          <xdr:spPr>
            <a:xfrm>
              <a:off x="2584472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79030E19-2723-485D-A902-7613E0B994FC}"/>
                </a:ext>
              </a:extLst>
            </xdr:cNvPr>
            <xdr:cNvSpPr txBox="1"/>
          </xdr:nvSpPr>
          <xdr:spPr>
            <a:xfrm>
              <a:off x="25844721" y="4076700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2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38</xdr:col>
      <xdr:colOff>0</xdr:colOff>
      <xdr:row>26</xdr:row>
      <xdr:rowOff>0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00000000-0008-0000-0C00-000028000000}"/>
                </a:ext>
              </a:extLst>
            </xdr:cNvPr>
            <xdr:cNvSpPr txBox="1"/>
          </xdr:nvSpPr>
          <xdr:spPr>
            <a:xfrm>
              <a:off x="2577846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PH" sz="1100" i="0">
                        <a:latin typeface="Cambria Math" panose="02040503050406030204" pitchFamily="18" charset="0"/>
                      </a:rPr>
                      <m:t>Ø</m:t>
                    </m:r>
                    <m:r>
                      <m:rPr>
                        <m:sty m:val="p"/>
                      </m:rPr>
                      <a:rPr lang="en-PH" sz="1100" i="0">
                        <a:latin typeface="Cambria Math" panose="02040503050406030204" pitchFamily="18" charset="0"/>
                      </a:rPr>
                      <m:t>Rub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PH" sz="1100" b="0" i="0">
                            <a:latin typeface="Cambria Math" panose="02040503050406030204" pitchFamily="18" charset="0"/>
                          </a:rPr>
                          <m:t>d</m:t>
                        </m:r>
                      </m:e>
                      <m:sup>
                        <m:r>
                          <a:rPr lang="en-PH" sz="1100" b="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 i="0">
                <a:latin typeface="Stylus BT" panose="020E0402020206020304" pitchFamily="34" charset="0"/>
              </a:endParaRPr>
            </a:p>
          </xdr:txBody>
        </xdr:sp>
      </mc:Choice>
      <mc:Fallback xmlns="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D8101ADD-BB7D-4CB4-BA14-A432F20ACCD3}"/>
                </a:ext>
              </a:extLst>
            </xdr:cNvPr>
            <xdr:cNvSpPr txBox="1"/>
          </xdr:nvSpPr>
          <xdr:spPr>
            <a:xfrm>
              <a:off x="25778460" y="4602480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ØRub</a:t>
              </a:r>
              <a:r>
                <a:rPr lang="en-PH" sz="1100" b="0" i="0">
                  <a:latin typeface="Cambria Math" panose="02040503050406030204" pitchFamily="18" charset="0"/>
                </a:rPr>
                <a:t>d^2</a:t>
              </a:r>
              <a:endParaRPr lang="en-PH" sz="1100" i="0">
                <a:latin typeface="Stylus BT" panose="020E0402020206020304" pitchFamily="34" charset="0"/>
              </a:endParaRPr>
            </a:p>
          </xdr:txBody>
        </xdr:sp>
      </mc:Fallback>
    </mc:AlternateContent>
    <xdr:clientData/>
  </xdr:oneCellAnchor>
  <xdr:oneCellAnchor>
    <xdr:from>
      <xdr:col>40</xdr:col>
      <xdr:colOff>0</xdr:colOff>
      <xdr:row>34</xdr:row>
      <xdr:rowOff>0</xdr:rowOff>
    </xdr:from>
    <xdr:ext cx="15494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00000000-0008-0000-0C00-000029000000}"/>
                </a:ext>
              </a:extLst>
            </xdr:cNvPr>
            <xdr:cNvSpPr txBox="1"/>
          </xdr:nvSpPr>
          <xdr:spPr>
            <a:xfrm>
              <a:off x="27028140" y="5943600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FA9B2DA2-C2C3-4458-A018-D31FDB91E268}"/>
                </a:ext>
              </a:extLst>
            </xdr:cNvPr>
            <xdr:cNvSpPr txBox="1"/>
          </xdr:nvSpPr>
          <xdr:spPr>
            <a:xfrm>
              <a:off x="27028140" y="5943600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43</xdr:col>
      <xdr:colOff>9525</xdr:colOff>
      <xdr:row>10</xdr:row>
      <xdr:rowOff>28575</xdr:rowOff>
    </xdr:from>
    <xdr:ext cx="985548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00000000-0008-0000-0C00-00002A000000}"/>
                </a:ext>
              </a:extLst>
            </xdr:cNvPr>
            <xdr:cNvSpPr txBox="1"/>
          </xdr:nvSpPr>
          <xdr:spPr>
            <a:xfrm rot="10800000" flipV="1">
              <a:off x="2891218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PH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</m:t>
                  </m:r>
                  <m:f>
                    <m:fPr>
                      <m:ctrlPr>
                        <a:rPr lang="en-PH" sz="12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14:m>
                <m:oMath xmlns:m="http://schemas.openxmlformats.org/officeDocument/2006/math">
                  <m:f>
                    <m:fPr>
                      <m:ctrlPr>
                        <a:rPr lang="en-PH" sz="120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700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422C5A5A-59EF-47B5-8246-D6F34A613F3B}"/>
                </a:ext>
              </a:extLst>
            </xdr:cNvPr>
            <xdr:cNvSpPr txBox="1"/>
          </xdr:nvSpPr>
          <xdr:spPr>
            <a:xfrm rot="10800000" flipV="1">
              <a:off x="28912185" y="1857375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𝐿/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/700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553536</xdr:colOff>
      <xdr:row>17</xdr:row>
      <xdr:rowOff>11435</xdr:rowOff>
    </xdr:from>
    <xdr:ext cx="2626846" cy="916849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06516" y="3044195"/>
          <a:ext cx="2626846" cy="916849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64</xdr:row>
      <xdr:rowOff>28575</xdr:rowOff>
    </xdr:from>
    <xdr:ext cx="985548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00000000-0008-0000-0C00-00002C000000}"/>
                </a:ext>
              </a:extLst>
            </xdr:cNvPr>
            <xdr:cNvSpPr txBox="1"/>
          </xdr:nvSpPr>
          <xdr:spPr>
            <a:xfrm rot="10800000" flipV="1">
              <a:off x="4553816" y="1912793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PH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</m:t>
                  </m:r>
                  <m:f>
                    <m:fPr>
                      <m:ctrlPr>
                        <a:rPr lang="en-PH" sz="12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24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14:m>
                <m:oMath xmlns:m="http://schemas.openxmlformats.org/officeDocument/2006/math">
                  <m:f>
                    <m:fPr>
                      <m:ctrlPr>
                        <a:rPr lang="en-PH" sz="120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700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0B395512-2269-474D-9393-A23CA23F46D3}"/>
                </a:ext>
              </a:extLst>
            </xdr:cNvPr>
            <xdr:cNvSpPr txBox="1"/>
          </xdr:nvSpPr>
          <xdr:spPr>
            <a:xfrm rot="10800000" flipV="1">
              <a:off x="4553816" y="1912793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𝐿/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24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/700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604934</xdr:colOff>
      <xdr:row>78</xdr:row>
      <xdr:rowOff>111384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SpPr txBox="1"/>
      </xdr:nvSpPr>
      <xdr:spPr>
        <a:xfrm>
          <a:off x="1214534" y="455869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</xdr:col>
      <xdr:colOff>0</xdr:colOff>
      <xdr:row>82</xdr:row>
      <xdr:rowOff>0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00000000-0008-0000-0C00-00002E000000}"/>
                </a:ext>
              </a:extLst>
            </xdr:cNvPr>
            <xdr:cNvSpPr txBox="1"/>
          </xdr:nvSpPr>
          <xdr:spPr>
            <a:xfrm>
              <a:off x="609600" y="5167745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5A06922F-060D-458A-8A96-AD6D3176A1F4}"/>
                </a:ext>
              </a:extLst>
            </xdr:cNvPr>
            <xdr:cNvSpPr txBox="1"/>
          </xdr:nvSpPr>
          <xdr:spPr>
            <a:xfrm>
              <a:off x="609600" y="5167745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𝑐)/𝑓𝑦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1−2𝑅𝑢/(0.85𝑓^′ 𝑐)  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7</xdr:col>
      <xdr:colOff>295275</xdr:colOff>
      <xdr:row>85</xdr:row>
      <xdr:rowOff>157162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C00-00002F000000}"/>
            </a:ext>
          </a:extLst>
        </xdr:cNvPr>
        <xdr:cNvSpPr txBox="1"/>
      </xdr:nvSpPr>
      <xdr:spPr>
        <a:xfrm>
          <a:off x="4839566" y="586523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7</xdr:col>
      <xdr:colOff>38100</xdr:colOff>
      <xdr:row>83</xdr:row>
      <xdr:rowOff>19051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Box 47">
              <a:extLst>
                <a:ext uri="{FF2B5EF4-FFF2-40B4-BE49-F238E27FC236}">
                  <a16:creationId xmlns:a16="http://schemas.microsoft.com/office/drawing/2014/main" id="{00000000-0008-0000-0C00-000030000000}"/>
                </a:ext>
              </a:extLst>
            </xdr:cNvPr>
            <xdr:cNvSpPr txBox="1"/>
          </xdr:nvSpPr>
          <xdr:spPr>
            <a:xfrm>
              <a:off x="4582391" y="5366906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PH" sz="1100" b="0" i="1">
                          <a:latin typeface="Cambria Math" panose="02040503050406030204" pitchFamily="18" charset="0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𝑓𝑦</m:t>
                      </m:r>
                    </m:den>
                  </m:f>
                </m:oMath>
              </a14:m>
              <a:r>
                <a:rPr lang="en-PH" sz="1100"/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latin typeface="Cambria Math" panose="02040503050406030204" pitchFamily="18" charset="0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)</a:t>
              </a:r>
            </a:p>
          </xdr:txBody>
        </xdr:sp>
      </mc:Choice>
      <mc:Fallback xmlns="">
        <xdr:sp macro="" textlink="">
          <xdr:nvSpPr>
            <xdr:cNvPr id="48" name="TextBox 47">
              <a:extLst>
                <a:ext uri="{FF2B5EF4-FFF2-40B4-BE49-F238E27FC236}">
                  <a16:creationId xmlns:a16="http://schemas.microsoft.com/office/drawing/2014/main" id="{5AF49D4A-3D51-444A-981E-A1FD82CDCF28}"/>
                </a:ext>
              </a:extLst>
            </xdr:cNvPr>
            <xdr:cNvSpPr txBox="1"/>
          </xdr:nvSpPr>
          <xdr:spPr>
            <a:xfrm>
              <a:off x="4582391" y="5366906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0.85𝑓^′ 𝑐)/𝑓𝑦</a:t>
              </a:r>
              <a:r>
                <a:rPr lang="en-PH" sz="1100"/>
                <a:t>(1</a:t>
              </a:r>
              <a:r>
                <a:rPr lang="en-PH" sz="1100" b="0" i="0">
                  <a:latin typeface="Cambria Math" panose="02040503050406030204" pitchFamily="18" charset="0"/>
                </a:rPr>
                <a:t>−</a:t>
              </a:r>
              <a:r>
                <a:rPr lang="en-PH" sz="1100" i="0">
                  <a:latin typeface="Cambria Math" panose="02040503050406030204" pitchFamily="18" charset="0"/>
                </a:rPr>
                <a:t>√(</a:t>
              </a:r>
              <a:r>
                <a:rPr lang="en-PH" sz="1100" b="0" i="0">
                  <a:latin typeface="Cambria Math" panose="02040503050406030204" pitchFamily="18" charset="0"/>
                </a:rPr>
                <a:t>1−2𝑅𝑢/(0.85𝑓^′ 𝑐)  )</a:t>
              </a:r>
              <a:r>
                <a:rPr lang="en-PH" sz="1100"/>
                <a:t>)</a:t>
              </a:r>
            </a:p>
          </xdr:txBody>
        </xdr:sp>
      </mc:Fallback>
    </mc:AlternateContent>
    <xdr:clientData/>
  </xdr:oneCellAnchor>
  <xdr:oneCellAnchor>
    <xdr:from>
      <xdr:col>7</xdr:col>
      <xdr:colOff>295275</xdr:colOff>
      <xdr:row>86</xdr:row>
      <xdr:rowOff>157162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C00-000031000000}"/>
            </a:ext>
          </a:extLst>
        </xdr:cNvPr>
        <xdr:cNvSpPr txBox="1"/>
      </xdr:nvSpPr>
      <xdr:spPr>
        <a:xfrm>
          <a:off x="4839566" y="604534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</xdr:col>
      <xdr:colOff>180561</xdr:colOff>
      <xdr:row>77</xdr:row>
      <xdr:rowOff>10767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00000000-0008-0000-0C00-000032000000}"/>
                </a:ext>
              </a:extLst>
            </xdr:cNvPr>
            <xdr:cNvSpPr txBox="1"/>
          </xdr:nvSpPr>
          <xdr:spPr>
            <a:xfrm>
              <a:off x="790161" y="4264112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14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AE3667E9-4429-4165-B7AD-7CC47A2D7D98}"/>
                </a:ext>
              </a:extLst>
            </xdr:cNvPr>
            <xdr:cNvSpPr txBox="1"/>
          </xdr:nvSpPr>
          <xdr:spPr>
            <a:xfrm>
              <a:off x="790161" y="4264112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14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</xdr:col>
      <xdr:colOff>48039</xdr:colOff>
      <xdr:row>79</xdr:row>
      <xdr:rowOff>19051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00000000-0008-0000-0C00-000033000000}"/>
                </a:ext>
              </a:extLst>
            </xdr:cNvPr>
            <xdr:cNvSpPr txBox="1"/>
          </xdr:nvSpPr>
          <xdr:spPr>
            <a:xfrm>
              <a:off x="657639" y="4646469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Ø</m:t>
                    </m:r>
                    <m:r>
                      <a:rPr lang="en-PH" sz="1100" i="1">
                        <a:latin typeface="Cambria Math" panose="02040503050406030204" pitchFamily="18" charset="0"/>
                      </a:rPr>
                      <m:t>𝑅𝑢𝑏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p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FA26E472-B43A-47CF-ACD5-3218F699CE41}"/>
                </a:ext>
              </a:extLst>
            </xdr:cNvPr>
            <xdr:cNvSpPr txBox="1"/>
          </xdr:nvSpPr>
          <xdr:spPr>
            <a:xfrm>
              <a:off x="657639" y="4646469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Ø𝑅𝑢𝑏</a:t>
              </a:r>
              <a:r>
                <a:rPr lang="en-PH" sz="1100" b="0" i="0">
                  <a:latin typeface="Cambria Math" panose="02040503050406030204" pitchFamily="18" charset="0"/>
                </a:rPr>
                <a:t>𝑑^2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7</xdr:col>
      <xdr:colOff>66261</xdr:colOff>
      <xdr:row>77</xdr:row>
      <xdr:rowOff>0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00000000-0008-0000-0C00-000034000000}"/>
                </a:ext>
              </a:extLst>
            </xdr:cNvPr>
            <xdr:cNvSpPr txBox="1"/>
          </xdr:nvSpPr>
          <xdr:spPr>
            <a:xfrm>
              <a:off x="4610552" y="4253345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10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4520468C-5711-41FC-985A-B3F9EDCE5211}"/>
                </a:ext>
              </a:extLst>
            </xdr:cNvPr>
            <xdr:cNvSpPr txBox="1"/>
          </xdr:nvSpPr>
          <xdr:spPr>
            <a:xfrm>
              <a:off x="4610552" y="4253345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10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7</xdr:col>
      <xdr:colOff>0</xdr:colOff>
      <xdr:row>80</xdr:row>
      <xdr:rowOff>0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Box 52">
              <a:extLst>
                <a:ext uri="{FF2B5EF4-FFF2-40B4-BE49-F238E27FC236}">
                  <a16:creationId xmlns:a16="http://schemas.microsoft.com/office/drawing/2014/main" id="{00000000-0008-0000-0C00-000035000000}"/>
                </a:ext>
              </a:extLst>
            </xdr:cNvPr>
            <xdr:cNvSpPr txBox="1"/>
          </xdr:nvSpPr>
          <xdr:spPr>
            <a:xfrm>
              <a:off x="4544291" y="4807527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PH" sz="1100" i="0">
                        <a:latin typeface="Cambria Math" panose="02040503050406030204" pitchFamily="18" charset="0"/>
                      </a:rPr>
                      <m:t>Ø</m:t>
                    </m:r>
                    <m:r>
                      <m:rPr>
                        <m:sty m:val="p"/>
                      </m:rPr>
                      <a:rPr lang="en-PH" sz="1100" i="0">
                        <a:latin typeface="Cambria Math" panose="02040503050406030204" pitchFamily="18" charset="0"/>
                      </a:rPr>
                      <m:t>Rub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PH" sz="1100" b="0" i="0">
                            <a:latin typeface="Cambria Math" panose="02040503050406030204" pitchFamily="18" charset="0"/>
                          </a:rPr>
                          <m:t>d</m:t>
                        </m:r>
                      </m:e>
                      <m:sup>
                        <m:r>
                          <a:rPr lang="en-PH" sz="1100" b="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 i="0">
                <a:latin typeface="Stylus BT" panose="020E0402020206020304" pitchFamily="34" charset="0"/>
              </a:endParaRPr>
            </a:p>
          </xdr:txBody>
        </xdr:sp>
      </mc:Choice>
      <mc:Fallback xmlns="">
        <xdr:sp macro="" textlink="">
          <xdr:nvSpPr>
            <xdr:cNvPr id="53" name="TextBox 52">
              <a:extLst>
                <a:ext uri="{FF2B5EF4-FFF2-40B4-BE49-F238E27FC236}">
                  <a16:creationId xmlns:a16="http://schemas.microsoft.com/office/drawing/2014/main" id="{39D1635E-1253-4577-8DFC-1C9F2D3DEA43}"/>
                </a:ext>
              </a:extLst>
            </xdr:cNvPr>
            <xdr:cNvSpPr txBox="1"/>
          </xdr:nvSpPr>
          <xdr:spPr>
            <a:xfrm>
              <a:off x="4544291" y="4807527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ØRub</a:t>
              </a:r>
              <a:r>
                <a:rPr lang="en-PH" sz="1100" b="0" i="0">
                  <a:latin typeface="Cambria Math" panose="02040503050406030204" pitchFamily="18" charset="0"/>
                </a:rPr>
                <a:t>d^2</a:t>
              </a:r>
              <a:endParaRPr lang="en-PH" sz="1100" i="0">
                <a:latin typeface="Stylus BT" panose="020E0402020206020304" pitchFamily="34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67163</xdr:colOff>
      <xdr:row>85</xdr:row>
      <xdr:rowOff>199361</xdr:rowOff>
    </xdr:from>
    <xdr:ext cx="208026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Box 53">
              <a:extLst>
                <a:ext uri="{FF2B5EF4-FFF2-40B4-BE49-F238E27FC236}">
                  <a16:creationId xmlns:a16="http://schemas.microsoft.com/office/drawing/2014/main" id="{00000000-0008-0000-0C00-000036000000}"/>
                </a:ext>
              </a:extLst>
            </xdr:cNvPr>
            <xdr:cNvSpPr txBox="1"/>
          </xdr:nvSpPr>
          <xdr:spPr>
            <a:xfrm>
              <a:off x="2173054" y="5892194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54" name="TextBox 53">
              <a:extLst>
                <a:ext uri="{FF2B5EF4-FFF2-40B4-BE49-F238E27FC236}">
                  <a16:creationId xmlns:a16="http://schemas.microsoft.com/office/drawing/2014/main" id="{1D22F14F-FECE-4C1C-81C2-971982AD9E3E}"/>
                </a:ext>
              </a:extLst>
            </xdr:cNvPr>
            <xdr:cNvSpPr txBox="1"/>
          </xdr:nvSpPr>
          <xdr:spPr>
            <a:xfrm>
              <a:off x="2173054" y="5892194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8</xdr:col>
      <xdr:colOff>462642</xdr:colOff>
      <xdr:row>87</xdr:row>
      <xdr:rowOff>163286</xdr:rowOff>
    </xdr:from>
    <xdr:ext cx="15494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Box 54">
              <a:extLst>
                <a:ext uri="{FF2B5EF4-FFF2-40B4-BE49-F238E27FC236}">
                  <a16:creationId xmlns:a16="http://schemas.microsoft.com/office/drawing/2014/main" id="{00000000-0008-0000-0C00-000037000000}"/>
                </a:ext>
              </a:extLst>
            </xdr:cNvPr>
            <xdr:cNvSpPr txBox="1"/>
          </xdr:nvSpPr>
          <xdr:spPr>
            <a:xfrm>
              <a:off x="5616533" y="6231577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55" name="TextBox 54">
              <a:extLst>
                <a:ext uri="{FF2B5EF4-FFF2-40B4-BE49-F238E27FC236}">
                  <a16:creationId xmlns:a16="http://schemas.microsoft.com/office/drawing/2014/main" id="{08BF4332-4F7B-4821-8CC5-17E41BBB1C85}"/>
                </a:ext>
              </a:extLst>
            </xdr:cNvPr>
            <xdr:cNvSpPr txBox="1"/>
          </xdr:nvSpPr>
          <xdr:spPr>
            <a:xfrm>
              <a:off x="5616533" y="6231577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534097</xdr:colOff>
      <xdr:row>70</xdr:row>
      <xdr:rowOff>128068</xdr:rowOff>
    </xdr:from>
    <xdr:ext cx="2626846" cy="916849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59188" y="3092941"/>
          <a:ext cx="2626846" cy="916849"/>
        </a:xfrm>
        <a:prstGeom prst="rect">
          <a:avLst/>
        </a:prstGeom>
      </xdr:spPr>
    </xdr:pic>
    <xdr:clientData/>
  </xdr:oneCellAnchor>
  <xdr:oneCellAnchor>
    <xdr:from>
      <xdr:col>19</xdr:col>
      <xdr:colOff>9525</xdr:colOff>
      <xdr:row>64</xdr:row>
      <xdr:rowOff>28575</xdr:rowOff>
    </xdr:from>
    <xdr:ext cx="985548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00000000-0008-0000-0C00-000039000000}"/>
                </a:ext>
              </a:extLst>
            </xdr:cNvPr>
            <xdr:cNvSpPr txBox="1"/>
          </xdr:nvSpPr>
          <xdr:spPr>
            <a:xfrm rot="10800000" flipV="1">
              <a:off x="12340070" y="1912793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PH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</m:t>
                  </m:r>
                  <m:f>
                    <m:fPr>
                      <m:ctrlPr>
                        <a:rPr lang="en-PH" sz="12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28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14:m>
                <m:oMath xmlns:m="http://schemas.openxmlformats.org/officeDocument/2006/math">
                  <m:f>
                    <m:fPr>
                      <m:ctrlPr>
                        <a:rPr lang="en-PH" sz="120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  <m:r>
                        <a:rPr lang="en-PH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num>
                    <m:den>
                      <m:r>
                        <a:rPr lang="en-PH" sz="12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700</m:t>
                      </m:r>
                    </m:den>
                  </m:f>
                </m:oMath>
              </a14:m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Choice>
      <mc:Fallback xmlns=""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EB22101D-24DF-49B0-9188-9C732C5C0DA5}"/>
                </a:ext>
              </a:extLst>
            </xdr:cNvPr>
            <xdr:cNvSpPr txBox="1"/>
          </xdr:nvSpPr>
          <xdr:spPr>
            <a:xfrm rot="10800000" flipV="1">
              <a:off x="12340070" y="1912793"/>
              <a:ext cx="985548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𝐿/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28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PH" sz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0.4 +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en-PH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PH" sz="12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/700</a:t>
              </a:r>
              <a:r>
                <a:rPr lang="en-PH" sz="120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</a:t>
              </a:r>
              <a:endParaRPr lang="en-PH" sz="1200">
                <a:effectLst/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mc:Fallback>
    </mc:AlternateContent>
    <xdr:clientData/>
  </xdr:oneCellAnchor>
  <xdr:oneCellAnchor>
    <xdr:from>
      <xdr:col>13</xdr:col>
      <xdr:colOff>604934</xdr:colOff>
      <xdr:row>78</xdr:row>
      <xdr:rowOff>111384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C00-00003A000000}"/>
            </a:ext>
          </a:extLst>
        </xdr:cNvPr>
        <xdr:cNvSpPr txBox="1"/>
      </xdr:nvSpPr>
      <xdr:spPr>
        <a:xfrm>
          <a:off x="9014643" y="455869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13</xdr:col>
      <xdr:colOff>0</xdr:colOff>
      <xdr:row>82</xdr:row>
      <xdr:rowOff>0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00000000-0008-0000-0C00-00003B000000}"/>
                </a:ext>
              </a:extLst>
            </xdr:cNvPr>
            <xdr:cNvSpPr txBox="1"/>
          </xdr:nvSpPr>
          <xdr:spPr>
            <a:xfrm>
              <a:off x="8409709" y="5167745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88076132-7ABD-45DF-9C89-D74263DFEB9B}"/>
                </a:ext>
              </a:extLst>
            </xdr:cNvPr>
            <xdr:cNvSpPr txBox="1"/>
          </xdr:nvSpPr>
          <xdr:spPr>
            <a:xfrm>
              <a:off x="8409709" y="5167745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𝑐)/𝑓𝑦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1−2𝑅𝑢/(0.85𝑓^′ 𝑐)  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19</xdr:col>
      <xdr:colOff>295275</xdr:colOff>
      <xdr:row>85</xdr:row>
      <xdr:rowOff>157162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SpPr txBox="1"/>
      </xdr:nvSpPr>
      <xdr:spPr>
        <a:xfrm>
          <a:off x="12625820" y="586523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19</xdr:col>
      <xdr:colOff>38100</xdr:colOff>
      <xdr:row>83</xdr:row>
      <xdr:rowOff>19051</xdr:rowOff>
    </xdr:from>
    <xdr:ext cx="146685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00000000-0008-0000-0C00-00003D000000}"/>
                </a:ext>
              </a:extLst>
            </xdr:cNvPr>
            <xdr:cNvSpPr txBox="1"/>
          </xdr:nvSpPr>
          <xdr:spPr>
            <a:xfrm>
              <a:off x="12368645" y="5366906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PH" sz="1100" b="0" i="1">
                          <a:latin typeface="Cambria Math" panose="02040503050406030204" pitchFamily="18" charset="0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𝑐</m:t>
                      </m:r>
                    </m:num>
                    <m:den>
                      <m:r>
                        <a:rPr lang="en-PH" sz="1100" b="0" i="1">
                          <a:latin typeface="Cambria Math" panose="02040503050406030204" pitchFamily="18" charset="0"/>
                        </a:rPr>
                        <m:t>𝑓𝑦</m:t>
                      </m:r>
                    </m:den>
                  </m:f>
                </m:oMath>
              </a14:m>
              <a:r>
                <a:rPr lang="en-PH" sz="1100"/>
                <a:t>(1</a:t>
              </a:r>
              <a14:m>
                <m:oMath xmlns:m="http://schemas.openxmlformats.org/officeDocument/2006/math">
                  <m:r>
                    <a:rPr lang="en-PH" sz="1100" b="0" i="0">
                      <a:latin typeface="Cambria Math" panose="02040503050406030204" pitchFamily="18" charset="0"/>
                    </a:rPr>
                    <m:t>−</m:t>
                  </m:r>
                  <m:rad>
                    <m:radPr>
                      <m:degHide m:val="on"/>
                      <m:ctrlPr>
                        <a:rPr lang="en-PH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en-PH" sz="1100" b="0" i="1"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en-PH" sz="11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𝑅𝑢</m:t>
                          </m:r>
                        </m:num>
                        <m:den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0.85</m:t>
                          </m:r>
                          <m:sSup>
                            <m:sSupPr>
                              <m:ctrlPr>
                                <a:rPr lang="en-PH" sz="1100" b="0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PH" sz="1100" b="0" i="1">
                                  <a:latin typeface="Cambria Math" panose="02040503050406030204" pitchFamily="18" charset="0"/>
                                </a:rPr>
                                <m:t>′</m:t>
                              </m:r>
                            </m:sup>
                          </m:sSup>
                          <m:r>
                            <a:rPr lang="en-PH" sz="1100" b="0" i="1">
                              <a:latin typeface="Cambria Math" panose="02040503050406030204" pitchFamily="18" charset="0"/>
                            </a:rPr>
                            <m:t>𝑐</m:t>
                          </m:r>
                        </m:den>
                      </m:f>
                      <m:r>
                        <a:rPr lang="en-PH" sz="11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)</a:t>
              </a: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B14A2E5F-0985-4ACD-9E8C-517075E84512}"/>
                </a:ext>
              </a:extLst>
            </xdr:cNvPr>
            <xdr:cNvSpPr txBox="1"/>
          </xdr:nvSpPr>
          <xdr:spPr>
            <a:xfrm>
              <a:off x="12368645" y="5366906"/>
              <a:ext cx="146685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0.85𝑓^′ 𝑐)/𝑓𝑦</a:t>
              </a:r>
              <a:r>
                <a:rPr lang="en-PH" sz="1100"/>
                <a:t>(1</a:t>
              </a:r>
              <a:r>
                <a:rPr lang="en-PH" sz="1100" b="0" i="0">
                  <a:latin typeface="Cambria Math" panose="02040503050406030204" pitchFamily="18" charset="0"/>
                </a:rPr>
                <a:t>−</a:t>
              </a:r>
              <a:r>
                <a:rPr lang="en-PH" sz="1100" i="0">
                  <a:latin typeface="Cambria Math" panose="02040503050406030204" pitchFamily="18" charset="0"/>
                </a:rPr>
                <a:t>√(</a:t>
              </a:r>
              <a:r>
                <a:rPr lang="en-PH" sz="1100" b="0" i="0">
                  <a:latin typeface="Cambria Math" panose="02040503050406030204" pitchFamily="18" charset="0"/>
                </a:rPr>
                <a:t>1−2𝑅𝑢/(0.85𝑓^′ 𝑐)  )</a:t>
              </a:r>
              <a:r>
                <a:rPr lang="en-PH" sz="1100"/>
                <a:t>)</a:t>
              </a:r>
            </a:p>
          </xdr:txBody>
        </xdr:sp>
      </mc:Fallback>
    </mc:AlternateContent>
    <xdr:clientData/>
  </xdr:oneCellAnchor>
  <xdr:oneCellAnchor>
    <xdr:from>
      <xdr:col>19</xdr:col>
      <xdr:colOff>295275</xdr:colOff>
      <xdr:row>86</xdr:row>
      <xdr:rowOff>157162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C00-00003E000000}"/>
            </a:ext>
          </a:extLst>
        </xdr:cNvPr>
        <xdr:cNvSpPr txBox="1"/>
      </xdr:nvSpPr>
      <xdr:spPr>
        <a:xfrm>
          <a:off x="12625820" y="604534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13</xdr:col>
      <xdr:colOff>180561</xdr:colOff>
      <xdr:row>77</xdr:row>
      <xdr:rowOff>10767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C00-00003F000000}"/>
                </a:ext>
              </a:extLst>
            </xdr:cNvPr>
            <xdr:cNvSpPr txBox="1"/>
          </xdr:nvSpPr>
          <xdr:spPr>
            <a:xfrm>
              <a:off x="8590270" y="4264112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14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91FAD8FE-52F3-4F35-8DF1-832782D37AFC}"/>
                </a:ext>
              </a:extLst>
            </xdr:cNvPr>
            <xdr:cNvSpPr txBox="1"/>
          </xdr:nvSpPr>
          <xdr:spPr>
            <a:xfrm>
              <a:off x="8590270" y="4264112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14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13</xdr:col>
      <xdr:colOff>48039</xdr:colOff>
      <xdr:row>79</xdr:row>
      <xdr:rowOff>19051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Box 63">
              <a:extLst>
                <a:ext uri="{FF2B5EF4-FFF2-40B4-BE49-F238E27FC236}">
                  <a16:creationId xmlns:a16="http://schemas.microsoft.com/office/drawing/2014/main" id="{00000000-0008-0000-0C00-000040000000}"/>
                </a:ext>
              </a:extLst>
            </xdr:cNvPr>
            <xdr:cNvSpPr txBox="1"/>
          </xdr:nvSpPr>
          <xdr:spPr>
            <a:xfrm>
              <a:off x="8457748" y="4646469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Ø</m:t>
                    </m:r>
                    <m:r>
                      <a:rPr lang="en-PH" sz="1100" i="1">
                        <a:latin typeface="Cambria Math" panose="02040503050406030204" pitchFamily="18" charset="0"/>
                      </a:rPr>
                      <m:t>𝑅𝑢𝑏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p>
                        <m:r>
                          <a:rPr lang="en-PH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64" name="TextBox 63">
              <a:extLst>
                <a:ext uri="{FF2B5EF4-FFF2-40B4-BE49-F238E27FC236}">
                  <a16:creationId xmlns:a16="http://schemas.microsoft.com/office/drawing/2014/main" id="{E7500FA9-6A69-4482-AADA-D89CAD97044B}"/>
                </a:ext>
              </a:extLst>
            </xdr:cNvPr>
            <xdr:cNvSpPr txBox="1"/>
          </xdr:nvSpPr>
          <xdr:spPr>
            <a:xfrm>
              <a:off x="8457748" y="4646469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Ø𝑅𝑢𝑏</a:t>
              </a:r>
              <a:r>
                <a:rPr lang="en-PH" sz="1100" b="0" i="0">
                  <a:latin typeface="Cambria Math" panose="02040503050406030204" pitchFamily="18" charset="0"/>
                </a:rPr>
                <a:t>𝑑^2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19</xdr:col>
      <xdr:colOff>66261</xdr:colOff>
      <xdr:row>77</xdr:row>
      <xdr:rowOff>0</xdr:rowOff>
    </xdr:from>
    <xdr:ext cx="342210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00000000-0008-0000-0C00-000041000000}"/>
                </a:ext>
              </a:extLst>
            </xdr:cNvPr>
            <xdr:cNvSpPr txBox="1"/>
          </xdr:nvSpPr>
          <xdr:spPr>
            <a:xfrm>
              <a:off x="12396806" y="4253345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𝑊</m:t>
                            </m:r>
                          </m:e>
                          <m:sub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𝑢</m:t>
                            </m:r>
                          </m:sub>
                        </m:sSub>
                        <m:sSup>
                          <m:sSupPr>
                            <m:ctrlPr>
                              <a:rPr lang="en-PH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p>
                            <m:r>
                              <a:rPr lang="en-PH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10</m:t>
                        </m:r>
                      </m:den>
                    </m:f>
                  </m:oMath>
                </m:oMathPara>
              </a14:m>
              <a:endParaRPr lang="en-PH" sz="1100"/>
            </a:p>
          </xdr:txBody>
        </xdr:sp>
      </mc:Choice>
      <mc:Fallback xmlns="">
        <xdr:sp macro="" textlink="">
          <xdr:nvSpPr>
            <xdr:cNvPr id="65" name="TextBox 64">
              <a:extLst>
                <a:ext uri="{FF2B5EF4-FFF2-40B4-BE49-F238E27FC236}">
                  <a16:creationId xmlns:a16="http://schemas.microsoft.com/office/drawing/2014/main" id="{805B992F-51A7-434E-9DCC-877888DC96FC}"/>
                </a:ext>
              </a:extLst>
            </xdr:cNvPr>
            <xdr:cNvSpPr txBox="1"/>
          </xdr:nvSpPr>
          <xdr:spPr>
            <a:xfrm>
              <a:off x="12396806" y="4253345"/>
              <a:ext cx="342210" cy="3386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(</a:t>
              </a:r>
              <a:r>
                <a:rPr lang="en-PH" sz="1100" b="0" i="0">
                  <a:latin typeface="Cambria Math" panose="02040503050406030204" pitchFamily="18" charset="0"/>
                </a:rPr>
                <a:t>𝑊_𝑢 𝐿^2)/</a:t>
              </a:r>
              <a:r>
                <a:rPr lang="en-US" sz="1100" b="0" i="0">
                  <a:latin typeface="Cambria Math" panose="02040503050406030204" pitchFamily="18" charset="0"/>
                </a:rPr>
                <a:t>10</a:t>
              </a:r>
              <a:endParaRPr lang="en-PH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80</xdr:row>
      <xdr:rowOff>0</xdr:rowOff>
    </xdr:from>
    <xdr:ext cx="55662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00000000-0008-0000-0C00-000042000000}"/>
                </a:ext>
              </a:extLst>
            </xdr:cNvPr>
            <xdr:cNvSpPr txBox="1"/>
          </xdr:nvSpPr>
          <xdr:spPr>
            <a:xfrm>
              <a:off x="12330545" y="4807527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PH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PH" sz="1100" i="0">
                        <a:latin typeface="Cambria Math" panose="02040503050406030204" pitchFamily="18" charset="0"/>
                      </a:rPr>
                      <m:t>Ø</m:t>
                    </m:r>
                    <m:r>
                      <m:rPr>
                        <m:sty m:val="p"/>
                      </m:rPr>
                      <a:rPr lang="en-PH" sz="1100" i="0">
                        <a:latin typeface="Cambria Math" panose="02040503050406030204" pitchFamily="18" charset="0"/>
                      </a:rPr>
                      <m:t>Rub</m:t>
                    </m:r>
                    <m:sSup>
                      <m:sSupPr>
                        <m:ctrlPr>
                          <a:rPr lang="en-PH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sty m:val="p"/>
                          </m:rPr>
                          <a:rPr lang="en-PH" sz="1100" b="0" i="0">
                            <a:latin typeface="Cambria Math" panose="02040503050406030204" pitchFamily="18" charset="0"/>
                          </a:rPr>
                          <m:t>d</m:t>
                        </m:r>
                      </m:e>
                      <m:sup>
                        <m:r>
                          <a:rPr lang="en-PH" sz="1100" b="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PH" sz="1100" i="0">
                <a:latin typeface="Stylus BT" panose="020E0402020206020304" pitchFamily="34" charset="0"/>
              </a:endParaRPr>
            </a:p>
          </xdr:txBody>
        </xdr:sp>
      </mc:Choice>
      <mc:Fallback xmlns=""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D0281592-5953-43F9-86E3-C922F9CBC806}"/>
                </a:ext>
              </a:extLst>
            </xdr:cNvPr>
            <xdr:cNvSpPr txBox="1"/>
          </xdr:nvSpPr>
          <xdr:spPr>
            <a:xfrm>
              <a:off x="12330545" y="4807527"/>
              <a:ext cx="55662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PH" sz="1100" i="0">
                  <a:latin typeface="Cambria Math" panose="02040503050406030204" pitchFamily="18" charset="0"/>
                </a:rPr>
                <a:t> ØRub</a:t>
              </a:r>
              <a:r>
                <a:rPr lang="en-PH" sz="1100" b="0" i="0">
                  <a:latin typeface="Cambria Math" panose="02040503050406030204" pitchFamily="18" charset="0"/>
                </a:rPr>
                <a:t>d^2</a:t>
              </a:r>
              <a:endParaRPr lang="en-PH" sz="1100" i="0">
                <a:latin typeface="Stylus BT" panose="020E0402020206020304" pitchFamily="34" charset="0"/>
              </a:endParaRPr>
            </a:p>
          </xdr:txBody>
        </xdr:sp>
      </mc:Fallback>
    </mc:AlternateContent>
    <xdr:clientData/>
  </xdr:oneCellAnchor>
  <xdr:oneCellAnchor>
    <xdr:from>
      <xdr:col>15</xdr:col>
      <xdr:colOff>67163</xdr:colOff>
      <xdr:row>85</xdr:row>
      <xdr:rowOff>199361</xdr:rowOff>
    </xdr:from>
    <xdr:ext cx="208026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0C00-000043000000}"/>
                </a:ext>
              </a:extLst>
            </xdr:cNvPr>
            <xdr:cNvSpPr txBox="1"/>
          </xdr:nvSpPr>
          <xdr:spPr>
            <a:xfrm>
              <a:off x="9959308" y="5892194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D5A07578-49E8-4E53-A9C4-A1D6429B4E4E}"/>
                </a:ext>
              </a:extLst>
            </xdr:cNvPr>
            <xdr:cNvSpPr txBox="1"/>
          </xdr:nvSpPr>
          <xdr:spPr>
            <a:xfrm>
              <a:off x="9959308" y="5892194"/>
              <a:ext cx="208026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20</xdr:col>
      <xdr:colOff>556426</xdr:colOff>
      <xdr:row>87</xdr:row>
      <xdr:rowOff>139840</xdr:rowOff>
    </xdr:from>
    <xdr:ext cx="15494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Box 67">
              <a:extLst>
                <a:ext uri="{FF2B5EF4-FFF2-40B4-BE49-F238E27FC236}">
                  <a16:creationId xmlns:a16="http://schemas.microsoft.com/office/drawing/2014/main" id="{00000000-0008-0000-0C00-000044000000}"/>
                </a:ext>
              </a:extLst>
            </xdr:cNvPr>
            <xdr:cNvSpPr txBox="1"/>
          </xdr:nvSpPr>
          <xdr:spPr>
            <a:xfrm>
              <a:off x="13496571" y="6208131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.003+(</m:t>
                      </m:r>
                      <m:f>
                        <m:f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𝑓𝑦</m:t>
                          </m:r>
                        </m:num>
                        <m:den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200000</m:t>
                          </m:r>
                        </m:den>
                      </m:f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.008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0.85</m:t>
                      </m:r>
                      <m:sSup>
                        <m:sSupPr>
                          <m:ctrlP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PH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(600)</m:t>
                      </m:r>
                    </m:num>
                    <m:den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(600+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𝑓𝑦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den>
                  </m:f>
                </m:oMath>
              </a14:m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68" name="TextBox 67">
              <a:extLst>
                <a:ext uri="{FF2B5EF4-FFF2-40B4-BE49-F238E27FC236}">
                  <a16:creationId xmlns:a16="http://schemas.microsoft.com/office/drawing/2014/main" id="{B636DA87-E7C4-49D1-83F3-648E19DDC665}"/>
                </a:ext>
              </a:extLst>
            </xdr:cNvPr>
            <xdr:cNvSpPr txBox="1"/>
          </xdr:nvSpPr>
          <xdr:spPr>
            <a:xfrm>
              <a:off x="13496571" y="6208131"/>
              <a:ext cx="15494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.003+(𝑓𝑦/200000)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.008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𝐵(600)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(600+𝑓𝑦)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P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553536</xdr:colOff>
      <xdr:row>71</xdr:row>
      <xdr:rowOff>11435</xdr:rowOff>
    </xdr:from>
    <xdr:ext cx="2626846" cy="916849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C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64881" y="3170271"/>
          <a:ext cx="2626846" cy="916849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13</xdr:row>
      <xdr:rowOff>13335</xdr:rowOff>
    </xdr:from>
    <xdr:to>
      <xdr:col>1</xdr:col>
      <xdr:colOff>327660</xdr:colOff>
      <xdr:row>14</xdr:row>
      <xdr:rowOff>158115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" y="2634615"/>
          <a:ext cx="655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297180</xdr:colOff>
      <xdr:row>16</xdr:row>
      <xdr:rowOff>5715</xdr:rowOff>
    </xdr:from>
    <xdr:to>
      <xdr:col>1</xdr:col>
      <xdr:colOff>480060</xdr:colOff>
      <xdr:row>17</xdr:row>
      <xdr:rowOff>150495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3175635"/>
          <a:ext cx="8458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13</xdr:row>
      <xdr:rowOff>106680</xdr:rowOff>
    </xdr:from>
    <xdr:to>
      <xdr:col>6</xdr:col>
      <xdr:colOff>381000</xdr:colOff>
      <xdr:row>14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060" y="2727960"/>
          <a:ext cx="102108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16</xdr:row>
      <xdr:rowOff>45720</xdr:rowOff>
    </xdr:from>
    <xdr:to>
      <xdr:col>6</xdr:col>
      <xdr:colOff>426720</xdr:colOff>
      <xdr:row>18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060" y="3215640"/>
          <a:ext cx="1066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312420</xdr:colOff>
      <xdr:row>11</xdr:row>
      <xdr:rowOff>20955</xdr:rowOff>
    </xdr:from>
    <xdr:to>
      <xdr:col>1</xdr:col>
      <xdr:colOff>403860</xdr:colOff>
      <xdr:row>12</xdr:row>
      <xdr:rowOff>97155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2276475"/>
          <a:ext cx="7543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11</xdr:row>
      <xdr:rowOff>83820</xdr:rowOff>
    </xdr:from>
    <xdr:to>
      <xdr:col>7</xdr:col>
      <xdr:colOff>541020</xdr:colOff>
      <xdr:row>12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260" y="2339340"/>
          <a:ext cx="179832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335280</xdr:colOff>
      <xdr:row>40</xdr:row>
      <xdr:rowOff>13335</xdr:rowOff>
    </xdr:from>
    <xdr:to>
      <xdr:col>1</xdr:col>
      <xdr:colOff>327660</xdr:colOff>
      <xdr:row>41</xdr:row>
      <xdr:rowOff>158115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2540" y="2634615"/>
          <a:ext cx="601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297180</xdr:colOff>
      <xdr:row>43</xdr:row>
      <xdr:rowOff>5715</xdr:rowOff>
    </xdr:from>
    <xdr:to>
      <xdr:col>1</xdr:col>
      <xdr:colOff>480060</xdr:colOff>
      <xdr:row>44</xdr:row>
      <xdr:rowOff>150495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440" y="3175635"/>
          <a:ext cx="792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40</xdr:row>
      <xdr:rowOff>106680</xdr:rowOff>
    </xdr:from>
    <xdr:to>
      <xdr:col>6</xdr:col>
      <xdr:colOff>381000</xdr:colOff>
      <xdr:row>41</xdr:row>
      <xdr:rowOff>99060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4420" y="2727960"/>
          <a:ext cx="104394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43</xdr:row>
      <xdr:rowOff>45720</xdr:rowOff>
    </xdr:from>
    <xdr:to>
      <xdr:col>6</xdr:col>
      <xdr:colOff>426720</xdr:colOff>
      <xdr:row>45</xdr:row>
      <xdr:rowOff>7620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4420" y="3215640"/>
          <a:ext cx="1089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312420</xdr:colOff>
      <xdr:row>38</xdr:row>
      <xdr:rowOff>20955</xdr:rowOff>
    </xdr:from>
    <xdr:to>
      <xdr:col>1</xdr:col>
      <xdr:colOff>403860</xdr:colOff>
      <xdr:row>39</xdr:row>
      <xdr:rowOff>97155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9680" y="2276475"/>
          <a:ext cx="701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38</xdr:row>
      <xdr:rowOff>83820</xdr:rowOff>
    </xdr:from>
    <xdr:to>
      <xdr:col>7</xdr:col>
      <xdr:colOff>541020</xdr:colOff>
      <xdr:row>39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0620" y="2339340"/>
          <a:ext cx="180594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335280</xdr:colOff>
      <xdr:row>67</xdr:row>
      <xdr:rowOff>13335</xdr:rowOff>
    </xdr:from>
    <xdr:to>
      <xdr:col>1</xdr:col>
      <xdr:colOff>327660</xdr:colOff>
      <xdr:row>68</xdr:row>
      <xdr:rowOff>158115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8420" y="2634615"/>
          <a:ext cx="601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297180</xdr:colOff>
      <xdr:row>70</xdr:row>
      <xdr:rowOff>5715</xdr:rowOff>
    </xdr:from>
    <xdr:to>
      <xdr:col>1</xdr:col>
      <xdr:colOff>480060</xdr:colOff>
      <xdr:row>71</xdr:row>
      <xdr:rowOff>150495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00320" y="3175635"/>
          <a:ext cx="792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67</xdr:row>
      <xdr:rowOff>106680</xdr:rowOff>
    </xdr:from>
    <xdr:to>
      <xdr:col>6</xdr:col>
      <xdr:colOff>381000</xdr:colOff>
      <xdr:row>68</xdr:row>
      <xdr:rowOff>99060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780" y="2727960"/>
          <a:ext cx="100584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70</xdr:row>
      <xdr:rowOff>45720</xdr:rowOff>
    </xdr:from>
    <xdr:to>
      <xdr:col>6</xdr:col>
      <xdr:colOff>426720</xdr:colOff>
      <xdr:row>72</xdr:row>
      <xdr:rowOff>7620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780" y="3215640"/>
          <a:ext cx="1051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312420</xdr:colOff>
      <xdr:row>65</xdr:row>
      <xdr:rowOff>20955</xdr:rowOff>
    </xdr:from>
    <xdr:to>
      <xdr:col>1</xdr:col>
      <xdr:colOff>403860</xdr:colOff>
      <xdr:row>66</xdr:row>
      <xdr:rowOff>97155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5560" y="2276475"/>
          <a:ext cx="701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228600</xdr:colOff>
      <xdr:row>65</xdr:row>
      <xdr:rowOff>83820</xdr:rowOff>
    </xdr:from>
    <xdr:to>
      <xdr:col>7</xdr:col>
      <xdr:colOff>541020</xdr:colOff>
      <xdr:row>66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6980" y="2339340"/>
          <a:ext cx="169926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335280</xdr:colOff>
      <xdr:row>13</xdr:row>
      <xdr:rowOff>13335</xdr:rowOff>
    </xdr:from>
    <xdr:to>
      <xdr:col>14</xdr:col>
      <xdr:colOff>327660</xdr:colOff>
      <xdr:row>14</xdr:row>
      <xdr:rowOff>158115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" y="8082915"/>
          <a:ext cx="655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297180</xdr:colOff>
      <xdr:row>16</xdr:row>
      <xdr:rowOff>5715</xdr:rowOff>
    </xdr:from>
    <xdr:to>
      <xdr:col>14</xdr:col>
      <xdr:colOff>480060</xdr:colOff>
      <xdr:row>17</xdr:row>
      <xdr:rowOff>150495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8623935"/>
          <a:ext cx="8458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152400</xdr:colOff>
      <xdr:row>13</xdr:row>
      <xdr:rowOff>106680</xdr:rowOff>
    </xdr:from>
    <xdr:to>
      <xdr:col>19</xdr:col>
      <xdr:colOff>381000</xdr:colOff>
      <xdr:row>14</xdr:row>
      <xdr:rowOff>99060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060" y="8176260"/>
          <a:ext cx="102108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152400</xdr:colOff>
      <xdr:row>16</xdr:row>
      <xdr:rowOff>45720</xdr:rowOff>
    </xdr:from>
    <xdr:to>
      <xdr:col>19</xdr:col>
      <xdr:colOff>426720</xdr:colOff>
      <xdr:row>18</xdr:row>
      <xdr:rowOff>7620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060" y="8663940"/>
          <a:ext cx="1066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312420</xdr:colOff>
      <xdr:row>11</xdr:row>
      <xdr:rowOff>20955</xdr:rowOff>
    </xdr:from>
    <xdr:to>
      <xdr:col>14</xdr:col>
      <xdr:colOff>403860</xdr:colOff>
      <xdr:row>12</xdr:row>
      <xdr:rowOff>97155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7724775"/>
          <a:ext cx="7543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228600</xdr:colOff>
      <xdr:row>11</xdr:row>
      <xdr:rowOff>83820</xdr:rowOff>
    </xdr:from>
    <xdr:to>
      <xdr:col>20</xdr:col>
      <xdr:colOff>541020</xdr:colOff>
      <xdr:row>12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260" y="7787640"/>
          <a:ext cx="179832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335280</xdr:colOff>
      <xdr:row>40</xdr:row>
      <xdr:rowOff>13335</xdr:rowOff>
    </xdr:from>
    <xdr:to>
      <xdr:col>14</xdr:col>
      <xdr:colOff>327660</xdr:colOff>
      <xdr:row>41</xdr:row>
      <xdr:rowOff>158115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2540" y="8082915"/>
          <a:ext cx="601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297180</xdr:colOff>
      <xdr:row>43</xdr:row>
      <xdr:rowOff>5715</xdr:rowOff>
    </xdr:from>
    <xdr:to>
      <xdr:col>14</xdr:col>
      <xdr:colOff>480060</xdr:colOff>
      <xdr:row>44</xdr:row>
      <xdr:rowOff>150495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440" y="8623935"/>
          <a:ext cx="792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152400</xdr:colOff>
      <xdr:row>40</xdr:row>
      <xdr:rowOff>106680</xdr:rowOff>
    </xdr:from>
    <xdr:to>
      <xdr:col>19</xdr:col>
      <xdr:colOff>381000</xdr:colOff>
      <xdr:row>41</xdr:row>
      <xdr:rowOff>99060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4420" y="8176260"/>
          <a:ext cx="104394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152400</xdr:colOff>
      <xdr:row>43</xdr:row>
      <xdr:rowOff>45720</xdr:rowOff>
    </xdr:from>
    <xdr:to>
      <xdr:col>19</xdr:col>
      <xdr:colOff>426720</xdr:colOff>
      <xdr:row>45</xdr:row>
      <xdr:rowOff>7620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4420" y="8663940"/>
          <a:ext cx="1089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312420</xdr:colOff>
      <xdr:row>38</xdr:row>
      <xdr:rowOff>20955</xdr:rowOff>
    </xdr:from>
    <xdr:to>
      <xdr:col>14</xdr:col>
      <xdr:colOff>403860</xdr:colOff>
      <xdr:row>39</xdr:row>
      <xdr:rowOff>97155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9680" y="7724775"/>
          <a:ext cx="701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228600</xdr:colOff>
      <xdr:row>38</xdr:row>
      <xdr:rowOff>83820</xdr:rowOff>
    </xdr:from>
    <xdr:to>
      <xdr:col>20</xdr:col>
      <xdr:colOff>541020</xdr:colOff>
      <xdr:row>39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0620" y="7787640"/>
          <a:ext cx="180594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335280</xdr:colOff>
      <xdr:row>67</xdr:row>
      <xdr:rowOff>13335</xdr:rowOff>
    </xdr:from>
    <xdr:to>
      <xdr:col>14</xdr:col>
      <xdr:colOff>327660</xdr:colOff>
      <xdr:row>68</xdr:row>
      <xdr:rowOff>158115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8420" y="8082915"/>
          <a:ext cx="601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297180</xdr:colOff>
      <xdr:row>70</xdr:row>
      <xdr:rowOff>5715</xdr:rowOff>
    </xdr:from>
    <xdr:to>
      <xdr:col>14</xdr:col>
      <xdr:colOff>480060</xdr:colOff>
      <xdr:row>71</xdr:row>
      <xdr:rowOff>150495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00320" y="8623935"/>
          <a:ext cx="7924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152400</xdr:colOff>
      <xdr:row>67</xdr:row>
      <xdr:rowOff>106680</xdr:rowOff>
    </xdr:from>
    <xdr:to>
      <xdr:col>19</xdr:col>
      <xdr:colOff>381000</xdr:colOff>
      <xdr:row>68</xdr:row>
      <xdr:rowOff>99060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780" y="8176260"/>
          <a:ext cx="100584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152400</xdr:colOff>
      <xdr:row>70</xdr:row>
      <xdr:rowOff>45720</xdr:rowOff>
    </xdr:from>
    <xdr:to>
      <xdr:col>19</xdr:col>
      <xdr:colOff>426720</xdr:colOff>
      <xdr:row>72</xdr:row>
      <xdr:rowOff>7620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780" y="8663940"/>
          <a:ext cx="1051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312420</xdr:colOff>
      <xdr:row>65</xdr:row>
      <xdr:rowOff>20955</xdr:rowOff>
    </xdr:from>
    <xdr:to>
      <xdr:col>14</xdr:col>
      <xdr:colOff>403860</xdr:colOff>
      <xdr:row>66</xdr:row>
      <xdr:rowOff>97155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5560" y="7724775"/>
          <a:ext cx="7010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228600</xdr:colOff>
      <xdr:row>65</xdr:row>
      <xdr:rowOff>83820</xdr:rowOff>
    </xdr:from>
    <xdr:to>
      <xdr:col>20</xdr:col>
      <xdr:colOff>541020</xdr:colOff>
      <xdr:row>66</xdr:row>
      <xdr:rowOff>76200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6980" y="7787640"/>
          <a:ext cx="169926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518795</xdr:colOff>
      <xdr:row>5</xdr:row>
      <xdr:rowOff>11206</xdr:rowOff>
    </xdr:from>
    <xdr:to>
      <xdr:col>3</xdr:col>
      <xdr:colOff>499223</xdr:colOff>
      <xdr:row>5</xdr:row>
      <xdr:rowOff>11206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CxnSpPr/>
      </xdr:nvCxnSpPr>
      <xdr:spPr>
        <a:xfrm>
          <a:off x="2423795" y="1253266"/>
          <a:ext cx="1245348" cy="0"/>
        </a:xfrm>
        <a:prstGeom prst="straightConnector1">
          <a:avLst/>
        </a:prstGeom>
        <a:ln w="28575"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518795</xdr:colOff>
      <xdr:row>19</xdr:row>
      <xdr:rowOff>0</xdr:rowOff>
    </xdr:from>
    <xdr:to>
      <xdr:col>3</xdr:col>
      <xdr:colOff>518795</xdr:colOff>
      <xdr:row>19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CxnSpPr/>
      </xdr:nvCxnSpPr>
      <xdr:spPr>
        <a:xfrm>
          <a:off x="2423795" y="3710940"/>
          <a:ext cx="1264920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582706</xdr:colOff>
      <xdr:row>12</xdr:row>
      <xdr:rowOff>8965</xdr:rowOff>
    </xdr:from>
    <xdr:to>
      <xdr:col>3</xdr:col>
      <xdr:colOff>582706</xdr:colOff>
      <xdr:row>12</xdr:row>
      <xdr:rowOff>8965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CxnSpPr/>
      </xdr:nvCxnSpPr>
      <xdr:spPr>
        <a:xfrm>
          <a:off x="2487706" y="2485465"/>
          <a:ext cx="1264920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518795</xdr:colOff>
      <xdr:row>34</xdr:row>
      <xdr:rowOff>11206</xdr:rowOff>
    </xdr:from>
    <xdr:to>
      <xdr:col>3</xdr:col>
      <xdr:colOff>499223</xdr:colOff>
      <xdr:row>34</xdr:row>
      <xdr:rowOff>11206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CxnSpPr/>
      </xdr:nvCxnSpPr>
      <xdr:spPr>
        <a:xfrm>
          <a:off x="2423795" y="6556786"/>
          <a:ext cx="124534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518795</xdr:colOff>
      <xdr:row>48</xdr:row>
      <xdr:rowOff>0</xdr:rowOff>
    </xdr:from>
    <xdr:to>
      <xdr:col>3</xdr:col>
      <xdr:colOff>518795</xdr:colOff>
      <xdr:row>48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CxnSpPr/>
      </xdr:nvCxnSpPr>
      <xdr:spPr>
        <a:xfrm>
          <a:off x="2423795" y="9014460"/>
          <a:ext cx="1264920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582706</xdr:colOff>
      <xdr:row>41</xdr:row>
      <xdr:rowOff>8965</xdr:rowOff>
    </xdr:from>
    <xdr:to>
      <xdr:col>3</xdr:col>
      <xdr:colOff>582706</xdr:colOff>
      <xdr:row>41</xdr:row>
      <xdr:rowOff>8965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CxnSpPr/>
      </xdr:nvCxnSpPr>
      <xdr:spPr>
        <a:xfrm>
          <a:off x="2487706" y="7788985"/>
          <a:ext cx="1264920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518795</xdr:colOff>
      <xdr:row>63</xdr:row>
      <xdr:rowOff>11206</xdr:rowOff>
    </xdr:from>
    <xdr:to>
      <xdr:col>3</xdr:col>
      <xdr:colOff>499223</xdr:colOff>
      <xdr:row>63</xdr:row>
      <xdr:rowOff>11206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CxnSpPr/>
      </xdr:nvCxnSpPr>
      <xdr:spPr>
        <a:xfrm>
          <a:off x="2423795" y="11860306"/>
          <a:ext cx="124534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518795</xdr:colOff>
      <xdr:row>77</xdr:row>
      <xdr:rowOff>0</xdr:rowOff>
    </xdr:from>
    <xdr:to>
      <xdr:col>3</xdr:col>
      <xdr:colOff>518795</xdr:colOff>
      <xdr:row>77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CxnSpPr/>
      </xdr:nvCxnSpPr>
      <xdr:spPr>
        <a:xfrm>
          <a:off x="2423795" y="14317980"/>
          <a:ext cx="1264920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582706</xdr:colOff>
      <xdr:row>70</xdr:row>
      <xdr:rowOff>8965</xdr:rowOff>
    </xdr:from>
    <xdr:to>
      <xdr:col>3</xdr:col>
      <xdr:colOff>582706</xdr:colOff>
      <xdr:row>70</xdr:row>
      <xdr:rowOff>8965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CxnSpPr/>
      </xdr:nvCxnSpPr>
      <xdr:spPr>
        <a:xfrm>
          <a:off x="2487706" y="13092505"/>
          <a:ext cx="1264920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608442</xdr:colOff>
      <xdr:row>4</xdr:row>
      <xdr:rowOff>20170</xdr:rowOff>
    </xdr:from>
    <xdr:to>
      <xdr:col>22</xdr:col>
      <xdr:colOff>588870</xdr:colOff>
      <xdr:row>4</xdr:row>
      <xdr:rowOff>20170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CxnSpPr/>
      </xdr:nvCxnSpPr>
      <xdr:spPr>
        <a:xfrm>
          <a:off x="1027542" y="728830"/>
          <a:ext cx="80338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608442</xdr:colOff>
      <xdr:row>11</xdr:row>
      <xdr:rowOff>11207</xdr:rowOff>
    </xdr:from>
    <xdr:to>
      <xdr:col>22</xdr:col>
      <xdr:colOff>588870</xdr:colOff>
      <xdr:row>11</xdr:row>
      <xdr:rowOff>11207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27542" y="1954307"/>
          <a:ext cx="80338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590514</xdr:colOff>
      <xdr:row>17</xdr:row>
      <xdr:rowOff>163605</xdr:rowOff>
    </xdr:from>
    <xdr:to>
      <xdr:col>22</xdr:col>
      <xdr:colOff>570942</xdr:colOff>
      <xdr:row>17</xdr:row>
      <xdr:rowOff>163605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CxnSpPr/>
      </xdr:nvCxnSpPr>
      <xdr:spPr>
        <a:xfrm>
          <a:off x="1032474" y="3158265"/>
          <a:ext cx="78052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608442</xdr:colOff>
      <xdr:row>33</xdr:row>
      <xdr:rowOff>20170</xdr:rowOff>
    </xdr:from>
    <xdr:to>
      <xdr:col>22</xdr:col>
      <xdr:colOff>588870</xdr:colOff>
      <xdr:row>33</xdr:row>
      <xdr:rowOff>20170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CxnSpPr/>
      </xdr:nvCxnSpPr>
      <xdr:spPr>
        <a:xfrm>
          <a:off x="1027542" y="6039970"/>
          <a:ext cx="80338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608442</xdr:colOff>
      <xdr:row>40</xdr:row>
      <xdr:rowOff>11207</xdr:rowOff>
    </xdr:from>
    <xdr:to>
      <xdr:col>22</xdr:col>
      <xdr:colOff>588870</xdr:colOff>
      <xdr:row>40</xdr:row>
      <xdr:rowOff>11207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CxnSpPr/>
      </xdr:nvCxnSpPr>
      <xdr:spPr>
        <a:xfrm>
          <a:off x="1027542" y="7265447"/>
          <a:ext cx="80338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590514</xdr:colOff>
      <xdr:row>46</xdr:row>
      <xdr:rowOff>163605</xdr:rowOff>
    </xdr:from>
    <xdr:to>
      <xdr:col>22</xdr:col>
      <xdr:colOff>570942</xdr:colOff>
      <xdr:row>46</xdr:row>
      <xdr:rowOff>163605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CxnSpPr/>
      </xdr:nvCxnSpPr>
      <xdr:spPr>
        <a:xfrm>
          <a:off x="1032474" y="8469405"/>
          <a:ext cx="78052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608442</xdr:colOff>
      <xdr:row>62</xdr:row>
      <xdr:rowOff>20170</xdr:rowOff>
    </xdr:from>
    <xdr:to>
      <xdr:col>22</xdr:col>
      <xdr:colOff>588870</xdr:colOff>
      <xdr:row>62</xdr:row>
      <xdr:rowOff>20170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CxnSpPr/>
      </xdr:nvCxnSpPr>
      <xdr:spPr>
        <a:xfrm>
          <a:off x="1027542" y="11343490"/>
          <a:ext cx="80338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608442</xdr:colOff>
      <xdr:row>69</xdr:row>
      <xdr:rowOff>11207</xdr:rowOff>
    </xdr:from>
    <xdr:to>
      <xdr:col>22</xdr:col>
      <xdr:colOff>588870</xdr:colOff>
      <xdr:row>69</xdr:row>
      <xdr:rowOff>11207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CxnSpPr/>
      </xdr:nvCxnSpPr>
      <xdr:spPr>
        <a:xfrm>
          <a:off x="1027542" y="12568967"/>
          <a:ext cx="80338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590514</xdr:colOff>
      <xdr:row>75</xdr:row>
      <xdr:rowOff>163605</xdr:rowOff>
    </xdr:from>
    <xdr:to>
      <xdr:col>22</xdr:col>
      <xdr:colOff>570942</xdr:colOff>
      <xdr:row>75</xdr:row>
      <xdr:rowOff>163605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CxnSpPr/>
      </xdr:nvCxnSpPr>
      <xdr:spPr>
        <a:xfrm>
          <a:off x="1032474" y="13772925"/>
          <a:ext cx="780528" cy="0"/>
        </a:xfrm>
        <a:prstGeom prst="straightConnector1">
          <a:avLst/>
        </a:prstGeom>
        <a:ln w="28575"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480293</xdr:colOff>
      <xdr:row>19</xdr:row>
      <xdr:rowOff>77184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1100-00000C000000}"/>
                </a:ext>
              </a:extLst>
            </xdr:cNvPr>
            <xdr:cNvSpPr txBox="1"/>
          </xdr:nvSpPr>
          <xdr:spPr>
            <a:xfrm>
              <a:off x="480293" y="355952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E0827F8C-3B04-4F89-B126-1688EBE3E3B3}"/>
                </a:ext>
              </a:extLst>
            </xdr:cNvPr>
            <xdr:cNvSpPr txBox="1"/>
          </xdr:nvSpPr>
          <xdr:spPr>
            <a:xfrm>
              <a:off x="480293" y="355952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385247</xdr:colOff>
      <xdr:row>18</xdr:row>
      <xdr:rowOff>84608</xdr:rowOff>
    </xdr:from>
    <xdr:ext cx="1671742" cy="165734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0747" y="3297708"/>
          <a:ext cx="1671742" cy="1657341"/>
        </a:xfrm>
        <a:prstGeom prst="rect">
          <a:avLst/>
        </a:prstGeom>
      </xdr:spPr>
    </xdr:pic>
    <xdr:clientData/>
  </xdr:oneCellAnchor>
  <xdr:oneCellAnchor>
    <xdr:from>
      <xdr:col>10</xdr:col>
      <xdr:colOff>807953</xdr:colOff>
      <xdr:row>19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1100-00000E000000}"/>
                </a:ext>
              </a:extLst>
            </xdr:cNvPr>
            <xdr:cNvSpPr txBox="1"/>
          </xdr:nvSpPr>
          <xdr:spPr>
            <a:xfrm>
              <a:off x="972335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D82F4C76-6989-4E7C-9E0D-1F74878C0F37}"/>
                </a:ext>
              </a:extLst>
            </xdr:cNvPr>
            <xdr:cNvSpPr txBox="1"/>
          </xdr:nvSpPr>
          <xdr:spPr>
            <a:xfrm>
              <a:off x="972335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16</xdr:col>
      <xdr:colOff>468757</xdr:colOff>
      <xdr:row>18</xdr:row>
      <xdr:rowOff>83279</xdr:rowOff>
    </xdr:from>
    <xdr:ext cx="1671742" cy="165734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97257" y="3296379"/>
          <a:ext cx="1671742" cy="1657341"/>
        </a:xfrm>
        <a:prstGeom prst="rect">
          <a:avLst/>
        </a:prstGeom>
      </xdr:spPr>
    </xdr:pic>
    <xdr:clientData/>
  </xdr:oneCellAnchor>
  <xdr:oneCellAnchor>
    <xdr:from>
      <xdr:col>20</xdr:col>
      <xdr:colOff>807953</xdr:colOff>
      <xdr:row>19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1100-000010000000}"/>
                </a:ext>
              </a:extLst>
            </xdr:cNvPr>
            <xdr:cNvSpPr txBox="1"/>
          </xdr:nvSpPr>
          <xdr:spPr>
            <a:xfrm>
              <a:off x="1898927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E799B725-B69F-434E-9367-7E0BBE3F1938}"/>
                </a:ext>
              </a:extLst>
            </xdr:cNvPr>
            <xdr:cNvSpPr txBox="1"/>
          </xdr:nvSpPr>
          <xdr:spPr>
            <a:xfrm>
              <a:off x="1898927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26</xdr:col>
      <xdr:colOff>457238</xdr:colOff>
      <xdr:row>18</xdr:row>
      <xdr:rowOff>64081</xdr:rowOff>
    </xdr:from>
    <xdr:ext cx="1671742" cy="1657341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18438" y="3277181"/>
          <a:ext cx="1671742" cy="1657341"/>
        </a:xfrm>
        <a:prstGeom prst="rect">
          <a:avLst/>
        </a:prstGeom>
      </xdr:spPr>
    </xdr:pic>
    <xdr:clientData/>
  </xdr:oneCellAnchor>
  <xdr:oneCellAnchor>
    <xdr:from>
      <xdr:col>30</xdr:col>
      <xdr:colOff>807953</xdr:colOff>
      <xdr:row>19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1100-000012000000}"/>
                </a:ext>
              </a:extLst>
            </xdr:cNvPr>
            <xdr:cNvSpPr txBox="1"/>
          </xdr:nvSpPr>
          <xdr:spPr>
            <a:xfrm>
              <a:off x="2817137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A7372D84-D3F2-4F57-B709-3F2D6A645A21}"/>
                </a:ext>
              </a:extLst>
            </xdr:cNvPr>
            <xdr:cNvSpPr txBox="1"/>
          </xdr:nvSpPr>
          <xdr:spPr>
            <a:xfrm>
              <a:off x="2817137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36</xdr:col>
      <xdr:colOff>508831</xdr:colOff>
      <xdr:row>18</xdr:row>
      <xdr:rowOff>62493</xdr:rowOff>
    </xdr:from>
    <xdr:ext cx="1671742" cy="1657341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13831" y="3275593"/>
          <a:ext cx="1671742" cy="1657341"/>
        </a:xfrm>
        <a:prstGeom prst="rect">
          <a:avLst/>
        </a:prstGeom>
      </xdr:spPr>
    </xdr:pic>
    <xdr:clientData/>
  </xdr:oneCellAnchor>
  <xdr:oneCellAnchor>
    <xdr:from>
      <xdr:col>40</xdr:col>
      <xdr:colOff>807953</xdr:colOff>
      <xdr:row>19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0000000-0008-0000-1100-000014000000}"/>
                </a:ext>
              </a:extLst>
            </xdr:cNvPr>
            <xdr:cNvSpPr txBox="1"/>
          </xdr:nvSpPr>
          <xdr:spPr>
            <a:xfrm>
              <a:off x="3848123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D140B91-42E2-470E-851F-A19CA9C8AB35}"/>
                </a:ext>
              </a:extLst>
            </xdr:cNvPr>
            <xdr:cNvSpPr txBox="1"/>
          </xdr:nvSpPr>
          <xdr:spPr>
            <a:xfrm>
              <a:off x="38481233" y="354428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46</xdr:col>
      <xdr:colOff>587489</xdr:colOff>
      <xdr:row>18</xdr:row>
      <xdr:rowOff>110835</xdr:rowOff>
    </xdr:from>
    <xdr:ext cx="1671742" cy="1657341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54183" y="3664787"/>
          <a:ext cx="1671742" cy="1657341"/>
        </a:xfrm>
        <a:prstGeom prst="rect">
          <a:avLst/>
        </a:prstGeom>
      </xdr:spPr>
    </xdr:pic>
    <xdr:clientData/>
  </xdr:oneCellAnchor>
  <xdr:oneCellAnchor>
    <xdr:from>
      <xdr:col>10</xdr:col>
      <xdr:colOff>807953</xdr:colOff>
      <xdr:row>81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1100-000002000000}"/>
                </a:ext>
              </a:extLst>
            </xdr:cNvPr>
            <xdr:cNvSpPr txBox="1"/>
          </xdr:nvSpPr>
          <xdr:spPr>
            <a:xfrm>
              <a:off x="701273" y="3574071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082D5F2-91E0-4EBA-AA64-3A137FB90B11}"/>
                </a:ext>
              </a:extLst>
            </xdr:cNvPr>
            <xdr:cNvSpPr txBox="1"/>
          </xdr:nvSpPr>
          <xdr:spPr>
            <a:xfrm>
              <a:off x="701273" y="3574071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16</xdr:col>
      <xdr:colOff>462195</xdr:colOff>
      <xdr:row>80</xdr:row>
      <xdr:rowOff>78632</xdr:rowOff>
    </xdr:from>
    <xdr:ext cx="1671742" cy="165734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9724" y="12844373"/>
          <a:ext cx="1671742" cy="1657341"/>
        </a:xfrm>
        <a:prstGeom prst="rect">
          <a:avLst/>
        </a:prstGeom>
      </xdr:spPr>
    </xdr:pic>
    <xdr:clientData/>
  </xdr:oneCellAnchor>
  <xdr:oneCellAnchor>
    <xdr:from>
      <xdr:col>0</xdr:col>
      <xdr:colOff>807953</xdr:colOff>
      <xdr:row>81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1100-000006000000}"/>
                </a:ext>
              </a:extLst>
            </xdr:cNvPr>
            <xdr:cNvSpPr txBox="1"/>
          </xdr:nvSpPr>
          <xdr:spPr>
            <a:xfrm>
              <a:off x="7406873" y="13161417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F3B69BCA-1156-436F-A8C7-E0EA81A4347A}"/>
                </a:ext>
              </a:extLst>
            </xdr:cNvPr>
            <xdr:cNvSpPr txBox="1"/>
          </xdr:nvSpPr>
          <xdr:spPr>
            <a:xfrm>
              <a:off x="7406873" y="13161417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510166</xdr:colOff>
      <xdr:row>80</xdr:row>
      <xdr:rowOff>144853</xdr:rowOff>
    </xdr:from>
    <xdr:ext cx="1671742" cy="165734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9095" y="15684210"/>
          <a:ext cx="1671742" cy="1657341"/>
        </a:xfrm>
        <a:prstGeom prst="rect">
          <a:avLst/>
        </a:prstGeom>
      </xdr:spPr>
    </xdr:pic>
    <xdr:clientData/>
  </xdr:oneCellAnchor>
  <xdr:oneCellAnchor>
    <xdr:from>
      <xdr:col>10</xdr:col>
      <xdr:colOff>807953</xdr:colOff>
      <xdr:row>143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1100-000008000000}"/>
                </a:ext>
              </a:extLst>
            </xdr:cNvPr>
            <xdr:cNvSpPr txBox="1"/>
          </xdr:nvSpPr>
          <xdr:spPr>
            <a:xfrm>
              <a:off x="7425923" y="1385414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D30552EF-B92D-4095-B5CC-F2D0CB6FEE06}"/>
                </a:ext>
              </a:extLst>
            </xdr:cNvPr>
            <xdr:cNvSpPr txBox="1"/>
          </xdr:nvSpPr>
          <xdr:spPr>
            <a:xfrm>
              <a:off x="7425923" y="1385414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16</xdr:col>
      <xdr:colOff>514488</xdr:colOff>
      <xdr:row>142</xdr:row>
      <xdr:rowOff>76390</xdr:rowOff>
    </xdr:from>
    <xdr:ext cx="1671742" cy="1657341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2988" y="22212490"/>
          <a:ext cx="1671742" cy="1657341"/>
        </a:xfrm>
        <a:prstGeom prst="rect">
          <a:avLst/>
        </a:prstGeom>
      </xdr:spPr>
    </xdr:pic>
    <xdr:clientData/>
  </xdr:oneCellAnchor>
  <xdr:oneCellAnchor>
    <xdr:from>
      <xdr:col>0</xdr:col>
      <xdr:colOff>807953</xdr:colOff>
      <xdr:row>143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1100-000016000000}"/>
                </a:ext>
              </a:extLst>
            </xdr:cNvPr>
            <xdr:cNvSpPr txBox="1"/>
          </xdr:nvSpPr>
          <xdr:spPr>
            <a:xfrm>
              <a:off x="701273" y="1385414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4AEEE1F7-E783-46E7-A739-049E8C8DC568}"/>
                </a:ext>
              </a:extLst>
            </xdr:cNvPr>
            <xdr:cNvSpPr txBox="1"/>
          </xdr:nvSpPr>
          <xdr:spPr>
            <a:xfrm>
              <a:off x="701273" y="13854144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551842</xdr:colOff>
      <xdr:row>142</xdr:row>
      <xdr:rowOff>42773</xdr:rowOff>
    </xdr:from>
    <xdr:ext cx="1671742" cy="165734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8289" y="22337997"/>
          <a:ext cx="1671742" cy="1657341"/>
        </a:xfrm>
        <a:prstGeom prst="rect">
          <a:avLst/>
        </a:prstGeom>
      </xdr:spPr>
    </xdr:pic>
    <xdr:clientData/>
  </xdr:oneCellAnchor>
  <xdr:oneCellAnchor>
    <xdr:from>
      <xdr:col>10</xdr:col>
      <xdr:colOff>807953</xdr:colOff>
      <xdr:row>205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00000000-0008-0000-1100-000018000000}"/>
                </a:ext>
              </a:extLst>
            </xdr:cNvPr>
            <xdr:cNvSpPr txBox="1"/>
          </xdr:nvSpPr>
          <xdr:spPr>
            <a:xfrm>
              <a:off x="7406873" y="22748762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957AA948-CA63-4572-8731-89181B84FE41}"/>
                </a:ext>
              </a:extLst>
            </xdr:cNvPr>
            <xdr:cNvSpPr txBox="1"/>
          </xdr:nvSpPr>
          <xdr:spPr>
            <a:xfrm>
              <a:off x="7406873" y="22748762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16</xdr:col>
      <xdr:colOff>551841</xdr:colOff>
      <xdr:row>204</xdr:row>
      <xdr:rowOff>87595</xdr:rowOff>
    </xdr:from>
    <xdr:ext cx="1671742" cy="1657341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57606" y="31912301"/>
          <a:ext cx="1671742" cy="1657341"/>
        </a:xfrm>
        <a:prstGeom prst="rect">
          <a:avLst/>
        </a:prstGeom>
      </xdr:spPr>
    </xdr:pic>
    <xdr:clientData/>
  </xdr:oneCellAnchor>
  <xdr:oneCellAnchor>
    <xdr:from>
      <xdr:col>0</xdr:col>
      <xdr:colOff>807953</xdr:colOff>
      <xdr:row>205</xdr:row>
      <xdr:rowOff>138144</xdr:rowOff>
    </xdr:from>
    <xdr:ext cx="1920240" cy="36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0000000-0008-0000-1100-00001C000000}"/>
                </a:ext>
              </a:extLst>
            </xdr:cNvPr>
            <xdr:cNvSpPr txBox="1"/>
          </xdr:nvSpPr>
          <xdr:spPr>
            <a:xfrm>
              <a:off x="701273" y="22748762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PH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0.85</m:t>
                        </m:r>
                        <m:sSup>
                          <m:sSupPr>
                            <m:ctrlP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p>
                            <m:r>
                              <a:rPr lang="en-PH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p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(0.003)</m:t>
                        </m:r>
                      </m:num>
                      <m:den>
                        <m:r>
                          <a:rPr lang="en-PH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𝑓𝑦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(0.003+0.004)</m:t>
                        </m:r>
                      </m:den>
                    </m:f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712142A1-3A0A-4431-93A9-EC580110AE61}"/>
                </a:ext>
              </a:extLst>
            </xdr:cNvPr>
            <xdr:cNvSpPr txBox="1"/>
          </xdr:nvSpPr>
          <xdr:spPr>
            <a:xfrm>
              <a:off x="701273" y="22748762"/>
              <a:ext cx="1920240" cy="36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0.85𝑓^′ 𝑐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𝐵(0.003)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)/(𝑓𝑦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(0.003+0.004)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US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515984</xdr:colOff>
      <xdr:row>204</xdr:row>
      <xdr:rowOff>105526</xdr:rowOff>
    </xdr:from>
    <xdr:ext cx="1671742" cy="1657341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2431" y="31930232"/>
          <a:ext cx="1671742" cy="165734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</xdr:row>
      <xdr:rowOff>0</xdr:rowOff>
    </xdr:from>
    <xdr:ext cx="1152939" cy="19343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624840" y="20497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1300-000003000000}"/>
                </a:ext>
              </a:extLst>
            </xdr:cNvPr>
            <xdr:cNvSpPr txBox="1"/>
          </xdr:nvSpPr>
          <xdr:spPr>
            <a:xfrm>
              <a:off x="6728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14AECFE-D183-460A-B58A-D06D01403069}"/>
                </a:ext>
              </a:extLst>
            </xdr:cNvPr>
            <xdr:cNvSpPr txBox="1"/>
          </xdr:nvSpPr>
          <xdr:spPr>
            <a:xfrm>
              <a:off x="6728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1300-000004000000}"/>
                </a:ext>
              </a:extLst>
            </xdr:cNvPr>
            <xdr:cNvSpPr txBox="1"/>
          </xdr:nvSpPr>
          <xdr:spPr>
            <a:xfrm>
              <a:off x="7192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FB14E24-5F3C-470D-9233-CEC8F629D95D}"/>
                </a:ext>
              </a:extLst>
            </xdr:cNvPr>
            <xdr:cNvSpPr txBox="1"/>
          </xdr:nvSpPr>
          <xdr:spPr>
            <a:xfrm>
              <a:off x="7192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4</xdr:col>
      <xdr:colOff>620486</xdr:colOff>
      <xdr:row>14</xdr:row>
      <xdr:rowOff>12258</xdr:rowOff>
    </xdr:from>
    <xdr:ext cx="164043" cy="15902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3508466" y="23973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1300-000006000000}"/>
                </a:ext>
              </a:extLst>
            </xdr:cNvPr>
            <xdr:cNvSpPr txBox="1"/>
          </xdr:nvSpPr>
          <xdr:spPr>
            <a:xfrm>
              <a:off x="6513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2A98436-ECF7-464C-879B-A7FE74DA8636}"/>
                </a:ext>
              </a:extLst>
            </xdr:cNvPr>
            <xdr:cNvSpPr txBox="1"/>
          </xdr:nvSpPr>
          <xdr:spPr>
            <a:xfrm>
              <a:off x="6513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6</xdr:col>
      <xdr:colOff>335281</xdr:colOff>
      <xdr:row>23</xdr:row>
      <xdr:rowOff>14246</xdr:rowOff>
    </xdr:from>
    <xdr:ext cx="249850" cy="168634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 txBox="1"/>
      </xdr:nvSpPr>
      <xdr:spPr>
        <a:xfrm>
          <a:off x="4533901" y="395378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119531</xdr:colOff>
      <xdr:row>19</xdr:row>
      <xdr:rowOff>79417</xdr:rowOff>
    </xdr:from>
    <xdr:ext cx="164043" cy="15902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 txBox="1"/>
      </xdr:nvSpPr>
      <xdr:spPr>
        <a:xfrm>
          <a:off x="3007511" y="332553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1300-000009000000}"/>
                </a:ext>
              </a:extLst>
            </xdr:cNvPr>
            <xdr:cNvSpPr txBox="1"/>
          </xdr:nvSpPr>
          <xdr:spPr>
            <a:xfrm>
              <a:off x="7242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566785A6-2534-4B1E-82EE-146D0E50B2EF}"/>
                </a:ext>
              </a:extLst>
            </xdr:cNvPr>
            <xdr:cNvSpPr txBox="1"/>
          </xdr:nvSpPr>
          <xdr:spPr>
            <a:xfrm>
              <a:off x="7242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1300-00000A000000}"/>
                </a:ext>
              </a:extLst>
            </xdr:cNvPr>
            <xdr:cNvSpPr txBox="1"/>
          </xdr:nvSpPr>
          <xdr:spPr>
            <a:xfrm>
              <a:off x="7242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E210A7F-46B3-4D22-A96A-F19D9B367283}"/>
                </a:ext>
              </a:extLst>
            </xdr:cNvPr>
            <xdr:cNvSpPr txBox="1"/>
          </xdr:nvSpPr>
          <xdr:spPr>
            <a:xfrm>
              <a:off x="7242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1300-00000B000000}"/>
                </a:ext>
              </a:extLst>
            </xdr:cNvPr>
            <xdr:cNvSpPr txBox="1"/>
          </xdr:nvSpPr>
          <xdr:spPr>
            <a:xfrm>
              <a:off x="7374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D0FD5E9-DB85-4738-99CA-5F11F4493A8C}"/>
                </a:ext>
              </a:extLst>
            </xdr:cNvPr>
            <xdr:cNvSpPr txBox="1"/>
          </xdr:nvSpPr>
          <xdr:spPr>
            <a:xfrm>
              <a:off x="7374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2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1300-00000C000000}"/>
                </a:ext>
              </a:extLst>
            </xdr:cNvPr>
            <xdr:cNvSpPr txBox="1"/>
          </xdr:nvSpPr>
          <xdr:spPr>
            <a:xfrm>
              <a:off x="153396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B1044EA2-A9CF-4FD0-B1A6-5B6422BF4A7D}"/>
                </a:ext>
              </a:extLst>
            </xdr:cNvPr>
            <xdr:cNvSpPr txBox="1"/>
          </xdr:nvSpPr>
          <xdr:spPr>
            <a:xfrm>
              <a:off x="153396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</xdr:col>
      <xdr:colOff>17585</xdr:colOff>
      <xdr:row>21</xdr:row>
      <xdr:rowOff>70339</xdr:rowOff>
    </xdr:from>
    <xdr:ext cx="164043" cy="15902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 txBox="1"/>
      </xdr:nvSpPr>
      <xdr:spPr>
        <a:xfrm>
          <a:off x="642425" y="36517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23</xdr:row>
      <xdr:rowOff>99646</xdr:rowOff>
    </xdr:from>
    <xdr:ext cx="164043" cy="15902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 txBox="1"/>
      </xdr:nvSpPr>
      <xdr:spPr>
        <a:xfrm>
          <a:off x="654148" y="4039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25</xdr:row>
      <xdr:rowOff>128953</xdr:rowOff>
    </xdr:from>
    <xdr:ext cx="164043" cy="15902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 txBox="1"/>
      </xdr:nvSpPr>
      <xdr:spPr>
        <a:xfrm>
          <a:off x="660009" y="4419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1300-000010000000}"/>
                </a:ext>
              </a:extLst>
            </xdr:cNvPr>
            <xdr:cNvSpPr txBox="1"/>
          </xdr:nvSpPr>
          <xdr:spPr>
            <a:xfrm>
              <a:off x="6705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36BB0DE2-42AE-4D10-A130-0A5C50A8BE9B}"/>
                </a:ext>
              </a:extLst>
            </xdr:cNvPr>
            <xdr:cNvSpPr txBox="1"/>
          </xdr:nvSpPr>
          <xdr:spPr>
            <a:xfrm>
              <a:off x="6705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00000000-0008-0000-1300-000011000000}"/>
                </a:ext>
              </a:extLst>
            </xdr:cNvPr>
            <xdr:cNvSpPr txBox="1"/>
          </xdr:nvSpPr>
          <xdr:spPr>
            <a:xfrm>
              <a:off x="6705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1AD95E2C-4195-4D9B-92A8-9A83B2D4BB71}"/>
                </a:ext>
              </a:extLst>
            </xdr:cNvPr>
            <xdr:cNvSpPr txBox="1"/>
          </xdr:nvSpPr>
          <xdr:spPr>
            <a:xfrm>
              <a:off x="6705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1300-000012000000}"/>
                </a:ext>
              </a:extLst>
            </xdr:cNvPr>
            <xdr:cNvSpPr txBox="1"/>
          </xdr:nvSpPr>
          <xdr:spPr>
            <a:xfrm>
              <a:off x="10058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104E59F0-F7E8-4B5B-8781-56D5C24E5594}"/>
                </a:ext>
              </a:extLst>
            </xdr:cNvPr>
            <xdr:cNvSpPr txBox="1"/>
          </xdr:nvSpPr>
          <xdr:spPr>
            <a:xfrm>
              <a:off x="10058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5</xdr:col>
      <xdr:colOff>426896</xdr:colOff>
      <xdr:row>19</xdr:row>
      <xdr:rowOff>67381</xdr:rowOff>
    </xdr:from>
    <xdr:ext cx="145677" cy="15621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 txBox="1"/>
      </xdr:nvSpPr>
      <xdr:spPr>
        <a:xfrm>
          <a:off x="3970196" y="331350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0000000-0008-0000-1300-000014000000}"/>
                </a:ext>
              </a:extLst>
            </xdr:cNvPr>
            <xdr:cNvSpPr txBox="1"/>
          </xdr:nvSpPr>
          <xdr:spPr>
            <a:xfrm>
              <a:off x="7242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D4207240-6937-4436-A711-75314E853D8D}"/>
                </a:ext>
              </a:extLst>
            </xdr:cNvPr>
            <xdr:cNvSpPr txBox="1"/>
          </xdr:nvSpPr>
          <xdr:spPr>
            <a:xfrm>
              <a:off x="7242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000000-0008-0000-1300-000015000000}"/>
                </a:ext>
              </a:extLst>
            </xdr:cNvPr>
            <xdr:cNvSpPr txBox="1"/>
          </xdr:nvSpPr>
          <xdr:spPr>
            <a:xfrm>
              <a:off x="7528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30D160-A9EE-44C3-AD6B-5886AF81D029}"/>
                </a:ext>
              </a:extLst>
            </xdr:cNvPr>
            <xdr:cNvSpPr txBox="1"/>
          </xdr:nvSpPr>
          <xdr:spPr>
            <a:xfrm>
              <a:off x="7528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1300-000016000000}"/>
                </a:ext>
              </a:extLst>
            </xdr:cNvPr>
            <xdr:cNvSpPr txBox="1"/>
          </xdr:nvSpPr>
          <xdr:spPr>
            <a:xfrm>
              <a:off x="7374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DD1C3DAD-C375-417D-BBFB-E67346C0BD23}"/>
                </a:ext>
              </a:extLst>
            </xdr:cNvPr>
            <xdr:cNvSpPr txBox="1"/>
          </xdr:nvSpPr>
          <xdr:spPr>
            <a:xfrm>
              <a:off x="7374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17585</xdr:colOff>
      <xdr:row>32</xdr:row>
      <xdr:rowOff>70339</xdr:rowOff>
    </xdr:from>
    <xdr:ext cx="164043" cy="15902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 txBox="1"/>
      </xdr:nvSpPr>
      <xdr:spPr>
        <a:xfrm>
          <a:off x="642425" y="55872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34</xdr:row>
      <xdr:rowOff>99646</xdr:rowOff>
    </xdr:from>
    <xdr:ext cx="164043" cy="15902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SpPr txBox="1"/>
      </xdr:nvSpPr>
      <xdr:spPr>
        <a:xfrm>
          <a:off x="654148" y="59518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38</xdr:row>
      <xdr:rowOff>128953</xdr:rowOff>
    </xdr:from>
    <xdr:ext cx="164043" cy="15902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 txBox="1"/>
      </xdr:nvSpPr>
      <xdr:spPr>
        <a:xfrm>
          <a:off x="660009" y="66516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00000000-0008-0000-1300-00001A000000}"/>
                </a:ext>
              </a:extLst>
            </xdr:cNvPr>
            <xdr:cNvSpPr txBox="1"/>
          </xdr:nvSpPr>
          <xdr:spPr>
            <a:xfrm>
              <a:off x="7242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703D36C-0109-46F1-A4F3-1ADB2ADA8A0A}"/>
                </a:ext>
              </a:extLst>
            </xdr:cNvPr>
            <xdr:cNvSpPr txBox="1"/>
          </xdr:nvSpPr>
          <xdr:spPr>
            <a:xfrm>
              <a:off x="7242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29308</xdr:colOff>
      <xdr:row>36</xdr:row>
      <xdr:rowOff>99646</xdr:rowOff>
    </xdr:from>
    <xdr:ext cx="164043" cy="15902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 txBox="1"/>
      </xdr:nvSpPr>
      <xdr:spPr>
        <a:xfrm>
          <a:off x="654148" y="62870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0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0000000-0008-0000-1300-00001C000000}"/>
                </a:ext>
              </a:extLst>
            </xdr:cNvPr>
            <xdr:cNvSpPr txBox="1"/>
          </xdr:nvSpPr>
          <xdr:spPr>
            <a:xfrm>
              <a:off x="1737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5DE34DC2-FE79-4678-A514-D60FD4B18E09}"/>
                </a:ext>
              </a:extLst>
            </xdr:cNvPr>
            <xdr:cNvSpPr txBox="1"/>
          </xdr:nvSpPr>
          <xdr:spPr>
            <a:xfrm>
              <a:off x="1737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00000000-0008-0000-1300-00001D000000}"/>
                </a:ext>
              </a:extLst>
            </xdr:cNvPr>
            <xdr:cNvSpPr txBox="1"/>
          </xdr:nvSpPr>
          <xdr:spPr>
            <a:xfrm>
              <a:off x="6874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67C6F7F5-A840-4D91-B468-CC2898F5F591}"/>
                </a:ext>
              </a:extLst>
            </xdr:cNvPr>
            <xdr:cNvSpPr txBox="1"/>
          </xdr:nvSpPr>
          <xdr:spPr>
            <a:xfrm>
              <a:off x="6874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00000000-0008-0000-1300-00001E000000}"/>
                </a:ext>
              </a:extLst>
            </xdr:cNvPr>
            <xdr:cNvSpPr txBox="1"/>
          </xdr:nvSpPr>
          <xdr:spPr>
            <a:xfrm>
              <a:off x="10309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0F444253-D391-4923-B124-92EADE9ACC8B}"/>
                </a:ext>
              </a:extLst>
            </xdr:cNvPr>
            <xdr:cNvSpPr txBox="1"/>
          </xdr:nvSpPr>
          <xdr:spPr>
            <a:xfrm>
              <a:off x="10309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5</xdr:col>
      <xdr:colOff>409232</xdr:colOff>
      <xdr:row>41</xdr:row>
      <xdr:rowOff>167484</xdr:rowOff>
    </xdr:from>
    <xdr:ext cx="164043" cy="15902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 txBox="1"/>
      </xdr:nvSpPr>
      <xdr:spPr>
        <a:xfrm>
          <a:off x="3952532" y="719312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5</xdr:col>
      <xdr:colOff>409419</xdr:colOff>
      <xdr:row>43</xdr:row>
      <xdr:rowOff>7058</xdr:rowOff>
    </xdr:from>
    <xdr:ext cx="164043" cy="15902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SpPr txBox="1"/>
      </xdr:nvSpPr>
      <xdr:spPr>
        <a:xfrm>
          <a:off x="3952719" y="736797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105087</xdr:colOff>
      <xdr:row>42</xdr:row>
      <xdr:rowOff>3529</xdr:rowOff>
    </xdr:from>
    <xdr:ext cx="164043" cy="15902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SpPr txBox="1"/>
      </xdr:nvSpPr>
      <xdr:spPr>
        <a:xfrm>
          <a:off x="2993067" y="71968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105274</xdr:colOff>
      <xdr:row>43</xdr:row>
      <xdr:rowOff>7620</xdr:rowOff>
    </xdr:from>
    <xdr:ext cx="164043" cy="159026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SpPr txBox="1"/>
      </xdr:nvSpPr>
      <xdr:spPr>
        <a:xfrm>
          <a:off x="2993254" y="73685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00000000-0008-0000-1300-000023000000}"/>
                </a:ext>
              </a:extLst>
            </xdr:cNvPr>
            <xdr:cNvSpPr txBox="1"/>
          </xdr:nvSpPr>
          <xdr:spPr>
            <a:xfrm>
              <a:off x="8506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70C3927A-6FA0-460C-8103-DB9D8D50B0F5}"/>
                </a:ext>
              </a:extLst>
            </xdr:cNvPr>
            <xdr:cNvSpPr txBox="1"/>
          </xdr:nvSpPr>
          <xdr:spPr>
            <a:xfrm>
              <a:off x="8506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00000000-0008-0000-1300-000024000000}"/>
                </a:ext>
              </a:extLst>
            </xdr:cNvPr>
            <xdr:cNvSpPr txBox="1"/>
          </xdr:nvSpPr>
          <xdr:spPr>
            <a:xfrm>
              <a:off x="8023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8A97AB57-0BCB-44C5-A0D2-157C42A22760}"/>
                </a:ext>
              </a:extLst>
            </xdr:cNvPr>
            <xdr:cNvSpPr txBox="1"/>
          </xdr:nvSpPr>
          <xdr:spPr>
            <a:xfrm>
              <a:off x="8023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6</xdr:col>
      <xdr:colOff>401955</xdr:colOff>
      <xdr:row>46</xdr:row>
      <xdr:rowOff>22860</xdr:rowOff>
    </xdr:from>
    <xdr:ext cx="249850" cy="168634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 txBox="1"/>
      </xdr:nvSpPr>
      <xdr:spPr>
        <a:xfrm>
          <a:off x="4600575" y="788670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00000000-0008-0000-1300-000026000000}"/>
                </a:ext>
              </a:extLst>
            </xdr:cNvPr>
            <xdr:cNvSpPr txBox="1"/>
          </xdr:nvSpPr>
          <xdr:spPr>
            <a:xfrm>
              <a:off x="6632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ADEB83C7-8A30-4C84-BF92-3304F9BB6E23}"/>
                </a:ext>
              </a:extLst>
            </xdr:cNvPr>
            <xdr:cNvSpPr txBox="1"/>
          </xdr:nvSpPr>
          <xdr:spPr>
            <a:xfrm>
              <a:off x="6632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00000000-0008-0000-1300-000027000000}"/>
                </a:ext>
              </a:extLst>
            </xdr:cNvPr>
            <xdr:cNvSpPr txBox="1"/>
          </xdr:nvSpPr>
          <xdr:spPr>
            <a:xfrm>
              <a:off x="6950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BCF99C4E-88E6-4010-A63E-78271BE83064}"/>
                </a:ext>
              </a:extLst>
            </xdr:cNvPr>
            <xdr:cNvSpPr txBox="1"/>
          </xdr:nvSpPr>
          <xdr:spPr>
            <a:xfrm>
              <a:off x="6950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632460</xdr:colOff>
      <xdr:row>49</xdr:row>
      <xdr:rowOff>0</xdr:rowOff>
    </xdr:from>
    <xdr:ext cx="164043" cy="159026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SpPr txBox="1"/>
      </xdr:nvSpPr>
      <xdr:spPr>
        <a:xfrm>
          <a:off x="2788920" y="836676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</xdr:col>
      <xdr:colOff>624840</xdr:colOff>
      <xdr:row>50</xdr:row>
      <xdr:rowOff>0</xdr:rowOff>
    </xdr:from>
    <xdr:ext cx="164043" cy="15902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SpPr txBox="1"/>
      </xdr:nvSpPr>
      <xdr:spPr>
        <a:xfrm>
          <a:off x="2781300" y="853440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472440</xdr:colOff>
      <xdr:row>51</xdr:row>
      <xdr:rowOff>17780</xdr:rowOff>
    </xdr:from>
    <xdr:ext cx="2823210" cy="28067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 txBox="1"/>
      </xdr:nvSpPr>
      <xdr:spPr>
        <a:xfrm>
          <a:off x="1097280" y="871982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10</xdr:col>
      <xdr:colOff>0</xdr:colOff>
      <xdr:row>12</xdr:row>
      <xdr:rowOff>0</xdr:rowOff>
    </xdr:from>
    <xdr:ext cx="1152939" cy="193431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SpPr txBox="1"/>
      </xdr:nvSpPr>
      <xdr:spPr>
        <a:xfrm>
          <a:off x="6713220" y="20497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10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00000000-0008-0000-1300-00002C000000}"/>
                </a:ext>
              </a:extLst>
            </xdr:cNvPr>
            <xdr:cNvSpPr txBox="1"/>
          </xdr:nvSpPr>
          <xdr:spPr>
            <a:xfrm>
              <a:off x="676121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CE71452A-46AB-43C3-B7B2-F49E6311A174}"/>
                </a:ext>
              </a:extLst>
            </xdr:cNvPr>
            <xdr:cNvSpPr txBox="1"/>
          </xdr:nvSpPr>
          <xdr:spPr>
            <a:xfrm>
              <a:off x="676121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10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Box 44">
              <a:extLst>
                <a:ext uri="{FF2B5EF4-FFF2-40B4-BE49-F238E27FC236}">
                  <a16:creationId xmlns:a16="http://schemas.microsoft.com/office/drawing/2014/main" id="{00000000-0008-0000-1300-00002D000000}"/>
                </a:ext>
              </a:extLst>
            </xdr:cNvPr>
            <xdr:cNvSpPr txBox="1"/>
          </xdr:nvSpPr>
          <xdr:spPr>
            <a:xfrm>
              <a:off x="680759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45" name="TextBox 44">
              <a:extLst>
                <a:ext uri="{FF2B5EF4-FFF2-40B4-BE49-F238E27FC236}">
                  <a16:creationId xmlns:a16="http://schemas.microsoft.com/office/drawing/2014/main" id="{2330FB43-57A5-4FCB-B4FF-000CA56B5A26}"/>
                </a:ext>
              </a:extLst>
            </xdr:cNvPr>
            <xdr:cNvSpPr txBox="1"/>
          </xdr:nvSpPr>
          <xdr:spPr>
            <a:xfrm>
              <a:off x="680759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13</xdr:col>
      <xdr:colOff>620486</xdr:colOff>
      <xdr:row>14</xdr:row>
      <xdr:rowOff>12258</xdr:rowOff>
    </xdr:from>
    <xdr:ext cx="164043" cy="159026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SpPr txBox="1"/>
      </xdr:nvSpPr>
      <xdr:spPr>
        <a:xfrm>
          <a:off x="9551126" y="23973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10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00000000-0008-0000-1300-00002F000000}"/>
                </a:ext>
              </a:extLst>
            </xdr:cNvPr>
            <xdr:cNvSpPr txBox="1"/>
          </xdr:nvSpPr>
          <xdr:spPr>
            <a:xfrm>
              <a:off x="673972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BDD2819D-741B-40D6-B6B9-7227C50DBBA5}"/>
                </a:ext>
              </a:extLst>
            </xdr:cNvPr>
            <xdr:cNvSpPr txBox="1"/>
          </xdr:nvSpPr>
          <xdr:spPr>
            <a:xfrm>
              <a:off x="673972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15</xdr:col>
      <xdr:colOff>335281</xdr:colOff>
      <xdr:row>23</xdr:row>
      <xdr:rowOff>14246</xdr:rowOff>
    </xdr:from>
    <xdr:ext cx="249850" cy="168634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 txBox="1"/>
      </xdr:nvSpPr>
      <xdr:spPr>
        <a:xfrm>
          <a:off x="10515601" y="395378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13</xdr:col>
      <xdr:colOff>119531</xdr:colOff>
      <xdr:row>19</xdr:row>
      <xdr:rowOff>79417</xdr:rowOff>
    </xdr:from>
    <xdr:ext cx="164043" cy="15902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 txBox="1"/>
      </xdr:nvSpPr>
      <xdr:spPr>
        <a:xfrm>
          <a:off x="9050171" y="332553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00000000-0008-0000-1300-000032000000}"/>
                </a:ext>
              </a:extLst>
            </xdr:cNvPr>
            <xdr:cNvSpPr txBox="1"/>
          </xdr:nvSpPr>
          <xdr:spPr>
            <a:xfrm>
              <a:off x="681261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FC54C401-DFC6-49AC-93E4-AE1F265E1070}"/>
                </a:ext>
              </a:extLst>
            </xdr:cNvPr>
            <xdr:cNvSpPr txBox="1"/>
          </xdr:nvSpPr>
          <xdr:spPr>
            <a:xfrm>
              <a:off x="681261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10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00000000-0008-0000-1300-000033000000}"/>
                </a:ext>
              </a:extLst>
            </xdr:cNvPr>
            <xdr:cNvSpPr txBox="1"/>
          </xdr:nvSpPr>
          <xdr:spPr>
            <a:xfrm>
              <a:off x="681261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B1B682BE-1EFB-459E-BD02-F149A0535A20}"/>
                </a:ext>
              </a:extLst>
            </xdr:cNvPr>
            <xdr:cNvSpPr txBox="1"/>
          </xdr:nvSpPr>
          <xdr:spPr>
            <a:xfrm>
              <a:off x="681261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00000000-0008-0000-1300-000034000000}"/>
                </a:ext>
              </a:extLst>
            </xdr:cNvPr>
            <xdr:cNvSpPr txBox="1"/>
          </xdr:nvSpPr>
          <xdr:spPr>
            <a:xfrm>
              <a:off x="682586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A3205117-88E6-47B0-A26A-7FADF8DC8FAA}"/>
                </a:ext>
              </a:extLst>
            </xdr:cNvPr>
            <xdr:cNvSpPr txBox="1"/>
          </xdr:nvSpPr>
          <xdr:spPr>
            <a:xfrm>
              <a:off x="682586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11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Box 52">
              <a:extLst>
                <a:ext uri="{FF2B5EF4-FFF2-40B4-BE49-F238E27FC236}">
                  <a16:creationId xmlns:a16="http://schemas.microsoft.com/office/drawing/2014/main" id="{00000000-0008-0000-1300-000035000000}"/>
                </a:ext>
              </a:extLst>
            </xdr:cNvPr>
            <xdr:cNvSpPr txBox="1"/>
          </xdr:nvSpPr>
          <xdr:spPr>
            <a:xfrm>
              <a:off x="754614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53" name="TextBox 52">
              <a:extLst>
                <a:ext uri="{FF2B5EF4-FFF2-40B4-BE49-F238E27FC236}">
                  <a16:creationId xmlns:a16="http://schemas.microsoft.com/office/drawing/2014/main" id="{FF5423F8-7506-4731-8523-786AD682F907}"/>
                </a:ext>
              </a:extLst>
            </xdr:cNvPr>
            <xdr:cNvSpPr txBox="1"/>
          </xdr:nvSpPr>
          <xdr:spPr>
            <a:xfrm>
              <a:off x="754614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10</xdr:col>
      <xdr:colOff>17585</xdr:colOff>
      <xdr:row>21</xdr:row>
      <xdr:rowOff>70339</xdr:rowOff>
    </xdr:from>
    <xdr:ext cx="164043" cy="159026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SpPr txBox="1"/>
      </xdr:nvSpPr>
      <xdr:spPr>
        <a:xfrm>
          <a:off x="6730805" y="36517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23</xdr:row>
      <xdr:rowOff>99646</xdr:rowOff>
    </xdr:from>
    <xdr:ext cx="164043" cy="15902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SpPr txBox="1"/>
      </xdr:nvSpPr>
      <xdr:spPr>
        <a:xfrm>
          <a:off x="6742528" y="4039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25</xdr:row>
      <xdr:rowOff>128953</xdr:rowOff>
    </xdr:from>
    <xdr:ext cx="164043" cy="15902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 txBox="1"/>
      </xdr:nvSpPr>
      <xdr:spPr>
        <a:xfrm>
          <a:off x="6748389" y="4419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00000000-0008-0000-1300-000039000000}"/>
                </a:ext>
              </a:extLst>
            </xdr:cNvPr>
            <xdr:cNvSpPr txBox="1"/>
          </xdr:nvSpPr>
          <xdr:spPr>
            <a:xfrm>
              <a:off x="675894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B49C2E39-ED6D-488D-BC74-B6B43CBC92AE}"/>
                </a:ext>
              </a:extLst>
            </xdr:cNvPr>
            <xdr:cNvSpPr txBox="1"/>
          </xdr:nvSpPr>
          <xdr:spPr>
            <a:xfrm>
              <a:off x="675894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10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1300-00003A000000}"/>
                </a:ext>
              </a:extLst>
            </xdr:cNvPr>
            <xdr:cNvSpPr txBox="1"/>
          </xdr:nvSpPr>
          <xdr:spPr>
            <a:xfrm>
              <a:off x="675894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330CDAF1-461D-44FD-838D-5FAEC073E92C}"/>
                </a:ext>
              </a:extLst>
            </xdr:cNvPr>
            <xdr:cNvSpPr txBox="1"/>
          </xdr:nvSpPr>
          <xdr:spPr>
            <a:xfrm>
              <a:off x="675894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10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00000000-0008-0000-1300-00003B000000}"/>
                </a:ext>
              </a:extLst>
            </xdr:cNvPr>
            <xdr:cNvSpPr txBox="1"/>
          </xdr:nvSpPr>
          <xdr:spPr>
            <a:xfrm>
              <a:off x="709422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8F20688C-FD5B-4526-89FC-9BC51CFC0C6D}"/>
                </a:ext>
              </a:extLst>
            </xdr:cNvPr>
            <xdr:cNvSpPr txBox="1"/>
          </xdr:nvSpPr>
          <xdr:spPr>
            <a:xfrm>
              <a:off x="709422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14</xdr:col>
      <xdr:colOff>426896</xdr:colOff>
      <xdr:row>19</xdr:row>
      <xdr:rowOff>67381</xdr:rowOff>
    </xdr:from>
    <xdr:ext cx="145677" cy="15621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SpPr txBox="1"/>
      </xdr:nvSpPr>
      <xdr:spPr>
        <a:xfrm>
          <a:off x="9982376" y="331350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00000000-0008-0000-1300-00003D000000}"/>
                </a:ext>
              </a:extLst>
            </xdr:cNvPr>
            <xdr:cNvSpPr txBox="1"/>
          </xdr:nvSpPr>
          <xdr:spPr>
            <a:xfrm>
              <a:off x="681261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AA734B88-8AD3-4A72-84D3-E8FB25DC3888}"/>
                </a:ext>
              </a:extLst>
            </xdr:cNvPr>
            <xdr:cNvSpPr txBox="1"/>
          </xdr:nvSpPr>
          <xdr:spPr>
            <a:xfrm>
              <a:off x="681261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00000000-0008-0000-1300-00003E000000}"/>
                </a:ext>
              </a:extLst>
            </xdr:cNvPr>
            <xdr:cNvSpPr txBox="1"/>
          </xdr:nvSpPr>
          <xdr:spPr>
            <a:xfrm>
              <a:off x="684118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C8D5DFF2-D11C-4C70-B120-8C40F151BB32}"/>
                </a:ext>
              </a:extLst>
            </xdr:cNvPr>
            <xdr:cNvSpPr txBox="1"/>
          </xdr:nvSpPr>
          <xdr:spPr>
            <a:xfrm>
              <a:off x="684118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1300-00003F000000}"/>
                </a:ext>
              </a:extLst>
            </xdr:cNvPr>
            <xdr:cNvSpPr txBox="1"/>
          </xdr:nvSpPr>
          <xdr:spPr>
            <a:xfrm>
              <a:off x="682586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4FCA8A1E-1D6E-49C9-903B-158E4FE7B308}"/>
                </a:ext>
              </a:extLst>
            </xdr:cNvPr>
            <xdr:cNvSpPr txBox="1"/>
          </xdr:nvSpPr>
          <xdr:spPr>
            <a:xfrm>
              <a:off x="682586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17585</xdr:colOff>
      <xdr:row>32</xdr:row>
      <xdr:rowOff>70339</xdr:rowOff>
    </xdr:from>
    <xdr:ext cx="164043" cy="159026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SpPr txBox="1"/>
      </xdr:nvSpPr>
      <xdr:spPr>
        <a:xfrm>
          <a:off x="6730805" y="55872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34</xdr:row>
      <xdr:rowOff>99646</xdr:rowOff>
    </xdr:from>
    <xdr:ext cx="164043" cy="159026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 txBox="1"/>
      </xdr:nvSpPr>
      <xdr:spPr>
        <a:xfrm>
          <a:off x="6742528" y="59518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38</xdr:row>
      <xdr:rowOff>128953</xdr:rowOff>
    </xdr:from>
    <xdr:ext cx="164043" cy="159026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SpPr txBox="1"/>
      </xdr:nvSpPr>
      <xdr:spPr>
        <a:xfrm>
          <a:off x="6748389" y="66516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00000000-0008-0000-1300-000043000000}"/>
                </a:ext>
              </a:extLst>
            </xdr:cNvPr>
            <xdr:cNvSpPr txBox="1"/>
          </xdr:nvSpPr>
          <xdr:spPr>
            <a:xfrm>
              <a:off x="681261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BF17B3CD-A7E0-4C5D-BB3C-8877DF6943B7}"/>
                </a:ext>
              </a:extLst>
            </xdr:cNvPr>
            <xdr:cNvSpPr txBox="1"/>
          </xdr:nvSpPr>
          <xdr:spPr>
            <a:xfrm>
              <a:off x="681261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29308</xdr:colOff>
      <xdr:row>36</xdr:row>
      <xdr:rowOff>99646</xdr:rowOff>
    </xdr:from>
    <xdr:ext cx="164043" cy="159026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SpPr txBox="1"/>
      </xdr:nvSpPr>
      <xdr:spPr>
        <a:xfrm>
          <a:off x="6742528" y="62870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9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1300-000045000000}"/>
                </a:ext>
              </a:extLst>
            </xdr:cNvPr>
            <xdr:cNvSpPr txBox="1"/>
          </xdr:nvSpPr>
          <xdr:spPr>
            <a:xfrm>
              <a:off x="626209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E47F7CF0-CD27-4853-9BD8-C6867BE1385C}"/>
                </a:ext>
              </a:extLst>
            </xdr:cNvPr>
            <xdr:cNvSpPr txBox="1"/>
          </xdr:nvSpPr>
          <xdr:spPr>
            <a:xfrm>
              <a:off x="626209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10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00000000-0008-0000-1300-000046000000}"/>
                </a:ext>
              </a:extLst>
            </xdr:cNvPr>
            <xdr:cNvSpPr txBox="1"/>
          </xdr:nvSpPr>
          <xdr:spPr>
            <a:xfrm>
              <a:off x="677583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89AC564F-5D99-40A9-81CA-FEF41CAEC8CE}"/>
                </a:ext>
              </a:extLst>
            </xdr:cNvPr>
            <xdr:cNvSpPr txBox="1"/>
          </xdr:nvSpPr>
          <xdr:spPr>
            <a:xfrm>
              <a:off x="677583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Box 70">
              <a:extLst>
                <a:ext uri="{FF2B5EF4-FFF2-40B4-BE49-F238E27FC236}">
                  <a16:creationId xmlns:a16="http://schemas.microsoft.com/office/drawing/2014/main" id="{00000000-0008-0000-1300-000047000000}"/>
                </a:ext>
              </a:extLst>
            </xdr:cNvPr>
            <xdr:cNvSpPr txBox="1"/>
          </xdr:nvSpPr>
          <xdr:spPr>
            <a:xfrm>
              <a:off x="711935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71" name="TextBox 70">
              <a:extLst>
                <a:ext uri="{FF2B5EF4-FFF2-40B4-BE49-F238E27FC236}">
                  <a16:creationId xmlns:a16="http://schemas.microsoft.com/office/drawing/2014/main" id="{A8FA1AB2-AC15-4C0E-A08A-EFC6D775749A}"/>
                </a:ext>
              </a:extLst>
            </xdr:cNvPr>
            <xdr:cNvSpPr txBox="1"/>
          </xdr:nvSpPr>
          <xdr:spPr>
            <a:xfrm>
              <a:off x="711935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14</xdr:col>
      <xdr:colOff>409232</xdr:colOff>
      <xdr:row>41</xdr:row>
      <xdr:rowOff>167484</xdr:rowOff>
    </xdr:from>
    <xdr:ext cx="164043" cy="15902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SpPr txBox="1"/>
      </xdr:nvSpPr>
      <xdr:spPr>
        <a:xfrm>
          <a:off x="9964712" y="719312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14</xdr:col>
      <xdr:colOff>409419</xdr:colOff>
      <xdr:row>43</xdr:row>
      <xdr:rowOff>7058</xdr:rowOff>
    </xdr:from>
    <xdr:ext cx="164043" cy="15902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SpPr txBox="1"/>
      </xdr:nvSpPr>
      <xdr:spPr>
        <a:xfrm>
          <a:off x="9964899" y="736797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105087</xdr:colOff>
      <xdr:row>42</xdr:row>
      <xdr:rowOff>3529</xdr:rowOff>
    </xdr:from>
    <xdr:ext cx="164043" cy="159026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1300-00004A000000}"/>
            </a:ext>
          </a:extLst>
        </xdr:cNvPr>
        <xdr:cNvSpPr txBox="1"/>
      </xdr:nvSpPr>
      <xdr:spPr>
        <a:xfrm>
          <a:off x="9035727" y="71968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105274</xdr:colOff>
      <xdr:row>43</xdr:row>
      <xdr:rowOff>7620</xdr:rowOff>
    </xdr:from>
    <xdr:ext cx="164043" cy="15902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1300-00004B000000}"/>
            </a:ext>
          </a:extLst>
        </xdr:cNvPr>
        <xdr:cNvSpPr txBox="1"/>
      </xdr:nvSpPr>
      <xdr:spPr>
        <a:xfrm>
          <a:off x="9035914" y="73685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00000000-0008-0000-1300-00004C000000}"/>
                </a:ext>
              </a:extLst>
            </xdr:cNvPr>
            <xdr:cNvSpPr txBox="1"/>
          </xdr:nvSpPr>
          <xdr:spPr>
            <a:xfrm>
              <a:off x="693907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384BFFF-528E-46BC-B1E5-DB086E6E980E}"/>
                </a:ext>
              </a:extLst>
            </xdr:cNvPr>
            <xdr:cNvSpPr txBox="1"/>
          </xdr:nvSpPr>
          <xdr:spPr>
            <a:xfrm>
              <a:off x="693907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Box 76">
              <a:extLst>
                <a:ext uri="{FF2B5EF4-FFF2-40B4-BE49-F238E27FC236}">
                  <a16:creationId xmlns:a16="http://schemas.microsoft.com/office/drawing/2014/main" id="{00000000-0008-0000-1300-00004D000000}"/>
                </a:ext>
              </a:extLst>
            </xdr:cNvPr>
            <xdr:cNvSpPr txBox="1"/>
          </xdr:nvSpPr>
          <xdr:spPr>
            <a:xfrm>
              <a:off x="689068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77" name="TextBox 76">
              <a:extLst>
                <a:ext uri="{FF2B5EF4-FFF2-40B4-BE49-F238E27FC236}">
                  <a16:creationId xmlns:a16="http://schemas.microsoft.com/office/drawing/2014/main" id="{E810D54B-C1FA-487C-8ACA-13E958676C3D}"/>
                </a:ext>
              </a:extLst>
            </xdr:cNvPr>
            <xdr:cNvSpPr txBox="1"/>
          </xdr:nvSpPr>
          <xdr:spPr>
            <a:xfrm>
              <a:off x="689068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15</xdr:col>
      <xdr:colOff>401955</xdr:colOff>
      <xdr:row>46</xdr:row>
      <xdr:rowOff>22860</xdr:rowOff>
    </xdr:from>
    <xdr:ext cx="249850" cy="168634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 txBox="1"/>
      </xdr:nvSpPr>
      <xdr:spPr>
        <a:xfrm>
          <a:off x="10582275" y="788670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10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TextBox 78">
              <a:extLst>
                <a:ext uri="{FF2B5EF4-FFF2-40B4-BE49-F238E27FC236}">
                  <a16:creationId xmlns:a16="http://schemas.microsoft.com/office/drawing/2014/main" id="{00000000-0008-0000-1300-00004F000000}"/>
                </a:ext>
              </a:extLst>
            </xdr:cNvPr>
            <xdr:cNvSpPr txBox="1"/>
          </xdr:nvSpPr>
          <xdr:spPr>
            <a:xfrm>
              <a:off x="675165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79" name="TextBox 78">
              <a:extLst>
                <a:ext uri="{FF2B5EF4-FFF2-40B4-BE49-F238E27FC236}">
                  <a16:creationId xmlns:a16="http://schemas.microsoft.com/office/drawing/2014/main" id="{EE9422BA-0B40-4D70-A8E0-B9C4F3139861}"/>
                </a:ext>
              </a:extLst>
            </xdr:cNvPr>
            <xdr:cNvSpPr txBox="1"/>
          </xdr:nvSpPr>
          <xdr:spPr>
            <a:xfrm>
              <a:off x="675165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TextBox 79">
              <a:extLst>
                <a:ext uri="{FF2B5EF4-FFF2-40B4-BE49-F238E27FC236}">
                  <a16:creationId xmlns:a16="http://schemas.microsoft.com/office/drawing/2014/main" id="{00000000-0008-0000-1300-000050000000}"/>
                </a:ext>
              </a:extLst>
            </xdr:cNvPr>
            <xdr:cNvSpPr txBox="1"/>
          </xdr:nvSpPr>
          <xdr:spPr>
            <a:xfrm>
              <a:off x="678345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80" name="TextBox 79">
              <a:extLst>
                <a:ext uri="{FF2B5EF4-FFF2-40B4-BE49-F238E27FC236}">
                  <a16:creationId xmlns:a16="http://schemas.microsoft.com/office/drawing/2014/main" id="{56ADEFDA-A2C6-4B2F-A183-43BF68C14470}"/>
                </a:ext>
              </a:extLst>
            </xdr:cNvPr>
            <xdr:cNvSpPr txBox="1"/>
          </xdr:nvSpPr>
          <xdr:spPr>
            <a:xfrm>
              <a:off x="678345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12</xdr:col>
      <xdr:colOff>632460</xdr:colOff>
      <xdr:row>49</xdr:row>
      <xdr:rowOff>0</xdr:rowOff>
    </xdr:from>
    <xdr:ext cx="164043" cy="159026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1300-000051000000}"/>
            </a:ext>
          </a:extLst>
        </xdr:cNvPr>
        <xdr:cNvSpPr txBox="1"/>
      </xdr:nvSpPr>
      <xdr:spPr>
        <a:xfrm>
          <a:off x="8785860" y="836676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12</xdr:col>
      <xdr:colOff>624840</xdr:colOff>
      <xdr:row>50</xdr:row>
      <xdr:rowOff>0</xdr:rowOff>
    </xdr:from>
    <xdr:ext cx="164043" cy="159026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1300-000052000000}"/>
            </a:ext>
          </a:extLst>
        </xdr:cNvPr>
        <xdr:cNvSpPr txBox="1"/>
      </xdr:nvSpPr>
      <xdr:spPr>
        <a:xfrm>
          <a:off x="8778240" y="853440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472440</xdr:colOff>
      <xdr:row>51</xdr:row>
      <xdr:rowOff>17780</xdr:rowOff>
    </xdr:from>
    <xdr:ext cx="2823210" cy="28067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SpPr txBox="1"/>
      </xdr:nvSpPr>
      <xdr:spPr>
        <a:xfrm>
          <a:off x="7185660" y="871982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19</xdr:col>
      <xdr:colOff>0</xdr:colOff>
      <xdr:row>12</xdr:row>
      <xdr:rowOff>0</xdr:rowOff>
    </xdr:from>
    <xdr:ext cx="1152939" cy="19343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 txBox="1"/>
      </xdr:nvSpPr>
      <xdr:spPr>
        <a:xfrm>
          <a:off x="12679680" y="20497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19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TextBox 84">
              <a:extLst>
                <a:ext uri="{FF2B5EF4-FFF2-40B4-BE49-F238E27FC236}">
                  <a16:creationId xmlns:a16="http://schemas.microsoft.com/office/drawing/2014/main" id="{00000000-0008-0000-1300-000055000000}"/>
                </a:ext>
              </a:extLst>
            </xdr:cNvPr>
            <xdr:cNvSpPr txBox="1"/>
          </xdr:nvSpPr>
          <xdr:spPr>
            <a:xfrm>
              <a:off x="1272767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85" name="TextBox 84">
              <a:extLst>
                <a:ext uri="{FF2B5EF4-FFF2-40B4-BE49-F238E27FC236}">
                  <a16:creationId xmlns:a16="http://schemas.microsoft.com/office/drawing/2014/main" id="{C56347C2-9EE5-41F1-9D51-9A81D37DBEA4}"/>
                </a:ext>
              </a:extLst>
            </xdr:cNvPr>
            <xdr:cNvSpPr txBox="1"/>
          </xdr:nvSpPr>
          <xdr:spPr>
            <a:xfrm>
              <a:off x="1272767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19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id="{00000000-0008-0000-1300-000056000000}"/>
                </a:ext>
              </a:extLst>
            </xdr:cNvPr>
            <xdr:cNvSpPr txBox="1"/>
          </xdr:nvSpPr>
          <xdr:spPr>
            <a:xfrm>
              <a:off x="1277405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id="{3BF1902A-210B-42CB-A45E-81A553CA46F8}"/>
                </a:ext>
              </a:extLst>
            </xdr:cNvPr>
            <xdr:cNvSpPr txBox="1"/>
          </xdr:nvSpPr>
          <xdr:spPr>
            <a:xfrm>
              <a:off x="1277405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22</xdr:col>
      <xdr:colOff>620486</xdr:colOff>
      <xdr:row>14</xdr:row>
      <xdr:rowOff>12258</xdr:rowOff>
    </xdr:from>
    <xdr:ext cx="164043" cy="159026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 txBox="1"/>
      </xdr:nvSpPr>
      <xdr:spPr>
        <a:xfrm>
          <a:off x="15433766" y="23973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19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TextBox 87">
              <a:extLst>
                <a:ext uri="{FF2B5EF4-FFF2-40B4-BE49-F238E27FC236}">
                  <a16:creationId xmlns:a16="http://schemas.microsoft.com/office/drawing/2014/main" id="{00000000-0008-0000-1300-000058000000}"/>
                </a:ext>
              </a:extLst>
            </xdr:cNvPr>
            <xdr:cNvSpPr txBox="1"/>
          </xdr:nvSpPr>
          <xdr:spPr>
            <a:xfrm>
              <a:off x="1270618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88" name="TextBox 87">
              <a:extLst>
                <a:ext uri="{FF2B5EF4-FFF2-40B4-BE49-F238E27FC236}">
                  <a16:creationId xmlns:a16="http://schemas.microsoft.com/office/drawing/2014/main" id="{D65689DD-50A5-4BCD-B50C-22AEA9EB31B8}"/>
                </a:ext>
              </a:extLst>
            </xdr:cNvPr>
            <xdr:cNvSpPr txBox="1"/>
          </xdr:nvSpPr>
          <xdr:spPr>
            <a:xfrm>
              <a:off x="1270618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24</xdr:col>
      <xdr:colOff>335281</xdr:colOff>
      <xdr:row>23</xdr:row>
      <xdr:rowOff>14246</xdr:rowOff>
    </xdr:from>
    <xdr:ext cx="249850" cy="168634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1300-000059000000}"/>
            </a:ext>
          </a:extLst>
        </xdr:cNvPr>
        <xdr:cNvSpPr txBox="1"/>
      </xdr:nvSpPr>
      <xdr:spPr>
        <a:xfrm>
          <a:off x="16558261" y="395378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22</xdr:col>
      <xdr:colOff>119531</xdr:colOff>
      <xdr:row>19</xdr:row>
      <xdr:rowOff>79417</xdr:rowOff>
    </xdr:from>
    <xdr:ext cx="164043" cy="159026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1300-00005A000000}"/>
            </a:ext>
          </a:extLst>
        </xdr:cNvPr>
        <xdr:cNvSpPr txBox="1"/>
      </xdr:nvSpPr>
      <xdr:spPr>
        <a:xfrm>
          <a:off x="14932811" y="332553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19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TextBox 90">
              <a:extLst>
                <a:ext uri="{FF2B5EF4-FFF2-40B4-BE49-F238E27FC236}">
                  <a16:creationId xmlns:a16="http://schemas.microsoft.com/office/drawing/2014/main" id="{00000000-0008-0000-1300-00005B000000}"/>
                </a:ext>
              </a:extLst>
            </xdr:cNvPr>
            <xdr:cNvSpPr txBox="1"/>
          </xdr:nvSpPr>
          <xdr:spPr>
            <a:xfrm>
              <a:off x="1277907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91" name="TextBox 90">
              <a:extLst>
                <a:ext uri="{FF2B5EF4-FFF2-40B4-BE49-F238E27FC236}">
                  <a16:creationId xmlns:a16="http://schemas.microsoft.com/office/drawing/2014/main" id="{62A49415-5D92-49DE-ADA7-AA9F83B0D768}"/>
                </a:ext>
              </a:extLst>
            </xdr:cNvPr>
            <xdr:cNvSpPr txBox="1"/>
          </xdr:nvSpPr>
          <xdr:spPr>
            <a:xfrm>
              <a:off x="1277907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19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TextBox 91">
              <a:extLst>
                <a:ext uri="{FF2B5EF4-FFF2-40B4-BE49-F238E27FC236}">
                  <a16:creationId xmlns:a16="http://schemas.microsoft.com/office/drawing/2014/main" id="{00000000-0008-0000-1300-00005C000000}"/>
                </a:ext>
              </a:extLst>
            </xdr:cNvPr>
            <xdr:cNvSpPr txBox="1"/>
          </xdr:nvSpPr>
          <xdr:spPr>
            <a:xfrm>
              <a:off x="1277907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92" name="TextBox 91">
              <a:extLst>
                <a:ext uri="{FF2B5EF4-FFF2-40B4-BE49-F238E27FC236}">
                  <a16:creationId xmlns:a16="http://schemas.microsoft.com/office/drawing/2014/main" id="{5609C23F-E249-49F3-A5A7-F39ABE7B70E9}"/>
                </a:ext>
              </a:extLst>
            </xdr:cNvPr>
            <xdr:cNvSpPr txBox="1"/>
          </xdr:nvSpPr>
          <xdr:spPr>
            <a:xfrm>
              <a:off x="1277907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19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TextBox 92">
              <a:extLst>
                <a:ext uri="{FF2B5EF4-FFF2-40B4-BE49-F238E27FC236}">
                  <a16:creationId xmlns:a16="http://schemas.microsoft.com/office/drawing/2014/main" id="{00000000-0008-0000-1300-00005D000000}"/>
                </a:ext>
              </a:extLst>
            </xdr:cNvPr>
            <xdr:cNvSpPr txBox="1"/>
          </xdr:nvSpPr>
          <xdr:spPr>
            <a:xfrm>
              <a:off x="1279232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93" name="TextBox 92">
              <a:extLst>
                <a:ext uri="{FF2B5EF4-FFF2-40B4-BE49-F238E27FC236}">
                  <a16:creationId xmlns:a16="http://schemas.microsoft.com/office/drawing/2014/main" id="{C4E477FC-6C49-4B0B-8C5C-81938D0B9356}"/>
                </a:ext>
              </a:extLst>
            </xdr:cNvPr>
            <xdr:cNvSpPr txBox="1"/>
          </xdr:nvSpPr>
          <xdr:spPr>
            <a:xfrm>
              <a:off x="1279232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20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00000000-0008-0000-1300-00005E000000}"/>
                </a:ext>
              </a:extLst>
            </xdr:cNvPr>
            <xdr:cNvSpPr txBox="1"/>
          </xdr:nvSpPr>
          <xdr:spPr>
            <a:xfrm>
              <a:off x="1348974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5EB03530-92E7-4A20-8B3D-8BBD771D7447}"/>
                </a:ext>
              </a:extLst>
            </xdr:cNvPr>
            <xdr:cNvSpPr txBox="1"/>
          </xdr:nvSpPr>
          <xdr:spPr>
            <a:xfrm>
              <a:off x="1348974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19</xdr:col>
      <xdr:colOff>17585</xdr:colOff>
      <xdr:row>21</xdr:row>
      <xdr:rowOff>70339</xdr:rowOff>
    </xdr:from>
    <xdr:ext cx="164043" cy="15902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 txBox="1"/>
      </xdr:nvSpPr>
      <xdr:spPr>
        <a:xfrm>
          <a:off x="12697265" y="36517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19</xdr:col>
      <xdr:colOff>29308</xdr:colOff>
      <xdr:row>23</xdr:row>
      <xdr:rowOff>99646</xdr:rowOff>
    </xdr:from>
    <xdr:ext cx="164043" cy="15902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SpPr txBox="1"/>
      </xdr:nvSpPr>
      <xdr:spPr>
        <a:xfrm>
          <a:off x="12708988" y="4039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19</xdr:col>
      <xdr:colOff>35169</xdr:colOff>
      <xdr:row>25</xdr:row>
      <xdr:rowOff>128953</xdr:rowOff>
    </xdr:from>
    <xdr:ext cx="164043" cy="159026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 txBox="1"/>
      </xdr:nvSpPr>
      <xdr:spPr>
        <a:xfrm>
          <a:off x="12714849" y="4419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19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TextBox 97">
              <a:extLst>
                <a:ext uri="{FF2B5EF4-FFF2-40B4-BE49-F238E27FC236}">
                  <a16:creationId xmlns:a16="http://schemas.microsoft.com/office/drawing/2014/main" id="{00000000-0008-0000-1300-000062000000}"/>
                </a:ext>
              </a:extLst>
            </xdr:cNvPr>
            <xdr:cNvSpPr txBox="1"/>
          </xdr:nvSpPr>
          <xdr:spPr>
            <a:xfrm>
              <a:off x="1272540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98" name="TextBox 97">
              <a:extLst>
                <a:ext uri="{FF2B5EF4-FFF2-40B4-BE49-F238E27FC236}">
                  <a16:creationId xmlns:a16="http://schemas.microsoft.com/office/drawing/2014/main" id="{B0B4B3BD-C8A7-4506-9BEB-229E822BA468}"/>
                </a:ext>
              </a:extLst>
            </xdr:cNvPr>
            <xdr:cNvSpPr txBox="1"/>
          </xdr:nvSpPr>
          <xdr:spPr>
            <a:xfrm>
              <a:off x="1272540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19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TextBox 98">
              <a:extLst>
                <a:ext uri="{FF2B5EF4-FFF2-40B4-BE49-F238E27FC236}">
                  <a16:creationId xmlns:a16="http://schemas.microsoft.com/office/drawing/2014/main" id="{00000000-0008-0000-1300-000063000000}"/>
                </a:ext>
              </a:extLst>
            </xdr:cNvPr>
            <xdr:cNvSpPr txBox="1"/>
          </xdr:nvSpPr>
          <xdr:spPr>
            <a:xfrm>
              <a:off x="1272540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99" name="TextBox 98">
              <a:extLst>
                <a:ext uri="{FF2B5EF4-FFF2-40B4-BE49-F238E27FC236}">
                  <a16:creationId xmlns:a16="http://schemas.microsoft.com/office/drawing/2014/main" id="{591CD72A-6107-47DF-8D66-1876A891D747}"/>
                </a:ext>
              </a:extLst>
            </xdr:cNvPr>
            <xdr:cNvSpPr txBox="1"/>
          </xdr:nvSpPr>
          <xdr:spPr>
            <a:xfrm>
              <a:off x="1272540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19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TextBox 99">
              <a:extLst>
                <a:ext uri="{FF2B5EF4-FFF2-40B4-BE49-F238E27FC236}">
                  <a16:creationId xmlns:a16="http://schemas.microsoft.com/office/drawing/2014/main" id="{00000000-0008-0000-1300-000064000000}"/>
                </a:ext>
              </a:extLst>
            </xdr:cNvPr>
            <xdr:cNvSpPr txBox="1"/>
          </xdr:nvSpPr>
          <xdr:spPr>
            <a:xfrm>
              <a:off x="1306068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100" name="TextBox 99">
              <a:extLst>
                <a:ext uri="{FF2B5EF4-FFF2-40B4-BE49-F238E27FC236}">
                  <a16:creationId xmlns:a16="http://schemas.microsoft.com/office/drawing/2014/main" id="{2B966C5C-763A-4A1E-BE65-F7E779DD5DA2}"/>
                </a:ext>
              </a:extLst>
            </xdr:cNvPr>
            <xdr:cNvSpPr txBox="1"/>
          </xdr:nvSpPr>
          <xdr:spPr>
            <a:xfrm>
              <a:off x="1306068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23</xdr:col>
      <xdr:colOff>426896</xdr:colOff>
      <xdr:row>19</xdr:row>
      <xdr:rowOff>67381</xdr:rowOff>
    </xdr:from>
    <xdr:ext cx="145677" cy="15621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 txBox="1"/>
      </xdr:nvSpPr>
      <xdr:spPr>
        <a:xfrm>
          <a:off x="16025036" y="331350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19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TextBox 101">
              <a:extLst>
                <a:ext uri="{FF2B5EF4-FFF2-40B4-BE49-F238E27FC236}">
                  <a16:creationId xmlns:a16="http://schemas.microsoft.com/office/drawing/2014/main" id="{00000000-0008-0000-1300-000066000000}"/>
                </a:ext>
              </a:extLst>
            </xdr:cNvPr>
            <xdr:cNvSpPr txBox="1"/>
          </xdr:nvSpPr>
          <xdr:spPr>
            <a:xfrm>
              <a:off x="1277907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02" name="TextBox 101">
              <a:extLst>
                <a:ext uri="{FF2B5EF4-FFF2-40B4-BE49-F238E27FC236}">
                  <a16:creationId xmlns:a16="http://schemas.microsoft.com/office/drawing/2014/main" id="{D38C8147-3976-4F7D-96FB-0E51F5EC0446}"/>
                </a:ext>
              </a:extLst>
            </xdr:cNvPr>
            <xdr:cNvSpPr txBox="1"/>
          </xdr:nvSpPr>
          <xdr:spPr>
            <a:xfrm>
              <a:off x="1277907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19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00000000-0008-0000-1300-000067000000}"/>
                </a:ext>
              </a:extLst>
            </xdr:cNvPr>
            <xdr:cNvSpPr txBox="1"/>
          </xdr:nvSpPr>
          <xdr:spPr>
            <a:xfrm>
              <a:off x="1280764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737986F0-F06C-44D3-AAC1-88FCCE568DA6}"/>
                </a:ext>
              </a:extLst>
            </xdr:cNvPr>
            <xdr:cNvSpPr txBox="1"/>
          </xdr:nvSpPr>
          <xdr:spPr>
            <a:xfrm>
              <a:off x="1280764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19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TextBox 103">
              <a:extLst>
                <a:ext uri="{FF2B5EF4-FFF2-40B4-BE49-F238E27FC236}">
                  <a16:creationId xmlns:a16="http://schemas.microsoft.com/office/drawing/2014/main" id="{00000000-0008-0000-1300-000068000000}"/>
                </a:ext>
              </a:extLst>
            </xdr:cNvPr>
            <xdr:cNvSpPr txBox="1"/>
          </xdr:nvSpPr>
          <xdr:spPr>
            <a:xfrm>
              <a:off x="1279232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04" name="TextBox 103">
              <a:extLst>
                <a:ext uri="{FF2B5EF4-FFF2-40B4-BE49-F238E27FC236}">
                  <a16:creationId xmlns:a16="http://schemas.microsoft.com/office/drawing/2014/main" id="{5E733DCE-F349-4C7B-A983-A9AC6C10C717}"/>
                </a:ext>
              </a:extLst>
            </xdr:cNvPr>
            <xdr:cNvSpPr txBox="1"/>
          </xdr:nvSpPr>
          <xdr:spPr>
            <a:xfrm>
              <a:off x="1279232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19</xdr:col>
      <xdr:colOff>17585</xdr:colOff>
      <xdr:row>32</xdr:row>
      <xdr:rowOff>70339</xdr:rowOff>
    </xdr:from>
    <xdr:ext cx="164043" cy="159026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 txBox="1"/>
      </xdr:nvSpPr>
      <xdr:spPr>
        <a:xfrm>
          <a:off x="12697265" y="55872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19</xdr:col>
      <xdr:colOff>29308</xdr:colOff>
      <xdr:row>34</xdr:row>
      <xdr:rowOff>99646</xdr:rowOff>
    </xdr:from>
    <xdr:ext cx="164043" cy="159026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 txBox="1"/>
      </xdr:nvSpPr>
      <xdr:spPr>
        <a:xfrm>
          <a:off x="12708988" y="59518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19</xdr:col>
      <xdr:colOff>35169</xdr:colOff>
      <xdr:row>38</xdr:row>
      <xdr:rowOff>128953</xdr:rowOff>
    </xdr:from>
    <xdr:ext cx="164043" cy="159026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 txBox="1"/>
      </xdr:nvSpPr>
      <xdr:spPr>
        <a:xfrm>
          <a:off x="12714849" y="66516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19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00000000-0008-0000-1300-00006C000000}"/>
                </a:ext>
              </a:extLst>
            </xdr:cNvPr>
            <xdr:cNvSpPr txBox="1"/>
          </xdr:nvSpPr>
          <xdr:spPr>
            <a:xfrm>
              <a:off x="1277907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7D854D3E-5BBC-4E7D-924A-560B8987814C}"/>
                </a:ext>
              </a:extLst>
            </xdr:cNvPr>
            <xdr:cNvSpPr txBox="1"/>
          </xdr:nvSpPr>
          <xdr:spPr>
            <a:xfrm>
              <a:off x="1277907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19</xdr:col>
      <xdr:colOff>29308</xdr:colOff>
      <xdr:row>36</xdr:row>
      <xdr:rowOff>99646</xdr:rowOff>
    </xdr:from>
    <xdr:ext cx="164043" cy="159026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SpPr txBox="1"/>
      </xdr:nvSpPr>
      <xdr:spPr>
        <a:xfrm>
          <a:off x="12708988" y="62870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18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00000000-0008-0000-1300-00006E000000}"/>
                </a:ext>
              </a:extLst>
            </xdr:cNvPr>
            <xdr:cNvSpPr txBox="1"/>
          </xdr:nvSpPr>
          <xdr:spPr>
            <a:xfrm>
              <a:off x="1222855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FB8329E9-31B4-4E13-BDEB-B3C04D3714A4}"/>
                </a:ext>
              </a:extLst>
            </xdr:cNvPr>
            <xdr:cNvSpPr txBox="1"/>
          </xdr:nvSpPr>
          <xdr:spPr>
            <a:xfrm>
              <a:off x="1222855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19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TextBox 110">
              <a:extLst>
                <a:ext uri="{FF2B5EF4-FFF2-40B4-BE49-F238E27FC236}">
                  <a16:creationId xmlns:a16="http://schemas.microsoft.com/office/drawing/2014/main" id="{00000000-0008-0000-1300-00006F000000}"/>
                </a:ext>
              </a:extLst>
            </xdr:cNvPr>
            <xdr:cNvSpPr txBox="1"/>
          </xdr:nvSpPr>
          <xdr:spPr>
            <a:xfrm>
              <a:off x="1274229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11" name="TextBox 110">
              <a:extLst>
                <a:ext uri="{FF2B5EF4-FFF2-40B4-BE49-F238E27FC236}">
                  <a16:creationId xmlns:a16="http://schemas.microsoft.com/office/drawing/2014/main" id="{5173A784-D7F2-4837-AD85-897ACB083982}"/>
                </a:ext>
              </a:extLst>
            </xdr:cNvPr>
            <xdr:cNvSpPr txBox="1"/>
          </xdr:nvSpPr>
          <xdr:spPr>
            <a:xfrm>
              <a:off x="1274229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19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TextBox 111">
              <a:extLst>
                <a:ext uri="{FF2B5EF4-FFF2-40B4-BE49-F238E27FC236}">
                  <a16:creationId xmlns:a16="http://schemas.microsoft.com/office/drawing/2014/main" id="{00000000-0008-0000-1300-000070000000}"/>
                </a:ext>
              </a:extLst>
            </xdr:cNvPr>
            <xdr:cNvSpPr txBox="1"/>
          </xdr:nvSpPr>
          <xdr:spPr>
            <a:xfrm>
              <a:off x="1308581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112" name="TextBox 111">
              <a:extLst>
                <a:ext uri="{FF2B5EF4-FFF2-40B4-BE49-F238E27FC236}">
                  <a16:creationId xmlns:a16="http://schemas.microsoft.com/office/drawing/2014/main" id="{FDDCA18C-11C2-4B5E-9119-53FE72A3ED21}"/>
                </a:ext>
              </a:extLst>
            </xdr:cNvPr>
            <xdr:cNvSpPr txBox="1"/>
          </xdr:nvSpPr>
          <xdr:spPr>
            <a:xfrm>
              <a:off x="1308581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23</xdr:col>
      <xdr:colOff>409232</xdr:colOff>
      <xdr:row>41</xdr:row>
      <xdr:rowOff>167484</xdr:rowOff>
    </xdr:from>
    <xdr:ext cx="164043" cy="159026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SpPr txBox="1"/>
      </xdr:nvSpPr>
      <xdr:spPr>
        <a:xfrm>
          <a:off x="16007372" y="719312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23</xdr:col>
      <xdr:colOff>409419</xdr:colOff>
      <xdr:row>43</xdr:row>
      <xdr:rowOff>7058</xdr:rowOff>
    </xdr:from>
    <xdr:ext cx="164043" cy="159026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1300-000072000000}"/>
            </a:ext>
          </a:extLst>
        </xdr:cNvPr>
        <xdr:cNvSpPr txBox="1"/>
      </xdr:nvSpPr>
      <xdr:spPr>
        <a:xfrm>
          <a:off x="16007559" y="736797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22</xdr:col>
      <xdr:colOff>105087</xdr:colOff>
      <xdr:row>42</xdr:row>
      <xdr:rowOff>3529</xdr:rowOff>
    </xdr:from>
    <xdr:ext cx="164043" cy="159026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0000000-0008-0000-1300-000073000000}"/>
            </a:ext>
          </a:extLst>
        </xdr:cNvPr>
        <xdr:cNvSpPr txBox="1"/>
      </xdr:nvSpPr>
      <xdr:spPr>
        <a:xfrm>
          <a:off x="14918367" y="71968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22</xdr:col>
      <xdr:colOff>105274</xdr:colOff>
      <xdr:row>43</xdr:row>
      <xdr:rowOff>7620</xdr:rowOff>
    </xdr:from>
    <xdr:ext cx="164043" cy="159026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0000000-0008-0000-1300-000074000000}"/>
            </a:ext>
          </a:extLst>
        </xdr:cNvPr>
        <xdr:cNvSpPr txBox="1"/>
      </xdr:nvSpPr>
      <xdr:spPr>
        <a:xfrm>
          <a:off x="14918554" y="73685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19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TextBox 116">
              <a:extLst>
                <a:ext uri="{FF2B5EF4-FFF2-40B4-BE49-F238E27FC236}">
                  <a16:creationId xmlns:a16="http://schemas.microsoft.com/office/drawing/2014/main" id="{00000000-0008-0000-1300-000075000000}"/>
                </a:ext>
              </a:extLst>
            </xdr:cNvPr>
            <xdr:cNvSpPr txBox="1"/>
          </xdr:nvSpPr>
          <xdr:spPr>
            <a:xfrm>
              <a:off x="1290553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17" name="TextBox 116">
              <a:extLst>
                <a:ext uri="{FF2B5EF4-FFF2-40B4-BE49-F238E27FC236}">
                  <a16:creationId xmlns:a16="http://schemas.microsoft.com/office/drawing/2014/main" id="{74B968DE-A332-4507-9029-144C96C997BE}"/>
                </a:ext>
              </a:extLst>
            </xdr:cNvPr>
            <xdr:cNvSpPr txBox="1"/>
          </xdr:nvSpPr>
          <xdr:spPr>
            <a:xfrm>
              <a:off x="1290553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19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TextBox 117">
              <a:extLst>
                <a:ext uri="{FF2B5EF4-FFF2-40B4-BE49-F238E27FC236}">
                  <a16:creationId xmlns:a16="http://schemas.microsoft.com/office/drawing/2014/main" id="{00000000-0008-0000-1300-000076000000}"/>
                </a:ext>
              </a:extLst>
            </xdr:cNvPr>
            <xdr:cNvSpPr txBox="1"/>
          </xdr:nvSpPr>
          <xdr:spPr>
            <a:xfrm>
              <a:off x="1285714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18" name="TextBox 117">
              <a:extLst>
                <a:ext uri="{FF2B5EF4-FFF2-40B4-BE49-F238E27FC236}">
                  <a16:creationId xmlns:a16="http://schemas.microsoft.com/office/drawing/2014/main" id="{40C0E617-2040-4970-AB5F-A060D92BA648}"/>
                </a:ext>
              </a:extLst>
            </xdr:cNvPr>
            <xdr:cNvSpPr txBox="1"/>
          </xdr:nvSpPr>
          <xdr:spPr>
            <a:xfrm>
              <a:off x="1285714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24</xdr:col>
      <xdr:colOff>401955</xdr:colOff>
      <xdr:row>46</xdr:row>
      <xdr:rowOff>22860</xdr:rowOff>
    </xdr:from>
    <xdr:ext cx="249850" cy="168634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1300-000077000000}"/>
            </a:ext>
          </a:extLst>
        </xdr:cNvPr>
        <xdr:cNvSpPr txBox="1"/>
      </xdr:nvSpPr>
      <xdr:spPr>
        <a:xfrm>
          <a:off x="16624935" y="788670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19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id="{00000000-0008-0000-1300-000078000000}"/>
                </a:ext>
              </a:extLst>
            </xdr:cNvPr>
            <xdr:cNvSpPr txBox="1"/>
          </xdr:nvSpPr>
          <xdr:spPr>
            <a:xfrm>
              <a:off x="1271811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id="{C4DD4473-A16D-48F8-8992-0972D85F32E5}"/>
                </a:ext>
              </a:extLst>
            </xdr:cNvPr>
            <xdr:cNvSpPr txBox="1"/>
          </xdr:nvSpPr>
          <xdr:spPr>
            <a:xfrm>
              <a:off x="1271811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19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TextBox 120">
              <a:extLst>
                <a:ext uri="{FF2B5EF4-FFF2-40B4-BE49-F238E27FC236}">
                  <a16:creationId xmlns:a16="http://schemas.microsoft.com/office/drawing/2014/main" id="{00000000-0008-0000-1300-000079000000}"/>
                </a:ext>
              </a:extLst>
            </xdr:cNvPr>
            <xdr:cNvSpPr txBox="1"/>
          </xdr:nvSpPr>
          <xdr:spPr>
            <a:xfrm>
              <a:off x="1274991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21" name="TextBox 120">
              <a:extLst>
                <a:ext uri="{FF2B5EF4-FFF2-40B4-BE49-F238E27FC236}">
                  <a16:creationId xmlns:a16="http://schemas.microsoft.com/office/drawing/2014/main" id="{D4BA48FD-D4E3-4E25-B777-23ACE0912050}"/>
                </a:ext>
              </a:extLst>
            </xdr:cNvPr>
            <xdr:cNvSpPr txBox="1"/>
          </xdr:nvSpPr>
          <xdr:spPr>
            <a:xfrm>
              <a:off x="1274991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21</xdr:col>
      <xdr:colOff>632460</xdr:colOff>
      <xdr:row>49</xdr:row>
      <xdr:rowOff>0</xdr:rowOff>
    </xdr:from>
    <xdr:ext cx="164043" cy="159026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0000000-0008-0000-1300-00007A000000}"/>
            </a:ext>
          </a:extLst>
        </xdr:cNvPr>
        <xdr:cNvSpPr txBox="1"/>
      </xdr:nvSpPr>
      <xdr:spPr>
        <a:xfrm>
          <a:off x="14729460" y="836676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21</xdr:col>
      <xdr:colOff>624840</xdr:colOff>
      <xdr:row>50</xdr:row>
      <xdr:rowOff>0</xdr:rowOff>
    </xdr:from>
    <xdr:ext cx="164043" cy="159026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1300-00007B000000}"/>
            </a:ext>
          </a:extLst>
        </xdr:cNvPr>
        <xdr:cNvSpPr txBox="1"/>
      </xdr:nvSpPr>
      <xdr:spPr>
        <a:xfrm>
          <a:off x="14721840" y="853440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19</xdr:col>
      <xdr:colOff>472440</xdr:colOff>
      <xdr:row>51</xdr:row>
      <xdr:rowOff>17780</xdr:rowOff>
    </xdr:from>
    <xdr:ext cx="2823210" cy="28067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1300-00007C000000}"/>
            </a:ext>
          </a:extLst>
        </xdr:cNvPr>
        <xdr:cNvSpPr txBox="1"/>
      </xdr:nvSpPr>
      <xdr:spPr>
        <a:xfrm>
          <a:off x="13152120" y="871982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28</xdr:col>
      <xdr:colOff>0</xdr:colOff>
      <xdr:row>12</xdr:row>
      <xdr:rowOff>0</xdr:rowOff>
    </xdr:from>
    <xdr:ext cx="1152939" cy="19343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1300-00007D000000}"/>
            </a:ext>
          </a:extLst>
        </xdr:cNvPr>
        <xdr:cNvSpPr txBox="1"/>
      </xdr:nvSpPr>
      <xdr:spPr>
        <a:xfrm>
          <a:off x="18722340" y="20497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28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TextBox 125">
              <a:extLst>
                <a:ext uri="{FF2B5EF4-FFF2-40B4-BE49-F238E27FC236}">
                  <a16:creationId xmlns:a16="http://schemas.microsoft.com/office/drawing/2014/main" id="{00000000-0008-0000-1300-00007E000000}"/>
                </a:ext>
              </a:extLst>
            </xdr:cNvPr>
            <xdr:cNvSpPr txBox="1"/>
          </xdr:nvSpPr>
          <xdr:spPr>
            <a:xfrm>
              <a:off x="187703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126" name="TextBox 125">
              <a:extLst>
                <a:ext uri="{FF2B5EF4-FFF2-40B4-BE49-F238E27FC236}">
                  <a16:creationId xmlns:a16="http://schemas.microsoft.com/office/drawing/2014/main" id="{154EBFCD-00DA-4C18-B799-8E37F41A3B26}"/>
                </a:ext>
              </a:extLst>
            </xdr:cNvPr>
            <xdr:cNvSpPr txBox="1"/>
          </xdr:nvSpPr>
          <xdr:spPr>
            <a:xfrm>
              <a:off x="187703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28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TextBox 126">
              <a:extLst>
                <a:ext uri="{FF2B5EF4-FFF2-40B4-BE49-F238E27FC236}">
                  <a16:creationId xmlns:a16="http://schemas.microsoft.com/office/drawing/2014/main" id="{00000000-0008-0000-1300-00007F000000}"/>
                </a:ext>
              </a:extLst>
            </xdr:cNvPr>
            <xdr:cNvSpPr txBox="1"/>
          </xdr:nvSpPr>
          <xdr:spPr>
            <a:xfrm>
              <a:off x="188167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127" name="TextBox 126">
              <a:extLst>
                <a:ext uri="{FF2B5EF4-FFF2-40B4-BE49-F238E27FC236}">
                  <a16:creationId xmlns:a16="http://schemas.microsoft.com/office/drawing/2014/main" id="{3368A4C0-5224-4B93-B334-86E9C2CFB1E9}"/>
                </a:ext>
              </a:extLst>
            </xdr:cNvPr>
            <xdr:cNvSpPr txBox="1"/>
          </xdr:nvSpPr>
          <xdr:spPr>
            <a:xfrm>
              <a:off x="188167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31</xdr:col>
      <xdr:colOff>620486</xdr:colOff>
      <xdr:row>14</xdr:row>
      <xdr:rowOff>12258</xdr:rowOff>
    </xdr:from>
    <xdr:ext cx="164043" cy="159026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1300-000080000000}"/>
            </a:ext>
          </a:extLst>
        </xdr:cNvPr>
        <xdr:cNvSpPr txBox="1"/>
      </xdr:nvSpPr>
      <xdr:spPr>
        <a:xfrm>
          <a:off x="21697406" y="23973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28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TextBox 128">
              <a:extLst>
                <a:ext uri="{FF2B5EF4-FFF2-40B4-BE49-F238E27FC236}">
                  <a16:creationId xmlns:a16="http://schemas.microsoft.com/office/drawing/2014/main" id="{00000000-0008-0000-1300-000081000000}"/>
                </a:ext>
              </a:extLst>
            </xdr:cNvPr>
            <xdr:cNvSpPr txBox="1"/>
          </xdr:nvSpPr>
          <xdr:spPr>
            <a:xfrm>
              <a:off x="187488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129" name="TextBox 128">
              <a:extLst>
                <a:ext uri="{FF2B5EF4-FFF2-40B4-BE49-F238E27FC236}">
                  <a16:creationId xmlns:a16="http://schemas.microsoft.com/office/drawing/2014/main" id="{FD3B4AB7-921C-4013-B31E-D9DA681E73FA}"/>
                </a:ext>
              </a:extLst>
            </xdr:cNvPr>
            <xdr:cNvSpPr txBox="1"/>
          </xdr:nvSpPr>
          <xdr:spPr>
            <a:xfrm>
              <a:off x="187488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33</xdr:col>
      <xdr:colOff>335281</xdr:colOff>
      <xdr:row>23</xdr:row>
      <xdr:rowOff>14246</xdr:rowOff>
    </xdr:from>
    <xdr:ext cx="249850" cy="168634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0000000-0008-0000-1300-000082000000}"/>
            </a:ext>
          </a:extLst>
        </xdr:cNvPr>
        <xdr:cNvSpPr txBox="1"/>
      </xdr:nvSpPr>
      <xdr:spPr>
        <a:xfrm>
          <a:off x="22768561" y="395378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31</xdr:col>
      <xdr:colOff>119531</xdr:colOff>
      <xdr:row>19</xdr:row>
      <xdr:rowOff>79417</xdr:rowOff>
    </xdr:from>
    <xdr:ext cx="164043" cy="159026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1300-000083000000}"/>
            </a:ext>
          </a:extLst>
        </xdr:cNvPr>
        <xdr:cNvSpPr txBox="1"/>
      </xdr:nvSpPr>
      <xdr:spPr>
        <a:xfrm>
          <a:off x="21196451" y="332553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28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TextBox 131">
              <a:extLst>
                <a:ext uri="{FF2B5EF4-FFF2-40B4-BE49-F238E27FC236}">
                  <a16:creationId xmlns:a16="http://schemas.microsoft.com/office/drawing/2014/main" id="{00000000-0008-0000-1300-000084000000}"/>
                </a:ext>
              </a:extLst>
            </xdr:cNvPr>
            <xdr:cNvSpPr txBox="1"/>
          </xdr:nvSpPr>
          <xdr:spPr>
            <a:xfrm>
              <a:off x="188217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132" name="TextBox 131">
              <a:extLst>
                <a:ext uri="{FF2B5EF4-FFF2-40B4-BE49-F238E27FC236}">
                  <a16:creationId xmlns:a16="http://schemas.microsoft.com/office/drawing/2014/main" id="{AD64E6B3-29B1-4C01-B271-37A76D70D5CE}"/>
                </a:ext>
              </a:extLst>
            </xdr:cNvPr>
            <xdr:cNvSpPr txBox="1"/>
          </xdr:nvSpPr>
          <xdr:spPr>
            <a:xfrm>
              <a:off x="188217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28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TextBox 132">
              <a:extLst>
                <a:ext uri="{FF2B5EF4-FFF2-40B4-BE49-F238E27FC236}">
                  <a16:creationId xmlns:a16="http://schemas.microsoft.com/office/drawing/2014/main" id="{00000000-0008-0000-1300-000085000000}"/>
                </a:ext>
              </a:extLst>
            </xdr:cNvPr>
            <xdr:cNvSpPr txBox="1"/>
          </xdr:nvSpPr>
          <xdr:spPr>
            <a:xfrm>
              <a:off x="188217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133" name="TextBox 132">
              <a:extLst>
                <a:ext uri="{FF2B5EF4-FFF2-40B4-BE49-F238E27FC236}">
                  <a16:creationId xmlns:a16="http://schemas.microsoft.com/office/drawing/2014/main" id="{83DA682D-C5B9-4460-80F3-2FC7F7EF001F}"/>
                </a:ext>
              </a:extLst>
            </xdr:cNvPr>
            <xdr:cNvSpPr txBox="1"/>
          </xdr:nvSpPr>
          <xdr:spPr>
            <a:xfrm>
              <a:off x="188217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28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TextBox 133">
              <a:extLst>
                <a:ext uri="{FF2B5EF4-FFF2-40B4-BE49-F238E27FC236}">
                  <a16:creationId xmlns:a16="http://schemas.microsoft.com/office/drawing/2014/main" id="{00000000-0008-0000-1300-000086000000}"/>
                </a:ext>
              </a:extLst>
            </xdr:cNvPr>
            <xdr:cNvSpPr txBox="1"/>
          </xdr:nvSpPr>
          <xdr:spPr>
            <a:xfrm>
              <a:off x="188349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134" name="TextBox 133">
              <a:extLst>
                <a:ext uri="{FF2B5EF4-FFF2-40B4-BE49-F238E27FC236}">
                  <a16:creationId xmlns:a16="http://schemas.microsoft.com/office/drawing/2014/main" id="{D0E36C66-AC38-4CE8-9607-445435980C60}"/>
                </a:ext>
              </a:extLst>
            </xdr:cNvPr>
            <xdr:cNvSpPr txBox="1"/>
          </xdr:nvSpPr>
          <xdr:spPr>
            <a:xfrm>
              <a:off x="188349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29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TextBox 134">
              <a:extLst>
                <a:ext uri="{FF2B5EF4-FFF2-40B4-BE49-F238E27FC236}">
                  <a16:creationId xmlns:a16="http://schemas.microsoft.com/office/drawing/2014/main" id="{00000000-0008-0000-1300-000087000000}"/>
                </a:ext>
              </a:extLst>
            </xdr:cNvPr>
            <xdr:cNvSpPr txBox="1"/>
          </xdr:nvSpPr>
          <xdr:spPr>
            <a:xfrm>
              <a:off x="1965432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135" name="TextBox 134">
              <a:extLst>
                <a:ext uri="{FF2B5EF4-FFF2-40B4-BE49-F238E27FC236}">
                  <a16:creationId xmlns:a16="http://schemas.microsoft.com/office/drawing/2014/main" id="{5DBF54CA-CFF4-4E9D-8A26-A490C2B01584}"/>
                </a:ext>
              </a:extLst>
            </xdr:cNvPr>
            <xdr:cNvSpPr txBox="1"/>
          </xdr:nvSpPr>
          <xdr:spPr>
            <a:xfrm>
              <a:off x="1965432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28</xdr:col>
      <xdr:colOff>17585</xdr:colOff>
      <xdr:row>21</xdr:row>
      <xdr:rowOff>70339</xdr:rowOff>
    </xdr:from>
    <xdr:ext cx="164043" cy="159026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1300-000088000000}"/>
            </a:ext>
          </a:extLst>
        </xdr:cNvPr>
        <xdr:cNvSpPr txBox="1"/>
      </xdr:nvSpPr>
      <xdr:spPr>
        <a:xfrm>
          <a:off x="18739925" y="36517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28</xdr:col>
      <xdr:colOff>29308</xdr:colOff>
      <xdr:row>23</xdr:row>
      <xdr:rowOff>99646</xdr:rowOff>
    </xdr:from>
    <xdr:ext cx="164043" cy="159026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000000-0008-0000-1300-000089000000}"/>
            </a:ext>
          </a:extLst>
        </xdr:cNvPr>
        <xdr:cNvSpPr txBox="1"/>
      </xdr:nvSpPr>
      <xdr:spPr>
        <a:xfrm>
          <a:off x="18751648" y="4039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28</xdr:col>
      <xdr:colOff>35169</xdr:colOff>
      <xdr:row>25</xdr:row>
      <xdr:rowOff>128953</xdr:rowOff>
    </xdr:from>
    <xdr:ext cx="164043" cy="159026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1300-00008A000000}"/>
            </a:ext>
          </a:extLst>
        </xdr:cNvPr>
        <xdr:cNvSpPr txBox="1"/>
      </xdr:nvSpPr>
      <xdr:spPr>
        <a:xfrm>
          <a:off x="18757509" y="4419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28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TextBox 138">
              <a:extLst>
                <a:ext uri="{FF2B5EF4-FFF2-40B4-BE49-F238E27FC236}">
                  <a16:creationId xmlns:a16="http://schemas.microsoft.com/office/drawing/2014/main" id="{00000000-0008-0000-1300-00008B000000}"/>
                </a:ext>
              </a:extLst>
            </xdr:cNvPr>
            <xdr:cNvSpPr txBox="1"/>
          </xdr:nvSpPr>
          <xdr:spPr>
            <a:xfrm>
              <a:off x="187680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139" name="TextBox 138">
              <a:extLst>
                <a:ext uri="{FF2B5EF4-FFF2-40B4-BE49-F238E27FC236}">
                  <a16:creationId xmlns:a16="http://schemas.microsoft.com/office/drawing/2014/main" id="{3A36A8B3-F608-426E-8B2C-C4C8AE663F2C}"/>
                </a:ext>
              </a:extLst>
            </xdr:cNvPr>
            <xdr:cNvSpPr txBox="1"/>
          </xdr:nvSpPr>
          <xdr:spPr>
            <a:xfrm>
              <a:off x="187680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28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TextBox 139">
              <a:extLst>
                <a:ext uri="{FF2B5EF4-FFF2-40B4-BE49-F238E27FC236}">
                  <a16:creationId xmlns:a16="http://schemas.microsoft.com/office/drawing/2014/main" id="{00000000-0008-0000-1300-00008C000000}"/>
                </a:ext>
              </a:extLst>
            </xdr:cNvPr>
            <xdr:cNvSpPr txBox="1"/>
          </xdr:nvSpPr>
          <xdr:spPr>
            <a:xfrm>
              <a:off x="187680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140" name="TextBox 139">
              <a:extLst>
                <a:ext uri="{FF2B5EF4-FFF2-40B4-BE49-F238E27FC236}">
                  <a16:creationId xmlns:a16="http://schemas.microsoft.com/office/drawing/2014/main" id="{2475B2C4-50D7-40BC-8785-E8D1700A60EF}"/>
                </a:ext>
              </a:extLst>
            </xdr:cNvPr>
            <xdr:cNvSpPr txBox="1"/>
          </xdr:nvSpPr>
          <xdr:spPr>
            <a:xfrm>
              <a:off x="187680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28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TextBox 140">
              <a:extLst>
                <a:ext uri="{FF2B5EF4-FFF2-40B4-BE49-F238E27FC236}">
                  <a16:creationId xmlns:a16="http://schemas.microsoft.com/office/drawing/2014/main" id="{00000000-0008-0000-1300-00008D000000}"/>
                </a:ext>
              </a:extLst>
            </xdr:cNvPr>
            <xdr:cNvSpPr txBox="1"/>
          </xdr:nvSpPr>
          <xdr:spPr>
            <a:xfrm>
              <a:off x="191033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141" name="TextBox 140">
              <a:extLst>
                <a:ext uri="{FF2B5EF4-FFF2-40B4-BE49-F238E27FC236}">
                  <a16:creationId xmlns:a16="http://schemas.microsoft.com/office/drawing/2014/main" id="{94FFA873-937E-48DD-B3D8-5E803CF0E7E0}"/>
                </a:ext>
              </a:extLst>
            </xdr:cNvPr>
            <xdr:cNvSpPr txBox="1"/>
          </xdr:nvSpPr>
          <xdr:spPr>
            <a:xfrm>
              <a:off x="191033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32</xdr:col>
      <xdr:colOff>426896</xdr:colOff>
      <xdr:row>19</xdr:row>
      <xdr:rowOff>67381</xdr:rowOff>
    </xdr:from>
    <xdr:ext cx="145677" cy="15621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1300-00008E000000}"/>
            </a:ext>
          </a:extLst>
        </xdr:cNvPr>
        <xdr:cNvSpPr txBox="1"/>
      </xdr:nvSpPr>
      <xdr:spPr>
        <a:xfrm>
          <a:off x="22235336" y="331350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28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TextBox 142">
              <a:extLst>
                <a:ext uri="{FF2B5EF4-FFF2-40B4-BE49-F238E27FC236}">
                  <a16:creationId xmlns:a16="http://schemas.microsoft.com/office/drawing/2014/main" id="{00000000-0008-0000-1300-00008F000000}"/>
                </a:ext>
              </a:extLst>
            </xdr:cNvPr>
            <xdr:cNvSpPr txBox="1"/>
          </xdr:nvSpPr>
          <xdr:spPr>
            <a:xfrm>
              <a:off x="188217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43" name="TextBox 142">
              <a:extLst>
                <a:ext uri="{FF2B5EF4-FFF2-40B4-BE49-F238E27FC236}">
                  <a16:creationId xmlns:a16="http://schemas.microsoft.com/office/drawing/2014/main" id="{39A3B491-1274-426D-9107-2202A8B6F1C2}"/>
                </a:ext>
              </a:extLst>
            </xdr:cNvPr>
            <xdr:cNvSpPr txBox="1"/>
          </xdr:nvSpPr>
          <xdr:spPr>
            <a:xfrm>
              <a:off x="188217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28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TextBox 143">
              <a:extLst>
                <a:ext uri="{FF2B5EF4-FFF2-40B4-BE49-F238E27FC236}">
                  <a16:creationId xmlns:a16="http://schemas.microsoft.com/office/drawing/2014/main" id="{00000000-0008-0000-1300-000090000000}"/>
                </a:ext>
              </a:extLst>
            </xdr:cNvPr>
            <xdr:cNvSpPr txBox="1"/>
          </xdr:nvSpPr>
          <xdr:spPr>
            <a:xfrm>
              <a:off x="188503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44" name="TextBox 143">
              <a:extLst>
                <a:ext uri="{FF2B5EF4-FFF2-40B4-BE49-F238E27FC236}">
                  <a16:creationId xmlns:a16="http://schemas.microsoft.com/office/drawing/2014/main" id="{D043CB2D-2F64-4807-B4A7-FE474A0DF149}"/>
                </a:ext>
              </a:extLst>
            </xdr:cNvPr>
            <xdr:cNvSpPr txBox="1"/>
          </xdr:nvSpPr>
          <xdr:spPr>
            <a:xfrm>
              <a:off x="188503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28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TextBox 144">
              <a:extLst>
                <a:ext uri="{FF2B5EF4-FFF2-40B4-BE49-F238E27FC236}">
                  <a16:creationId xmlns:a16="http://schemas.microsoft.com/office/drawing/2014/main" id="{00000000-0008-0000-1300-000091000000}"/>
                </a:ext>
              </a:extLst>
            </xdr:cNvPr>
            <xdr:cNvSpPr txBox="1"/>
          </xdr:nvSpPr>
          <xdr:spPr>
            <a:xfrm>
              <a:off x="188349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45" name="TextBox 144">
              <a:extLst>
                <a:ext uri="{FF2B5EF4-FFF2-40B4-BE49-F238E27FC236}">
                  <a16:creationId xmlns:a16="http://schemas.microsoft.com/office/drawing/2014/main" id="{9D868DF4-D671-48DB-B537-0B9185FEAD96}"/>
                </a:ext>
              </a:extLst>
            </xdr:cNvPr>
            <xdr:cNvSpPr txBox="1"/>
          </xdr:nvSpPr>
          <xdr:spPr>
            <a:xfrm>
              <a:off x="188349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28</xdr:col>
      <xdr:colOff>17585</xdr:colOff>
      <xdr:row>32</xdr:row>
      <xdr:rowOff>70339</xdr:rowOff>
    </xdr:from>
    <xdr:ext cx="164043" cy="159026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00000000-0008-0000-1300-000092000000}"/>
            </a:ext>
          </a:extLst>
        </xdr:cNvPr>
        <xdr:cNvSpPr txBox="1"/>
      </xdr:nvSpPr>
      <xdr:spPr>
        <a:xfrm>
          <a:off x="18739925" y="55872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28</xdr:col>
      <xdr:colOff>29308</xdr:colOff>
      <xdr:row>34</xdr:row>
      <xdr:rowOff>99646</xdr:rowOff>
    </xdr:from>
    <xdr:ext cx="164043" cy="159026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1300-000093000000}"/>
            </a:ext>
          </a:extLst>
        </xdr:cNvPr>
        <xdr:cNvSpPr txBox="1"/>
      </xdr:nvSpPr>
      <xdr:spPr>
        <a:xfrm>
          <a:off x="18751648" y="59518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28</xdr:col>
      <xdr:colOff>35169</xdr:colOff>
      <xdr:row>38</xdr:row>
      <xdr:rowOff>128953</xdr:rowOff>
    </xdr:from>
    <xdr:ext cx="164043" cy="159026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1300-000094000000}"/>
            </a:ext>
          </a:extLst>
        </xdr:cNvPr>
        <xdr:cNvSpPr txBox="1"/>
      </xdr:nvSpPr>
      <xdr:spPr>
        <a:xfrm>
          <a:off x="18757509" y="66516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28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TextBox 148">
              <a:extLst>
                <a:ext uri="{FF2B5EF4-FFF2-40B4-BE49-F238E27FC236}">
                  <a16:creationId xmlns:a16="http://schemas.microsoft.com/office/drawing/2014/main" id="{00000000-0008-0000-1300-000095000000}"/>
                </a:ext>
              </a:extLst>
            </xdr:cNvPr>
            <xdr:cNvSpPr txBox="1"/>
          </xdr:nvSpPr>
          <xdr:spPr>
            <a:xfrm>
              <a:off x="188217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49" name="TextBox 148">
              <a:extLst>
                <a:ext uri="{FF2B5EF4-FFF2-40B4-BE49-F238E27FC236}">
                  <a16:creationId xmlns:a16="http://schemas.microsoft.com/office/drawing/2014/main" id="{D7CF76E3-0FCB-49D1-ACA2-5387EC8B9A22}"/>
                </a:ext>
              </a:extLst>
            </xdr:cNvPr>
            <xdr:cNvSpPr txBox="1"/>
          </xdr:nvSpPr>
          <xdr:spPr>
            <a:xfrm>
              <a:off x="188217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28</xdr:col>
      <xdr:colOff>29308</xdr:colOff>
      <xdr:row>36</xdr:row>
      <xdr:rowOff>99646</xdr:rowOff>
    </xdr:from>
    <xdr:ext cx="164043" cy="159026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1300-000096000000}"/>
            </a:ext>
          </a:extLst>
        </xdr:cNvPr>
        <xdr:cNvSpPr txBox="1"/>
      </xdr:nvSpPr>
      <xdr:spPr>
        <a:xfrm>
          <a:off x="18751648" y="62870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27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TextBox 150">
              <a:extLst>
                <a:ext uri="{FF2B5EF4-FFF2-40B4-BE49-F238E27FC236}">
                  <a16:creationId xmlns:a16="http://schemas.microsoft.com/office/drawing/2014/main" id="{00000000-0008-0000-1300-000097000000}"/>
                </a:ext>
              </a:extLst>
            </xdr:cNvPr>
            <xdr:cNvSpPr txBox="1"/>
          </xdr:nvSpPr>
          <xdr:spPr>
            <a:xfrm>
              <a:off x="182712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151" name="TextBox 150">
              <a:extLst>
                <a:ext uri="{FF2B5EF4-FFF2-40B4-BE49-F238E27FC236}">
                  <a16:creationId xmlns:a16="http://schemas.microsoft.com/office/drawing/2014/main" id="{B93EF707-8D28-4D42-B2EF-088540C8E11F}"/>
                </a:ext>
              </a:extLst>
            </xdr:cNvPr>
            <xdr:cNvSpPr txBox="1"/>
          </xdr:nvSpPr>
          <xdr:spPr>
            <a:xfrm>
              <a:off x="182712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28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TextBox 151">
              <a:extLst>
                <a:ext uri="{FF2B5EF4-FFF2-40B4-BE49-F238E27FC236}">
                  <a16:creationId xmlns:a16="http://schemas.microsoft.com/office/drawing/2014/main" id="{00000000-0008-0000-1300-000098000000}"/>
                </a:ext>
              </a:extLst>
            </xdr:cNvPr>
            <xdr:cNvSpPr txBox="1"/>
          </xdr:nvSpPr>
          <xdr:spPr>
            <a:xfrm>
              <a:off x="187849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52" name="TextBox 151">
              <a:extLst>
                <a:ext uri="{FF2B5EF4-FFF2-40B4-BE49-F238E27FC236}">
                  <a16:creationId xmlns:a16="http://schemas.microsoft.com/office/drawing/2014/main" id="{D67E6F5F-5804-43E9-BC8E-F74F5345A4EA}"/>
                </a:ext>
              </a:extLst>
            </xdr:cNvPr>
            <xdr:cNvSpPr txBox="1"/>
          </xdr:nvSpPr>
          <xdr:spPr>
            <a:xfrm>
              <a:off x="187849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28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TextBox 152">
              <a:extLst>
                <a:ext uri="{FF2B5EF4-FFF2-40B4-BE49-F238E27FC236}">
                  <a16:creationId xmlns:a16="http://schemas.microsoft.com/office/drawing/2014/main" id="{00000000-0008-0000-1300-000099000000}"/>
                </a:ext>
              </a:extLst>
            </xdr:cNvPr>
            <xdr:cNvSpPr txBox="1"/>
          </xdr:nvSpPr>
          <xdr:spPr>
            <a:xfrm>
              <a:off x="191284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153" name="TextBox 152">
              <a:extLst>
                <a:ext uri="{FF2B5EF4-FFF2-40B4-BE49-F238E27FC236}">
                  <a16:creationId xmlns:a16="http://schemas.microsoft.com/office/drawing/2014/main" id="{9C8DA712-4BF6-4249-9C10-A65E36394A1E}"/>
                </a:ext>
              </a:extLst>
            </xdr:cNvPr>
            <xdr:cNvSpPr txBox="1"/>
          </xdr:nvSpPr>
          <xdr:spPr>
            <a:xfrm>
              <a:off x="191284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32</xdr:col>
      <xdr:colOff>409232</xdr:colOff>
      <xdr:row>41</xdr:row>
      <xdr:rowOff>167484</xdr:rowOff>
    </xdr:from>
    <xdr:ext cx="164043" cy="159026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00000000-0008-0000-1300-00009A000000}"/>
            </a:ext>
          </a:extLst>
        </xdr:cNvPr>
        <xdr:cNvSpPr txBox="1"/>
      </xdr:nvSpPr>
      <xdr:spPr>
        <a:xfrm>
          <a:off x="22217672" y="719312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32</xdr:col>
      <xdr:colOff>409419</xdr:colOff>
      <xdr:row>43</xdr:row>
      <xdr:rowOff>7058</xdr:rowOff>
    </xdr:from>
    <xdr:ext cx="164043" cy="159026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0000000-0008-0000-1300-00009B000000}"/>
            </a:ext>
          </a:extLst>
        </xdr:cNvPr>
        <xdr:cNvSpPr txBox="1"/>
      </xdr:nvSpPr>
      <xdr:spPr>
        <a:xfrm>
          <a:off x="22217859" y="736797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31</xdr:col>
      <xdr:colOff>105087</xdr:colOff>
      <xdr:row>42</xdr:row>
      <xdr:rowOff>3529</xdr:rowOff>
    </xdr:from>
    <xdr:ext cx="164043" cy="159026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00000000-0008-0000-1300-00009C000000}"/>
            </a:ext>
          </a:extLst>
        </xdr:cNvPr>
        <xdr:cNvSpPr txBox="1"/>
      </xdr:nvSpPr>
      <xdr:spPr>
        <a:xfrm>
          <a:off x="21182007" y="71968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31</xdr:col>
      <xdr:colOff>105274</xdr:colOff>
      <xdr:row>43</xdr:row>
      <xdr:rowOff>7620</xdr:rowOff>
    </xdr:from>
    <xdr:ext cx="164043" cy="159026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00000000-0008-0000-1300-00009D000000}"/>
            </a:ext>
          </a:extLst>
        </xdr:cNvPr>
        <xdr:cNvSpPr txBox="1"/>
      </xdr:nvSpPr>
      <xdr:spPr>
        <a:xfrm>
          <a:off x="21182194" y="73685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28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TextBox 157">
              <a:extLst>
                <a:ext uri="{FF2B5EF4-FFF2-40B4-BE49-F238E27FC236}">
                  <a16:creationId xmlns:a16="http://schemas.microsoft.com/office/drawing/2014/main" id="{00000000-0008-0000-1300-00009E000000}"/>
                </a:ext>
              </a:extLst>
            </xdr:cNvPr>
            <xdr:cNvSpPr txBox="1"/>
          </xdr:nvSpPr>
          <xdr:spPr>
            <a:xfrm>
              <a:off x="189481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58" name="TextBox 157">
              <a:extLst>
                <a:ext uri="{FF2B5EF4-FFF2-40B4-BE49-F238E27FC236}">
                  <a16:creationId xmlns:a16="http://schemas.microsoft.com/office/drawing/2014/main" id="{FCEB8B49-24F7-4F7D-BB6C-FF45837CFA59}"/>
                </a:ext>
              </a:extLst>
            </xdr:cNvPr>
            <xdr:cNvSpPr txBox="1"/>
          </xdr:nvSpPr>
          <xdr:spPr>
            <a:xfrm>
              <a:off x="189481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28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TextBox 158">
              <a:extLst>
                <a:ext uri="{FF2B5EF4-FFF2-40B4-BE49-F238E27FC236}">
                  <a16:creationId xmlns:a16="http://schemas.microsoft.com/office/drawing/2014/main" id="{00000000-0008-0000-1300-00009F000000}"/>
                </a:ext>
              </a:extLst>
            </xdr:cNvPr>
            <xdr:cNvSpPr txBox="1"/>
          </xdr:nvSpPr>
          <xdr:spPr>
            <a:xfrm>
              <a:off x="188998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59" name="TextBox 158">
              <a:extLst>
                <a:ext uri="{FF2B5EF4-FFF2-40B4-BE49-F238E27FC236}">
                  <a16:creationId xmlns:a16="http://schemas.microsoft.com/office/drawing/2014/main" id="{913444DD-BC9E-428B-AE2A-B5DD85FB3E05}"/>
                </a:ext>
              </a:extLst>
            </xdr:cNvPr>
            <xdr:cNvSpPr txBox="1"/>
          </xdr:nvSpPr>
          <xdr:spPr>
            <a:xfrm>
              <a:off x="188998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33</xdr:col>
      <xdr:colOff>401955</xdr:colOff>
      <xdr:row>46</xdr:row>
      <xdr:rowOff>22860</xdr:rowOff>
    </xdr:from>
    <xdr:ext cx="249850" cy="168634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00000000-0008-0000-1300-0000A0000000}"/>
            </a:ext>
          </a:extLst>
        </xdr:cNvPr>
        <xdr:cNvSpPr txBox="1"/>
      </xdr:nvSpPr>
      <xdr:spPr>
        <a:xfrm>
          <a:off x="22835235" y="788670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28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TextBox 160">
              <a:extLst>
                <a:ext uri="{FF2B5EF4-FFF2-40B4-BE49-F238E27FC236}">
                  <a16:creationId xmlns:a16="http://schemas.microsoft.com/office/drawing/2014/main" id="{00000000-0008-0000-1300-0000A1000000}"/>
                </a:ext>
              </a:extLst>
            </xdr:cNvPr>
            <xdr:cNvSpPr txBox="1"/>
          </xdr:nvSpPr>
          <xdr:spPr>
            <a:xfrm>
              <a:off x="187607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61" name="TextBox 160">
              <a:extLst>
                <a:ext uri="{FF2B5EF4-FFF2-40B4-BE49-F238E27FC236}">
                  <a16:creationId xmlns:a16="http://schemas.microsoft.com/office/drawing/2014/main" id="{A0B8B958-18B3-48B9-85EE-09C0AD0C5D84}"/>
                </a:ext>
              </a:extLst>
            </xdr:cNvPr>
            <xdr:cNvSpPr txBox="1"/>
          </xdr:nvSpPr>
          <xdr:spPr>
            <a:xfrm>
              <a:off x="187607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28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TextBox 161">
              <a:extLst>
                <a:ext uri="{FF2B5EF4-FFF2-40B4-BE49-F238E27FC236}">
                  <a16:creationId xmlns:a16="http://schemas.microsoft.com/office/drawing/2014/main" id="{00000000-0008-0000-1300-0000A2000000}"/>
                </a:ext>
              </a:extLst>
            </xdr:cNvPr>
            <xdr:cNvSpPr txBox="1"/>
          </xdr:nvSpPr>
          <xdr:spPr>
            <a:xfrm>
              <a:off x="187925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62" name="TextBox 161">
              <a:extLst>
                <a:ext uri="{FF2B5EF4-FFF2-40B4-BE49-F238E27FC236}">
                  <a16:creationId xmlns:a16="http://schemas.microsoft.com/office/drawing/2014/main" id="{94AB3FF9-0850-4B59-9B08-205EC76FD954}"/>
                </a:ext>
              </a:extLst>
            </xdr:cNvPr>
            <xdr:cNvSpPr txBox="1"/>
          </xdr:nvSpPr>
          <xdr:spPr>
            <a:xfrm>
              <a:off x="187925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30</xdr:col>
      <xdr:colOff>632460</xdr:colOff>
      <xdr:row>49</xdr:row>
      <xdr:rowOff>0</xdr:rowOff>
    </xdr:from>
    <xdr:ext cx="164043" cy="159026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1300-0000A3000000}"/>
            </a:ext>
          </a:extLst>
        </xdr:cNvPr>
        <xdr:cNvSpPr txBox="1"/>
      </xdr:nvSpPr>
      <xdr:spPr>
        <a:xfrm>
          <a:off x="20894040" y="836676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30</xdr:col>
      <xdr:colOff>624840</xdr:colOff>
      <xdr:row>50</xdr:row>
      <xdr:rowOff>0</xdr:rowOff>
    </xdr:from>
    <xdr:ext cx="164043" cy="159026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00000000-0008-0000-1300-0000A4000000}"/>
            </a:ext>
          </a:extLst>
        </xdr:cNvPr>
        <xdr:cNvSpPr txBox="1"/>
      </xdr:nvSpPr>
      <xdr:spPr>
        <a:xfrm>
          <a:off x="20886420" y="853440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28</xdr:col>
      <xdr:colOff>472440</xdr:colOff>
      <xdr:row>51</xdr:row>
      <xdr:rowOff>17780</xdr:rowOff>
    </xdr:from>
    <xdr:ext cx="2823210" cy="280670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00000000-0008-0000-1300-0000A5000000}"/>
            </a:ext>
          </a:extLst>
        </xdr:cNvPr>
        <xdr:cNvSpPr txBox="1"/>
      </xdr:nvSpPr>
      <xdr:spPr>
        <a:xfrm>
          <a:off x="19194780" y="871982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37</xdr:col>
      <xdr:colOff>0</xdr:colOff>
      <xdr:row>12</xdr:row>
      <xdr:rowOff>0</xdr:rowOff>
    </xdr:from>
    <xdr:ext cx="1152939" cy="19343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00000000-0008-0000-1300-0000A6000000}"/>
            </a:ext>
          </a:extLst>
        </xdr:cNvPr>
        <xdr:cNvSpPr txBox="1"/>
      </xdr:nvSpPr>
      <xdr:spPr>
        <a:xfrm>
          <a:off x="24932640" y="20497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37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TextBox 166">
              <a:extLst>
                <a:ext uri="{FF2B5EF4-FFF2-40B4-BE49-F238E27FC236}">
                  <a16:creationId xmlns:a16="http://schemas.microsoft.com/office/drawing/2014/main" id="{00000000-0008-0000-1300-0000A7000000}"/>
                </a:ext>
              </a:extLst>
            </xdr:cNvPr>
            <xdr:cNvSpPr txBox="1"/>
          </xdr:nvSpPr>
          <xdr:spPr>
            <a:xfrm>
              <a:off x="249806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167" name="TextBox 166">
              <a:extLst>
                <a:ext uri="{FF2B5EF4-FFF2-40B4-BE49-F238E27FC236}">
                  <a16:creationId xmlns:a16="http://schemas.microsoft.com/office/drawing/2014/main" id="{F7662EF0-0CF2-4861-8D52-08EC5B3B81C4}"/>
                </a:ext>
              </a:extLst>
            </xdr:cNvPr>
            <xdr:cNvSpPr txBox="1"/>
          </xdr:nvSpPr>
          <xdr:spPr>
            <a:xfrm>
              <a:off x="249806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37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00000000-0008-0000-1300-0000A8000000}"/>
                </a:ext>
              </a:extLst>
            </xdr:cNvPr>
            <xdr:cNvSpPr txBox="1"/>
          </xdr:nvSpPr>
          <xdr:spPr>
            <a:xfrm>
              <a:off x="250270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C9560223-A82B-4519-B36D-B0C05C425ED0}"/>
                </a:ext>
              </a:extLst>
            </xdr:cNvPr>
            <xdr:cNvSpPr txBox="1"/>
          </xdr:nvSpPr>
          <xdr:spPr>
            <a:xfrm>
              <a:off x="250270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40</xdr:col>
      <xdr:colOff>620486</xdr:colOff>
      <xdr:row>14</xdr:row>
      <xdr:rowOff>12258</xdr:rowOff>
    </xdr:from>
    <xdr:ext cx="164043" cy="159026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00000000-0008-0000-1300-0000A9000000}"/>
            </a:ext>
          </a:extLst>
        </xdr:cNvPr>
        <xdr:cNvSpPr txBox="1"/>
      </xdr:nvSpPr>
      <xdr:spPr>
        <a:xfrm>
          <a:off x="27717206" y="23973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37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00000000-0008-0000-1300-0000AA000000}"/>
                </a:ext>
              </a:extLst>
            </xdr:cNvPr>
            <xdr:cNvSpPr txBox="1"/>
          </xdr:nvSpPr>
          <xdr:spPr>
            <a:xfrm>
              <a:off x="249591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6CD916C2-CDB1-48E6-87CB-9B6E04D36E2A}"/>
                </a:ext>
              </a:extLst>
            </xdr:cNvPr>
            <xdr:cNvSpPr txBox="1"/>
          </xdr:nvSpPr>
          <xdr:spPr>
            <a:xfrm>
              <a:off x="249591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42</xdr:col>
      <xdr:colOff>335281</xdr:colOff>
      <xdr:row>23</xdr:row>
      <xdr:rowOff>14246</xdr:rowOff>
    </xdr:from>
    <xdr:ext cx="249850" cy="168634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00000000-0008-0000-1300-0000AB000000}"/>
            </a:ext>
          </a:extLst>
        </xdr:cNvPr>
        <xdr:cNvSpPr txBox="1"/>
      </xdr:nvSpPr>
      <xdr:spPr>
        <a:xfrm>
          <a:off x="29032201" y="395378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40</xdr:col>
      <xdr:colOff>119531</xdr:colOff>
      <xdr:row>19</xdr:row>
      <xdr:rowOff>79417</xdr:rowOff>
    </xdr:from>
    <xdr:ext cx="164043" cy="159026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1300-0000AC000000}"/>
            </a:ext>
          </a:extLst>
        </xdr:cNvPr>
        <xdr:cNvSpPr txBox="1"/>
      </xdr:nvSpPr>
      <xdr:spPr>
        <a:xfrm>
          <a:off x="27216251" y="332553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37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TextBox 172">
              <a:extLst>
                <a:ext uri="{FF2B5EF4-FFF2-40B4-BE49-F238E27FC236}">
                  <a16:creationId xmlns:a16="http://schemas.microsoft.com/office/drawing/2014/main" id="{00000000-0008-0000-1300-0000AD000000}"/>
                </a:ext>
              </a:extLst>
            </xdr:cNvPr>
            <xdr:cNvSpPr txBox="1"/>
          </xdr:nvSpPr>
          <xdr:spPr>
            <a:xfrm>
              <a:off x="250320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173" name="TextBox 172">
              <a:extLst>
                <a:ext uri="{FF2B5EF4-FFF2-40B4-BE49-F238E27FC236}">
                  <a16:creationId xmlns:a16="http://schemas.microsoft.com/office/drawing/2014/main" id="{0BF89584-95E5-4D47-B129-B7AB8F7DC866}"/>
                </a:ext>
              </a:extLst>
            </xdr:cNvPr>
            <xdr:cNvSpPr txBox="1"/>
          </xdr:nvSpPr>
          <xdr:spPr>
            <a:xfrm>
              <a:off x="250320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37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TextBox 173">
              <a:extLst>
                <a:ext uri="{FF2B5EF4-FFF2-40B4-BE49-F238E27FC236}">
                  <a16:creationId xmlns:a16="http://schemas.microsoft.com/office/drawing/2014/main" id="{00000000-0008-0000-1300-0000AE000000}"/>
                </a:ext>
              </a:extLst>
            </xdr:cNvPr>
            <xdr:cNvSpPr txBox="1"/>
          </xdr:nvSpPr>
          <xdr:spPr>
            <a:xfrm>
              <a:off x="250320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174" name="TextBox 173">
              <a:extLst>
                <a:ext uri="{FF2B5EF4-FFF2-40B4-BE49-F238E27FC236}">
                  <a16:creationId xmlns:a16="http://schemas.microsoft.com/office/drawing/2014/main" id="{815D9EC1-68DF-4A6C-BBB7-FA65D40D0308}"/>
                </a:ext>
              </a:extLst>
            </xdr:cNvPr>
            <xdr:cNvSpPr txBox="1"/>
          </xdr:nvSpPr>
          <xdr:spPr>
            <a:xfrm>
              <a:off x="250320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37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TextBox 174">
              <a:extLst>
                <a:ext uri="{FF2B5EF4-FFF2-40B4-BE49-F238E27FC236}">
                  <a16:creationId xmlns:a16="http://schemas.microsoft.com/office/drawing/2014/main" id="{00000000-0008-0000-1300-0000AF000000}"/>
                </a:ext>
              </a:extLst>
            </xdr:cNvPr>
            <xdr:cNvSpPr txBox="1"/>
          </xdr:nvSpPr>
          <xdr:spPr>
            <a:xfrm>
              <a:off x="250452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175" name="TextBox 174">
              <a:extLst>
                <a:ext uri="{FF2B5EF4-FFF2-40B4-BE49-F238E27FC236}">
                  <a16:creationId xmlns:a16="http://schemas.microsoft.com/office/drawing/2014/main" id="{071AC9DF-EBAE-43B1-98EC-5BF0D05471B5}"/>
                </a:ext>
              </a:extLst>
            </xdr:cNvPr>
            <xdr:cNvSpPr txBox="1"/>
          </xdr:nvSpPr>
          <xdr:spPr>
            <a:xfrm>
              <a:off x="250452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38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TextBox 175">
              <a:extLst>
                <a:ext uri="{FF2B5EF4-FFF2-40B4-BE49-F238E27FC236}">
                  <a16:creationId xmlns:a16="http://schemas.microsoft.com/office/drawing/2014/main" id="{00000000-0008-0000-1300-0000B0000000}"/>
                </a:ext>
              </a:extLst>
            </xdr:cNvPr>
            <xdr:cNvSpPr txBox="1"/>
          </xdr:nvSpPr>
          <xdr:spPr>
            <a:xfrm>
              <a:off x="2571222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176" name="TextBox 175">
              <a:extLst>
                <a:ext uri="{FF2B5EF4-FFF2-40B4-BE49-F238E27FC236}">
                  <a16:creationId xmlns:a16="http://schemas.microsoft.com/office/drawing/2014/main" id="{C1C08191-CDEB-4FB6-B40C-04962C25C426}"/>
                </a:ext>
              </a:extLst>
            </xdr:cNvPr>
            <xdr:cNvSpPr txBox="1"/>
          </xdr:nvSpPr>
          <xdr:spPr>
            <a:xfrm>
              <a:off x="2571222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37</xdr:col>
      <xdr:colOff>17585</xdr:colOff>
      <xdr:row>21</xdr:row>
      <xdr:rowOff>70339</xdr:rowOff>
    </xdr:from>
    <xdr:ext cx="164043" cy="159026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1300-0000B1000000}"/>
            </a:ext>
          </a:extLst>
        </xdr:cNvPr>
        <xdr:cNvSpPr txBox="1"/>
      </xdr:nvSpPr>
      <xdr:spPr>
        <a:xfrm>
          <a:off x="24950225" y="36517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37</xdr:col>
      <xdr:colOff>29308</xdr:colOff>
      <xdr:row>23</xdr:row>
      <xdr:rowOff>99646</xdr:rowOff>
    </xdr:from>
    <xdr:ext cx="164043" cy="159026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1300-0000B2000000}"/>
            </a:ext>
          </a:extLst>
        </xdr:cNvPr>
        <xdr:cNvSpPr txBox="1"/>
      </xdr:nvSpPr>
      <xdr:spPr>
        <a:xfrm>
          <a:off x="24961948" y="4039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37</xdr:col>
      <xdr:colOff>35169</xdr:colOff>
      <xdr:row>25</xdr:row>
      <xdr:rowOff>128953</xdr:rowOff>
    </xdr:from>
    <xdr:ext cx="164043" cy="159026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1300-0000B3000000}"/>
            </a:ext>
          </a:extLst>
        </xdr:cNvPr>
        <xdr:cNvSpPr txBox="1"/>
      </xdr:nvSpPr>
      <xdr:spPr>
        <a:xfrm>
          <a:off x="24967809" y="4419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37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TextBox 179">
              <a:extLst>
                <a:ext uri="{FF2B5EF4-FFF2-40B4-BE49-F238E27FC236}">
                  <a16:creationId xmlns:a16="http://schemas.microsoft.com/office/drawing/2014/main" id="{00000000-0008-0000-1300-0000B4000000}"/>
                </a:ext>
              </a:extLst>
            </xdr:cNvPr>
            <xdr:cNvSpPr txBox="1"/>
          </xdr:nvSpPr>
          <xdr:spPr>
            <a:xfrm>
              <a:off x="249783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180" name="TextBox 179">
              <a:extLst>
                <a:ext uri="{FF2B5EF4-FFF2-40B4-BE49-F238E27FC236}">
                  <a16:creationId xmlns:a16="http://schemas.microsoft.com/office/drawing/2014/main" id="{D6D0BE34-D58A-4D81-8FC7-ACFD9F2AE8BB}"/>
                </a:ext>
              </a:extLst>
            </xdr:cNvPr>
            <xdr:cNvSpPr txBox="1"/>
          </xdr:nvSpPr>
          <xdr:spPr>
            <a:xfrm>
              <a:off x="249783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37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00000000-0008-0000-1300-0000B5000000}"/>
                </a:ext>
              </a:extLst>
            </xdr:cNvPr>
            <xdr:cNvSpPr txBox="1"/>
          </xdr:nvSpPr>
          <xdr:spPr>
            <a:xfrm>
              <a:off x="249783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DEE62C4E-A065-4FB1-9129-E2C6E11E670D}"/>
                </a:ext>
              </a:extLst>
            </xdr:cNvPr>
            <xdr:cNvSpPr txBox="1"/>
          </xdr:nvSpPr>
          <xdr:spPr>
            <a:xfrm>
              <a:off x="249783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37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TextBox 181">
              <a:extLst>
                <a:ext uri="{FF2B5EF4-FFF2-40B4-BE49-F238E27FC236}">
                  <a16:creationId xmlns:a16="http://schemas.microsoft.com/office/drawing/2014/main" id="{00000000-0008-0000-1300-0000B6000000}"/>
                </a:ext>
              </a:extLst>
            </xdr:cNvPr>
            <xdr:cNvSpPr txBox="1"/>
          </xdr:nvSpPr>
          <xdr:spPr>
            <a:xfrm>
              <a:off x="253136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182" name="TextBox 181">
              <a:extLst>
                <a:ext uri="{FF2B5EF4-FFF2-40B4-BE49-F238E27FC236}">
                  <a16:creationId xmlns:a16="http://schemas.microsoft.com/office/drawing/2014/main" id="{B4E7F435-18CE-41EF-BE25-64654FAD6273}"/>
                </a:ext>
              </a:extLst>
            </xdr:cNvPr>
            <xdr:cNvSpPr txBox="1"/>
          </xdr:nvSpPr>
          <xdr:spPr>
            <a:xfrm>
              <a:off x="253136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41</xdr:col>
      <xdr:colOff>426896</xdr:colOff>
      <xdr:row>19</xdr:row>
      <xdr:rowOff>67381</xdr:rowOff>
    </xdr:from>
    <xdr:ext cx="145677" cy="156210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1300-0000B7000000}"/>
            </a:ext>
          </a:extLst>
        </xdr:cNvPr>
        <xdr:cNvSpPr txBox="1"/>
      </xdr:nvSpPr>
      <xdr:spPr>
        <a:xfrm>
          <a:off x="28308476" y="331350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37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TextBox 183">
              <a:extLst>
                <a:ext uri="{FF2B5EF4-FFF2-40B4-BE49-F238E27FC236}">
                  <a16:creationId xmlns:a16="http://schemas.microsoft.com/office/drawing/2014/main" id="{00000000-0008-0000-1300-0000B8000000}"/>
                </a:ext>
              </a:extLst>
            </xdr:cNvPr>
            <xdr:cNvSpPr txBox="1"/>
          </xdr:nvSpPr>
          <xdr:spPr>
            <a:xfrm>
              <a:off x="250320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84" name="TextBox 183">
              <a:extLst>
                <a:ext uri="{FF2B5EF4-FFF2-40B4-BE49-F238E27FC236}">
                  <a16:creationId xmlns:a16="http://schemas.microsoft.com/office/drawing/2014/main" id="{15687FBE-C8BE-4C6F-9F1C-54A593B7A2E1}"/>
                </a:ext>
              </a:extLst>
            </xdr:cNvPr>
            <xdr:cNvSpPr txBox="1"/>
          </xdr:nvSpPr>
          <xdr:spPr>
            <a:xfrm>
              <a:off x="250320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37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TextBox 184">
              <a:extLst>
                <a:ext uri="{FF2B5EF4-FFF2-40B4-BE49-F238E27FC236}">
                  <a16:creationId xmlns:a16="http://schemas.microsoft.com/office/drawing/2014/main" id="{00000000-0008-0000-1300-0000B9000000}"/>
                </a:ext>
              </a:extLst>
            </xdr:cNvPr>
            <xdr:cNvSpPr txBox="1"/>
          </xdr:nvSpPr>
          <xdr:spPr>
            <a:xfrm>
              <a:off x="250606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85" name="TextBox 184">
              <a:extLst>
                <a:ext uri="{FF2B5EF4-FFF2-40B4-BE49-F238E27FC236}">
                  <a16:creationId xmlns:a16="http://schemas.microsoft.com/office/drawing/2014/main" id="{13CC63F3-01D0-4726-9E22-EFE470C34623}"/>
                </a:ext>
              </a:extLst>
            </xdr:cNvPr>
            <xdr:cNvSpPr txBox="1"/>
          </xdr:nvSpPr>
          <xdr:spPr>
            <a:xfrm>
              <a:off x="250606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37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TextBox 185">
              <a:extLst>
                <a:ext uri="{FF2B5EF4-FFF2-40B4-BE49-F238E27FC236}">
                  <a16:creationId xmlns:a16="http://schemas.microsoft.com/office/drawing/2014/main" id="{00000000-0008-0000-1300-0000BA000000}"/>
                </a:ext>
              </a:extLst>
            </xdr:cNvPr>
            <xdr:cNvSpPr txBox="1"/>
          </xdr:nvSpPr>
          <xdr:spPr>
            <a:xfrm>
              <a:off x="250452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86" name="TextBox 185">
              <a:extLst>
                <a:ext uri="{FF2B5EF4-FFF2-40B4-BE49-F238E27FC236}">
                  <a16:creationId xmlns:a16="http://schemas.microsoft.com/office/drawing/2014/main" id="{A7F740D7-71C0-47C3-8133-D305339AF739}"/>
                </a:ext>
              </a:extLst>
            </xdr:cNvPr>
            <xdr:cNvSpPr txBox="1"/>
          </xdr:nvSpPr>
          <xdr:spPr>
            <a:xfrm>
              <a:off x="250452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37</xdr:col>
      <xdr:colOff>17585</xdr:colOff>
      <xdr:row>32</xdr:row>
      <xdr:rowOff>70339</xdr:rowOff>
    </xdr:from>
    <xdr:ext cx="164043" cy="159026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0000000-0008-0000-1300-0000BB000000}"/>
            </a:ext>
          </a:extLst>
        </xdr:cNvPr>
        <xdr:cNvSpPr txBox="1"/>
      </xdr:nvSpPr>
      <xdr:spPr>
        <a:xfrm>
          <a:off x="24950225" y="55872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37</xdr:col>
      <xdr:colOff>29308</xdr:colOff>
      <xdr:row>34</xdr:row>
      <xdr:rowOff>99646</xdr:rowOff>
    </xdr:from>
    <xdr:ext cx="164043" cy="159026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1300-0000BC000000}"/>
            </a:ext>
          </a:extLst>
        </xdr:cNvPr>
        <xdr:cNvSpPr txBox="1"/>
      </xdr:nvSpPr>
      <xdr:spPr>
        <a:xfrm>
          <a:off x="24961948" y="59518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37</xdr:col>
      <xdr:colOff>35169</xdr:colOff>
      <xdr:row>38</xdr:row>
      <xdr:rowOff>128953</xdr:rowOff>
    </xdr:from>
    <xdr:ext cx="164043" cy="159026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1300-0000BD000000}"/>
            </a:ext>
          </a:extLst>
        </xdr:cNvPr>
        <xdr:cNvSpPr txBox="1"/>
      </xdr:nvSpPr>
      <xdr:spPr>
        <a:xfrm>
          <a:off x="24967809" y="66516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37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TextBox 189">
              <a:extLst>
                <a:ext uri="{FF2B5EF4-FFF2-40B4-BE49-F238E27FC236}">
                  <a16:creationId xmlns:a16="http://schemas.microsoft.com/office/drawing/2014/main" id="{00000000-0008-0000-1300-0000BE000000}"/>
                </a:ext>
              </a:extLst>
            </xdr:cNvPr>
            <xdr:cNvSpPr txBox="1"/>
          </xdr:nvSpPr>
          <xdr:spPr>
            <a:xfrm>
              <a:off x="250320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90" name="TextBox 189">
              <a:extLst>
                <a:ext uri="{FF2B5EF4-FFF2-40B4-BE49-F238E27FC236}">
                  <a16:creationId xmlns:a16="http://schemas.microsoft.com/office/drawing/2014/main" id="{8B3270A8-D3E6-4197-911F-A2CD8E5B5E3A}"/>
                </a:ext>
              </a:extLst>
            </xdr:cNvPr>
            <xdr:cNvSpPr txBox="1"/>
          </xdr:nvSpPr>
          <xdr:spPr>
            <a:xfrm>
              <a:off x="250320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37</xdr:col>
      <xdr:colOff>29308</xdr:colOff>
      <xdr:row>36</xdr:row>
      <xdr:rowOff>99646</xdr:rowOff>
    </xdr:from>
    <xdr:ext cx="164043" cy="159026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1300-0000BF000000}"/>
            </a:ext>
          </a:extLst>
        </xdr:cNvPr>
        <xdr:cNvSpPr txBox="1"/>
      </xdr:nvSpPr>
      <xdr:spPr>
        <a:xfrm>
          <a:off x="24961948" y="62870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36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TextBox 191">
              <a:extLst>
                <a:ext uri="{FF2B5EF4-FFF2-40B4-BE49-F238E27FC236}">
                  <a16:creationId xmlns:a16="http://schemas.microsoft.com/office/drawing/2014/main" id="{00000000-0008-0000-1300-0000C0000000}"/>
                </a:ext>
              </a:extLst>
            </xdr:cNvPr>
            <xdr:cNvSpPr txBox="1"/>
          </xdr:nvSpPr>
          <xdr:spPr>
            <a:xfrm>
              <a:off x="244815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192" name="TextBox 191">
              <a:extLst>
                <a:ext uri="{FF2B5EF4-FFF2-40B4-BE49-F238E27FC236}">
                  <a16:creationId xmlns:a16="http://schemas.microsoft.com/office/drawing/2014/main" id="{0D0EC4B2-E9C6-4E0C-AAB4-09C2E6A3843A}"/>
                </a:ext>
              </a:extLst>
            </xdr:cNvPr>
            <xdr:cNvSpPr txBox="1"/>
          </xdr:nvSpPr>
          <xdr:spPr>
            <a:xfrm>
              <a:off x="244815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37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TextBox 192">
              <a:extLst>
                <a:ext uri="{FF2B5EF4-FFF2-40B4-BE49-F238E27FC236}">
                  <a16:creationId xmlns:a16="http://schemas.microsoft.com/office/drawing/2014/main" id="{00000000-0008-0000-1300-0000C1000000}"/>
                </a:ext>
              </a:extLst>
            </xdr:cNvPr>
            <xdr:cNvSpPr txBox="1"/>
          </xdr:nvSpPr>
          <xdr:spPr>
            <a:xfrm>
              <a:off x="249952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93" name="TextBox 192">
              <a:extLst>
                <a:ext uri="{FF2B5EF4-FFF2-40B4-BE49-F238E27FC236}">
                  <a16:creationId xmlns:a16="http://schemas.microsoft.com/office/drawing/2014/main" id="{12664220-5C77-42CB-B7DC-2FB855DA086A}"/>
                </a:ext>
              </a:extLst>
            </xdr:cNvPr>
            <xdr:cNvSpPr txBox="1"/>
          </xdr:nvSpPr>
          <xdr:spPr>
            <a:xfrm>
              <a:off x="249952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37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TextBox 193">
              <a:extLst>
                <a:ext uri="{FF2B5EF4-FFF2-40B4-BE49-F238E27FC236}">
                  <a16:creationId xmlns:a16="http://schemas.microsoft.com/office/drawing/2014/main" id="{00000000-0008-0000-1300-0000C2000000}"/>
                </a:ext>
              </a:extLst>
            </xdr:cNvPr>
            <xdr:cNvSpPr txBox="1"/>
          </xdr:nvSpPr>
          <xdr:spPr>
            <a:xfrm>
              <a:off x="253387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194" name="TextBox 193">
              <a:extLst>
                <a:ext uri="{FF2B5EF4-FFF2-40B4-BE49-F238E27FC236}">
                  <a16:creationId xmlns:a16="http://schemas.microsoft.com/office/drawing/2014/main" id="{D57F26A4-4140-45E8-A46E-A0DD55E68CA7}"/>
                </a:ext>
              </a:extLst>
            </xdr:cNvPr>
            <xdr:cNvSpPr txBox="1"/>
          </xdr:nvSpPr>
          <xdr:spPr>
            <a:xfrm>
              <a:off x="253387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41</xdr:col>
      <xdr:colOff>409232</xdr:colOff>
      <xdr:row>41</xdr:row>
      <xdr:rowOff>167484</xdr:rowOff>
    </xdr:from>
    <xdr:ext cx="164043" cy="159026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1300-0000C3000000}"/>
            </a:ext>
          </a:extLst>
        </xdr:cNvPr>
        <xdr:cNvSpPr txBox="1"/>
      </xdr:nvSpPr>
      <xdr:spPr>
        <a:xfrm>
          <a:off x="28290812" y="719312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41</xdr:col>
      <xdr:colOff>409419</xdr:colOff>
      <xdr:row>43</xdr:row>
      <xdr:rowOff>7058</xdr:rowOff>
    </xdr:from>
    <xdr:ext cx="164043" cy="159026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00000000-0008-0000-1300-0000C4000000}"/>
            </a:ext>
          </a:extLst>
        </xdr:cNvPr>
        <xdr:cNvSpPr txBox="1"/>
      </xdr:nvSpPr>
      <xdr:spPr>
        <a:xfrm>
          <a:off x="28290999" y="736797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40</xdr:col>
      <xdr:colOff>105087</xdr:colOff>
      <xdr:row>42</xdr:row>
      <xdr:rowOff>3529</xdr:rowOff>
    </xdr:from>
    <xdr:ext cx="164043" cy="159026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00000000-0008-0000-1300-0000C5000000}"/>
            </a:ext>
          </a:extLst>
        </xdr:cNvPr>
        <xdr:cNvSpPr txBox="1"/>
      </xdr:nvSpPr>
      <xdr:spPr>
        <a:xfrm>
          <a:off x="27201807" y="71968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40</xdr:col>
      <xdr:colOff>105274</xdr:colOff>
      <xdr:row>43</xdr:row>
      <xdr:rowOff>7620</xdr:rowOff>
    </xdr:from>
    <xdr:ext cx="164043" cy="159026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00000000-0008-0000-1300-0000C6000000}"/>
            </a:ext>
          </a:extLst>
        </xdr:cNvPr>
        <xdr:cNvSpPr txBox="1"/>
      </xdr:nvSpPr>
      <xdr:spPr>
        <a:xfrm>
          <a:off x="27201994" y="73685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37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TextBox 198">
              <a:extLst>
                <a:ext uri="{FF2B5EF4-FFF2-40B4-BE49-F238E27FC236}">
                  <a16:creationId xmlns:a16="http://schemas.microsoft.com/office/drawing/2014/main" id="{00000000-0008-0000-1300-0000C7000000}"/>
                </a:ext>
              </a:extLst>
            </xdr:cNvPr>
            <xdr:cNvSpPr txBox="1"/>
          </xdr:nvSpPr>
          <xdr:spPr>
            <a:xfrm>
              <a:off x="251584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199" name="TextBox 198">
              <a:extLst>
                <a:ext uri="{FF2B5EF4-FFF2-40B4-BE49-F238E27FC236}">
                  <a16:creationId xmlns:a16="http://schemas.microsoft.com/office/drawing/2014/main" id="{05B51973-DB73-41FE-8105-68DE260C4BD7}"/>
                </a:ext>
              </a:extLst>
            </xdr:cNvPr>
            <xdr:cNvSpPr txBox="1"/>
          </xdr:nvSpPr>
          <xdr:spPr>
            <a:xfrm>
              <a:off x="251584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37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TextBox 199">
              <a:extLst>
                <a:ext uri="{FF2B5EF4-FFF2-40B4-BE49-F238E27FC236}">
                  <a16:creationId xmlns:a16="http://schemas.microsoft.com/office/drawing/2014/main" id="{00000000-0008-0000-1300-0000C8000000}"/>
                </a:ext>
              </a:extLst>
            </xdr:cNvPr>
            <xdr:cNvSpPr txBox="1"/>
          </xdr:nvSpPr>
          <xdr:spPr>
            <a:xfrm>
              <a:off x="251101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00" name="TextBox 199">
              <a:extLst>
                <a:ext uri="{FF2B5EF4-FFF2-40B4-BE49-F238E27FC236}">
                  <a16:creationId xmlns:a16="http://schemas.microsoft.com/office/drawing/2014/main" id="{C14F3DFF-B251-459E-805D-7121DE1497EF}"/>
                </a:ext>
              </a:extLst>
            </xdr:cNvPr>
            <xdr:cNvSpPr txBox="1"/>
          </xdr:nvSpPr>
          <xdr:spPr>
            <a:xfrm>
              <a:off x="251101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42</xdr:col>
      <xdr:colOff>401955</xdr:colOff>
      <xdr:row>46</xdr:row>
      <xdr:rowOff>22860</xdr:rowOff>
    </xdr:from>
    <xdr:ext cx="249850" cy="168634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1300-0000C9000000}"/>
            </a:ext>
          </a:extLst>
        </xdr:cNvPr>
        <xdr:cNvSpPr txBox="1"/>
      </xdr:nvSpPr>
      <xdr:spPr>
        <a:xfrm>
          <a:off x="29098875" y="788670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37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TextBox 201">
              <a:extLst>
                <a:ext uri="{FF2B5EF4-FFF2-40B4-BE49-F238E27FC236}">
                  <a16:creationId xmlns:a16="http://schemas.microsoft.com/office/drawing/2014/main" id="{00000000-0008-0000-1300-0000CA000000}"/>
                </a:ext>
              </a:extLst>
            </xdr:cNvPr>
            <xdr:cNvSpPr txBox="1"/>
          </xdr:nvSpPr>
          <xdr:spPr>
            <a:xfrm>
              <a:off x="249710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02" name="TextBox 201">
              <a:extLst>
                <a:ext uri="{FF2B5EF4-FFF2-40B4-BE49-F238E27FC236}">
                  <a16:creationId xmlns:a16="http://schemas.microsoft.com/office/drawing/2014/main" id="{68F98CD0-4DB0-4A6A-A127-B0088C3484C1}"/>
                </a:ext>
              </a:extLst>
            </xdr:cNvPr>
            <xdr:cNvSpPr txBox="1"/>
          </xdr:nvSpPr>
          <xdr:spPr>
            <a:xfrm>
              <a:off x="249710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37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TextBox 202">
              <a:extLst>
                <a:ext uri="{FF2B5EF4-FFF2-40B4-BE49-F238E27FC236}">
                  <a16:creationId xmlns:a16="http://schemas.microsoft.com/office/drawing/2014/main" id="{00000000-0008-0000-1300-0000CB000000}"/>
                </a:ext>
              </a:extLst>
            </xdr:cNvPr>
            <xdr:cNvSpPr txBox="1"/>
          </xdr:nvSpPr>
          <xdr:spPr>
            <a:xfrm>
              <a:off x="250028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03" name="TextBox 202">
              <a:extLst>
                <a:ext uri="{FF2B5EF4-FFF2-40B4-BE49-F238E27FC236}">
                  <a16:creationId xmlns:a16="http://schemas.microsoft.com/office/drawing/2014/main" id="{0B727A93-4486-48DA-B2AC-48BC67C2BA1D}"/>
                </a:ext>
              </a:extLst>
            </xdr:cNvPr>
            <xdr:cNvSpPr txBox="1"/>
          </xdr:nvSpPr>
          <xdr:spPr>
            <a:xfrm>
              <a:off x="250028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39</xdr:col>
      <xdr:colOff>632460</xdr:colOff>
      <xdr:row>49</xdr:row>
      <xdr:rowOff>0</xdr:rowOff>
    </xdr:from>
    <xdr:ext cx="164043" cy="159026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0000000-0008-0000-1300-0000CC000000}"/>
            </a:ext>
          </a:extLst>
        </xdr:cNvPr>
        <xdr:cNvSpPr txBox="1"/>
      </xdr:nvSpPr>
      <xdr:spPr>
        <a:xfrm>
          <a:off x="26951940" y="836676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39</xdr:col>
      <xdr:colOff>624840</xdr:colOff>
      <xdr:row>50</xdr:row>
      <xdr:rowOff>0</xdr:rowOff>
    </xdr:from>
    <xdr:ext cx="164043" cy="159026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1300-0000CD000000}"/>
            </a:ext>
          </a:extLst>
        </xdr:cNvPr>
        <xdr:cNvSpPr txBox="1"/>
      </xdr:nvSpPr>
      <xdr:spPr>
        <a:xfrm>
          <a:off x="26944320" y="853440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37</xdr:col>
      <xdr:colOff>472440</xdr:colOff>
      <xdr:row>51</xdr:row>
      <xdr:rowOff>17780</xdr:rowOff>
    </xdr:from>
    <xdr:ext cx="2823210" cy="28067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00000000-0008-0000-1300-0000CE000000}"/>
            </a:ext>
          </a:extLst>
        </xdr:cNvPr>
        <xdr:cNvSpPr txBox="1"/>
      </xdr:nvSpPr>
      <xdr:spPr>
        <a:xfrm>
          <a:off x="25405080" y="871982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</xdr:row>
      <xdr:rowOff>0</xdr:rowOff>
    </xdr:from>
    <xdr:ext cx="1152939" cy="19343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1400-0000CF000000}"/>
            </a:ext>
          </a:extLst>
        </xdr:cNvPr>
        <xdr:cNvSpPr txBox="1"/>
      </xdr:nvSpPr>
      <xdr:spPr>
        <a:xfrm>
          <a:off x="624840" y="20497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TextBox 207">
              <a:extLst>
                <a:ext uri="{FF2B5EF4-FFF2-40B4-BE49-F238E27FC236}">
                  <a16:creationId xmlns:a16="http://schemas.microsoft.com/office/drawing/2014/main" id="{00000000-0008-0000-1400-0000D0000000}"/>
                </a:ext>
              </a:extLst>
            </xdr:cNvPr>
            <xdr:cNvSpPr txBox="1"/>
          </xdr:nvSpPr>
          <xdr:spPr>
            <a:xfrm>
              <a:off x="6728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208" name="TextBox 207">
              <a:extLst>
                <a:ext uri="{FF2B5EF4-FFF2-40B4-BE49-F238E27FC236}">
                  <a16:creationId xmlns:a16="http://schemas.microsoft.com/office/drawing/2014/main" id="{29377FE2-109D-472C-8273-ABC328F51DB6}"/>
                </a:ext>
              </a:extLst>
            </xdr:cNvPr>
            <xdr:cNvSpPr txBox="1"/>
          </xdr:nvSpPr>
          <xdr:spPr>
            <a:xfrm>
              <a:off x="672831" y="205073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00000000-0008-0000-1400-0000D1000000}"/>
                </a:ext>
              </a:extLst>
            </xdr:cNvPr>
            <xdr:cNvSpPr txBox="1"/>
          </xdr:nvSpPr>
          <xdr:spPr>
            <a:xfrm>
              <a:off x="7192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A13620D0-B4A9-4345-ABAF-296D9C893112}"/>
                </a:ext>
              </a:extLst>
            </xdr:cNvPr>
            <xdr:cNvSpPr txBox="1"/>
          </xdr:nvSpPr>
          <xdr:spPr>
            <a:xfrm>
              <a:off x="719213" y="242925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4</xdr:col>
      <xdr:colOff>620486</xdr:colOff>
      <xdr:row>14</xdr:row>
      <xdr:rowOff>12258</xdr:rowOff>
    </xdr:from>
    <xdr:ext cx="164043" cy="159026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0000000-0008-0000-1400-0000D2000000}"/>
            </a:ext>
          </a:extLst>
        </xdr:cNvPr>
        <xdr:cNvSpPr txBox="1"/>
      </xdr:nvSpPr>
      <xdr:spPr>
        <a:xfrm>
          <a:off x="3508466" y="23973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TextBox 210">
              <a:extLst>
                <a:ext uri="{FF2B5EF4-FFF2-40B4-BE49-F238E27FC236}">
                  <a16:creationId xmlns:a16="http://schemas.microsoft.com/office/drawing/2014/main" id="{00000000-0008-0000-1400-0000D3000000}"/>
                </a:ext>
              </a:extLst>
            </xdr:cNvPr>
            <xdr:cNvSpPr txBox="1"/>
          </xdr:nvSpPr>
          <xdr:spPr>
            <a:xfrm>
              <a:off x="6513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211" name="TextBox 210">
              <a:extLst>
                <a:ext uri="{FF2B5EF4-FFF2-40B4-BE49-F238E27FC236}">
                  <a16:creationId xmlns:a16="http://schemas.microsoft.com/office/drawing/2014/main" id="{36136E89-F740-40E9-BC5B-AB0210319302}"/>
                </a:ext>
              </a:extLst>
            </xdr:cNvPr>
            <xdr:cNvSpPr txBox="1"/>
          </xdr:nvSpPr>
          <xdr:spPr>
            <a:xfrm>
              <a:off x="651344" y="328587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6</xdr:col>
      <xdr:colOff>335281</xdr:colOff>
      <xdr:row>23</xdr:row>
      <xdr:rowOff>14246</xdr:rowOff>
    </xdr:from>
    <xdr:ext cx="249850" cy="168634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00000000-0008-0000-1400-0000D4000000}"/>
            </a:ext>
          </a:extLst>
        </xdr:cNvPr>
        <xdr:cNvSpPr txBox="1"/>
      </xdr:nvSpPr>
      <xdr:spPr>
        <a:xfrm>
          <a:off x="4533901" y="395378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119531</xdr:colOff>
      <xdr:row>19</xdr:row>
      <xdr:rowOff>79417</xdr:rowOff>
    </xdr:from>
    <xdr:ext cx="164043" cy="159026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00000000-0008-0000-1400-0000D5000000}"/>
            </a:ext>
          </a:extLst>
        </xdr:cNvPr>
        <xdr:cNvSpPr txBox="1"/>
      </xdr:nvSpPr>
      <xdr:spPr>
        <a:xfrm>
          <a:off x="3007511" y="332553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TextBox 213">
              <a:extLst>
                <a:ext uri="{FF2B5EF4-FFF2-40B4-BE49-F238E27FC236}">
                  <a16:creationId xmlns:a16="http://schemas.microsoft.com/office/drawing/2014/main" id="{00000000-0008-0000-1400-0000D6000000}"/>
                </a:ext>
              </a:extLst>
            </xdr:cNvPr>
            <xdr:cNvSpPr txBox="1"/>
          </xdr:nvSpPr>
          <xdr:spPr>
            <a:xfrm>
              <a:off x="7242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214" name="TextBox 213">
              <a:extLst>
                <a:ext uri="{FF2B5EF4-FFF2-40B4-BE49-F238E27FC236}">
                  <a16:creationId xmlns:a16="http://schemas.microsoft.com/office/drawing/2014/main" id="{4081ADEC-702B-41FA-87D3-0A803F0D5042}"/>
                </a:ext>
              </a:extLst>
            </xdr:cNvPr>
            <xdr:cNvSpPr txBox="1"/>
          </xdr:nvSpPr>
          <xdr:spPr>
            <a:xfrm>
              <a:off x="724232" y="35880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TextBox 214">
              <a:extLst>
                <a:ext uri="{FF2B5EF4-FFF2-40B4-BE49-F238E27FC236}">
                  <a16:creationId xmlns:a16="http://schemas.microsoft.com/office/drawing/2014/main" id="{00000000-0008-0000-1400-0000D7000000}"/>
                </a:ext>
              </a:extLst>
            </xdr:cNvPr>
            <xdr:cNvSpPr txBox="1"/>
          </xdr:nvSpPr>
          <xdr:spPr>
            <a:xfrm>
              <a:off x="7242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215" name="TextBox 214">
              <a:extLst>
                <a:ext uri="{FF2B5EF4-FFF2-40B4-BE49-F238E27FC236}">
                  <a16:creationId xmlns:a16="http://schemas.microsoft.com/office/drawing/2014/main" id="{DDAD04D1-C74B-43A6-B4E5-2CF8A60802A1}"/>
                </a:ext>
              </a:extLst>
            </xdr:cNvPr>
            <xdr:cNvSpPr txBox="1"/>
          </xdr:nvSpPr>
          <xdr:spPr>
            <a:xfrm>
              <a:off x="724232" y="3985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TextBox 215">
              <a:extLst>
                <a:ext uri="{FF2B5EF4-FFF2-40B4-BE49-F238E27FC236}">
                  <a16:creationId xmlns:a16="http://schemas.microsoft.com/office/drawing/2014/main" id="{00000000-0008-0000-1400-0000D8000000}"/>
                </a:ext>
              </a:extLst>
            </xdr:cNvPr>
            <xdr:cNvSpPr txBox="1"/>
          </xdr:nvSpPr>
          <xdr:spPr>
            <a:xfrm>
              <a:off x="7374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216" name="TextBox 215">
              <a:extLst>
                <a:ext uri="{FF2B5EF4-FFF2-40B4-BE49-F238E27FC236}">
                  <a16:creationId xmlns:a16="http://schemas.microsoft.com/office/drawing/2014/main" id="{E5A2E739-52C2-4D4D-A2CD-2976B3157A54}"/>
                </a:ext>
              </a:extLst>
            </xdr:cNvPr>
            <xdr:cNvSpPr txBox="1"/>
          </xdr:nvSpPr>
          <xdr:spPr>
            <a:xfrm>
              <a:off x="737484" y="4356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2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TextBox 216">
              <a:extLst>
                <a:ext uri="{FF2B5EF4-FFF2-40B4-BE49-F238E27FC236}">
                  <a16:creationId xmlns:a16="http://schemas.microsoft.com/office/drawing/2014/main" id="{00000000-0008-0000-1400-0000D9000000}"/>
                </a:ext>
              </a:extLst>
            </xdr:cNvPr>
            <xdr:cNvSpPr txBox="1"/>
          </xdr:nvSpPr>
          <xdr:spPr>
            <a:xfrm>
              <a:off x="153396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217" name="TextBox 216">
              <a:extLst>
                <a:ext uri="{FF2B5EF4-FFF2-40B4-BE49-F238E27FC236}">
                  <a16:creationId xmlns:a16="http://schemas.microsoft.com/office/drawing/2014/main" id="{E8BE573D-FAB3-42A2-A2E4-66D62A06842B}"/>
                </a:ext>
              </a:extLst>
            </xdr:cNvPr>
            <xdr:cNvSpPr txBox="1"/>
          </xdr:nvSpPr>
          <xdr:spPr>
            <a:xfrm>
              <a:off x="1533964" y="30708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</xdr:col>
      <xdr:colOff>17585</xdr:colOff>
      <xdr:row>21</xdr:row>
      <xdr:rowOff>70339</xdr:rowOff>
    </xdr:from>
    <xdr:ext cx="164043" cy="159026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0000000-0008-0000-1400-0000DA000000}"/>
            </a:ext>
          </a:extLst>
        </xdr:cNvPr>
        <xdr:cNvSpPr txBox="1"/>
      </xdr:nvSpPr>
      <xdr:spPr>
        <a:xfrm>
          <a:off x="642425" y="36517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23</xdr:row>
      <xdr:rowOff>99646</xdr:rowOff>
    </xdr:from>
    <xdr:ext cx="164043" cy="159026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0000000-0008-0000-1400-0000DB000000}"/>
            </a:ext>
          </a:extLst>
        </xdr:cNvPr>
        <xdr:cNvSpPr txBox="1"/>
      </xdr:nvSpPr>
      <xdr:spPr>
        <a:xfrm>
          <a:off x="654148" y="4039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25</xdr:row>
      <xdr:rowOff>128953</xdr:rowOff>
    </xdr:from>
    <xdr:ext cx="164043" cy="159026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00000000-0008-0000-1400-0000DC000000}"/>
            </a:ext>
          </a:extLst>
        </xdr:cNvPr>
        <xdr:cNvSpPr txBox="1"/>
      </xdr:nvSpPr>
      <xdr:spPr>
        <a:xfrm>
          <a:off x="660009" y="4419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TextBox 220">
              <a:extLst>
                <a:ext uri="{FF2B5EF4-FFF2-40B4-BE49-F238E27FC236}">
                  <a16:creationId xmlns:a16="http://schemas.microsoft.com/office/drawing/2014/main" id="{00000000-0008-0000-1400-0000DD000000}"/>
                </a:ext>
              </a:extLst>
            </xdr:cNvPr>
            <xdr:cNvSpPr txBox="1"/>
          </xdr:nvSpPr>
          <xdr:spPr>
            <a:xfrm>
              <a:off x="6705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221" name="TextBox 220">
              <a:extLst>
                <a:ext uri="{FF2B5EF4-FFF2-40B4-BE49-F238E27FC236}">
                  <a16:creationId xmlns:a16="http://schemas.microsoft.com/office/drawing/2014/main" id="{47C908B6-D74F-47A2-A15D-55475BA56FE2}"/>
                </a:ext>
              </a:extLst>
            </xdr:cNvPr>
            <xdr:cNvSpPr txBox="1"/>
          </xdr:nvSpPr>
          <xdr:spPr>
            <a:xfrm>
              <a:off x="670560" y="498348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TextBox 221">
              <a:extLst>
                <a:ext uri="{FF2B5EF4-FFF2-40B4-BE49-F238E27FC236}">
                  <a16:creationId xmlns:a16="http://schemas.microsoft.com/office/drawing/2014/main" id="{00000000-0008-0000-1400-0000DE000000}"/>
                </a:ext>
              </a:extLst>
            </xdr:cNvPr>
            <xdr:cNvSpPr txBox="1"/>
          </xdr:nvSpPr>
          <xdr:spPr>
            <a:xfrm>
              <a:off x="6705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222" name="TextBox 221">
              <a:extLst>
                <a:ext uri="{FF2B5EF4-FFF2-40B4-BE49-F238E27FC236}">
                  <a16:creationId xmlns:a16="http://schemas.microsoft.com/office/drawing/2014/main" id="{E1BA6A6B-DEF9-473F-931E-44D22069C407}"/>
                </a:ext>
              </a:extLst>
            </xdr:cNvPr>
            <xdr:cNvSpPr txBox="1"/>
          </xdr:nvSpPr>
          <xdr:spPr>
            <a:xfrm>
              <a:off x="670561" y="518160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TextBox 222">
              <a:extLst>
                <a:ext uri="{FF2B5EF4-FFF2-40B4-BE49-F238E27FC236}">
                  <a16:creationId xmlns:a16="http://schemas.microsoft.com/office/drawing/2014/main" id="{00000000-0008-0000-1400-0000DF000000}"/>
                </a:ext>
              </a:extLst>
            </xdr:cNvPr>
            <xdr:cNvSpPr txBox="1"/>
          </xdr:nvSpPr>
          <xdr:spPr>
            <a:xfrm>
              <a:off x="10058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223" name="TextBox 222">
              <a:extLst>
                <a:ext uri="{FF2B5EF4-FFF2-40B4-BE49-F238E27FC236}">
                  <a16:creationId xmlns:a16="http://schemas.microsoft.com/office/drawing/2014/main" id="{E3E75DB9-2389-48A3-AF25-BBD6767E37D5}"/>
                </a:ext>
              </a:extLst>
            </xdr:cNvPr>
            <xdr:cNvSpPr txBox="1"/>
          </xdr:nvSpPr>
          <xdr:spPr>
            <a:xfrm>
              <a:off x="1005840" y="476631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5</xdr:col>
      <xdr:colOff>426896</xdr:colOff>
      <xdr:row>19</xdr:row>
      <xdr:rowOff>67381</xdr:rowOff>
    </xdr:from>
    <xdr:ext cx="145677" cy="15621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00000000-0008-0000-1400-0000E0000000}"/>
            </a:ext>
          </a:extLst>
        </xdr:cNvPr>
        <xdr:cNvSpPr txBox="1"/>
      </xdr:nvSpPr>
      <xdr:spPr>
        <a:xfrm>
          <a:off x="3970196" y="331350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TextBox 224">
              <a:extLst>
                <a:ext uri="{FF2B5EF4-FFF2-40B4-BE49-F238E27FC236}">
                  <a16:creationId xmlns:a16="http://schemas.microsoft.com/office/drawing/2014/main" id="{00000000-0008-0000-1400-0000E1000000}"/>
                </a:ext>
              </a:extLst>
            </xdr:cNvPr>
            <xdr:cNvSpPr txBox="1"/>
          </xdr:nvSpPr>
          <xdr:spPr>
            <a:xfrm>
              <a:off x="7242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25" name="TextBox 224">
              <a:extLst>
                <a:ext uri="{FF2B5EF4-FFF2-40B4-BE49-F238E27FC236}">
                  <a16:creationId xmlns:a16="http://schemas.microsoft.com/office/drawing/2014/main" id="{B97B6732-471C-4F91-AF07-BC1C0541D2C4}"/>
                </a:ext>
              </a:extLst>
            </xdr:cNvPr>
            <xdr:cNvSpPr txBox="1"/>
          </xdr:nvSpPr>
          <xdr:spPr>
            <a:xfrm>
              <a:off x="724232" y="55235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TextBox 225">
              <a:extLst>
                <a:ext uri="{FF2B5EF4-FFF2-40B4-BE49-F238E27FC236}">
                  <a16:creationId xmlns:a16="http://schemas.microsoft.com/office/drawing/2014/main" id="{00000000-0008-0000-1400-0000E2000000}"/>
                </a:ext>
              </a:extLst>
            </xdr:cNvPr>
            <xdr:cNvSpPr txBox="1"/>
          </xdr:nvSpPr>
          <xdr:spPr>
            <a:xfrm>
              <a:off x="7528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26" name="TextBox 225">
              <a:extLst>
                <a:ext uri="{FF2B5EF4-FFF2-40B4-BE49-F238E27FC236}">
                  <a16:creationId xmlns:a16="http://schemas.microsoft.com/office/drawing/2014/main" id="{4B8FE973-FA92-42D7-8A0D-A5F897BD79CC}"/>
                </a:ext>
              </a:extLst>
            </xdr:cNvPr>
            <xdr:cNvSpPr txBox="1"/>
          </xdr:nvSpPr>
          <xdr:spPr>
            <a:xfrm>
              <a:off x="752807" y="58985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TextBox 226">
              <a:extLst>
                <a:ext uri="{FF2B5EF4-FFF2-40B4-BE49-F238E27FC236}">
                  <a16:creationId xmlns:a16="http://schemas.microsoft.com/office/drawing/2014/main" id="{00000000-0008-0000-1400-0000E3000000}"/>
                </a:ext>
              </a:extLst>
            </xdr:cNvPr>
            <xdr:cNvSpPr txBox="1"/>
          </xdr:nvSpPr>
          <xdr:spPr>
            <a:xfrm>
              <a:off x="7374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27" name="TextBox 226">
              <a:extLst>
                <a:ext uri="{FF2B5EF4-FFF2-40B4-BE49-F238E27FC236}">
                  <a16:creationId xmlns:a16="http://schemas.microsoft.com/office/drawing/2014/main" id="{9F1D62D1-2822-4089-965E-97FDF0898155}"/>
                </a:ext>
              </a:extLst>
            </xdr:cNvPr>
            <xdr:cNvSpPr txBox="1"/>
          </xdr:nvSpPr>
          <xdr:spPr>
            <a:xfrm>
              <a:off x="737484" y="65889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17585</xdr:colOff>
      <xdr:row>32</xdr:row>
      <xdr:rowOff>70339</xdr:rowOff>
    </xdr:from>
    <xdr:ext cx="164043" cy="159026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0000000-0008-0000-1400-0000E4000000}"/>
            </a:ext>
          </a:extLst>
        </xdr:cNvPr>
        <xdr:cNvSpPr txBox="1"/>
      </xdr:nvSpPr>
      <xdr:spPr>
        <a:xfrm>
          <a:off x="642425" y="55872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34</xdr:row>
      <xdr:rowOff>99646</xdr:rowOff>
    </xdr:from>
    <xdr:ext cx="164043" cy="159026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0000000-0008-0000-1400-0000E5000000}"/>
            </a:ext>
          </a:extLst>
        </xdr:cNvPr>
        <xdr:cNvSpPr txBox="1"/>
      </xdr:nvSpPr>
      <xdr:spPr>
        <a:xfrm>
          <a:off x="654148" y="59518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38</xdr:row>
      <xdr:rowOff>128953</xdr:rowOff>
    </xdr:from>
    <xdr:ext cx="164043" cy="159026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1400-0000E6000000}"/>
            </a:ext>
          </a:extLst>
        </xdr:cNvPr>
        <xdr:cNvSpPr txBox="1"/>
      </xdr:nvSpPr>
      <xdr:spPr>
        <a:xfrm>
          <a:off x="660009" y="66516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TextBox 230">
              <a:extLst>
                <a:ext uri="{FF2B5EF4-FFF2-40B4-BE49-F238E27FC236}">
                  <a16:creationId xmlns:a16="http://schemas.microsoft.com/office/drawing/2014/main" id="{00000000-0008-0000-1400-0000E7000000}"/>
                </a:ext>
              </a:extLst>
            </xdr:cNvPr>
            <xdr:cNvSpPr txBox="1"/>
          </xdr:nvSpPr>
          <xdr:spPr>
            <a:xfrm>
              <a:off x="7242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31" name="TextBox 230">
              <a:extLst>
                <a:ext uri="{FF2B5EF4-FFF2-40B4-BE49-F238E27FC236}">
                  <a16:creationId xmlns:a16="http://schemas.microsoft.com/office/drawing/2014/main" id="{3EAA2C2D-9E50-45C6-98AF-B3900120353F}"/>
                </a:ext>
              </a:extLst>
            </xdr:cNvPr>
            <xdr:cNvSpPr txBox="1"/>
          </xdr:nvSpPr>
          <xdr:spPr>
            <a:xfrm>
              <a:off x="724232" y="62338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29308</xdr:colOff>
      <xdr:row>36</xdr:row>
      <xdr:rowOff>99646</xdr:rowOff>
    </xdr:from>
    <xdr:ext cx="164043" cy="159026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00000000-0008-0000-1400-0000E8000000}"/>
            </a:ext>
          </a:extLst>
        </xdr:cNvPr>
        <xdr:cNvSpPr txBox="1"/>
      </xdr:nvSpPr>
      <xdr:spPr>
        <a:xfrm>
          <a:off x="654148" y="62870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0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TextBox 232">
              <a:extLst>
                <a:ext uri="{FF2B5EF4-FFF2-40B4-BE49-F238E27FC236}">
                  <a16:creationId xmlns:a16="http://schemas.microsoft.com/office/drawing/2014/main" id="{00000000-0008-0000-1400-0000E9000000}"/>
                </a:ext>
              </a:extLst>
            </xdr:cNvPr>
            <xdr:cNvSpPr txBox="1"/>
          </xdr:nvSpPr>
          <xdr:spPr>
            <a:xfrm>
              <a:off x="1737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233" name="TextBox 232">
              <a:extLst>
                <a:ext uri="{FF2B5EF4-FFF2-40B4-BE49-F238E27FC236}">
                  <a16:creationId xmlns:a16="http://schemas.microsoft.com/office/drawing/2014/main" id="{AE332DA3-EC85-4E71-9B1E-E406618E3D21}"/>
                </a:ext>
              </a:extLst>
            </xdr:cNvPr>
            <xdr:cNvSpPr txBox="1"/>
          </xdr:nvSpPr>
          <xdr:spPr>
            <a:xfrm>
              <a:off x="173717" y="71978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TextBox 233">
              <a:extLst>
                <a:ext uri="{FF2B5EF4-FFF2-40B4-BE49-F238E27FC236}">
                  <a16:creationId xmlns:a16="http://schemas.microsoft.com/office/drawing/2014/main" id="{00000000-0008-0000-1400-0000EA000000}"/>
                </a:ext>
              </a:extLst>
            </xdr:cNvPr>
            <xdr:cNvSpPr txBox="1"/>
          </xdr:nvSpPr>
          <xdr:spPr>
            <a:xfrm>
              <a:off x="6874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34" name="TextBox 233">
              <a:extLst>
                <a:ext uri="{FF2B5EF4-FFF2-40B4-BE49-F238E27FC236}">
                  <a16:creationId xmlns:a16="http://schemas.microsoft.com/office/drawing/2014/main" id="{5C71CAD9-6214-4220-9D4B-57724F2929C3}"/>
                </a:ext>
              </a:extLst>
            </xdr:cNvPr>
            <xdr:cNvSpPr txBox="1"/>
          </xdr:nvSpPr>
          <xdr:spPr>
            <a:xfrm>
              <a:off x="687457" y="73771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TextBox 234">
              <a:extLst>
                <a:ext uri="{FF2B5EF4-FFF2-40B4-BE49-F238E27FC236}">
                  <a16:creationId xmlns:a16="http://schemas.microsoft.com/office/drawing/2014/main" id="{00000000-0008-0000-1400-0000EB000000}"/>
                </a:ext>
              </a:extLst>
            </xdr:cNvPr>
            <xdr:cNvSpPr txBox="1"/>
          </xdr:nvSpPr>
          <xdr:spPr>
            <a:xfrm>
              <a:off x="10309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235" name="TextBox 234">
              <a:extLst>
                <a:ext uri="{FF2B5EF4-FFF2-40B4-BE49-F238E27FC236}">
                  <a16:creationId xmlns:a16="http://schemas.microsoft.com/office/drawing/2014/main" id="{CECC4D2D-E8C8-40A2-BD90-832561849162}"/>
                </a:ext>
              </a:extLst>
            </xdr:cNvPr>
            <xdr:cNvSpPr txBox="1"/>
          </xdr:nvSpPr>
          <xdr:spPr>
            <a:xfrm>
              <a:off x="1030979" y="696955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5</xdr:col>
      <xdr:colOff>409232</xdr:colOff>
      <xdr:row>41</xdr:row>
      <xdr:rowOff>167484</xdr:rowOff>
    </xdr:from>
    <xdr:ext cx="164043" cy="159026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00000000-0008-0000-1400-0000EC000000}"/>
            </a:ext>
          </a:extLst>
        </xdr:cNvPr>
        <xdr:cNvSpPr txBox="1"/>
      </xdr:nvSpPr>
      <xdr:spPr>
        <a:xfrm>
          <a:off x="3952532" y="719312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5</xdr:col>
      <xdr:colOff>409419</xdr:colOff>
      <xdr:row>43</xdr:row>
      <xdr:rowOff>7058</xdr:rowOff>
    </xdr:from>
    <xdr:ext cx="164043" cy="159026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0000000-0008-0000-1400-0000ED000000}"/>
            </a:ext>
          </a:extLst>
        </xdr:cNvPr>
        <xdr:cNvSpPr txBox="1"/>
      </xdr:nvSpPr>
      <xdr:spPr>
        <a:xfrm>
          <a:off x="3952719" y="736797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105087</xdr:colOff>
      <xdr:row>42</xdr:row>
      <xdr:rowOff>3529</xdr:rowOff>
    </xdr:from>
    <xdr:ext cx="164043" cy="159026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1400-0000EE000000}"/>
            </a:ext>
          </a:extLst>
        </xdr:cNvPr>
        <xdr:cNvSpPr txBox="1"/>
      </xdr:nvSpPr>
      <xdr:spPr>
        <a:xfrm>
          <a:off x="2993067" y="71968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105274</xdr:colOff>
      <xdr:row>43</xdr:row>
      <xdr:rowOff>7620</xdr:rowOff>
    </xdr:from>
    <xdr:ext cx="164043" cy="159026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00000000-0008-0000-1400-0000EF000000}"/>
            </a:ext>
          </a:extLst>
        </xdr:cNvPr>
        <xdr:cNvSpPr txBox="1"/>
      </xdr:nvSpPr>
      <xdr:spPr>
        <a:xfrm>
          <a:off x="2993254" y="73685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TextBox 239">
              <a:extLst>
                <a:ext uri="{FF2B5EF4-FFF2-40B4-BE49-F238E27FC236}">
                  <a16:creationId xmlns:a16="http://schemas.microsoft.com/office/drawing/2014/main" id="{00000000-0008-0000-1400-0000F0000000}"/>
                </a:ext>
              </a:extLst>
            </xdr:cNvPr>
            <xdr:cNvSpPr txBox="1"/>
          </xdr:nvSpPr>
          <xdr:spPr>
            <a:xfrm>
              <a:off x="8506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40" name="TextBox 239">
              <a:extLst>
                <a:ext uri="{FF2B5EF4-FFF2-40B4-BE49-F238E27FC236}">
                  <a16:creationId xmlns:a16="http://schemas.microsoft.com/office/drawing/2014/main" id="{D7AFA4BB-13CB-4888-8F63-52959682B9D2}"/>
                </a:ext>
              </a:extLst>
            </xdr:cNvPr>
            <xdr:cNvSpPr txBox="1"/>
          </xdr:nvSpPr>
          <xdr:spPr>
            <a:xfrm>
              <a:off x="850691" y="800427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TextBox 240">
              <a:extLst>
                <a:ext uri="{FF2B5EF4-FFF2-40B4-BE49-F238E27FC236}">
                  <a16:creationId xmlns:a16="http://schemas.microsoft.com/office/drawing/2014/main" id="{00000000-0008-0000-1400-0000F1000000}"/>
                </a:ext>
              </a:extLst>
            </xdr:cNvPr>
            <xdr:cNvSpPr txBox="1"/>
          </xdr:nvSpPr>
          <xdr:spPr>
            <a:xfrm>
              <a:off x="8023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41" name="TextBox 240">
              <a:extLst>
                <a:ext uri="{FF2B5EF4-FFF2-40B4-BE49-F238E27FC236}">
                  <a16:creationId xmlns:a16="http://schemas.microsoft.com/office/drawing/2014/main" id="{BABDFB86-5BC0-45C0-89AD-989804A5901C}"/>
                </a:ext>
              </a:extLst>
            </xdr:cNvPr>
            <xdr:cNvSpPr txBox="1"/>
          </xdr:nvSpPr>
          <xdr:spPr>
            <a:xfrm>
              <a:off x="802306" y="770745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6</xdr:col>
      <xdr:colOff>401955</xdr:colOff>
      <xdr:row>46</xdr:row>
      <xdr:rowOff>22860</xdr:rowOff>
    </xdr:from>
    <xdr:ext cx="249850" cy="168634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00000000-0008-0000-1400-0000F2000000}"/>
            </a:ext>
          </a:extLst>
        </xdr:cNvPr>
        <xdr:cNvSpPr txBox="1"/>
      </xdr:nvSpPr>
      <xdr:spPr>
        <a:xfrm>
          <a:off x="4600575" y="788670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3" name="TextBox 242">
              <a:extLst>
                <a:ext uri="{FF2B5EF4-FFF2-40B4-BE49-F238E27FC236}">
                  <a16:creationId xmlns:a16="http://schemas.microsoft.com/office/drawing/2014/main" id="{00000000-0008-0000-1400-0000F3000000}"/>
                </a:ext>
              </a:extLst>
            </xdr:cNvPr>
            <xdr:cNvSpPr txBox="1"/>
          </xdr:nvSpPr>
          <xdr:spPr>
            <a:xfrm>
              <a:off x="6632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43" name="TextBox 242">
              <a:extLst>
                <a:ext uri="{FF2B5EF4-FFF2-40B4-BE49-F238E27FC236}">
                  <a16:creationId xmlns:a16="http://schemas.microsoft.com/office/drawing/2014/main" id="{234F53DA-6329-480A-9669-2C18686AC0CB}"/>
                </a:ext>
              </a:extLst>
            </xdr:cNvPr>
            <xdr:cNvSpPr txBox="1"/>
          </xdr:nvSpPr>
          <xdr:spPr>
            <a:xfrm>
              <a:off x="663271" y="836676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TextBox 243">
              <a:extLst>
                <a:ext uri="{FF2B5EF4-FFF2-40B4-BE49-F238E27FC236}">
                  <a16:creationId xmlns:a16="http://schemas.microsoft.com/office/drawing/2014/main" id="{00000000-0008-0000-1400-0000F4000000}"/>
                </a:ext>
              </a:extLst>
            </xdr:cNvPr>
            <xdr:cNvSpPr txBox="1"/>
          </xdr:nvSpPr>
          <xdr:spPr>
            <a:xfrm>
              <a:off x="6950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44" name="TextBox 243">
              <a:extLst>
                <a:ext uri="{FF2B5EF4-FFF2-40B4-BE49-F238E27FC236}">
                  <a16:creationId xmlns:a16="http://schemas.microsoft.com/office/drawing/2014/main" id="{4F7542C0-2B8C-489A-8BF0-95FC4B2728F8}"/>
                </a:ext>
              </a:extLst>
            </xdr:cNvPr>
            <xdr:cNvSpPr txBox="1"/>
          </xdr:nvSpPr>
          <xdr:spPr>
            <a:xfrm>
              <a:off x="695077" y="855825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632460</xdr:colOff>
      <xdr:row>49</xdr:row>
      <xdr:rowOff>0</xdr:rowOff>
    </xdr:from>
    <xdr:ext cx="164043" cy="159026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1400-0000F5000000}"/>
            </a:ext>
          </a:extLst>
        </xdr:cNvPr>
        <xdr:cNvSpPr txBox="1"/>
      </xdr:nvSpPr>
      <xdr:spPr>
        <a:xfrm>
          <a:off x="2788920" y="836676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</xdr:col>
      <xdr:colOff>624840</xdr:colOff>
      <xdr:row>50</xdr:row>
      <xdr:rowOff>0</xdr:rowOff>
    </xdr:from>
    <xdr:ext cx="164043" cy="159026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1400-0000F6000000}"/>
            </a:ext>
          </a:extLst>
        </xdr:cNvPr>
        <xdr:cNvSpPr txBox="1"/>
      </xdr:nvSpPr>
      <xdr:spPr>
        <a:xfrm>
          <a:off x="2781300" y="853440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472440</xdr:colOff>
      <xdr:row>51</xdr:row>
      <xdr:rowOff>17780</xdr:rowOff>
    </xdr:from>
    <xdr:ext cx="2823210" cy="280670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00000000-0008-0000-1400-0000F7000000}"/>
            </a:ext>
          </a:extLst>
        </xdr:cNvPr>
        <xdr:cNvSpPr txBox="1"/>
      </xdr:nvSpPr>
      <xdr:spPr>
        <a:xfrm>
          <a:off x="1097280" y="871982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10</xdr:col>
      <xdr:colOff>0</xdr:colOff>
      <xdr:row>12</xdr:row>
      <xdr:rowOff>0</xdr:rowOff>
    </xdr:from>
    <xdr:ext cx="1152939" cy="19343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00000000-0008-0000-1400-0000F8000000}"/>
            </a:ext>
          </a:extLst>
        </xdr:cNvPr>
        <xdr:cNvSpPr txBox="1"/>
      </xdr:nvSpPr>
      <xdr:spPr>
        <a:xfrm>
          <a:off x="609600" y="22021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10</xdr:col>
      <xdr:colOff>47991</xdr:colOff>
      <xdr:row>11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9" name="TextBox 248">
              <a:extLst>
                <a:ext uri="{FF2B5EF4-FFF2-40B4-BE49-F238E27FC236}">
                  <a16:creationId xmlns:a16="http://schemas.microsoft.com/office/drawing/2014/main" id="{00000000-0008-0000-1400-0000F9000000}"/>
                </a:ext>
              </a:extLst>
            </xdr:cNvPr>
            <xdr:cNvSpPr txBox="1"/>
          </xdr:nvSpPr>
          <xdr:spPr>
            <a:xfrm>
              <a:off x="65759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249" name="TextBox 248">
              <a:extLst>
                <a:ext uri="{FF2B5EF4-FFF2-40B4-BE49-F238E27FC236}">
                  <a16:creationId xmlns:a16="http://schemas.microsoft.com/office/drawing/2014/main" id="{5809627A-3C9C-43AE-BBC2-B89E82A6C4F4}"/>
                </a:ext>
              </a:extLst>
            </xdr:cNvPr>
            <xdr:cNvSpPr txBox="1"/>
          </xdr:nvSpPr>
          <xdr:spPr>
            <a:xfrm>
              <a:off x="65759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10</xdr:col>
      <xdr:colOff>94373</xdr:colOff>
      <xdr:row>14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TextBox 249">
              <a:extLst>
                <a:ext uri="{FF2B5EF4-FFF2-40B4-BE49-F238E27FC236}">
                  <a16:creationId xmlns:a16="http://schemas.microsoft.com/office/drawing/2014/main" id="{00000000-0008-0000-1400-0000FA000000}"/>
                </a:ext>
              </a:extLst>
            </xdr:cNvPr>
            <xdr:cNvSpPr txBox="1"/>
          </xdr:nvSpPr>
          <xdr:spPr>
            <a:xfrm>
              <a:off x="70397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250" name="TextBox 249">
              <a:extLst>
                <a:ext uri="{FF2B5EF4-FFF2-40B4-BE49-F238E27FC236}">
                  <a16:creationId xmlns:a16="http://schemas.microsoft.com/office/drawing/2014/main" id="{79B7697F-0D76-47BC-A895-5EE90DA0C247}"/>
                </a:ext>
              </a:extLst>
            </xdr:cNvPr>
            <xdr:cNvSpPr txBox="1"/>
          </xdr:nvSpPr>
          <xdr:spPr>
            <a:xfrm>
              <a:off x="70397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13</xdr:col>
      <xdr:colOff>620486</xdr:colOff>
      <xdr:row>14</xdr:row>
      <xdr:rowOff>12258</xdr:rowOff>
    </xdr:from>
    <xdr:ext cx="164043" cy="159026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00000000-0008-0000-1400-0000FB000000}"/>
            </a:ext>
          </a:extLst>
        </xdr:cNvPr>
        <xdr:cNvSpPr txBox="1"/>
      </xdr:nvSpPr>
      <xdr:spPr>
        <a:xfrm>
          <a:off x="3287486" y="258019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10</xdr:col>
      <xdr:colOff>26504</xdr:colOff>
      <xdr:row>19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TextBox 251">
              <a:extLst>
                <a:ext uri="{FF2B5EF4-FFF2-40B4-BE49-F238E27FC236}">
                  <a16:creationId xmlns:a16="http://schemas.microsoft.com/office/drawing/2014/main" id="{00000000-0008-0000-1400-0000FC000000}"/>
                </a:ext>
              </a:extLst>
            </xdr:cNvPr>
            <xdr:cNvSpPr txBox="1"/>
          </xdr:nvSpPr>
          <xdr:spPr>
            <a:xfrm>
              <a:off x="63610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252" name="TextBox 251">
              <a:extLst>
                <a:ext uri="{FF2B5EF4-FFF2-40B4-BE49-F238E27FC236}">
                  <a16:creationId xmlns:a16="http://schemas.microsoft.com/office/drawing/2014/main" id="{8BFADBB6-9EA0-4480-A0FC-8361882242AC}"/>
                </a:ext>
              </a:extLst>
            </xdr:cNvPr>
            <xdr:cNvSpPr txBox="1"/>
          </xdr:nvSpPr>
          <xdr:spPr>
            <a:xfrm>
              <a:off x="63610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15</xdr:col>
      <xdr:colOff>335281</xdr:colOff>
      <xdr:row>23</xdr:row>
      <xdr:rowOff>14246</xdr:rowOff>
    </xdr:from>
    <xdr:ext cx="249850" cy="168634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00000000-0008-0000-1400-0000FD000000}"/>
            </a:ext>
          </a:extLst>
        </xdr:cNvPr>
        <xdr:cNvSpPr txBox="1"/>
      </xdr:nvSpPr>
      <xdr:spPr>
        <a:xfrm>
          <a:off x="4229101" y="422810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13</xdr:col>
      <xdr:colOff>119531</xdr:colOff>
      <xdr:row>19</xdr:row>
      <xdr:rowOff>79417</xdr:rowOff>
    </xdr:from>
    <xdr:ext cx="164043" cy="159026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00000000-0008-0000-1400-0000FE000000}"/>
            </a:ext>
          </a:extLst>
        </xdr:cNvPr>
        <xdr:cNvSpPr txBox="1"/>
      </xdr:nvSpPr>
      <xdr:spPr>
        <a:xfrm>
          <a:off x="2794151" y="356175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21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5" name="TextBox 254">
              <a:extLst>
                <a:ext uri="{FF2B5EF4-FFF2-40B4-BE49-F238E27FC236}">
                  <a16:creationId xmlns:a16="http://schemas.microsoft.com/office/drawing/2014/main" id="{00000000-0008-0000-1400-0000FF000000}"/>
                </a:ext>
              </a:extLst>
            </xdr:cNvPr>
            <xdr:cNvSpPr txBox="1"/>
          </xdr:nvSpPr>
          <xdr:spPr>
            <a:xfrm>
              <a:off x="70899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255" name="TextBox 254">
              <a:extLst>
                <a:ext uri="{FF2B5EF4-FFF2-40B4-BE49-F238E27FC236}">
                  <a16:creationId xmlns:a16="http://schemas.microsoft.com/office/drawing/2014/main" id="{B5429F67-7B45-4A25-BB3E-BFE8137B29CD}"/>
                </a:ext>
              </a:extLst>
            </xdr:cNvPr>
            <xdr:cNvSpPr txBox="1"/>
          </xdr:nvSpPr>
          <xdr:spPr>
            <a:xfrm>
              <a:off x="70899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10</xdr:col>
      <xdr:colOff>99392</xdr:colOff>
      <xdr:row>23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TextBox 255">
              <a:extLst>
                <a:ext uri="{FF2B5EF4-FFF2-40B4-BE49-F238E27FC236}">
                  <a16:creationId xmlns:a16="http://schemas.microsoft.com/office/drawing/2014/main" id="{00000000-0008-0000-1400-000000010000}"/>
                </a:ext>
              </a:extLst>
            </xdr:cNvPr>
            <xdr:cNvSpPr txBox="1"/>
          </xdr:nvSpPr>
          <xdr:spPr>
            <a:xfrm>
              <a:off x="70899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256" name="TextBox 255">
              <a:extLst>
                <a:ext uri="{FF2B5EF4-FFF2-40B4-BE49-F238E27FC236}">
                  <a16:creationId xmlns:a16="http://schemas.microsoft.com/office/drawing/2014/main" id="{FBD06EDC-52F3-4D53-AF80-AECAFC74D1EF}"/>
                </a:ext>
              </a:extLst>
            </xdr:cNvPr>
            <xdr:cNvSpPr txBox="1"/>
          </xdr:nvSpPr>
          <xdr:spPr>
            <a:xfrm>
              <a:off x="70899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25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7" name="TextBox 256">
              <a:extLst>
                <a:ext uri="{FF2B5EF4-FFF2-40B4-BE49-F238E27FC236}">
                  <a16:creationId xmlns:a16="http://schemas.microsoft.com/office/drawing/2014/main" id="{00000000-0008-0000-1400-000001010000}"/>
                </a:ext>
              </a:extLst>
            </xdr:cNvPr>
            <xdr:cNvSpPr txBox="1"/>
          </xdr:nvSpPr>
          <xdr:spPr>
            <a:xfrm>
              <a:off x="72224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257" name="TextBox 256">
              <a:extLst>
                <a:ext uri="{FF2B5EF4-FFF2-40B4-BE49-F238E27FC236}">
                  <a16:creationId xmlns:a16="http://schemas.microsoft.com/office/drawing/2014/main" id="{891FE778-642A-427E-8F2C-7C3B3DBD6F79}"/>
                </a:ext>
              </a:extLst>
            </xdr:cNvPr>
            <xdr:cNvSpPr txBox="1"/>
          </xdr:nvSpPr>
          <xdr:spPr>
            <a:xfrm>
              <a:off x="72224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11</xdr:col>
      <xdr:colOff>17584</xdr:colOff>
      <xdr:row>18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8" name="TextBox 257">
              <a:extLst>
                <a:ext uri="{FF2B5EF4-FFF2-40B4-BE49-F238E27FC236}">
                  <a16:creationId xmlns:a16="http://schemas.microsoft.com/office/drawing/2014/main" id="{00000000-0008-0000-1400-000002010000}"/>
                </a:ext>
              </a:extLst>
            </xdr:cNvPr>
            <xdr:cNvSpPr txBox="1"/>
          </xdr:nvSpPr>
          <xdr:spPr>
            <a:xfrm>
              <a:off x="147300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258" name="TextBox 257">
              <a:extLst>
                <a:ext uri="{FF2B5EF4-FFF2-40B4-BE49-F238E27FC236}">
                  <a16:creationId xmlns:a16="http://schemas.microsoft.com/office/drawing/2014/main" id="{A5047116-4AD4-4BCD-9BEF-8B4BEDA738B3}"/>
                </a:ext>
              </a:extLst>
            </xdr:cNvPr>
            <xdr:cNvSpPr txBox="1"/>
          </xdr:nvSpPr>
          <xdr:spPr>
            <a:xfrm>
              <a:off x="147300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10</xdr:col>
      <xdr:colOff>17585</xdr:colOff>
      <xdr:row>21</xdr:row>
      <xdr:rowOff>70339</xdr:rowOff>
    </xdr:from>
    <xdr:ext cx="164043" cy="159026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00000000-0008-0000-1400-000003010000}"/>
            </a:ext>
          </a:extLst>
        </xdr:cNvPr>
        <xdr:cNvSpPr txBox="1"/>
      </xdr:nvSpPr>
      <xdr:spPr>
        <a:xfrm>
          <a:off x="627185" y="39184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23</xdr:row>
      <xdr:rowOff>99646</xdr:rowOff>
    </xdr:from>
    <xdr:ext cx="164043" cy="159026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00000000-0008-0000-1400-000004010000}"/>
            </a:ext>
          </a:extLst>
        </xdr:cNvPr>
        <xdr:cNvSpPr txBox="1"/>
      </xdr:nvSpPr>
      <xdr:spPr>
        <a:xfrm>
          <a:off x="638908" y="43135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25</xdr:row>
      <xdr:rowOff>128953</xdr:rowOff>
    </xdr:from>
    <xdr:ext cx="164043" cy="159026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00000000-0008-0000-1400-000005010000}"/>
            </a:ext>
          </a:extLst>
        </xdr:cNvPr>
        <xdr:cNvSpPr txBox="1"/>
      </xdr:nvSpPr>
      <xdr:spPr>
        <a:xfrm>
          <a:off x="644769" y="47085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45720</xdr:colOff>
      <xdr:row>29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TextBox 261">
              <a:extLst>
                <a:ext uri="{FF2B5EF4-FFF2-40B4-BE49-F238E27FC236}">
                  <a16:creationId xmlns:a16="http://schemas.microsoft.com/office/drawing/2014/main" id="{00000000-0008-0000-1400-000006010000}"/>
                </a:ext>
              </a:extLst>
            </xdr:cNvPr>
            <xdr:cNvSpPr txBox="1"/>
          </xdr:nvSpPr>
          <xdr:spPr>
            <a:xfrm>
              <a:off x="65532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262" name="TextBox 261">
              <a:extLst>
                <a:ext uri="{FF2B5EF4-FFF2-40B4-BE49-F238E27FC236}">
                  <a16:creationId xmlns:a16="http://schemas.microsoft.com/office/drawing/2014/main" id="{82CC73C7-8980-4647-9DFC-40E929CACDFE}"/>
                </a:ext>
              </a:extLst>
            </xdr:cNvPr>
            <xdr:cNvSpPr txBox="1"/>
          </xdr:nvSpPr>
          <xdr:spPr>
            <a:xfrm>
              <a:off x="65532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10</xdr:col>
      <xdr:colOff>45721</xdr:colOff>
      <xdr:row>30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3" name="TextBox 262">
              <a:extLst>
                <a:ext uri="{FF2B5EF4-FFF2-40B4-BE49-F238E27FC236}">
                  <a16:creationId xmlns:a16="http://schemas.microsoft.com/office/drawing/2014/main" id="{00000000-0008-0000-1400-000007010000}"/>
                </a:ext>
              </a:extLst>
            </xdr:cNvPr>
            <xdr:cNvSpPr txBox="1"/>
          </xdr:nvSpPr>
          <xdr:spPr>
            <a:xfrm>
              <a:off x="65532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263" name="TextBox 262">
              <a:extLst>
                <a:ext uri="{FF2B5EF4-FFF2-40B4-BE49-F238E27FC236}">
                  <a16:creationId xmlns:a16="http://schemas.microsoft.com/office/drawing/2014/main" id="{812DC72E-6F85-485F-A41A-385E2D577486}"/>
                </a:ext>
              </a:extLst>
            </xdr:cNvPr>
            <xdr:cNvSpPr txBox="1"/>
          </xdr:nvSpPr>
          <xdr:spPr>
            <a:xfrm>
              <a:off x="65532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10</xdr:col>
      <xdr:colOff>381000</xdr:colOff>
      <xdr:row>27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TextBox 263">
              <a:extLst>
                <a:ext uri="{FF2B5EF4-FFF2-40B4-BE49-F238E27FC236}">
                  <a16:creationId xmlns:a16="http://schemas.microsoft.com/office/drawing/2014/main" id="{00000000-0008-0000-1400-000008010000}"/>
                </a:ext>
              </a:extLst>
            </xdr:cNvPr>
            <xdr:cNvSpPr txBox="1"/>
          </xdr:nvSpPr>
          <xdr:spPr>
            <a:xfrm>
              <a:off x="99060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264" name="TextBox 263">
              <a:extLst>
                <a:ext uri="{FF2B5EF4-FFF2-40B4-BE49-F238E27FC236}">
                  <a16:creationId xmlns:a16="http://schemas.microsoft.com/office/drawing/2014/main" id="{0566FDB1-6988-4534-8055-5B4A8F297076}"/>
                </a:ext>
              </a:extLst>
            </xdr:cNvPr>
            <xdr:cNvSpPr txBox="1"/>
          </xdr:nvSpPr>
          <xdr:spPr>
            <a:xfrm>
              <a:off x="99060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14</xdr:col>
      <xdr:colOff>426896</xdr:colOff>
      <xdr:row>19</xdr:row>
      <xdr:rowOff>67381</xdr:rowOff>
    </xdr:from>
    <xdr:ext cx="145677" cy="15621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00000000-0008-0000-1400-000009010000}"/>
            </a:ext>
          </a:extLst>
        </xdr:cNvPr>
        <xdr:cNvSpPr txBox="1"/>
      </xdr:nvSpPr>
      <xdr:spPr>
        <a:xfrm>
          <a:off x="3711116" y="354972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32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TextBox 265">
              <a:extLst>
                <a:ext uri="{FF2B5EF4-FFF2-40B4-BE49-F238E27FC236}">
                  <a16:creationId xmlns:a16="http://schemas.microsoft.com/office/drawing/2014/main" id="{00000000-0008-0000-1400-00000A010000}"/>
                </a:ext>
              </a:extLst>
            </xdr:cNvPr>
            <xdr:cNvSpPr txBox="1"/>
          </xdr:nvSpPr>
          <xdr:spPr>
            <a:xfrm>
              <a:off x="70899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66" name="TextBox 265">
              <a:extLst>
                <a:ext uri="{FF2B5EF4-FFF2-40B4-BE49-F238E27FC236}">
                  <a16:creationId xmlns:a16="http://schemas.microsoft.com/office/drawing/2014/main" id="{F9B528E9-DE3F-4861-918B-0E4E50AB6D70}"/>
                </a:ext>
              </a:extLst>
            </xdr:cNvPr>
            <xdr:cNvSpPr txBox="1"/>
          </xdr:nvSpPr>
          <xdr:spPr>
            <a:xfrm>
              <a:off x="70899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127967</xdr:colOff>
      <xdr:row>34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7" name="TextBox 266">
              <a:extLst>
                <a:ext uri="{FF2B5EF4-FFF2-40B4-BE49-F238E27FC236}">
                  <a16:creationId xmlns:a16="http://schemas.microsoft.com/office/drawing/2014/main" id="{00000000-0008-0000-1400-00000B010000}"/>
                </a:ext>
              </a:extLst>
            </xdr:cNvPr>
            <xdr:cNvSpPr txBox="1"/>
          </xdr:nvSpPr>
          <xdr:spPr>
            <a:xfrm>
              <a:off x="73756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67" name="TextBox 266">
              <a:extLst>
                <a:ext uri="{FF2B5EF4-FFF2-40B4-BE49-F238E27FC236}">
                  <a16:creationId xmlns:a16="http://schemas.microsoft.com/office/drawing/2014/main" id="{4908AE42-F6F7-4F01-8E55-818E6346C44D}"/>
                </a:ext>
              </a:extLst>
            </xdr:cNvPr>
            <xdr:cNvSpPr txBox="1"/>
          </xdr:nvSpPr>
          <xdr:spPr>
            <a:xfrm>
              <a:off x="73756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38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TextBox 267">
              <a:extLst>
                <a:ext uri="{FF2B5EF4-FFF2-40B4-BE49-F238E27FC236}">
                  <a16:creationId xmlns:a16="http://schemas.microsoft.com/office/drawing/2014/main" id="{00000000-0008-0000-1400-00000C010000}"/>
                </a:ext>
              </a:extLst>
            </xdr:cNvPr>
            <xdr:cNvSpPr txBox="1"/>
          </xdr:nvSpPr>
          <xdr:spPr>
            <a:xfrm>
              <a:off x="72224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68" name="TextBox 267">
              <a:extLst>
                <a:ext uri="{FF2B5EF4-FFF2-40B4-BE49-F238E27FC236}">
                  <a16:creationId xmlns:a16="http://schemas.microsoft.com/office/drawing/2014/main" id="{E53A3CED-F436-45F9-9B37-4DA4E36D2D14}"/>
                </a:ext>
              </a:extLst>
            </xdr:cNvPr>
            <xdr:cNvSpPr txBox="1"/>
          </xdr:nvSpPr>
          <xdr:spPr>
            <a:xfrm>
              <a:off x="72224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17585</xdr:colOff>
      <xdr:row>32</xdr:row>
      <xdr:rowOff>70339</xdr:rowOff>
    </xdr:from>
    <xdr:ext cx="164043" cy="159026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1400-00000D010000}"/>
            </a:ext>
          </a:extLst>
        </xdr:cNvPr>
        <xdr:cNvSpPr txBox="1"/>
      </xdr:nvSpPr>
      <xdr:spPr>
        <a:xfrm>
          <a:off x="627185" y="59301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34</xdr:row>
      <xdr:rowOff>99646</xdr:rowOff>
    </xdr:from>
    <xdr:ext cx="164043" cy="159026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1400-00000E010000}"/>
            </a:ext>
          </a:extLst>
        </xdr:cNvPr>
        <xdr:cNvSpPr txBox="1"/>
      </xdr:nvSpPr>
      <xdr:spPr>
        <a:xfrm>
          <a:off x="638908" y="6325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38</xdr:row>
      <xdr:rowOff>128953</xdr:rowOff>
    </xdr:from>
    <xdr:ext cx="164043" cy="159026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1400-00000F010000}"/>
            </a:ext>
          </a:extLst>
        </xdr:cNvPr>
        <xdr:cNvSpPr txBox="1"/>
      </xdr:nvSpPr>
      <xdr:spPr>
        <a:xfrm>
          <a:off x="644769" y="7086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36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TextBox 271">
              <a:extLst>
                <a:ext uri="{FF2B5EF4-FFF2-40B4-BE49-F238E27FC236}">
                  <a16:creationId xmlns:a16="http://schemas.microsoft.com/office/drawing/2014/main" id="{00000000-0008-0000-1400-000010010000}"/>
                </a:ext>
              </a:extLst>
            </xdr:cNvPr>
            <xdr:cNvSpPr txBox="1"/>
          </xdr:nvSpPr>
          <xdr:spPr>
            <a:xfrm>
              <a:off x="70899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72" name="TextBox 271">
              <a:extLst>
                <a:ext uri="{FF2B5EF4-FFF2-40B4-BE49-F238E27FC236}">
                  <a16:creationId xmlns:a16="http://schemas.microsoft.com/office/drawing/2014/main" id="{4C428E5D-DDFF-4542-ABDD-92184B8ADA2F}"/>
                </a:ext>
              </a:extLst>
            </xdr:cNvPr>
            <xdr:cNvSpPr txBox="1"/>
          </xdr:nvSpPr>
          <xdr:spPr>
            <a:xfrm>
              <a:off x="70899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29308</xdr:colOff>
      <xdr:row>36</xdr:row>
      <xdr:rowOff>99646</xdr:rowOff>
    </xdr:from>
    <xdr:ext cx="164043" cy="159026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00000000-0008-0000-1400-000011010000}"/>
            </a:ext>
          </a:extLst>
        </xdr:cNvPr>
        <xdr:cNvSpPr txBox="1"/>
      </xdr:nvSpPr>
      <xdr:spPr>
        <a:xfrm>
          <a:off x="638908" y="669094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9</xdr:col>
      <xdr:colOff>173717</xdr:colOff>
      <xdr:row>42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TextBox 273">
              <a:extLst>
                <a:ext uri="{FF2B5EF4-FFF2-40B4-BE49-F238E27FC236}">
                  <a16:creationId xmlns:a16="http://schemas.microsoft.com/office/drawing/2014/main" id="{00000000-0008-0000-1400-000012010000}"/>
                </a:ext>
              </a:extLst>
            </xdr:cNvPr>
            <xdr:cNvSpPr txBox="1"/>
          </xdr:nvSpPr>
          <xdr:spPr>
            <a:xfrm>
              <a:off x="17371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274" name="TextBox 273">
              <a:extLst>
                <a:ext uri="{FF2B5EF4-FFF2-40B4-BE49-F238E27FC236}">
                  <a16:creationId xmlns:a16="http://schemas.microsoft.com/office/drawing/2014/main" id="{FDE5AD1E-DC06-4397-97E8-0B3727B8D92F}"/>
                </a:ext>
              </a:extLst>
            </xdr:cNvPr>
            <xdr:cNvSpPr txBox="1"/>
          </xdr:nvSpPr>
          <xdr:spPr>
            <a:xfrm>
              <a:off x="17371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10</xdr:col>
      <xdr:colOff>62617</xdr:colOff>
      <xdr:row>43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TextBox 274">
              <a:extLst>
                <a:ext uri="{FF2B5EF4-FFF2-40B4-BE49-F238E27FC236}">
                  <a16:creationId xmlns:a16="http://schemas.microsoft.com/office/drawing/2014/main" id="{00000000-0008-0000-1400-000013010000}"/>
                </a:ext>
              </a:extLst>
            </xdr:cNvPr>
            <xdr:cNvSpPr txBox="1"/>
          </xdr:nvSpPr>
          <xdr:spPr>
            <a:xfrm>
              <a:off x="67221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75" name="TextBox 274">
              <a:extLst>
                <a:ext uri="{FF2B5EF4-FFF2-40B4-BE49-F238E27FC236}">
                  <a16:creationId xmlns:a16="http://schemas.microsoft.com/office/drawing/2014/main" id="{C097DE84-E4D5-45CF-99B3-EA5678E3D1A2}"/>
                </a:ext>
              </a:extLst>
            </xdr:cNvPr>
            <xdr:cNvSpPr txBox="1"/>
          </xdr:nvSpPr>
          <xdr:spPr>
            <a:xfrm>
              <a:off x="67221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406139</xdr:colOff>
      <xdr:row>40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TextBox 275">
              <a:extLst>
                <a:ext uri="{FF2B5EF4-FFF2-40B4-BE49-F238E27FC236}">
                  <a16:creationId xmlns:a16="http://schemas.microsoft.com/office/drawing/2014/main" id="{00000000-0008-0000-1400-000014010000}"/>
                </a:ext>
              </a:extLst>
            </xdr:cNvPr>
            <xdr:cNvSpPr txBox="1"/>
          </xdr:nvSpPr>
          <xdr:spPr>
            <a:xfrm>
              <a:off x="101573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276" name="TextBox 275">
              <a:extLst>
                <a:ext uri="{FF2B5EF4-FFF2-40B4-BE49-F238E27FC236}">
                  <a16:creationId xmlns:a16="http://schemas.microsoft.com/office/drawing/2014/main" id="{AA34C498-2CE9-4CA2-BA8F-796B8420433F}"/>
                </a:ext>
              </a:extLst>
            </xdr:cNvPr>
            <xdr:cNvSpPr txBox="1"/>
          </xdr:nvSpPr>
          <xdr:spPr>
            <a:xfrm>
              <a:off x="101573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14</xdr:col>
      <xdr:colOff>409232</xdr:colOff>
      <xdr:row>41</xdr:row>
      <xdr:rowOff>167484</xdr:rowOff>
    </xdr:from>
    <xdr:ext cx="164043" cy="159026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1400-000015010000}"/>
            </a:ext>
          </a:extLst>
        </xdr:cNvPr>
        <xdr:cNvSpPr txBox="1"/>
      </xdr:nvSpPr>
      <xdr:spPr>
        <a:xfrm>
          <a:off x="3693452" y="767318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14</xdr:col>
      <xdr:colOff>409419</xdr:colOff>
      <xdr:row>43</xdr:row>
      <xdr:rowOff>7058</xdr:rowOff>
    </xdr:from>
    <xdr:ext cx="164043" cy="159026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00000000-0008-0000-1400-000016010000}"/>
            </a:ext>
          </a:extLst>
        </xdr:cNvPr>
        <xdr:cNvSpPr txBox="1"/>
      </xdr:nvSpPr>
      <xdr:spPr>
        <a:xfrm>
          <a:off x="3693639" y="78785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105087</xdr:colOff>
      <xdr:row>42</xdr:row>
      <xdr:rowOff>3529</xdr:rowOff>
    </xdr:from>
    <xdr:ext cx="164043" cy="159026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00000000-0008-0000-1400-000017010000}"/>
            </a:ext>
          </a:extLst>
        </xdr:cNvPr>
        <xdr:cNvSpPr txBox="1"/>
      </xdr:nvSpPr>
      <xdr:spPr>
        <a:xfrm>
          <a:off x="2779707" y="76921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105274</xdr:colOff>
      <xdr:row>43</xdr:row>
      <xdr:rowOff>7620</xdr:rowOff>
    </xdr:from>
    <xdr:ext cx="164043" cy="159026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1400-000018010000}"/>
            </a:ext>
          </a:extLst>
        </xdr:cNvPr>
        <xdr:cNvSpPr txBox="1"/>
      </xdr:nvSpPr>
      <xdr:spPr>
        <a:xfrm>
          <a:off x="2779894" y="787908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225851</xdr:colOff>
      <xdr:row>46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TextBox 280">
              <a:extLst>
                <a:ext uri="{FF2B5EF4-FFF2-40B4-BE49-F238E27FC236}">
                  <a16:creationId xmlns:a16="http://schemas.microsoft.com/office/drawing/2014/main" id="{00000000-0008-0000-1400-000019010000}"/>
                </a:ext>
              </a:extLst>
            </xdr:cNvPr>
            <xdr:cNvSpPr txBox="1"/>
          </xdr:nvSpPr>
          <xdr:spPr>
            <a:xfrm>
              <a:off x="83545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81" name="TextBox 280">
              <a:extLst>
                <a:ext uri="{FF2B5EF4-FFF2-40B4-BE49-F238E27FC236}">
                  <a16:creationId xmlns:a16="http://schemas.microsoft.com/office/drawing/2014/main" id="{FBB19E14-5E5B-416C-B1DC-9CD306D8DE53}"/>
                </a:ext>
              </a:extLst>
            </xdr:cNvPr>
            <xdr:cNvSpPr txBox="1"/>
          </xdr:nvSpPr>
          <xdr:spPr>
            <a:xfrm>
              <a:off x="83545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177466</xdr:colOff>
      <xdr:row>45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2" name="TextBox 281">
              <a:extLst>
                <a:ext uri="{FF2B5EF4-FFF2-40B4-BE49-F238E27FC236}">
                  <a16:creationId xmlns:a16="http://schemas.microsoft.com/office/drawing/2014/main" id="{00000000-0008-0000-1400-00001A010000}"/>
                </a:ext>
              </a:extLst>
            </xdr:cNvPr>
            <xdr:cNvSpPr txBox="1"/>
          </xdr:nvSpPr>
          <xdr:spPr>
            <a:xfrm>
              <a:off x="78706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282" name="TextBox 281">
              <a:extLst>
                <a:ext uri="{FF2B5EF4-FFF2-40B4-BE49-F238E27FC236}">
                  <a16:creationId xmlns:a16="http://schemas.microsoft.com/office/drawing/2014/main" id="{865AEFFF-6A2C-4EAD-8EE7-75D87413E844}"/>
                </a:ext>
              </a:extLst>
            </xdr:cNvPr>
            <xdr:cNvSpPr txBox="1"/>
          </xdr:nvSpPr>
          <xdr:spPr>
            <a:xfrm>
              <a:off x="78706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15</xdr:col>
      <xdr:colOff>401955</xdr:colOff>
      <xdr:row>46</xdr:row>
      <xdr:rowOff>22860</xdr:rowOff>
    </xdr:from>
    <xdr:ext cx="249850" cy="168634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1400-00001B010000}"/>
            </a:ext>
          </a:extLst>
        </xdr:cNvPr>
        <xdr:cNvSpPr txBox="1"/>
      </xdr:nvSpPr>
      <xdr:spPr>
        <a:xfrm>
          <a:off x="4295775" y="844296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10</xdr:col>
      <xdr:colOff>38431</xdr:colOff>
      <xdr:row>49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4" name="TextBox 283">
              <a:extLst>
                <a:ext uri="{FF2B5EF4-FFF2-40B4-BE49-F238E27FC236}">
                  <a16:creationId xmlns:a16="http://schemas.microsoft.com/office/drawing/2014/main" id="{00000000-0008-0000-1400-00001C010000}"/>
                </a:ext>
              </a:extLst>
            </xdr:cNvPr>
            <xdr:cNvSpPr txBox="1"/>
          </xdr:nvSpPr>
          <xdr:spPr>
            <a:xfrm>
              <a:off x="64803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84" name="TextBox 283">
              <a:extLst>
                <a:ext uri="{FF2B5EF4-FFF2-40B4-BE49-F238E27FC236}">
                  <a16:creationId xmlns:a16="http://schemas.microsoft.com/office/drawing/2014/main" id="{246C2F4F-F0D5-4217-8DA8-C1D1469C5DBA}"/>
                </a:ext>
              </a:extLst>
            </xdr:cNvPr>
            <xdr:cNvSpPr txBox="1"/>
          </xdr:nvSpPr>
          <xdr:spPr>
            <a:xfrm>
              <a:off x="64803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70237</xdr:colOff>
      <xdr:row>50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5" name="TextBox 284">
              <a:extLst>
                <a:ext uri="{FF2B5EF4-FFF2-40B4-BE49-F238E27FC236}">
                  <a16:creationId xmlns:a16="http://schemas.microsoft.com/office/drawing/2014/main" id="{00000000-0008-0000-1400-00001D010000}"/>
                </a:ext>
              </a:extLst>
            </xdr:cNvPr>
            <xdr:cNvSpPr txBox="1"/>
          </xdr:nvSpPr>
          <xdr:spPr>
            <a:xfrm>
              <a:off x="67983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85" name="TextBox 284">
              <a:extLst>
                <a:ext uri="{FF2B5EF4-FFF2-40B4-BE49-F238E27FC236}">
                  <a16:creationId xmlns:a16="http://schemas.microsoft.com/office/drawing/2014/main" id="{0674FB06-3673-4313-8A2A-7FDF0CB0E540}"/>
                </a:ext>
              </a:extLst>
            </xdr:cNvPr>
            <xdr:cNvSpPr txBox="1"/>
          </xdr:nvSpPr>
          <xdr:spPr>
            <a:xfrm>
              <a:off x="67983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12</xdr:col>
      <xdr:colOff>632460</xdr:colOff>
      <xdr:row>49</xdr:row>
      <xdr:rowOff>0</xdr:rowOff>
    </xdr:from>
    <xdr:ext cx="164043" cy="159026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0000000-0008-0000-1400-00001E010000}"/>
            </a:ext>
          </a:extLst>
        </xdr:cNvPr>
        <xdr:cNvSpPr txBox="1"/>
      </xdr:nvSpPr>
      <xdr:spPr>
        <a:xfrm>
          <a:off x="2674620" y="89687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12</xdr:col>
      <xdr:colOff>624840</xdr:colOff>
      <xdr:row>50</xdr:row>
      <xdr:rowOff>0</xdr:rowOff>
    </xdr:from>
    <xdr:ext cx="164043" cy="159026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0000000-0008-0000-1400-00001F010000}"/>
            </a:ext>
          </a:extLst>
        </xdr:cNvPr>
        <xdr:cNvSpPr txBox="1"/>
      </xdr:nvSpPr>
      <xdr:spPr>
        <a:xfrm>
          <a:off x="2674620" y="915162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472440</xdr:colOff>
      <xdr:row>51</xdr:row>
      <xdr:rowOff>17780</xdr:rowOff>
    </xdr:from>
    <xdr:ext cx="2823210" cy="280670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0000000-0008-0000-1400-000020010000}"/>
            </a:ext>
          </a:extLst>
        </xdr:cNvPr>
        <xdr:cNvSpPr txBox="1"/>
      </xdr:nvSpPr>
      <xdr:spPr>
        <a:xfrm>
          <a:off x="1082040" y="935228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</xdr:col>
      <xdr:colOff>0</xdr:colOff>
      <xdr:row>68</xdr:row>
      <xdr:rowOff>0</xdr:rowOff>
    </xdr:from>
    <xdr:ext cx="1152939" cy="19343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1400-000021010000}"/>
            </a:ext>
          </a:extLst>
        </xdr:cNvPr>
        <xdr:cNvSpPr txBox="1"/>
      </xdr:nvSpPr>
      <xdr:spPr>
        <a:xfrm>
          <a:off x="609600" y="22021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</xdr:col>
      <xdr:colOff>47991</xdr:colOff>
      <xdr:row>67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0" name="TextBox 289">
              <a:extLst>
                <a:ext uri="{FF2B5EF4-FFF2-40B4-BE49-F238E27FC236}">
                  <a16:creationId xmlns:a16="http://schemas.microsoft.com/office/drawing/2014/main" id="{00000000-0008-0000-1400-000022010000}"/>
                </a:ext>
              </a:extLst>
            </xdr:cNvPr>
            <xdr:cNvSpPr txBox="1"/>
          </xdr:nvSpPr>
          <xdr:spPr>
            <a:xfrm>
              <a:off x="65759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290" name="TextBox 289">
              <a:extLst>
                <a:ext uri="{FF2B5EF4-FFF2-40B4-BE49-F238E27FC236}">
                  <a16:creationId xmlns:a16="http://schemas.microsoft.com/office/drawing/2014/main" id="{D2D20017-43ED-4331-BC1C-C2F8F1A80226}"/>
                </a:ext>
              </a:extLst>
            </xdr:cNvPr>
            <xdr:cNvSpPr txBox="1"/>
          </xdr:nvSpPr>
          <xdr:spPr>
            <a:xfrm>
              <a:off x="65759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</xdr:col>
      <xdr:colOff>94373</xdr:colOff>
      <xdr:row>70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1" name="TextBox 290">
              <a:extLst>
                <a:ext uri="{FF2B5EF4-FFF2-40B4-BE49-F238E27FC236}">
                  <a16:creationId xmlns:a16="http://schemas.microsoft.com/office/drawing/2014/main" id="{00000000-0008-0000-1400-000023010000}"/>
                </a:ext>
              </a:extLst>
            </xdr:cNvPr>
            <xdr:cNvSpPr txBox="1"/>
          </xdr:nvSpPr>
          <xdr:spPr>
            <a:xfrm>
              <a:off x="70397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291" name="TextBox 290">
              <a:extLst>
                <a:ext uri="{FF2B5EF4-FFF2-40B4-BE49-F238E27FC236}">
                  <a16:creationId xmlns:a16="http://schemas.microsoft.com/office/drawing/2014/main" id="{C42BE7D5-8B86-4352-9092-919B2E558020}"/>
                </a:ext>
              </a:extLst>
            </xdr:cNvPr>
            <xdr:cNvSpPr txBox="1"/>
          </xdr:nvSpPr>
          <xdr:spPr>
            <a:xfrm>
              <a:off x="70397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4</xdr:col>
      <xdr:colOff>620486</xdr:colOff>
      <xdr:row>70</xdr:row>
      <xdr:rowOff>12258</xdr:rowOff>
    </xdr:from>
    <xdr:ext cx="164043" cy="159026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1400-000024010000}"/>
            </a:ext>
          </a:extLst>
        </xdr:cNvPr>
        <xdr:cNvSpPr txBox="1"/>
      </xdr:nvSpPr>
      <xdr:spPr>
        <a:xfrm>
          <a:off x="3287486" y="258019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</xdr:col>
      <xdr:colOff>26504</xdr:colOff>
      <xdr:row>75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3" name="TextBox 292">
              <a:extLst>
                <a:ext uri="{FF2B5EF4-FFF2-40B4-BE49-F238E27FC236}">
                  <a16:creationId xmlns:a16="http://schemas.microsoft.com/office/drawing/2014/main" id="{00000000-0008-0000-1400-000025010000}"/>
                </a:ext>
              </a:extLst>
            </xdr:cNvPr>
            <xdr:cNvSpPr txBox="1"/>
          </xdr:nvSpPr>
          <xdr:spPr>
            <a:xfrm>
              <a:off x="63610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293" name="TextBox 292">
              <a:extLst>
                <a:ext uri="{FF2B5EF4-FFF2-40B4-BE49-F238E27FC236}">
                  <a16:creationId xmlns:a16="http://schemas.microsoft.com/office/drawing/2014/main" id="{1E0645A7-22B5-4E06-AE2C-321ED0E7806E}"/>
                </a:ext>
              </a:extLst>
            </xdr:cNvPr>
            <xdr:cNvSpPr txBox="1"/>
          </xdr:nvSpPr>
          <xdr:spPr>
            <a:xfrm>
              <a:off x="63610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6</xdr:col>
      <xdr:colOff>335281</xdr:colOff>
      <xdr:row>79</xdr:row>
      <xdr:rowOff>14246</xdr:rowOff>
    </xdr:from>
    <xdr:ext cx="249850" cy="168634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00000000-0008-0000-1400-000026010000}"/>
            </a:ext>
          </a:extLst>
        </xdr:cNvPr>
        <xdr:cNvSpPr txBox="1"/>
      </xdr:nvSpPr>
      <xdr:spPr>
        <a:xfrm>
          <a:off x="4229101" y="422810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119531</xdr:colOff>
      <xdr:row>75</xdr:row>
      <xdr:rowOff>79417</xdr:rowOff>
    </xdr:from>
    <xdr:ext cx="164043" cy="159026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00000000-0008-0000-1400-000027010000}"/>
            </a:ext>
          </a:extLst>
        </xdr:cNvPr>
        <xdr:cNvSpPr txBox="1"/>
      </xdr:nvSpPr>
      <xdr:spPr>
        <a:xfrm>
          <a:off x="2794151" y="356175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77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6" name="TextBox 295">
              <a:extLst>
                <a:ext uri="{FF2B5EF4-FFF2-40B4-BE49-F238E27FC236}">
                  <a16:creationId xmlns:a16="http://schemas.microsoft.com/office/drawing/2014/main" id="{00000000-0008-0000-1400-000028010000}"/>
                </a:ext>
              </a:extLst>
            </xdr:cNvPr>
            <xdr:cNvSpPr txBox="1"/>
          </xdr:nvSpPr>
          <xdr:spPr>
            <a:xfrm>
              <a:off x="70899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296" name="TextBox 295">
              <a:extLst>
                <a:ext uri="{FF2B5EF4-FFF2-40B4-BE49-F238E27FC236}">
                  <a16:creationId xmlns:a16="http://schemas.microsoft.com/office/drawing/2014/main" id="{021D00AA-079C-404E-8155-0B01E939732C}"/>
                </a:ext>
              </a:extLst>
            </xdr:cNvPr>
            <xdr:cNvSpPr txBox="1"/>
          </xdr:nvSpPr>
          <xdr:spPr>
            <a:xfrm>
              <a:off x="70899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</xdr:col>
      <xdr:colOff>99392</xdr:colOff>
      <xdr:row>79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7" name="TextBox 296">
              <a:extLst>
                <a:ext uri="{FF2B5EF4-FFF2-40B4-BE49-F238E27FC236}">
                  <a16:creationId xmlns:a16="http://schemas.microsoft.com/office/drawing/2014/main" id="{00000000-0008-0000-1400-000029010000}"/>
                </a:ext>
              </a:extLst>
            </xdr:cNvPr>
            <xdr:cNvSpPr txBox="1"/>
          </xdr:nvSpPr>
          <xdr:spPr>
            <a:xfrm>
              <a:off x="70899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297" name="TextBox 296">
              <a:extLst>
                <a:ext uri="{FF2B5EF4-FFF2-40B4-BE49-F238E27FC236}">
                  <a16:creationId xmlns:a16="http://schemas.microsoft.com/office/drawing/2014/main" id="{DC53B8D6-92AC-4E4E-A3EC-5F9F3B64E4CC}"/>
                </a:ext>
              </a:extLst>
            </xdr:cNvPr>
            <xdr:cNvSpPr txBox="1"/>
          </xdr:nvSpPr>
          <xdr:spPr>
            <a:xfrm>
              <a:off x="70899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81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8" name="TextBox 297">
              <a:extLst>
                <a:ext uri="{FF2B5EF4-FFF2-40B4-BE49-F238E27FC236}">
                  <a16:creationId xmlns:a16="http://schemas.microsoft.com/office/drawing/2014/main" id="{00000000-0008-0000-1400-00002A010000}"/>
                </a:ext>
              </a:extLst>
            </xdr:cNvPr>
            <xdr:cNvSpPr txBox="1"/>
          </xdr:nvSpPr>
          <xdr:spPr>
            <a:xfrm>
              <a:off x="72224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298" name="TextBox 297">
              <a:extLst>
                <a:ext uri="{FF2B5EF4-FFF2-40B4-BE49-F238E27FC236}">
                  <a16:creationId xmlns:a16="http://schemas.microsoft.com/office/drawing/2014/main" id="{2CE55D41-8655-40B4-8055-FF6D5C1575D2}"/>
                </a:ext>
              </a:extLst>
            </xdr:cNvPr>
            <xdr:cNvSpPr txBox="1"/>
          </xdr:nvSpPr>
          <xdr:spPr>
            <a:xfrm>
              <a:off x="72224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2</xdr:col>
      <xdr:colOff>17584</xdr:colOff>
      <xdr:row>74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9" name="TextBox 298">
              <a:extLst>
                <a:ext uri="{FF2B5EF4-FFF2-40B4-BE49-F238E27FC236}">
                  <a16:creationId xmlns:a16="http://schemas.microsoft.com/office/drawing/2014/main" id="{00000000-0008-0000-1400-00002B010000}"/>
                </a:ext>
              </a:extLst>
            </xdr:cNvPr>
            <xdr:cNvSpPr txBox="1"/>
          </xdr:nvSpPr>
          <xdr:spPr>
            <a:xfrm>
              <a:off x="147300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299" name="TextBox 298">
              <a:extLst>
                <a:ext uri="{FF2B5EF4-FFF2-40B4-BE49-F238E27FC236}">
                  <a16:creationId xmlns:a16="http://schemas.microsoft.com/office/drawing/2014/main" id="{EEDABBD3-0E8A-4913-B940-9ED57115B525}"/>
                </a:ext>
              </a:extLst>
            </xdr:cNvPr>
            <xdr:cNvSpPr txBox="1"/>
          </xdr:nvSpPr>
          <xdr:spPr>
            <a:xfrm>
              <a:off x="147300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</xdr:col>
      <xdr:colOff>17585</xdr:colOff>
      <xdr:row>77</xdr:row>
      <xdr:rowOff>70339</xdr:rowOff>
    </xdr:from>
    <xdr:ext cx="164043" cy="159026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1400-00002C010000}"/>
            </a:ext>
          </a:extLst>
        </xdr:cNvPr>
        <xdr:cNvSpPr txBox="1"/>
      </xdr:nvSpPr>
      <xdr:spPr>
        <a:xfrm>
          <a:off x="627185" y="39184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79</xdr:row>
      <xdr:rowOff>99646</xdr:rowOff>
    </xdr:from>
    <xdr:ext cx="164043" cy="159026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1400-00002D010000}"/>
            </a:ext>
          </a:extLst>
        </xdr:cNvPr>
        <xdr:cNvSpPr txBox="1"/>
      </xdr:nvSpPr>
      <xdr:spPr>
        <a:xfrm>
          <a:off x="638908" y="43135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81</xdr:row>
      <xdr:rowOff>128953</xdr:rowOff>
    </xdr:from>
    <xdr:ext cx="164043" cy="159026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00000000-0008-0000-1400-00002E010000}"/>
            </a:ext>
          </a:extLst>
        </xdr:cNvPr>
        <xdr:cNvSpPr txBox="1"/>
      </xdr:nvSpPr>
      <xdr:spPr>
        <a:xfrm>
          <a:off x="644769" y="47085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45720</xdr:colOff>
      <xdr:row>85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3" name="TextBox 302">
              <a:extLst>
                <a:ext uri="{FF2B5EF4-FFF2-40B4-BE49-F238E27FC236}">
                  <a16:creationId xmlns:a16="http://schemas.microsoft.com/office/drawing/2014/main" id="{00000000-0008-0000-1400-00002F010000}"/>
                </a:ext>
              </a:extLst>
            </xdr:cNvPr>
            <xdr:cNvSpPr txBox="1"/>
          </xdr:nvSpPr>
          <xdr:spPr>
            <a:xfrm>
              <a:off x="65532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303" name="TextBox 302">
              <a:extLst>
                <a:ext uri="{FF2B5EF4-FFF2-40B4-BE49-F238E27FC236}">
                  <a16:creationId xmlns:a16="http://schemas.microsoft.com/office/drawing/2014/main" id="{B961E972-430F-4BA3-865C-5A35AC7DA73A}"/>
                </a:ext>
              </a:extLst>
            </xdr:cNvPr>
            <xdr:cNvSpPr txBox="1"/>
          </xdr:nvSpPr>
          <xdr:spPr>
            <a:xfrm>
              <a:off x="65532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</xdr:col>
      <xdr:colOff>45721</xdr:colOff>
      <xdr:row>86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4" name="TextBox 303">
              <a:extLst>
                <a:ext uri="{FF2B5EF4-FFF2-40B4-BE49-F238E27FC236}">
                  <a16:creationId xmlns:a16="http://schemas.microsoft.com/office/drawing/2014/main" id="{00000000-0008-0000-1400-000030010000}"/>
                </a:ext>
              </a:extLst>
            </xdr:cNvPr>
            <xdr:cNvSpPr txBox="1"/>
          </xdr:nvSpPr>
          <xdr:spPr>
            <a:xfrm>
              <a:off x="65532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304" name="TextBox 303">
              <a:extLst>
                <a:ext uri="{FF2B5EF4-FFF2-40B4-BE49-F238E27FC236}">
                  <a16:creationId xmlns:a16="http://schemas.microsoft.com/office/drawing/2014/main" id="{413943C9-D026-4C57-93D8-DF9AF4BD7D4A}"/>
                </a:ext>
              </a:extLst>
            </xdr:cNvPr>
            <xdr:cNvSpPr txBox="1"/>
          </xdr:nvSpPr>
          <xdr:spPr>
            <a:xfrm>
              <a:off x="65532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381000</xdr:colOff>
      <xdr:row>83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5" name="TextBox 304">
              <a:extLst>
                <a:ext uri="{FF2B5EF4-FFF2-40B4-BE49-F238E27FC236}">
                  <a16:creationId xmlns:a16="http://schemas.microsoft.com/office/drawing/2014/main" id="{00000000-0008-0000-1400-000031010000}"/>
                </a:ext>
              </a:extLst>
            </xdr:cNvPr>
            <xdr:cNvSpPr txBox="1"/>
          </xdr:nvSpPr>
          <xdr:spPr>
            <a:xfrm>
              <a:off x="99060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305" name="TextBox 304">
              <a:extLst>
                <a:ext uri="{FF2B5EF4-FFF2-40B4-BE49-F238E27FC236}">
                  <a16:creationId xmlns:a16="http://schemas.microsoft.com/office/drawing/2014/main" id="{90BA6D98-46A8-406B-9C37-3E15FADEE135}"/>
                </a:ext>
              </a:extLst>
            </xdr:cNvPr>
            <xdr:cNvSpPr txBox="1"/>
          </xdr:nvSpPr>
          <xdr:spPr>
            <a:xfrm>
              <a:off x="99060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5</xdr:col>
      <xdr:colOff>426896</xdr:colOff>
      <xdr:row>75</xdr:row>
      <xdr:rowOff>67381</xdr:rowOff>
    </xdr:from>
    <xdr:ext cx="145677" cy="156210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00000000-0008-0000-1400-000032010000}"/>
            </a:ext>
          </a:extLst>
        </xdr:cNvPr>
        <xdr:cNvSpPr txBox="1"/>
      </xdr:nvSpPr>
      <xdr:spPr>
        <a:xfrm>
          <a:off x="3711116" y="354972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88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7" name="TextBox 306">
              <a:extLst>
                <a:ext uri="{FF2B5EF4-FFF2-40B4-BE49-F238E27FC236}">
                  <a16:creationId xmlns:a16="http://schemas.microsoft.com/office/drawing/2014/main" id="{00000000-0008-0000-1400-000033010000}"/>
                </a:ext>
              </a:extLst>
            </xdr:cNvPr>
            <xdr:cNvSpPr txBox="1"/>
          </xdr:nvSpPr>
          <xdr:spPr>
            <a:xfrm>
              <a:off x="70899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07" name="TextBox 306">
              <a:extLst>
                <a:ext uri="{FF2B5EF4-FFF2-40B4-BE49-F238E27FC236}">
                  <a16:creationId xmlns:a16="http://schemas.microsoft.com/office/drawing/2014/main" id="{BF4FEEE3-BF4A-4E99-8D9D-7305C33DFA98}"/>
                </a:ext>
              </a:extLst>
            </xdr:cNvPr>
            <xdr:cNvSpPr txBox="1"/>
          </xdr:nvSpPr>
          <xdr:spPr>
            <a:xfrm>
              <a:off x="70899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127967</xdr:colOff>
      <xdr:row>90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8" name="TextBox 307">
              <a:extLst>
                <a:ext uri="{FF2B5EF4-FFF2-40B4-BE49-F238E27FC236}">
                  <a16:creationId xmlns:a16="http://schemas.microsoft.com/office/drawing/2014/main" id="{00000000-0008-0000-1400-000034010000}"/>
                </a:ext>
              </a:extLst>
            </xdr:cNvPr>
            <xdr:cNvSpPr txBox="1"/>
          </xdr:nvSpPr>
          <xdr:spPr>
            <a:xfrm>
              <a:off x="73756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08" name="TextBox 307">
              <a:extLst>
                <a:ext uri="{FF2B5EF4-FFF2-40B4-BE49-F238E27FC236}">
                  <a16:creationId xmlns:a16="http://schemas.microsoft.com/office/drawing/2014/main" id="{E5AF4BDF-2652-46E5-BEFF-EC4D205BCC1E}"/>
                </a:ext>
              </a:extLst>
            </xdr:cNvPr>
            <xdr:cNvSpPr txBox="1"/>
          </xdr:nvSpPr>
          <xdr:spPr>
            <a:xfrm>
              <a:off x="73756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94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9" name="TextBox 308">
              <a:extLst>
                <a:ext uri="{FF2B5EF4-FFF2-40B4-BE49-F238E27FC236}">
                  <a16:creationId xmlns:a16="http://schemas.microsoft.com/office/drawing/2014/main" id="{00000000-0008-0000-1400-000035010000}"/>
                </a:ext>
              </a:extLst>
            </xdr:cNvPr>
            <xdr:cNvSpPr txBox="1"/>
          </xdr:nvSpPr>
          <xdr:spPr>
            <a:xfrm>
              <a:off x="72224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09" name="TextBox 308">
              <a:extLst>
                <a:ext uri="{FF2B5EF4-FFF2-40B4-BE49-F238E27FC236}">
                  <a16:creationId xmlns:a16="http://schemas.microsoft.com/office/drawing/2014/main" id="{BFBA4517-A194-4BD5-8173-6C3955EC8837}"/>
                </a:ext>
              </a:extLst>
            </xdr:cNvPr>
            <xdr:cNvSpPr txBox="1"/>
          </xdr:nvSpPr>
          <xdr:spPr>
            <a:xfrm>
              <a:off x="72224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17585</xdr:colOff>
      <xdr:row>88</xdr:row>
      <xdr:rowOff>70339</xdr:rowOff>
    </xdr:from>
    <xdr:ext cx="164043" cy="159026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00000000-0008-0000-1400-000036010000}"/>
            </a:ext>
          </a:extLst>
        </xdr:cNvPr>
        <xdr:cNvSpPr txBox="1"/>
      </xdr:nvSpPr>
      <xdr:spPr>
        <a:xfrm>
          <a:off x="627185" y="59301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90</xdr:row>
      <xdr:rowOff>99646</xdr:rowOff>
    </xdr:from>
    <xdr:ext cx="164043" cy="159026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0000000-0008-0000-1400-000037010000}"/>
            </a:ext>
          </a:extLst>
        </xdr:cNvPr>
        <xdr:cNvSpPr txBox="1"/>
      </xdr:nvSpPr>
      <xdr:spPr>
        <a:xfrm>
          <a:off x="638908" y="6325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94</xdr:row>
      <xdr:rowOff>128953</xdr:rowOff>
    </xdr:from>
    <xdr:ext cx="164043" cy="159026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1400-000038010000}"/>
            </a:ext>
          </a:extLst>
        </xdr:cNvPr>
        <xdr:cNvSpPr txBox="1"/>
      </xdr:nvSpPr>
      <xdr:spPr>
        <a:xfrm>
          <a:off x="644769" y="7086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92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3" name="TextBox 312">
              <a:extLst>
                <a:ext uri="{FF2B5EF4-FFF2-40B4-BE49-F238E27FC236}">
                  <a16:creationId xmlns:a16="http://schemas.microsoft.com/office/drawing/2014/main" id="{00000000-0008-0000-1400-000039010000}"/>
                </a:ext>
              </a:extLst>
            </xdr:cNvPr>
            <xdr:cNvSpPr txBox="1"/>
          </xdr:nvSpPr>
          <xdr:spPr>
            <a:xfrm>
              <a:off x="70899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13" name="TextBox 312">
              <a:extLst>
                <a:ext uri="{FF2B5EF4-FFF2-40B4-BE49-F238E27FC236}">
                  <a16:creationId xmlns:a16="http://schemas.microsoft.com/office/drawing/2014/main" id="{2C96F57A-FCF9-46A1-BB58-1BB9FD2785AC}"/>
                </a:ext>
              </a:extLst>
            </xdr:cNvPr>
            <xdr:cNvSpPr txBox="1"/>
          </xdr:nvSpPr>
          <xdr:spPr>
            <a:xfrm>
              <a:off x="70899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29308</xdr:colOff>
      <xdr:row>92</xdr:row>
      <xdr:rowOff>99646</xdr:rowOff>
    </xdr:from>
    <xdr:ext cx="164043" cy="159026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1400-00003A010000}"/>
            </a:ext>
          </a:extLst>
        </xdr:cNvPr>
        <xdr:cNvSpPr txBox="1"/>
      </xdr:nvSpPr>
      <xdr:spPr>
        <a:xfrm>
          <a:off x="638908" y="669094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0</xdr:col>
      <xdr:colOff>173717</xdr:colOff>
      <xdr:row>98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5" name="TextBox 314">
              <a:extLst>
                <a:ext uri="{FF2B5EF4-FFF2-40B4-BE49-F238E27FC236}">
                  <a16:creationId xmlns:a16="http://schemas.microsoft.com/office/drawing/2014/main" id="{00000000-0008-0000-1400-00003B010000}"/>
                </a:ext>
              </a:extLst>
            </xdr:cNvPr>
            <xdr:cNvSpPr txBox="1"/>
          </xdr:nvSpPr>
          <xdr:spPr>
            <a:xfrm>
              <a:off x="17371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315" name="TextBox 314">
              <a:extLst>
                <a:ext uri="{FF2B5EF4-FFF2-40B4-BE49-F238E27FC236}">
                  <a16:creationId xmlns:a16="http://schemas.microsoft.com/office/drawing/2014/main" id="{922E6DBD-EF76-4BD9-B20A-4AA61244ED21}"/>
                </a:ext>
              </a:extLst>
            </xdr:cNvPr>
            <xdr:cNvSpPr txBox="1"/>
          </xdr:nvSpPr>
          <xdr:spPr>
            <a:xfrm>
              <a:off x="17371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</xdr:col>
      <xdr:colOff>62617</xdr:colOff>
      <xdr:row>99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6" name="TextBox 315">
              <a:extLst>
                <a:ext uri="{FF2B5EF4-FFF2-40B4-BE49-F238E27FC236}">
                  <a16:creationId xmlns:a16="http://schemas.microsoft.com/office/drawing/2014/main" id="{00000000-0008-0000-1400-00003C010000}"/>
                </a:ext>
              </a:extLst>
            </xdr:cNvPr>
            <xdr:cNvSpPr txBox="1"/>
          </xdr:nvSpPr>
          <xdr:spPr>
            <a:xfrm>
              <a:off x="67221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316" name="TextBox 315">
              <a:extLst>
                <a:ext uri="{FF2B5EF4-FFF2-40B4-BE49-F238E27FC236}">
                  <a16:creationId xmlns:a16="http://schemas.microsoft.com/office/drawing/2014/main" id="{6C9E2AF2-1FC1-4AA9-BBD4-56CFCE58D028}"/>
                </a:ext>
              </a:extLst>
            </xdr:cNvPr>
            <xdr:cNvSpPr txBox="1"/>
          </xdr:nvSpPr>
          <xdr:spPr>
            <a:xfrm>
              <a:off x="67221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406139</xdr:colOff>
      <xdr:row>96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7" name="TextBox 316">
              <a:extLst>
                <a:ext uri="{FF2B5EF4-FFF2-40B4-BE49-F238E27FC236}">
                  <a16:creationId xmlns:a16="http://schemas.microsoft.com/office/drawing/2014/main" id="{00000000-0008-0000-1400-00003D010000}"/>
                </a:ext>
              </a:extLst>
            </xdr:cNvPr>
            <xdr:cNvSpPr txBox="1"/>
          </xdr:nvSpPr>
          <xdr:spPr>
            <a:xfrm>
              <a:off x="101573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317" name="TextBox 316">
              <a:extLst>
                <a:ext uri="{FF2B5EF4-FFF2-40B4-BE49-F238E27FC236}">
                  <a16:creationId xmlns:a16="http://schemas.microsoft.com/office/drawing/2014/main" id="{FF0B9236-B668-41B0-A78B-0C24AF1826FB}"/>
                </a:ext>
              </a:extLst>
            </xdr:cNvPr>
            <xdr:cNvSpPr txBox="1"/>
          </xdr:nvSpPr>
          <xdr:spPr>
            <a:xfrm>
              <a:off x="101573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5</xdr:col>
      <xdr:colOff>409232</xdr:colOff>
      <xdr:row>97</xdr:row>
      <xdr:rowOff>167484</xdr:rowOff>
    </xdr:from>
    <xdr:ext cx="164043" cy="159026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0000000-0008-0000-1400-00003E010000}"/>
            </a:ext>
          </a:extLst>
        </xdr:cNvPr>
        <xdr:cNvSpPr txBox="1"/>
      </xdr:nvSpPr>
      <xdr:spPr>
        <a:xfrm>
          <a:off x="3693452" y="767318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5</xdr:col>
      <xdr:colOff>409419</xdr:colOff>
      <xdr:row>99</xdr:row>
      <xdr:rowOff>7058</xdr:rowOff>
    </xdr:from>
    <xdr:ext cx="164043" cy="159026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0000000-0008-0000-1400-00003F010000}"/>
            </a:ext>
          </a:extLst>
        </xdr:cNvPr>
        <xdr:cNvSpPr txBox="1"/>
      </xdr:nvSpPr>
      <xdr:spPr>
        <a:xfrm>
          <a:off x="3693639" y="78785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105087</xdr:colOff>
      <xdr:row>98</xdr:row>
      <xdr:rowOff>3529</xdr:rowOff>
    </xdr:from>
    <xdr:ext cx="164043" cy="159026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1400-000040010000}"/>
            </a:ext>
          </a:extLst>
        </xdr:cNvPr>
        <xdr:cNvSpPr txBox="1"/>
      </xdr:nvSpPr>
      <xdr:spPr>
        <a:xfrm>
          <a:off x="2779707" y="76921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105274</xdr:colOff>
      <xdr:row>99</xdr:row>
      <xdr:rowOff>7620</xdr:rowOff>
    </xdr:from>
    <xdr:ext cx="164043" cy="159026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1400-000041010000}"/>
            </a:ext>
          </a:extLst>
        </xdr:cNvPr>
        <xdr:cNvSpPr txBox="1"/>
      </xdr:nvSpPr>
      <xdr:spPr>
        <a:xfrm>
          <a:off x="2779894" y="787908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225851</xdr:colOff>
      <xdr:row>102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2" name="TextBox 321">
              <a:extLst>
                <a:ext uri="{FF2B5EF4-FFF2-40B4-BE49-F238E27FC236}">
                  <a16:creationId xmlns:a16="http://schemas.microsoft.com/office/drawing/2014/main" id="{00000000-0008-0000-1400-000042010000}"/>
                </a:ext>
              </a:extLst>
            </xdr:cNvPr>
            <xdr:cNvSpPr txBox="1"/>
          </xdr:nvSpPr>
          <xdr:spPr>
            <a:xfrm>
              <a:off x="83545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22" name="TextBox 321">
              <a:extLst>
                <a:ext uri="{FF2B5EF4-FFF2-40B4-BE49-F238E27FC236}">
                  <a16:creationId xmlns:a16="http://schemas.microsoft.com/office/drawing/2014/main" id="{E5E66DE7-616E-4F41-8CAC-D397D326C23A}"/>
                </a:ext>
              </a:extLst>
            </xdr:cNvPr>
            <xdr:cNvSpPr txBox="1"/>
          </xdr:nvSpPr>
          <xdr:spPr>
            <a:xfrm>
              <a:off x="83545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177466</xdr:colOff>
      <xdr:row>101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3" name="TextBox 322">
              <a:extLst>
                <a:ext uri="{FF2B5EF4-FFF2-40B4-BE49-F238E27FC236}">
                  <a16:creationId xmlns:a16="http://schemas.microsoft.com/office/drawing/2014/main" id="{00000000-0008-0000-1400-000043010000}"/>
                </a:ext>
              </a:extLst>
            </xdr:cNvPr>
            <xdr:cNvSpPr txBox="1"/>
          </xdr:nvSpPr>
          <xdr:spPr>
            <a:xfrm>
              <a:off x="78706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23" name="TextBox 322">
              <a:extLst>
                <a:ext uri="{FF2B5EF4-FFF2-40B4-BE49-F238E27FC236}">
                  <a16:creationId xmlns:a16="http://schemas.microsoft.com/office/drawing/2014/main" id="{EA04BEA2-7290-4A5D-983E-9A628ED61BAC}"/>
                </a:ext>
              </a:extLst>
            </xdr:cNvPr>
            <xdr:cNvSpPr txBox="1"/>
          </xdr:nvSpPr>
          <xdr:spPr>
            <a:xfrm>
              <a:off x="78706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6</xdr:col>
      <xdr:colOff>401955</xdr:colOff>
      <xdr:row>102</xdr:row>
      <xdr:rowOff>22860</xdr:rowOff>
    </xdr:from>
    <xdr:ext cx="249850" cy="168634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1400-000044010000}"/>
            </a:ext>
          </a:extLst>
        </xdr:cNvPr>
        <xdr:cNvSpPr txBox="1"/>
      </xdr:nvSpPr>
      <xdr:spPr>
        <a:xfrm>
          <a:off x="4295775" y="844296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38431</xdr:colOff>
      <xdr:row>105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5" name="TextBox 324">
              <a:extLst>
                <a:ext uri="{FF2B5EF4-FFF2-40B4-BE49-F238E27FC236}">
                  <a16:creationId xmlns:a16="http://schemas.microsoft.com/office/drawing/2014/main" id="{00000000-0008-0000-1400-000045010000}"/>
                </a:ext>
              </a:extLst>
            </xdr:cNvPr>
            <xdr:cNvSpPr txBox="1"/>
          </xdr:nvSpPr>
          <xdr:spPr>
            <a:xfrm>
              <a:off x="64803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25" name="TextBox 324">
              <a:extLst>
                <a:ext uri="{FF2B5EF4-FFF2-40B4-BE49-F238E27FC236}">
                  <a16:creationId xmlns:a16="http://schemas.microsoft.com/office/drawing/2014/main" id="{7D4A39D5-C2BE-45B4-86DC-405488251193}"/>
                </a:ext>
              </a:extLst>
            </xdr:cNvPr>
            <xdr:cNvSpPr txBox="1"/>
          </xdr:nvSpPr>
          <xdr:spPr>
            <a:xfrm>
              <a:off x="64803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70237</xdr:colOff>
      <xdr:row>106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6" name="TextBox 325">
              <a:extLst>
                <a:ext uri="{FF2B5EF4-FFF2-40B4-BE49-F238E27FC236}">
                  <a16:creationId xmlns:a16="http://schemas.microsoft.com/office/drawing/2014/main" id="{00000000-0008-0000-1400-000046010000}"/>
                </a:ext>
              </a:extLst>
            </xdr:cNvPr>
            <xdr:cNvSpPr txBox="1"/>
          </xdr:nvSpPr>
          <xdr:spPr>
            <a:xfrm>
              <a:off x="67983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326" name="TextBox 325">
              <a:extLst>
                <a:ext uri="{FF2B5EF4-FFF2-40B4-BE49-F238E27FC236}">
                  <a16:creationId xmlns:a16="http://schemas.microsoft.com/office/drawing/2014/main" id="{4BD4803E-998D-479D-9878-F67336822173}"/>
                </a:ext>
              </a:extLst>
            </xdr:cNvPr>
            <xdr:cNvSpPr txBox="1"/>
          </xdr:nvSpPr>
          <xdr:spPr>
            <a:xfrm>
              <a:off x="67983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632460</xdr:colOff>
      <xdr:row>105</xdr:row>
      <xdr:rowOff>0</xdr:rowOff>
    </xdr:from>
    <xdr:ext cx="164043" cy="159026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1400-000047010000}"/>
            </a:ext>
          </a:extLst>
        </xdr:cNvPr>
        <xdr:cNvSpPr txBox="1"/>
      </xdr:nvSpPr>
      <xdr:spPr>
        <a:xfrm>
          <a:off x="2674620" y="89687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</xdr:col>
      <xdr:colOff>624840</xdr:colOff>
      <xdr:row>106</xdr:row>
      <xdr:rowOff>0</xdr:rowOff>
    </xdr:from>
    <xdr:ext cx="164043" cy="159026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00000000-0008-0000-1400-000048010000}"/>
            </a:ext>
          </a:extLst>
        </xdr:cNvPr>
        <xdr:cNvSpPr txBox="1"/>
      </xdr:nvSpPr>
      <xdr:spPr>
        <a:xfrm>
          <a:off x="2674620" y="915162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472440</xdr:colOff>
      <xdr:row>107</xdr:row>
      <xdr:rowOff>17780</xdr:rowOff>
    </xdr:from>
    <xdr:ext cx="2823210" cy="280670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1400-000049010000}"/>
            </a:ext>
          </a:extLst>
        </xdr:cNvPr>
        <xdr:cNvSpPr txBox="1"/>
      </xdr:nvSpPr>
      <xdr:spPr>
        <a:xfrm>
          <a:off x="1082040" y="935228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10</xdr:col>
      <xdr:colOff>0</xdr:colOff>
      <xdr:row>68</xdr:row>
      <xdr:rowOff>0</xdr:rowOff>
    </xdr:from>
    <xdr:ext cx="1152939" cy="19343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1400-00004A010000}"/>
            </a:ext>
          </a:extLst>
        </xdr:cNvPr>
        <xdr:cNvSpPr txBox="1"/>
      </xdr:nvSpPr>
      <xdr:spPr>
        <a:xfrm>
          <a:off x="6332220" y="22021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10</xdr:col>
      <xdr:colOff>47991</xdr:colOff>
      <xdr:row>67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1" name="TextBox 330">
              <a:extLst>
                <a:ext uri="{FF2B5EF4-FFF2-40B4-BE49-F238E27FC236}">
                  <a16:creationId xmlns:a16="http://schemas.microsoft.com/office/drawing/2014/main" id="{00000000-0008-0000-1400-00004B010000}"/>
                </a:ext>
              </a:extLst>
            </xdr:cNvPr>
            <xdr:cNvSpPr txBox="1"/>
          </xdr:nvSpPr>
          <xdr:spPr>
            <a:xfrm>
              <a:off x="638021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331" name="TextBox 330">
              <a:extLst>
                <a:ext uri="{FF2B5EF4-FFF2-40B4-BE49-F238E27FC236}">
                  <a16:creationId xmlns:a16="http://schemas.microsoft.com/office/drawing/2014/main" id="{F4F40637-0657-40A0-80A4-03A051DA1B46}"/>
                </a:ext>
              </a:extLst>
            </xdr:cNvPr>
            <xdr:cNvSpPr txBox="1"/>
          </xdr:nvSpPr>
          <xdr:spPr>
            <a:xfrm>
              <a:off x="638021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10</xdr:col>
      <xdr:colOff>94373</xdr:colOff>
      <xdr:row>70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2" name="TextBox 331">
              <a:extLst>
                <a:ext uri="{FF2B5EF4-FFF2-40B4-BE49-F238E27FC236}">
                  <a16:creationId xmlns:a16="http://schemas.microsoft.com/office/drawing/2014/main" id="{00000000-0008-0000-1400-00004C010000}"/>
                </a:ext>
              </a:extLst>
            </xdr:cNvPr>
            <xdr:cNvSpPr txBox="1"/>
          </xdr:nvSpPr>
          <xdr:spPr>
            <a:xfrm>
              <a:off x="642659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332" name="TextBox 331">
              <a:extLst>
                <a:ext uri="{FF2B5EF4-FFF2-40B4-BE49-F238E27FC236}">
                  <a16:creationId xmlns:a16="http://schemas.microsoft.com/office/drawing/2014/main" id="{596E0A17-8122-4105-93D4-2878B59C9F00}"/>
                </a:ext>
              </a:extLst>
            </xdr:cNvPr>
            <xdr:cNvSpPr txBox="1"/>
          </xdr:nvSpPr>
          <xdr:spPr>
            <a:xfrm>
              <a:off x="642659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13</xdr:col>
      <xdr:colOff>620486</xdr:colOff>
      <xdr:row>70</xdr:row>
      <xdr:rowOff>12258</xdr:rowOff>
    </xdr:from>
    <xdr:ext cx="164043" cy="159026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1400-00004D010000}"/>
            </a:ext>
          </a:extLst>
        </xdr:cNvPr>
        <xdr:cNvSpPr txBox="1"/>
      </xdr:nvSpPr>
      <xdr:spPr>
        <a:xfrm>
          <a:off x="9010106" y="258019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10</xdr:col>
      <xdr:colOff>26504</xdr:colOff>
      <xdr:row>75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4" name="TextBox 333">
              <a:extLst>
                <a:ext uri="{FF2B5EF4-FFF2-40B4-BE49-F238E27FC236}">
                  <a16:creationId xmlns:a16="http://schemas.microsoft.com/office/drawing/2014/main" id="{00000000-0008-0000-1400-00004E010000}"/>
                </a:ext>
              </a:extLst>
            </xdr:cNvPr>
            <xdr:cNvSpPr txBox="1"/>
          </xdr:nvSpPr>
          <xdr:spPr>
            <a:xfrm>
              <a:off x="635872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334" name="TextBox 333">
              <a:extLst>
                <a:ext uri="{FF2B5EF4-FFF2-40B4-BE49-F238E27FC236}">
                  <a16:creationId xmlns:a16="http://schemas.microsoft.com/office/drawing/2014/main" id="{7DC3AA21-C12B-4A4F-A64E-6DFEDE9F0ECA}"/>
                </a:ext>
              </a:extLst>
            </xdr:cNvPr>
            <xdr:cNvSpPr txBox="1"/>
          </xdr:nvSpPr>
          <xdr:spPr>
            <a:xfrm>
              <a:off x="635872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15</xdr:col>
      <xdr:colOff>335281</xdr:colOff>
      <xdr:row>79</xdr:row>
      <xdr:rowOff>14246</xdr:rowOff>
    </xdr:from>
    <xdr:ext cx="249850" cy="168634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00000000-0008-0000-1400-00004F010000}"/>
            </a:ext>
          </a:extLst>
        </xdr:cNvPr>
        <xdr:cNvSpPr txBox="1"/>
      </xdr:nvSpPr>
      <xdr:spPr>
        <a:xfrm>
          <a:off x="9951721" y="422810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13</xdr:col>
      <xdr:colOff>119531</xdr:colOff>
      <xdr:row>75</xdr:row>
      <xdr:rowOff>79417</xdr:rowOff>
    </xdr:from>
    <xdr:ext cx="164043" cy="159026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00000000-0008-0000-1400-000050010000}"/>
            </a:ext>
          </a:extLst>
        </xdr:cNvPr>
        <xdr:cNvSpPr txBox="1"/>
      </xdr:nvSpPr>
      <xdr:spPr>
        <a:xfrm>
          <a:off x="8516771" y="356175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77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7" name="TextBox 336">
              <a:extLst>
                <a:ext uri="{FF2B5EF4-FFF2-40B4-BE49-F238E27FC236}">
                  <a16:creationId xmlns:a16="http://schemas.microsoft.com/office/drawing/2014/main" id="{00000000-0008-0000-1400-000051010000}"/>
                </a:ext>
              </a:extLst>
            </xdr:cNvPr>
            <xdr:cNvSpPr txBox="1"/>
          </xdr:nvSpPr>
          <xdr:spPr>
            <a:xfrm>
              <a:off x="643161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337" name="TextBox 336">
              <a:extLst>
                <a:ext uri="{FF2B5EF4-FFF2-40B4-BE49-F238E27FC236}">
                  <a16:creationId xmlns:a16="http://schemas.microsoft.com/office/drawing/2014/main" id="{82460ABE-1C9E-4DCB-A3D8-41C8AF5A4EDD}"/>
                </a:ext>
              </a:extLst>
            </xdr:cNvPr>
            <xdr:cNvSpPr txBox="1"/>
          </xdr:nvSpPr>
          <xdr:spPr>
            <a:xfrm>
              <a:off x="643161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10</xdr:col>
      <xdr:colOff>99392</xdr:colOff>
      <xdr:row>79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8" name="TextBox 337">
              <a:extLst>
                <a:ext uri="{FF2B5EF4-FFF2-40B4-BE49-F238E27FC236}">
                  <a16:creationId xmlns:a16="http://schemas.microsoft.com/office/drawing/2014/main" id="{00000000-0008-0000-1400-000052010000}"/>
                </a:ext>
              </a:extLst>
            </xdr:cNvPr>
            <xdr:cNvSpPr txBox="1"/>
          </xdr:nvSpPr>
          <xdr:spPr>
            <a:xfrm>
              <a:off x="643161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338" name="TextBox 337">
              <a:extLst>
                <a:ext uri="{FF2B5EF4-FFF2-40B4-BE49-F238E27FC236}">
                  <a16:creationId xmlns:a16="http://schemas.microsoft.com/office/drawing/2014/main" id="{59C2B669-8E16-4734-BF36-44C38D677E6E}"/>
                </a:ext>
              </a:extLst>
            </xdr:cNvPr>
            <xdr:cNvSpPr txBox="1"/>
          </xdr:nvSpPr>
          <xdr:spPr>
            <a:xfrm>
              <a:off x="643161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81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9" name="TextBox 338">
              <a:extLst>
                <a:ext uri="{FF2B5EF4-FFF2-40B4-BE49-F238E27FC236}">
                  <a16:creationId xmlns:a16="http://schemas.microsoft.com/office/drawing/2014/main" id="{00000000-0008-0000-1400-000053010000}"/>
                </a:ext>
              </a:extLst>
            </xdr:cNvPr>
            <xdr:cNvSpPr txBox="1"/>
          </xdr:nvSpPr>
          <xdr:spPr>
            <a:xfrm>
              <a:off x="644486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339" name="TextBox 338">
              <a:extLst>
                <a:ext uri="{FF2B5EF4-FFF2-40B4-BE49-F238E27FC236}">
                  <a16:creationId xmlns:a16="http://schemas.microsoft.com/office/drawing/2014/main" id="{4A07C140-351B-4728-887F-5158B2B68D55}"/>
                </a:ext>
              </a:extLst>
            </xdr:cNvPr>
            <xdr:cNvSpPr txBox="1"/>
          </xdr:nvSpPr>
          <xdr:spPr>
            <a:xfrm>
              <a:off x="644486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11</xdr:col>
      <xdr:colOff>17584</xdr:colOff>
      <xdr:row>74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0" name="TextBox 339">
              <a:extLst>
                <a:ext uri="{FF2B5EF4-FFF2-40B4-BE49-F238E27FC236}">
                  <a16:creationId xmlns:a16="http://schemas.microsoft.com/office/drawing/2014/main" id="{00000000-0008-0000-1400-000054010000}"/>
                </a:ext>
              </a:extLst>
            </xdr:cNvPr>
            <xdr:cNvSpPr txBox="1"/>
          </xdr:nvSpPr>
          <xdr:spPr>
            <a:xfrm>
              <a:off x="719562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340" name="TextBox 339">
              <a:extLst>
                <a:ext uri="{FF2B5EF4-FFF2-40B4-BE49-F238E27FC236}">
                  <a16:creationId xmlns:a16="http://schemas.microsoft.com/office/drawing/2014/main" id="{93289DFF-26A8-4149-BF2F-6D6660939D44}"/>
                </a:ext>
              </a:extLst>
            </xdr:cNvPr>
            <xdr:cNvSpPr txBox="1"/>
          </xdr:nvSpPr>
          <xdr:spPr>
            <a:xfrm>
              <a:off x="719562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10</xdr:col>
      <xdr:colOff>17585</xdr:colOff>
      <xdr:row>77</xdr:row>
      <xdr:rowOff>70339</xdr:rowOff>
    </xdr:from>
    <xdr:ext cx="164043" cy="159026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1400-000055010000}"/>
            </a:ext>
          </a:extLst>
        </xdr:cNvPr>
        <xdr:cNvSpPr txBox="1"/>
      </xdr:nvSpPr>
      <xdr:spPr>
        <a:xfrm>
          <a:off x="6349805" y="39184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79</xdr:row>
      <xdr:rowOff>99646</xdr:rowOff>
    </xdr:from>
    <xdr:ext cx="164043" cy="159026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0000000-0008-0000-1400-000056010000}"/>
            </a:ext>
          </a:extLst>
        </xdr:cNvPr>
        <xdr:cNvSpPr txBox="1"/>
      </xdr:nvSpPr>
      <xdr:spPr>
        <a:xfrm>
          <a:off x="6361528" y="43135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81</xdr:row>
      <xdr:rowOff>128953</xdr:rowOff>
    </xdr:from>
    <xdr:ext cx="164043" cy="159026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1400-000057010000}"/>
            </a:ext>
          </a:extLst>
        </xdr:cNvPr>
        <xdr:cNvSpPr txBox="1"/>
      </xdr:nvSpPr>
      <xdr:spPr>
        <a:xfrm>
          <a:off x="6367389" y="47085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45720</xdr:colOff>
      <xdr:row>85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4" name="TextBox 343">
              <a:extLst>
                <a:ext uri="{FF2B5EF4-FFF2-40B4-BE49-F238E27FC236}">
                  <a16:creationId xmlns:a16="http://schemas.microsoft.com/office/drawing/2014/main" id="{00000000-0008-0000-1400-000058010000}"/>
                </a:ext>
              </a:extLst>
            </xdr:cNvPr>
            <xdr:cNvSpPr txBox="1"/>
          </xdr:nvSpPr>
          <xdr:spPr>
            <a:xfrm>
              <a:off x="637794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344" name="TextBox 343">
              <a:extLst>
                <a:ext uri="{FF2B5EF4-FFF2-40B4-BE49-F238E27FC236}">
                  <a16:creationId xmlns:a16="http://schemas.microsoft.com/office/drawing/2014/main" id="{4FA2616A-672C-4488-9905-BA51971D6F0A}"/>
                </a:ext>
              </a:extLst>
            </xdr:cNvPr>
            <xdr:cNvSpPr txBox="1"/>
          </xdr:nvSpPr>
          <xdr:spPr>
            <a:xfrm>
              <a:off x="637794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10</xdr:col>
      <xdr:colOff>45721</xdr:colOff>
      <xdr:row>86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5" name="TextBox 344">
              <a:extLst>
                <a:ext uri="{FF2B5EF4-FFF2-40B4-BE49-F238E27FC236}">
                  <a16:creationId xmlns:a16="http://schemas.microsoft.com/office/drawing/2014/main" id="{00000000-0008-0000-1400-000059010000}"/>
                </a:ext>
              </a:extLst>
            </xdr:cNvPr>
            <xdr:cNvSpPr txBox="1"/>
          </xdr:nvSpPr>
          <xdr:spPr>
            <a:xfrm>
              <a:off x="637794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345" name="TextBox 344">
              <a:extLst>
                <a:ext uri="{FF2B5EF4-FFF2-40B4-BE49-F238E27FC236}">
                  <a16:creationId xmlns:a16="http://schemas.microsoft.com/office/drawing/2014/main" id="{08C9DD6B-BD19-4159-8232-84732D811F4E}"/>
                </a:ext>
              </a:extLst>
            </xdr:cNvPr>
            <xdr:cNvSpPr txBox="1"/>
          </xdr:nvSpPr>
          <xdr:spPr>
            <a:xfrm>
              <a:off x="637794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10</xdr:col>
      <xdr:colOff>381000</xdr:colOff>
      <xdr:row>83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6" name="TextBox 345">
              <a:extLst>
                <a:ext uri="{FF2B5EF4-FFF2-40B4-BE49-F238E27FC236}">
                  <a16:creationId xmlns:a16="http://schemas.microsoft.com/office/drawing/2014/main" id="{00000000-0008-0000-1400-00005A010000}"/>
                </a:ext>
              </a:extLst>
            </xdr:cNvPr>
            <xdr:cNvSpPr txBox="1"/>
          </xdr:nvSpPr>
          <xdr:spPr>
            <a:xfrm>
              <a:off x="671322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346" name="TextBox 345">
              <a:extLst>
                <a:ext uri="{FF2B5EF4-FFF2-40B4-BE49-F238E27FC236}">
                  <a16:creationId xmlns:a16="http://schemas.microsoft.com/office/drawing/2014/main" id="{90FD5D8E-DB13-40A2-BB3D-1CE9DBF5FF51}"/>
                </a:ext>
              </a:extLst>
            </xdr:cNvPr>
            <xdr:cNvSpPr txBox="1"/>
          </xdr:nvSpPr>
          <xdr:spPr>
            <a:xfrm>
              <a:off x="671322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14</xdr:col>
      <xdr:colOff>426896</xdr:colOff>
      <xdr:row>75</xdr:row>
      <xdr:rowOff>67381</xdr:rowOff>
    </xdr:from>
    <xdr:ext cx="145677" cy="156210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1400-00005B010000}"/>
            </a:ext>
          </a:extLst>
        </xdr:cNvPr>
        <xdr:cNvSpPr txBox="1"/>
      </xdr:nvSpPr>
      <xdr:spPr>
        <a:xfrm>
          <a:off x="9433736" y="354972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88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8" name="TextBox 347">
              <a:extLst>
                <a:ext uri="{FF2B5EF4-FFF2-40B4-BE49-F238E27FC236}">
                  <a16:creationId xmlns:a16="http://schemas.microsoft.com/office/drawing/2014/main" id="{00000000-0008-0000-1400-00005C010000}"/>
                </a:ext>
              </a:extLst>
            </xdr:cNvPr>
            <xdr:cNvSpPr txBox="1"/>
          </xdr:nvSpPr>
          <xdr:spPr>
            <a:xfrm>
              <a:off x="643161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48" name="TextBox 347">
              <a:extLst>
                <a:ext uri="{FF2B5EF4-FFF2-40B4-BE49-F238E27FC236}">
                  <a16:creationId xmlns:a16="http://schemas.microsoft.com/office/drawing/2014/main" id="{7412367D-73AF-4BF8-B693-EEC709921398}"/>
                </a:ext>
              </a:extLst>
            </xdr:cNvPr>
            <xdr:cNvSpPr txBox="1"/>
          </xdr:nvSpPr>
          <xdr:spPr>
            <a:xfrm>
              <a:off x="643161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127967</xdr:colOff>
      <xdr:row>90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9" name="TextBox 348">
              <a:extLst>
                <a:ext uri="{FF2B5EF4-FFF2-40B4-BE49-F238E27FC236}">
                  <a16:creationId xmlns:a16="http://schemas.microsoft.com/office/drawing/2014/main" id="{00000000-0008-0000-1400-00005D010000}"/>
                </a:ext>
              </a:extLst>
            </xdr:cNvPr>
            <xdr:cNvSpPr txBox="1"/>
          </xdr:nvSpPr>
          <xdr:spPr>
            <a:xfrm>
              <a:off x="646018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49" name="TextBox 348">
              <a:extLst>
                <a:ext uri="{FF2B5EF4-FFF2-40B4-BE49-F238E27FC236}">
                  <a16:creationId xmlns:a16="http://schemas.microsoft.com/office/drawing/2014/main" id="{502DA6FF-64AD-48A2-92C3-0033DFE53819}"/>
                </a:ext>
              </a:extLst>
            </xdr:cNvPr>
            <xdr:cNvSpPr txBox="1"/>
          </xdr:nvSpPr>
          <xdr:spPr>
            <a:xfrm>
              <a:off x="646018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94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0" name="TextBox 349">
              <a:extLst>
                <a:ext uri="{FF2B5EF4-FFF2-40B4-BE49-F238E27FC236}">
                  <a16:creationId xmlns:a16="http://schemas.microsoft.com/office/drawing/2014/main" id="{00000000-0008-0000-1400-00005E010000}"/>
                </a:ext>
              </a:extLst>
            </xdr:cNvPr>
            <xdr:cNvSpPr txBox="1"/>
          </xdr:nvSpPr>
          <xdr:spPr>
            <a:xfrm>
              <a:off x="644486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50" name="TextBox 349">
              <a:extLst>
                <a:ext uri="{FF2B5EF4-FFF2-40B4-BE49-F238E27FC236}">
                  <a16:creationId xmlns:a16="http://schemas.microsoft.com/office/drawing/2014/main" id="{6932586A-2067-4E9A-A634-2EA9EACF5C28}"/>
                </a:ext>
              </a:extLst>
            </xdr:cNvPr>
            <xdr:cNvSpPr txBox="1"/>
          </xdr:nvSpPr>
          <xdr:spPr>
            <a:xfrm>
              <a:off x="644486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17585</xdr:colOff>
      <xdr:row>88</xdr:row>
      <xdr:rowOff>70339</xdr:rowOff>
    </xdr:from>
    <xdr:ext cx="164043" cy="159026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1400-00005F010000}"/>
            </a:ext>
          </a:extLst>
        </xdr:cNvPr>
        <xdr:cNvSpPr txBox="1"/>
      </xdr:nvSpPr>
      <xdr:spPr>
        <a:xfrm>
          <a:off x="6349805" y="59301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90</xdr:row>
      <xdr:rowOff>99646</xdr:rowOff>
    </xdr:from>
    <xdr:ext cx="164043" cy="159026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1400-000060010000}"/>
            </a:ext>
          </a:extLst>
        </xdr:cNvPr>
        <xdr:cNvSpPr txBox="1"/>
      </xdr:nvSpPr>
      <xdr:spPr>
        <a:xfrm>
          <a:off x="6361528" y="6325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94</xdr:row>
      <xdr:rowOff>128953</xdr:rowOff>
    </xdr:from>
    <xdr:ext cx="164043" cy="159026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1400-000061010000}"/>
            </a:ext>
          </a:extLst>
        </xdr:cNvPr>
        <xdr:cNvSpPr txBox="1"/>
      </xdr:nvSpPr>
      <xdr:spPr>
        <a:xfrm>
          <a:off x="6367389" y="7086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92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4" name="TextBox 353">
              <a:extLst>
                <a:ext uri="{FF2B5EF4-FFF2-40B4-BE49-F238E27FC236}">
                  <a16:creationId xmlns:a16="http://schemas.microsoft.com/office/drawing/2014/main" id="{00000000-0008-0000-1400-000062010000}"/>
                </a:ext>
              </a:extLst>
            </xdr:cNvPr>
            <xdr:cNvSpPr txBox="1"/>
          </xdr:nvSpPr>
          <xdr:spPr>
            <a:xfrm>
              <a:off x="643161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54" name="TextBox 353">
              <a:extLst>
                <a:ext uri="{FF2B5EF4-FFF2-40B4-BE49-F238E27FC236}">
                  <a16:creationId xmlns:a16="http://schemas.microsoft.com/office/drawing/2014/main" id="{1C4AD209-3F27-4936-A5E1-F18C95C86424}"/>
                </a:ext>
              </a:extLst>
            </xdr:cNvPr>
            <xdr:cNvSpPr txBox="1"/>
          </xdr:nvSpPr>
          <xdr:spPr>
            <a:xfrm>
              <a:off x="643161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29308</xdr:colOff>
      <xdr:row>92</xdr:row>
      <xdr:rowOff>99646</xdr:rowOff>
    </xdr:from>
    <xdr:ext cx="164043" cy="159026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00000000-0008-0000-1400-000063010000}"/>
            </a:ext>
          </a:extLst>
        </xdr:cNvPr>
        <xdr:cNvSpPr txBox="1"/>
      </xdr:nvSpPr>
      <xdr:spPr>
        <a:xfrm>
          <a:off x="6361528" y="669094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9</xdr:col>
      <xdr:colOff>173717</xdr:colOff>
      <xdr:row>98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6" name="TextBox 355">
              <a:extLst>
                <a:ext uri="{FF2B5EF4-FFF2-40B4-BE49-F238E27FC236}">
                  <a16:creationId xmlns:a16="http://schemas.microsoft.com/office/drawing/2014/main" id="{00000000-0008-0000-1400-000064010000}"/>
                </a:ext>
              </a:extLst>
            </xdr:cNvPr>
            <xdr:cNvSpPr txBox="1"/>
          </xdr:nvSpPr>
          <xdr:spPr>
            <a:xfrm>
              <a:off x="589633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356" name="TextBox 355">
              <a:extLst>
                <a:ext uri="{FF2B5EF4-FFF2-40B4-BE49-F238E27FC236}">
                  <a16:creationId xmlns:a16="http://schemas.microsoft.com/office/drawing/2014/main" id="{DB10FEBD-A4E7-4141-8BC3-BBADF991C78C}"/>
                </a:ext>
              </a:extLst>
            </xdr:cNvPr>
            <xdr:cNvSpPr txBox="1"/>
          </xdr:nvSpPr>
          <xdr:spPr>
            <a:xfrm>
              <a:off x="589633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10</xdr:col>
      <xdr:colOff>62617</xdr:colOff>
      <xdr:row>99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7" name="TextBox 356">
              <a:extLst>
                <a:ext uri="{FF2B5EF4-FFF2-40B4-BE49-F238E27FC236}">
                  <a16:creationId xmlns:a16="http://schemas.microsoft.com/office/drawing/2014/main" id="{00000000-0008-0000-1400-000065010000}"/>
                </a:ext>
              </a:extLst>
            </xdr:cNvPr>
            <xdr:cNvSpPr txBox="1"/>
          </xdr:nvSpPr>
          <xdr:spPr>
            <a:xfrm>
              <a:off x="639483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357" name="TextBox 356">
              <a:extLst>
                <a:ext uri="{FF2B5EF4-FFF2-40B4-BE49-F238E27FC236}">
                  <a16:creationId xmlns:a16="http://schemas.microsoft.com/office/drawing/2014/main" id="{1E752F5B-D068-4BBD-9887-CF8DE734DEF0}"/>
                </a:ext>
              </a:extLst>
            </xdr:cNvPr>
            <xdr:cNvSpPr txBox="1"/>
          </xdr:nvSpPr>
          <xdr:spPr>
            <a:xfrm>
              <a:off x="639483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406139</xdr:colOff>
      <xdr:row>96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8" name="TextBox 357">
              <a:extLst>
                <a:ext uri="{FF2B5EF4-FFF2-40B4-BE49-F238E27FC236}">
                  <a16:creationId xmlns:a16="http://schemas.microsoft.com/office/drawing/2014/main" id="{00000000-0008-0000-1400-000066010000}"/>
                </a:ext>
              </a:extLst>
            </xdr:cNvPr>
            <xdr:cNvSpPr txBox="1"/>
          </xdr:nvSpPr>
          <xdr:spPr>
            <a:xfrm>
              <a:off x="673835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358" name="TextBox 357">
              <a:extLst>
                <a:ext uri="{FF2B5EF4-FFF2-40B4-BE49-F238E27FC236}">
                  <a16:creationId xmlns:a16="http://schemas.microsoft.com/office/drawing/2014/main" id="{BE351F54-D5F2-421D-8E23-39FC2F6598DC}"/>
                </a:ext>
              </a:extLst>
            </xdr:cNvPr>
            <xdr:cNvSpPr txBox="1"/>
          </xdr:nvSpPr>
          <xdr:spPr>
            <a:xfrm>
              <a:off x="673835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14</xdr:col>
      <xdr:colOff>409232</xdr:colOff>
      <xdr:row>97</xdr:row>
      <xdr:rowOff>167484</xdr:rowOff>
    </xdr:from>
    <xdr:ext cx="164043" cy="159026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1400-000067010000}"/>
            </a:ext>
          </a:extLst>
        </xdr:cNvPr>
        <xdr:cNvSpPr txBox="1"/>
      </xdr:nvSpPr>
      <xdr:spPr>
        <a:xfrm>
          <a:off x="9416072" y="767318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14</xdr:col>
      <xdr:colOff>409419</xdr:colOff>
      <xdr:row>99</xdr:row>
      <xdr:rowOff>7058</xdr:rowOff>
    </xdr:from>
    <xdr:ext cx="164043" cy="159026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1400-000068010000}"/>
            </a:ext>
          </a:extLst>
        </xdr:cNvPr>
        <xdr:cNvSpPr txBox="1"/>
      </xdr:nvSpPr>
      <xdr:spPr>
        <a:xfrm>
          <a:off x="9416259" y="78785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105087</xdr:colOff>
      <xdr:row>98</xdr:row>
      <xdr:rowOff>3529</xdr:rowOff>
    </xdr:from>
    <xdr:ext cx="164043" cy="159026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00000000-0008-0000-1400-000069010000}"/>
            </a:ext>
          </a:extLst>
        </xdr:cNvPr>
        <xdr:cNvSpPr txBox="1"/>
      </xdr:nvSpPr>
      <xdr:spPr>
        <a:xfrm>
          <a:off x="8502327" y="76921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105274</xdr:colOff>
      <xdr:row>99</xdr:row>
      <xdr:rowOff>7620</xdr:rowOff>
    </xdr:from>
    <xdr:ext cx="164043" cy="159026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00000000-0008-0000-1400-00006A010000}"/>
            </a:ext>
          </a:extLst>
        </xdr:cNvPr>
        <xdr:cNvSpPr txBox="1"/>
      </xdr:nvSpPr>
      <xdr:spPr>
        <a:xfrm>
          <a:off x="8502514" y="787908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225851</xdr:colOff>
      <xdr:row>102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3" name="TextBox 362">
              <a:extLst>
                <a:ext uri="{FF2B5EF4-FFF2-40B4-BE49-F238E27FC236}">
                  <a16:creationId xmlns:a16="http://schemas.microsoft.com/office/drawing/2014/main" id="{00000000-0008-0000-1400-00006B010000}"/>
                </a:ext>
              </a:extLst>
            </xdr:cNvPr>
            <xdr:cNvSpPr txBox="1"/>
          </xdr:nvSpPr>
          <xdr:spPr>
            <a:xfrm>
              <a:off x="655807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63" name="TextBox 362">
              <a:extLst>
                <a:ext uri="{FF2B5EF4-FFF2-40B4-BE49-F238E27FC236}">
                  <a16:creationId xmlns:a16="http://schemas.microsoft.com/office/drawing/2014/main" id="{5B9E6185-ED57-44BE-9C76-47765DEDA549}"/>
                </a:ext>
              </a:extLst>
            </xdr:cNvPr>
            <xdr:cNvSpPr txBox="1"/>
          </xdr:nvSpPr>
          <xdr:spPr>
            <a:xfrm>
              <a:off x="655807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177466</xdr:colOff>
      <xdr:row>101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4" name="TextBox 363">
              <a:extLst>
                <a:ext uri="{FF2B5EF4-FFF2-40B4-BE49-F238E27FC236}">
                  <a16:creationId xmlns:a16="http://schemas.microsoft.com/office/drawing/2014/main" id="{00000000-0008-0000-1400-00006C010000}"/>
                </a:ext>
              </a:extLst>
            </xdr:cNvPr>
            <xdr:cNvSpPr txBox="1"/>
          </xdr:nvSpPr>
          <xdr:spPr>
            <a:xfrm>
              <a:off x="650968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64" name="TextBox 363">
              <a:extLst>
                <a:ext uri="{FF2B5EF4-FFF2-40B4-BE49-F238E27FC236}">
                  <a16:creationId xmlns:a16="http://schemas.microsoft.com/office/drawing/2014/main" id="{76E6C0AA-D80E-45C8-9FCD-EDA159387D64}"/>
                </a:ext>
              </a:extLst>
            </xdr:cNvPr>
            <xdr:cNvSpPr txBox="1"/>
          </xdr:nvSpPr>
          <xdr:spPr>
            <a:xfrm>
              <a:off x="650968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15</xdr:col>
      <xdr:colOff>401955</xdr:colOff>
      <xdr:row>102</xdr:row>
      <xdr:rowOff>22860</xdr:rowOff>
    </xdr:from>
    <xdr:ext cx="249850" cy="168634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00000000-0008-0000-1400-00006D010000}"/>
            </a:ext>
          </a:extLst>
        </xdr:cNvPr>
        <xdr:cNvSpPr txBox="1"/>
      </xdr:nvSpPr>
      <xdr:spPr>
        <a:xfrm>
          <a:off x="10018395" y="844296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10</xdr:col>
      <xdr:colOff>38431</xdr:colOff>
      <xdr:row>105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6" name="TextBox 365">
              <a:extLst>
                <a:ext uri="{FF2B5EF4-FFF2-40B4-BE49-F238E27FC236}">
                  <a16:creationId xmlns:a16="http://schemas.microsoft.com/office/drawing/2014/main" id="{00000000-0008-0000-1400-00006E010000}"/>
                </a:ext>
              </a:extLst>
            </xdr:cNvPr>
            <xdr:cNvSpPr txBox="1"/>
          </xdr:nvSpPr>
          <xdr:spPr>
            <a:xfrm>
              <a:off x="637065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66" name="TextBox 365">
              <a:extLst>
                <a:ext uri="{FF2B5EF4-FFF2-40B4-BE49-F238E27FC236}">
                  <a16:creationId xmlns:a16="http://schemas.microsoft.com/office/drawing/2014/main" id="{9FA73BAF-B486-4AF1-9B1A-0C97EB581E00}"/>
                </a:ext>
              </a:extLst>
            </xdr:cNvPr>
            <xdr:cNvSpPr txBox="1"/>
          </xdr:nvSpPr>
          <xdr:spPr>
            <a:xfrm>
              <a:off x="637065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70237</xdr:colOff>
      <xdr:row>106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7" name="TextBox 366">
              <a:extLst>
                <a:ext uri="{FF2B5EF4-FFF2-40B4-BE49-F238E27FC236}">
                  <a16:creationId xmlns:a16="http://schemas.microsoft.com/office/drawing/2014/main" id="{00000000-0008-0000-1400-00006F010000}"/>
                </a:ext>
              </a:extLst>
            </xdr:cNvPr>
            <xdr:cNvSpPr txBox="1"/>
          </xdr:nvSpPr>
          <xdr:spPr>
            <a:xfrm>
              <a:off x="640245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367" name="TextBox 366">
              <a:extLst>
                <a:ext uri="{FF2B5EF4-FFF2-40B4-BE49-F238E27FC236}">
                  <a16:creationId xmlns:a16="http://schemas.microsoft.com/office/drawing/2014/main" id="{61817382-9F53-4D36-A571-F3B7DC331AB8}"/>
                </a:ext>
              </a:extLst>
            </xdr:cNvPr>
            <xdr:cNvSpPr txBox="1"/>
          </xdr:nvSpPr>
          <xdr:spPr>
            <a:xfrm>
              <a:off x="640245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12</xdr:col>
      <xdr:colOff>632460</xdr:colOff>
      <xdr:row>105</xdr:row>
      <xdr:rowOff>0</xdr:rowOff>
    </xdr:from>
    <xdr:ext cx="164043" cy="159026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00000000-0008-0000-1400-000070010000}"/>
            </a:ext>
          </a:extLst>
        </xdr:cNvPr>
        <xdr:cNvSpPr txBox="1"/>
      </xdr:nvSpPr>
      <xdr:spPr>
        <a:xfrm>
          <a:off x="8397240" y="89687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12</xdr:col>
      <xdr:colOff>624840</xdr:colOff>
      <xdr:row>106</xdr:row>
      <xdr:rowOff>0</xdr:rowOff>
    </xdr:from>
    <xdr:ext cx="164043" cy="159026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00000000-0008-0000-1400-000071010000}"/>
            </a:ext>
          </a:extLst>
        </xdr:cNvPr>
        <xdr:cNvSpPr txBox="1"/>
      </xdr:nvSpPr>
      <xdr:spPr>
        <a:xfrm>
          <a:off x="8397240" y="915162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472440</xdr:colOff>
      <xdr:row>107</xdr:row>
      <xdr:rowOff>17780</xdr:rowOff>
    </xdr:from>
    <xdr:ext cx="2823210" cy="280670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00000000-0008-0000-1400-000072010000}"/>
            </a:ext>
          </a:extLst>
        </xdr:cNvPr>
        <xdr:cNvSpPr txBox="1"/>
      </xdr:nvSpPr>
      <xdr:spPr>
        <a:xfrm>
          <a:off x="6804660" y="935228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</xdr:col>
      <xdr:colOff>0</xdr:colOff>
      <xdr:row>124</xdr:row>
      <xdr:rowOff>0</xdr:rowOff>
    </xdr:from>
    <xdr:ext cx="1152939" cy="19343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00000000-0008-0000-1400-000073010000}"/>
            </a:ext>
          </a:extLst>
        </xdr:cNvPr>
        <xdr:cNvSpPr txBox="1"/>
      </xdr:nvSpPr>
      <xdr:spPr>
        <a:xfrm>
          <a:off x="609600" y="22021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</xdr:col>
      <xdr:colOff>47991</xdr:colOff>
      <xdr:row>123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2" name="TextBox 371">
              <a:extLst>
                <a:ext uri="{FF2B5EF4-FFF2-40B4-BE49-F238E27FC236}">
                  <a16:creationId xmlns:a16="http://schemas.microsoft.com/office/drawing/2014/main" id="{00000000-0008-0000-1400-000074010000}"/>
                </a:ext>
              </a:extLst>
            </xdr:cNvPr>
            <xdr:cNvSpPr txBox="1"/>
          </xdr:nvSpPr>
          <xdr:spPr>
            <a:xfrm>
              <a:off x="65759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372" name="TextBox 371">
              <a:extLst>
                <a:ext uri="{FF2B5EF4-FFF2-40B4-BE49-F238E27FC236}">
                  <a16:creationId xmlns:a16="http://schemas.microsoft.com/office/drawing/2014/main" id="{008CFAB2-973B-469E-B665-21D7611E5024}"/>
                </a:ext>
              </a:extLst>
            </xdr:cNvPr>
            <xdr:cNvSpPr txBox="1"/>
          </xdr:nvSpPr>
          <xdr:spPr>
            <a:xfrm>
              <a:off x="65759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</xdr:col>
      <xdr:colOff>94373</xdr:colOff>
      <xdr:row>126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3" name="TextBox 372">
              <a:extLst>
                <a:ext uri="{FF2B5EF4-FFF2-40B4-BE49-F238E27FC236}">
                  <a16:creationId xmlns:a16="http://schemas.microsoft.com/office/drawing/2014/main" id="{00000000-0008-0000-1400-000075010000}"/>
                </a:ext>
              </a:extLst>
            </xdr:cNvPr>
            <xdr:cNvSpPr txBox="1"/>
          </xdr:nvSpPr>
          <xdr:spPr>
            <a:xfrm>
              <a:off x="70397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373" name="TextBox 372">
              <a:extLst>
                <a:ext uri="{FF2B5EF4-FFF2-40B4-BE49-F238E27FC236}">
                  <a16:creationId xmlns:a16="http://schemas.microsoft.com/office/drawing/2014/main" id="{9338E3CC-0918-4EAC-B667-D726720429AD}"/>
                </a:ext>
              </a:extLst>
            </xdr:cNvPr>
            <xdr:cNvSpPr txBox="1"/>
          </xdr:nvSpPr>
          <xdr:spPr>
            <a:xfrm>
              <a:off x="70397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4</xdr:col>
      <xdr:colOff>620486</xdr:colOff>
      <xdr:row>126</xdr:row>
      <xdr:rowOff>12258</xdr:rowOff>
    </xdr:from>
    <xdr:ext cx="164043" cy="159026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00000000-0008-0000-1400-000076010000}"/>
            </a:ext>
          </a:extLst>
        </xdr:cNvPr>
        <xdr:cNvSpPr txBox="1"/>
      </xdr:nvSpPr>
      <xdr:spPr>
        <a:xfrm>
          <a:off x="3287486" y="258019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</xdr:col>
      <xdr:colOff>26504</xdr:colOff>
      <xdr:row>131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5" name="TextBox 374">
              <a:extLst>
                <a:ext uri="{FF2B5EF4-FFF2-40B4-BE49-F238E27FC236}">
                  <a16:creationId xmlns:a16="http://schemas.microsoft.com/office/drawing/2014/main" id="{00000000-0008-0000-1400-000077010000}"/>
                </a:ext>
              </a:extLst>
            </xdr:cNvPr>
            <xdr:cNvSpPr txBox="1"/>
          </xdr:nvSpPr>
          <xdr:spPr>
            <a:xfrm>
              <a:off x="63610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375" name="TextBox 374">
              <a:extLst>
                <a:ext uri="{FF2B5EF4-FFF2-40B4-BE49-F238E27FC236}">
                  <a16:creationId xmlns:a16="http://schemas.microsoft.com/office/drawing/2014/main" id="{5F0F66C5-B98D-46B3-BC0B-E83C89ABC61F}"/>
                </a:ext>
              </a:extLst>
            </xdr:cNvPr>
            <xdr:cNvSpPr txBox="1"/>
          </xdr:nvSpPr>
          <xdr:spPr>
            <a:xfrm>
              <a:off x="63610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6</xdr:col>
      <xdr:colOff>335281</xdr:colOff>
      <xdr:row>135</xdr:row>
      <xdr:rowOff>14246</xdr:rowOff>
    </xdr:from>
    <xdr:ext cx="249850" cy="168634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00000000-0008-0000-1400-000078010000}"/>
            </a:ext>
          </a:extLst>
        </xdr:cNvPr>
        <xdr:cNvSpPr txBox="1"/>
      </xdr:nvSpPr>
      <xdr:spPr>
        <a:xfrm>
          <a:off x="4229101" y="422810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119531</xdr:colOff>
      <xdr:row>131</xdr:row>
      <xdr:rowOff>79417</xdr:rowOff>
    </xdr:from>
    <xdr:ext cx="164043" cy="159026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00000000-0008-0000-1400-000079010000}"/>
            </a:ext>
          </a:extLst>
        </xdr:cNvPr>
        <xdr:cNvSpPr txBox="1"/>
      </xdr:nvSpPr>
      <xdr:spPr>
        <a:xfrm>
          <a:off x="2794151" y="356175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133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8" name="TextBox 377">
              <a:extLst>
                <a:ext uri="{FF2B5EF4-FFF2-40B4-BE49-F238E27FC236}">
                  <a16:creationId xmlns:a16="http://schemas.microsoft.com/office/drawing/2014/main" id="{00000000-0008-0000-1400-00007A010000}"/>
                </a:ext>
              </a:extLst>
            </xdr:cNvPr>
            <xdr:cNvSpPr txBox="1"/>
          </xdr:nvSpPr>
          <xdr:spPr>
            <a:xfrm>
              <a:off x="70899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378" name="TextBox 377">
              <a:extLst>
                <a:ext uri="{FF2B5EF4-FFF2-40B4-BE49-F238E27FC236}">
                  <a16:creationId xmlns:a16="http://schemas.microsoft.com/office/drawing/2014/main" id="{3020F14D-08BC-4603-B91B-D65AAB2EAE13}"/>
                </a:ext>
              </a:extLst>
            </xdr:cNvPr>
            <xdr:cNvSpPr txBox="1"/>
          </xdr:nvSpPr>
          <xdr:spPr>
            <a:xfrm>
              <a:off x="70899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</xdr:col>
      <xdr:colOff>99392</xdr:colOff>
      <xdr:row>135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9" name="TextBox 378">
              <a:extLst>
                <a:ext uri="{FF2B5EF4-FFF2-40B4-BE49-F238E27FC236}">
                  <a16:creationId xmlns:a16="http://schemas.microsoft.com/office/drawing/2014/main" id="{00000000-0008-0000-1400-00007B010000}"/>
                </a:ext>
              </a:extLst>
            </xdr:cNvPr>
            <xdr:cNvSpPr txBox="1"/>
          </xdr:nvSpPr>
          <xdr:spPr>
            <a:xfrm>
              <a:off x="70899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379" name="TextBox 378">
              <a:extLst>
                <a:ext uri="{FF2B5EF4-FFF2-40B4-BE49-F238E27FC236}">
                  <a16:creationId xmlns:a16="http://schemas.microsoft.com/office/drawing/2014/main" id="{4F0860AA-0353-4E6C-9FAF-77396498EF7D}"/>
                </a:ext>
              </a:extLst>
            </xdr:cNvPr>
            <xdr:cNvSpPr txBox="1"/>
          </xdr:nvSpPr>
          <xdr:spPr>
            <a:xfrm>
              <a:off x="70899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137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0" name="TextBox 379">
              <a:extLst>
                <a:ext uri="{FF2B5EF4-FFF2-40B4-BE49-F238E27FC236}">
                  <a16:creationId xmlns:a16="http://schemas.microsoft.com/office/drawing/2014/main" id="{00000000-0008-0000-1400-00007C010000}"/>
                </a:ext>
              </a:extLst>
            </xdr:cNvPr>
            <xdr:cNvSpPr txBox="1"/>
          </xdr:nvSpPr>
          <xdr:spPr>
            <a:xfrm>
              <a:off x="72224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380" name="TextBox 379">
              <a:extLst>
                <a:ext uri="{FF2B5EF4-FFF2-40B4-BE49-F238E27FC236}">
                  <a16:creationId xmlns:a16="http://schemas.microsoft.com/office/drawing/2014/main" id="{04AA5D2F-634A-4B10-8CA3-C4464F4B4AF8}"/>
                </a:ext>
              </a:extLst>
            </xdr:cNvPr>
            <xdr:cNvSpPr txBox="1"/>
          </xdr:nvSpPr>
          <xdr:spPr>
            <a:xfrm>
              <a:off x="72224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2</xdr:col>
      <xdr:colOff>17584</xdr:colOff>
      <xdr:row>130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1" name="TextBox 380">
              <a:extLst>
                <a:ext uri="{FF2B5EF4-FFF2-40B4-BE49-F238E27FC236}">
                  <a16:creationId xmlns:a16="http://schemas.microsoft.com/office/drawing/2014/main" id="{00000000-0008-0000-1400-00007D010000}"/>
                </a:ext>
              </a:extLst>
            </xdr:cNvPr>
            <xdr:cNvSpPr txBox="1"/>
          </xdr:nvSpPr>
          <xdr:spPr>
            <a:xfrm>
              <a:off x="147300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381" name="TextBox 380">
              <a:extLst>
                <a:ext uri="{FF2B5EF4-FFF2-40B4-BE49-F238E27FC236}">
                  <a16:creationId xmlns:a16="http://schemas.microsoft.com/office/drawing/2014/main" id="{477091C5-CD73-4D4D-A997-8F6B002EB183}"/>
                </a:ext>
              </a:extLst>
            </xdr:cNvPr>
            <xdr:cNvSpPr txBox="1"/>
          </xdr:nvSpPr>
          <xdr:spPr>
            <a:xfrm>
              <a:off x="147300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</xdr:col>
      <xdr:colOff>17585</xdr:colOff>
      <xdr:row>133</xdr:row>
      <xdr:rowOff>70339</xdr:rowOff>
    </xdr:from>
    <xdr:ext cx="164043" cy="159026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0000000-0008-0000-1400-00007E010000}"/>
            </a:ext>
          </a:extLst>
        </xdr:cNvPr>
        <xdr:cNvSpPr txBox="1"/>
      </xdr:nvSpPr>
      <xdr:spPr>
        <a:xfrm>
          <a:off x="627185" y="39184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135</xdr:row>
      <xdr:rowOff>99646</xdr:rowOff>
    </xdr:from>
    <xdr:ext cx="164043" cy="159026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00000000-0008-0000-1400-00007F010000}"/>
            </a:ext>
          </a:extLst>
        </xdr:cNvPr>
        <xdr:cNvSpPr txBox="1"/>
      </xdr:nvSpPr>
      <xdr:spPr>
        <a:xfrm>
          <a:off x="638908" y="43135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137</xdr:row>
      <xdr:rowOff>128953</xdr:rowOff>
    </xdr:from>
    <xdr:ext cx="164043" cy="159026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00000000-0008-0000-1400-000080010000}"/>
            </a:ext>
          </a:extLst>
        </xdr:cNvPr>
        <xdr:cNvSpPr txBox="1"/>
      </xdr:nvSpPr>
      <xdr:spPr>
        <a:xfrm>
          <a:off x="644769" y="47085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45720</xdr:colOff>
      <xdr:row>141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5" name="TextBox 384">
              <a:extLst>
                <a:ext uri="{FF2B5EF4-FFF2-40B4-BE49-F238E27FC236}">
                  <a16:creationId xmlns:a16="http://schemas.microsoft.com/office/drawing/2014/main" id="{00000000-0008-0000-1400-000081010000}"/>
                </a:ext>
              </a:extLst>
            </xdr:cNvPr>
            <xdr:cNvSpPr txBox="1"/>
          </xdr:nvSpPr>
          <xdr:spPr>
            <a:xfrm>
              <a:off x="65532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385" name="TextBox 384">
              <a:extLst>
                <a:ext uri="{FF2B5EF4-FFF2-40B4-BE49-F238E27FC236}">
                  <a16:creationId xmlns:a16="http://schemas.microsoft.com/office/drawing/2014/main" id="{DC212CDE-BB0C-4FC7-BC17-3164DE9A401E}"/>
                </a:ext>
              </a:extLst>
            </xdr:cNvPr>
            <xdr:cNvSpPr txBox="1"/>
          </xdr:nvSpPr>
          <xdr:spPr>
            <a:xfrm>
              <a:off x="65532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</xdr:col>
      <xdr:colOff>45721</xdr:colOff>
      <xdr:row>142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6" name="TextBox 385">
              <a:extLst>
                <a:ext uri="{FF2B5EF4-FFF2-40B4-BE49-F238E27FC236}">
                  <a16:creationId xmlns:a16="http://schemas.microsoft.com/office/drawing/2014/main" id="{00000000-0008-0000-1400-000082010000}"/>
                </a:ext>
              </a:extLst>
            </xdr:cNvPr>
            <xdr:cNvSpPr txBox="1"/>
          </xdr:nvSpPr>
          <xdr:spPr>
            <a:xfrm>
              <a:off x="65532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386" name="TextBox 385">
              <a:extLst>
                <a:ext uri="{FF2B5EF4-FFF2-40B4-BE49-F238E27FC236}">
                  <a16:creationId xmlns:a16="http://schemas.microsoft.com/office/drawing/2014/main" id="{A12DFA15-A631-4C84-A4EB-46B643A4481D}"/>
                </a:ext>
              </a:extLst>
            </xdr:cNvPr>
            <xdr:cNvSpPr txBox="1"/>
          </xdr:nvSpPr>
          <xdr:spPr>
            <a:xfrm>
              <a:off x="65532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381000</xdr:colOff>
      <xdr:row>139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7" name="TextBox 386">
              <a:extLst>
                <a:ext uri="{FF2B5EF4-FFF2-40B4-BE49-F238E27FC236}">
                  <a16:creationId xmlns:a16="http://schemas.microsoft.com/office/drawing/2014/main" id="{00000000-0008-0000-1400-000083010000}"/>
                </a:ext>
              </a:extLst>
            </xdr:cNvPr>
            <xdr:cNvSpPr txBox="1"/>
          </xdr:nvSpPr>
          <xdr:spPr>
            <a:xfrm>
              <a:off x="99060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387" name="TextBox 386">
              <a:extLst>
                <a:ext uri="{FF2B5EF4-FFF2-40B4-BE49-F238E27FC236}">
                  <a16:creationId xmlns:a16="http://schemas.microsoft.com/office/drawing/2014/main" id="{E6C9E4A7-0789-4269-A486-1095C48E9EEB}"/>
                </a:ext>
              </a:extLst>
            </xdr:cNvPr>
            <xdr:cNvSpPr txBox="1"/>
          </xdr:nvSpPr>
          <xdr:spPr>
            <a:xfrm>
              <a:off x="99060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5</xdr:col>
      <xdr:colOff>426896</xdr:colOff>
      <xdr:row>131</xdr:row>
      <xdr:rowOff>67381</xdr:rowOff>
    </xdr:from>
    <xdr:ext cx="145677" cy="156210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00000000-0008-0000-1400-000084010000}"/>
            </a:ext>
          </a:extLst>
        </xdr:cNvPr>
        <xdr:cNvSpPr txBox="1"/>
      </xdr:nvSpPr>
      <xdr:spPr>
        <a:xfrm>
          <a:off x="3711116" y="354972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144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9" name="TextBox 388">
              <a:extLst>
                <a:ext uri="{FF2B5EF4-FFF2-40B4-BE49-F238E27FC236}">
                  <a16:creationId xmlns:a16="http://schemas.microsoft.com/office/drawing/2014/main" id="{00000000-0008-0000-1400-000085010000}"/>
                </a:ext>
              </a:extLst>
            </xdr:cNvPr>
            <xdr:cNvSpPr txBox="1"/>
          </xdr:nvSpPr>
          <xdr:spPr>
            <a:xfrm>
              <a:off x="70899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89" name="TextBox 388">
              <a:extLst>
                <a:ext uri="{FF2B5EF4-FFF2-40B4-BE49-F238E27FC236}">
                  <a16:creationId xmlns:a16="http://schemas.microsoft.com/office/drawing/2014/main" id="{4197E787-55FE-4649-A1D4-94791C1EA65C}"/>
                </a:ext>
              </a:extLst>
            </xdr:cNvPr>
            <xdr:cNvSpPr txBox="1"/>
          </xdr:nvSpPr>
          <xdr:spPr>
            <a:xfrm>
              <a:off x="70899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127967</xdr:colOff>
      <xdr:row>146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0" name="TextBox 389">
              <a:extLst>
                <a:ext uri="{FF2B5EF4-FFF2-40B4-BE49-F238E27FC236}">
                  <a16:creationId xmlns:a16="http://schemas.microsoft.com/office/drawing/2014/main" id="{00000000-0008-0000-1400-000086010000}"/>
                </a:ext>
              </a:extLst>
            </xdr:cNvPr>
            <xdr:cNvSpPr txBox="1"/>
          </xdr:nvSpPr>
          <xdr:spPr>
            <a:xfrm>
              <a:off x="73756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90" name="TextBox 389">
              <a:extLst>
                <a:ext uri="{FF2B5EF4-FFF2-40B4-BE49-F238E27FC236}">
                  <a16:creationId xmlns:a16="http://schemas.microsoft.com/office/drawing/2014/main" id="{0DEDD7DD-00EE-4D80-A815-7EB7DBC9805A}"/>
                </a:ext>
              </a:extLst>
            </xdr:cNvPr>
            <xdr:cNvSpPr txBox="1"/>
          </xdr:nvSpPr>
          <xdr:spPr>
            <a:xfrm>
              <a:off x="73756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112644</xdr:colOff>
      <xdr:row>150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1400-000087010000}"/>
                </a:ext>
              </a:extLst>
            </xdr:cNvPr>
            <xdr:cNvSpPr txBox="1"/>
          </xdr:nvSpPr>
          <xdr:spPr>
            <a:xfrm>
              <a:off x="72224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F30109E8-21D0-4509-AF14-C8460DA49557}"/>
                </a:ext>
              </a:extLst>
            </xdr:cNvPr>
            <xdr:cNvSpPr txBox="1"/>
          </xdr:nvSpPr>
          <xdr:spPr>
            <a:xfrm>
              <a:off x="72224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17585</xdr:colOff>
      <xdr:row>144</xdr:row>
      <xdr:rowOff>70339</xdr:rowOff>
    </xdr:from>
    <xdr:ext cx="164043" cy="159026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0000000-0008-0000-1400-000088010000}"/>
            </a:ext>
          </a:extLst>
        </xdr:cNvPr>
        <xdr:cNvSpPr txBox="1"/>
      </xdr:nvSpPr>
      <xdr:spPr>
        <a:xfrm>
          <a:off x="627185" y="59301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29308</xdr:colOff>
      <xdr:row>146</xdr:row>
      <xdr:rowOff>99646</xdr:rowOff>
    </xdr:from>
    <xdr:ext cx="164043" cy="159026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0000000-0008-0000-1400-000089010000}"/>
            </a:ext>
          </a:extLst>
        </xdr:cNvPr>
        <xdr:cNvSpPr txBox="1"/>
      </xdr:nvSpPr>
      <xdr:spPr>
        <a:xfrm>
          <a:off x="638908" y="6325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35169</xdr:colOff>
      <xdr:row>150</xdr:row>
      <xdr:rowOff>128953</xdr:rowOff>
    </xdr:from>
    <xdr:ext cx="164043" cy="159026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00000000-0008-0000-1400-00008A010000}"/>
            </a:ext>
          </a:extLst>
        </xdr:cNvPr>
        <xdr:cNvSpPr txBox="1"/>
      </xdr:nvSpPr>
      <xdr:spPr>
        <a:xfrm>
          <a:off x="644769" y="7086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</xdr:col>
      <xdr:colOff>99392</xdr:colOff>
      <xdr:row>148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5" name="TextBox 394">
              <a:extLst>
                <a:ext uri="{FF2B5EF4-FFF2-40B4-BE49-F238E27FC236}">
                  <a16:creationId xmlns:a16="http://schemas.microsoft.com/office/drawing/2014/main" id="{00000000-0008-0000-1400-00008B010000}"/>
                </a:ext>
              </a:extLst>
            </xdr:cNvPr>
            <xdr:cNvSpPr txBox="1"/>
          </xdr:nvSpPr>
          <xdr:spPr>
            <a:xfrm>
              <a:off x="70899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395" name="TextBox 394">
              <a:extLst>
                <a:ext uri="{FF2B5EF4-FFF2-40B4-BE49-F238E27FC236}">
                  <a16:creationId xmlns:a16="http://schemas.microsoft.com/office/drawing/2014/main" id="{5641E501-5366-4F44-BDBF-890986A716E2}"/>
                </a:ext>
              </a:extLst>
            </xdr:cNvPr>
            <xdr:cNvSpPr txBox="1"/>
          </xdr:nvSpPr>
          <xdr:spPr>
            <a:xfrm>
              <a:off x="70899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29308</xdr:colOff>
      <xdr:row>148</xdr:row>
      <xdr:rowOff>99646</xdr:rowOff>
    </xdr:from>
    <xdr:ext cx="164043" cy="159026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00000000-0008-0000-1400-00008C010000}"/>
            </a:ext>
          </a:extLst>
        </xdr:cNvPr>
        <xdr:cNvSpPr txBox="1"/>
      </xdr:nvSpPr>
      <xdr:spPr>
        <a:xfrm>
          <a:off x="638908" y="669094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0</xdr:col>
      <xdr:colOff>173717</xdr:colOff>
      <xdr:row>154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id="{00000000-0008-0000-1400-00008D010000}"/>
                </a:ext>
              </a:extLst>
            </xdr:cNvPr>
            <xdr:cNvSpPr txBox="1"/>
          </xdr:nvSpPr>
          <xdr:spPr>
            <a:xfrm>
              <a:off x="17371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id="{1602F2AB-3DCB-4B6A-91E9-81F62A20375B}"/>
                </a:ext>
              </a:extLst>
            </xdr:cNvPr>
            <xdr:cNvSpPr txBox="1"/>
          </xdr:nvSpPr>
          <xdr:spPr>
            <a:xfrm>
              <a:off x="17371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</xdr:col>
      <xdr:colOff>62617</xdr:colOff>
      <xdr:row>155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8" name="TextBox 397">
              <a:extLst>
                <a:ext uri="{FF2B5EF4-FFF2-40B4-BE49-F238E27FC236}">
                  <a16:creationId xmlns:a16="http://schemas.microsoft.com/office/drawing/2014/main" id="{00000000-0008-0000-1400-00008E010000}"/>
                </a:ext>
              </a:extLst>
            </xdr:cNvPr>
            <xdr:cNvSpPr txBox="1"/>
          </xdr:nvSpPr>
          <xdr:spPr>
            <a:xfrm>
              <a:off x="67221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398" name="TextBox 397">
              <a:extLst>
                <a:ext uri="{FF2B5EF4-FFF2-40B4-BE49-F238E27FC236}">
                  <a16:creationId xmlns:a16="http://schemas.microsoft.com/office/drawing/2014/main" id="{31F1B128-1998-44C0-909F-636EA8D3AFA9}"/>
                </a:ext>
              </a:extLst>
            </xdr:cNvPr>
            <xdr:cNvSpPr txBox="1"/>
          </xdr:nvSpPr>
          <xdr:spPr>
            <a:xfrm>
              <a:off x="67221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406139</xdr:colOff>
      <xdr:row>152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9" name="TextBox 398">
              <a:extLst>
                <a:ext uri="{FF2B5EF4-FFF2-40B4-BE49-F238E27FC236}">
                  <a16:creationId xmlns:a16="http://schemas.microsoft.com/office/drawing/2014/main" id="{00000000-0008-0000-1400-00008F010000}"/>
                </a:ext>
              </a:extLst>
            </xdr:cNvPr>
            <xdr:cNvSpPr txBox="1"/>
          </xdr:nvSpPr>
          <xdr:spPr>
            <a:xfrm>
              <a:off x="101573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399" name="TextBox 398">
              <a:extLst>
                <a:ext uri="{FF2B5EF4-FFF2-40B4-BE49-F238E27FC236}">
                  <a16:creationId xmlns:a16="http://schemas.microsoft.com/office/drawing/2014/main" id="{CC2AE116-D178-41D1-B1BC-39290C773ACE}"/>
                </a:ext>
              </a:extLst>
            </xdr:cNvPr>
            <xdr:cNvSpPr txBox="1"/>
          </xdr:nvSpPr>
          <xdr:spPr>
            <a:xfrm>
              <a:off x="101573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5</xdr:col>
      <xdr:colOff>409232</xdr:colOff>
      <xdr:row>153</xdr:row>
      <xdr:rowOff>167484</xdr:rowOff>
    </xdr:from>
    <xdr:ext cx="164043" cy="159026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00000000-0008-0000-1400-000090010000}"/>
            </a:ext>
          </a:extLst>
        </xdr:cNvPr>
        <xdr:cNvSpPr txBox="1"/>
      </xdr:nvSpPr>
      <xdr:spPr>
        <a:xfrm>
          <a:off x="3693452" y="767318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5</xdr:col>
      <xdr:colOff>409419</xdr:colOff>
      <xdr:row>155</xdr:row>
      <xdr:rowOff>7058</xdr:rowOff>
    </xdr:from>
    <xdr:ext cx="164043" cy="159026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0000000-0008-0000-1400-000091010000}"/>
            </a:ext>
          </a:extLst>
        </xdr:cNvPr>
        <xdr:cNvSpPr txBox="1"/>
      </xdr:nvSpPr>
      <xdr:spPr>
        <a:xfrm>
          <a:off x="3693639" y="78785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105087</xdr:colOff>
      <xdr:row>154</xdr:row>
      <xdr:rowOff>3529</xdr:rowOff>
    </xdr:from>
    <xdr:ext cx="164043" cy="159026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00000000-0008-0000-1400-000092010000}"/>
            </a:ext>
          </a:extLst>
        </xdr:cNvPr>
        <xdr:cNvSpPr txBox="1"/>
      </xdr:nvSpPr>
      <xdr:spPr>
        <a:xfrm>
          <a:off x="2779707" y="76921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4</xdr:col>
      <xdr:colOff>105274</xdr:colOff>
      <xdr:row>155</xdr:row>
      <xdr:rowOff>7620</xdr:rowOff>
    </xdr:from>
    <xdr:ext cx="164043" cy="159026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00000000-0008-0000-1400-000093010000}"/>
            </a:ext>
          </a:extLst>
        </xdr:cNvPr>
        <xdr:cNvSpPr txBox="1"/>
      </xdr:nvSpPr>
      <xdr:spPr>
        <a:xfrm>
          <a:off x="2779894" y="787908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225851</xdr:colOff>
      <xdr:row>158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4" name="TextBox 403">
              <a:extLst>
                <a:ext uri="{FF2B5EF4-FFF2-40B4-BE49-F238E27FC236}">
                  <a16:creationId xmlns:a16="http://schemas.microsoft.com/office/drawing/2014/main" id="{00000000-0008-0000-1400-000094010000}"/>
                </a:ext>
              </a:extLst>
            </xdr:cNvPr>
            <xdr:cNvSpPr txBox="1"/>
          </xdr:nvSpPr>
          <xdr:spPr>
            <a:xfrm>
              <a:off x="83545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04" name="TextBox 403">
              <a:extLst>
                <a:ext uri="{FF2B5EF4-FFF2-40B4-BE49-F238E27FC236}">
                  <a16:creationId xmlns:a16="http://schemas.microsoft.com/office/drawing/2014/main" id="{AA98B67E-4360-4BA9-8127-4CF995FEB6A5}"/>
                </a:ext>
              </a:extLst>
            </xdr:cNvPr>
            <xdr:cNvSpPr txBox="1"/>
          </xdr:nvSpPr>
          <xdr:spPr>
            <a:xfrm>
              <a:off x="83545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177466</xdr:colOff>
      <xdr:row>157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5" name="TextBox 404">
              <a:extLst>
                <a:ext uri="{FF2B5EF4-FFF2-40B4-BE49-F238E27FC236}">
                  <a16:creationId xmlns:a16="http://schemas.microsoft.com/office/drawing/2014/main" id="{00000000-0008-0000-1400-000095010000}"/>
                </a:ext>
              </a:extLst>
            </xdr:cNvPr>
            <xdr:cNvSpPr txBox="1"/>
          </xdr:nvSpPr>
          <xdr:spPr>
            <a:xfrm>
              <a:off x="78706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05" name="TextBox 404">
              <a:extLst>
                <a:ext uri="{FF2B5EF4-FFF2-40B4-BE49-F238E27FC236}">
                  <a16:creationId xmlns:a16="http://schemas.microsoft.com/office/drawing/2014/main" id="{4C1CA6A4-D890-47E3-BC2A-6F859ED23B02}"/>
                </a:ext>
              </a:extLst>
            </xdr:cNvPr>
            <xdr:cNvSpPr txBox="1"/>
          </xdr:nvSpPr>
          <xdr:spPr>
            <a:xfrm>
              <a:off x="78706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6</xdr:col>
      <xdr:colOff>401955</xdr:colOff>
      <xdr:row>158</xdr:row>
      <xdr:rowOff>22860</xdr:rowOff>
    </xdr:from>
    <xdr:ext cx="249850" cy="168634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00000000-0008-0000-1400-000096010000}"/>
            </a:ext>
          </a:extLst>
        </xdr:cNvPr>
        <xdr:cNvSpPr txBox="1"/>
      </xdr:nvSpPr>
      <xdr:spPr>
        <a:xfrm>
          <a:off x="4295775" y="844296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38431</xdr:colOff>
      <xdr:row>161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id="{00000000-0008-0000-1400-000097010000}"/>
                </a:ext>
              </a:extLst>
            </xdr:cNvPr>
            <xdr:cNvSpPr txBox="1"/>
          </xdr:nvSpPr>
          <xdr:spPr>
            <a:xfrm>
              <a:off x="64803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id="{ED34E7A6-9150-4779-B72A-72C99A469D4B}"/>
                </a:ext>
              </a:extLst>
            </xdr:cNvPr>
            <xdr:cNvSpPr txBox="1"/>
          </xdr:nvSpPr>
          <xdr:spPr>
            <a:xfrm>
              <a:off x="64803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70237</xdr:colOff>
      <xdr:row>162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8" name="TextBox 407">
              <a:extLst>
                <a:ext uri="{FF2B5EF4-FFF2-40B4-BE49-F238E27FC236}">
                  <a16:creationId xmlns:a16="http://schemas.microsoft.com/office/drawing/2014/main" id="{00000000-0008-0000-1400-000098010000}"/>
                </a:ext>
              </a:extLst>
            </xdr:cNvPr>
            <xdr:cNvSpPr txBox="1"/>
          </xdr:nvSpPr>
          <xdr:spPr>
            <a:xfrm>
              <a:off x="67983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408" name="TextBox 407">
              <a:extLst>
                <a:ext uri="{FF2B5EF4-FFF2-40B4-BE49-F238E27FC236}">
                  <a16:creationId xmlns:a16="http://schemas.microsoft.com/office/drawing/2014/main" id="{3E564E7E-C8ED-48E5-BB81-2CDF14B5DCC0}"/>
                </a:ext>
              </a:extLst>
            </xdr:cNvPr>
            <xdr:cNvSpPr txBox="1"/>
          </xdr:nvSpPr>
          <xdr:spPr>
            <a:xfrm>
              <a:off x="67983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632460</xdr:colOff>
      <xdr:row>161</xdr:row>
      <xdr:rowOff>0</xdr:rowOff>
    </xdr:from>
    <xdr:ext cx="164043" cy="159026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0000000-0008-0000-1400-000099010000}"/>
            </a:ext>
          </a:extLst>
        </xdr:cNvPr>
        <xdr:cNvSpPr txBox="1"/>
      </xdr:nvSpPr>
      <xdr:spPr>
        <a:xfrm>
          <a:off x="2674620" y="89687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3</xdr:col>
      <xdr:colOff>624840</xdr:colOff>
      <xdr:row>162</xdr:row>
      <xdr:rowOff>0</xdr:rowOff>
    </xdr:from>
    <xdr:ext cx="164043" cy="159026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0000000-0008-0000-1400-00009A010000}"/>
            </a:ext>
          </a:extLst>
        </xdr:cNvPr>
        <xdr:cNvSpPr txBox="1"/>
      </xdr:nvSpPr>
      <xdr:spPr>
        <a:xfrm>
          <a:off x="2674620" y="915162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</xdr:col>
      <xdr:colOff>472440</xdr:colOff>
      <xdr:row>163</xdr:row>
      <xdr:rowOff>17780</xdr:rowOff>
    </xdr:from>
    <xdr:ext cx="2823210" cy="280670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00000000-0008-0000-1400-00009B010000}"/>
            </a:ext>
          </a:extLst>
        </xdr:cNvPr>
        <xdr:cNvSpPr txBox="1"/>
      </xdr:nvSpPr>
      <xdr:spPr>
        <a:xfrm>
          <a:off x="1082040" y="935228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  <xdr:oneCellAnchor>
    <xdr:from>
      <xdr:col>10</xdr:col>
      <xdr:colOff>0</xdr:colOff>
      <xdr:row>124</xdr:row>
      <xdr:rowOff>0</xdr:rowOff>
    </xdr:from>
    <xdr:ext cx="1152939" cy="19343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00000000-0008-0000-1400-00009C010000}"/>
            </a:ext>
          </a:extLst>
        </xdr:cNvPr>
        <xdr:cNvSpPr txBox="1"/>
      </xdr:nvSpPr>
      <xdr:spPr>
        <a:xfrm>
          <a:off x="6332220" y="2202180"/>
          <a:ext cx="1152939" cy="193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PH" sz="1100"/>
            <a:t>       </a:t>
          </a:r>
        </a:p>
      </xdr:txBody>
    </xdr:sp>
    <xdr:clientData/>
  </xdr:oneCellAnchor>
  <xdr:oneCellAnchor>
    <xdr:from>
      <xdr:col>10</xdr:col>
      <xdr:colOff>47991</xdr:colOff>
      <xdr:row>123</xdr:row>
      <xdr:rowOff>176213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3" name="TextBox 412">
              <a:extLst>
                <a:ext uri="{FF2B5EF4-FFF2-40B4-BE49-F238E27FC236}">
                  <a16:creationId xmlns:a16="http://schemas.microsoft.com/office/drawing/2014/main" id="{00000000-0008-0000-1400-00009D010000}"/>
                </a:ext>
              </a:extLst>
            </xdr:cNvPr>
            <xdr:cNvSpPr txBox="1"/>
          </xdr:nvSpPr>
          <xdr:spPr>
            <a:xfrm>
              <a:off x="638021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Choice>
      <mc:Fallback xmlns="">
        <xdr:sp macro="" textlink="">
          <xdr:nvSpPr>
            <xdr:cNvPr id="413" name="TextBox 412">
              <a:extLst>
                <a:ext uri="{FF2B5EF4-FFF2-40B4-BE49-F238E27FC236}">
                  <a16:creationId xmlns:a16="http://schemas.microsoft.com/office/drawing/2014/main" id="{4FA81D73-6C8F-473C-A8F9-0574ADB54663}"/>
                </a:ext>
              </a:extLst>
            </xdr:cNvPr>
            <xdr:cNvSpPr txBox="1"/>
          </xdr:nvSpPr>
          <xdr:spPr>
            <a:xfrm>
              <a:off x="6380211" y="2195513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Vc = 0.17</a:t>
              </a:r>
              <a:r>
                <a:rPr lang="en-PH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/>
                <a:t> </a:t>
              </a:r>
              <a:r>
                <a:rPr lang="en-PH" sz="1100" i="1"/>
                <a:t>b</a:t>
              </a:r>
              <a:r>
                <a:rPr lang="en-PH" sz="700" i="1"/>
                <a:t>w</a:t>
              </a:r>
              <a:r>
                <a:rPr lang="en-PH" sz="1100"/>
                <a:t>d  =</a:t>
              </a:r>
            </a:p>
          </xdr:txBody>
        </xdr:sp>
      </mc:Fallback>
    </mc:AlternateContent>
    <xdr:clientData/>
  </xdr:oneCellAnchor>
  <xdr:oneCellAnchor>
    <xdr:from>
      <xdr:col>10</xdr:col>
      <xdr:colOff>94373</xdr:colOff>
      <xdr:row>126</xdr:row>
      <xdr:rowOff>44198</xdr:rowOff>
    </xdr:from>
    <xdr:ext cx="96656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4" name="TextBox 413">
              <a:extLst>
                <a:ext uri="{FF2B5EF4-FFF2-40B4-BE49-F238E27FC236}">
                  <a16:creationId xmlns:a16="http://schemas.microsoft.com/office/drawing/2014/main" id="{00000000-0008-0000-1400-00009E010000}"/>
                </a:ext>
              </a:extLst>
            </xdr:cNvPr>
            <xdr:cNvSpPr txBox="1"/>
          </xdr:nvSpPr>
          <xdr:spPr>
            <a:xfrm>
              <a:off x="642659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Choice>
      <mc:Fallback xmlns="">
        <xdr:sp macro="" textlink="">
          <xdr:nvSpPr>
            <xdr:cNvPr id="414" name="TextBox 413">
              <a:extLst>
                <a:ext uri="{FF2B5EF4-FFF2-40B4-BE49-F238E27FC236}">
                  <a16:creationId xmlns:a16="http://schemas.microsoft.com/office/drawing/2014/main" id="{AB05B4A1-1104-4DEB-8D82-46987831C62E}"/>
                </a:ext>
              </a:extLst>
            </xdr:cNvPr>
            <xdr:cNvSpPr txBox="1"/>
          </xdr:nvSpPr>
          <xdr:spPr>
            <a:xfrm>
              <a:off x="6426593" y="2612138"/>
              <a:ext cx="96656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 ≤ 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</a:t>
              </a:r>
            </a:p>
          </xdr:txBody>
        </xdr:sp>
      </mc:Fallback>
    </mc:AlternateContent>
    <xdr:clientData/>
  </xdr:oneCellAnchor>
  <xdr:oneCellAnchor>
    <xdr:from>
      <xdr:col>13</xdr:col>
      <xdr:colOff>620486</xdr:colOff>
      <xdr:row>126</xdr:row>
      <xdr:rowOff>12258</xdr:rowOff>
    </xdr:from>
    <xdr:ext cx="164043" cy="159026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00000000-0008-0000-1400-00009F010000}"/>
            </a:ext>
          </a:extLst>
        </xdr:cNvPr>
        <xdr:cNvSpPr txBox="1"/>
      </xdr:nvSpPr>
      <xdr:spPr>
        <a:xfrm>
          <a:off x="9010106" y="258019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</a:t>
          </a:r>
          <a:endParaRPr lang="en-PH" sz="1100" b="1"/>
        </a:p>
      </xdr:txBody>
    </xdr:sp>
    <xdr:clientData/>
  </xdr:oneCellAnchor>
  <xdr:oneCellAnchor>
    <xdr:from>
      <xdr:col>10</xdr:col>
      <xdr:colOff>26504</xdr:colOff>
      <xdr:row>131</xdr:row>
      <xdr:rowOff>39756</xdr:rowOff>
    </xdr:from>
    <xdr:ext cx="1278835" cy="359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6" name="TextBox 415">
              <a:extLst>
                <a:ext uri="{FF2B5EF4-FFF2-40B4-BE49-F238E27FC236}">
                  <a16:creationId xmlns:a16="http://schemas.microsoft.com/office/drawing/2014/main" id="{00000000-0008-0000-1400-0000A0010000}"/>
                </a:ext>
              </a:extLst>
            </xdr:cNvPr>
            <xdr:cNvSpPr txBox="1"/>
          </xdr:nvSpPr>
          <xdr:spPr>
            <a:xfrm>
              <a:off x="635872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  <m:r>
                        <m:rPr>
                          <m:nor/>
                        </m:rPr>
                        <a:rPr lang="en-US" sz="1100" b="1" baseline="0">
                          <a:solidFill>
                            <a:sysClr val="windowText" lastClr="00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Vc</m:t>
                      </m:r>
                    </m:num>
                    <m:den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𝟐</m:t>
                      </m:r>
                    </m:den>
                  </m:f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1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Choice>
      <mc:Fallback xmlns="">
        <xdr:sp macro="" textlink="">
          <xdr:nvSpPr>
            <xdr:cNvPr id="416" name="TextBox 415">
              <a:extLst>
                <a:ext uri="{FF2B5EF4-FFF2-40B4-BE49-F238E27FC236}">
                  <a16:creationId xmlns:a16="http://schemas.microsoft.com/office/drawing/2014/main" id="{0F509934-50F7-421A-B878-1D38250AE2CC}"/>
                </a:ext>
              </a:extLst>
            </xdr:cNvPr>
            <xdr:cNvSpPr txBox="1"/>
          </xdr:nvSpPr>
          <xdr:spPr>
            <a:xfrm>
              <a:off x="6358724" y="3522096"/>
              <a:ext cx="1278835" cy="359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1" baseline="0">
                  <a:solidFill>
                    <a:srgbClr val="FF0000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"ØVc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 &lt;  </a:t>
              </a:r>
              <a:r>
                <a:rPr lang="en-US" sz="11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   : </a:t>
              </a:r>
            </a:p>
          </xdr:txBody>
        </xdr:sp>
      </mc:Fallback>
    </mc:AlternateContent>
    <xdr:clientData/>
  </xdr:oneCellAnchor>
  <xdr:oneCellAnchor>
    <xdr:from>
      <xdr:col>15</xdr:col>
      <xdr:colOff>335281</xdr:colOff>
      <xdr:row>135</xdr:row>
      <xdr:rowOff>14246</xdr:rowOff>
    </xdr:from>
    <xdr:ext cx="249850" cy="168634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0000000-0008-0000-1400-0000A1010000}"/>
            </a:ext>
          </a:extLst>
        </xdr:cNvPr>
        <xdr:cNvSpPr txBox="1"/>
      </xdr:nvSpPr>
      <xdr:spPr>
        <a:xfrm>
          <a:off x="9951721" y="4228106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13</xdr:col>
      <xdr:colOff>119531</xdr:colOff>
      <xdr:row>131</xdr:row>
      <xdr:rowOff>79417</xdr:rowOff>
    </xdr:from>
    <xdr:ext cx="164043" cy="159026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00000000-0008-0000-1400-0000A2010000}"/>
            </a:ext>
          </a:extLst>
        </xdr:cNvPr>
        <xdr:cNvSpPr txBox="1"/>
      </xdr:nvSpPr>
      <xdr:spPr>
        <a:xfrm>
          <a:off x="8516771" y="3561757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133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9" name="TextBox 418">
              <a:extLst>
                <a:ext uri="{FF2B5EF4-FFF2-40B4-BE49-F238E27FC236}">
                  <a16:creationId xmlns:a16="http://schemas.microsoft.com/office/drawing/2014/main" id="{00000000-0008-0000-1400-0000A3010000}"/>
                </a:ext>
              </a:extLst>
            </xdr:cNvPr>
            <xdr:cNvSpPr txBox="1"/>
          </xdr:nvSpPr>
          <xdr:spPr>
            <a:xfrm>
              <a:off x="643161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=  </a:t>
              </a:r>
            </a:p>
          </xdr:txBody>
        </xdr:sp>
      </mc:Choice>
      <mc:Fallback xmlns="">
        <xdr:sp macro="" textlink="">
          <xdr:nvSpPr>
            <xdr:cNvPr id="419" name="TextBox 418">
              <a:extLst>
                <a:ext uri="{FF2B5EF4-FFF2-40B4-BE49-F238E27FC236}">
                  <a16:creationId xmlns:a16="http://schemas.microsoft.com/office/drawing/2014/main" id="{2F740BFF-EB9C-47F5-B649-4A2ADB8CEE02}"/>
                </a:ext>
              </a:extLst>
            </xdr:cNvPr>
            <xdr:cNvSpPr txBox="1"/>
          </xdr:nvSpPr>
          <xdr:spPr>
            <a:xfrm>
              <a:off x="6431612" y="385472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=  </a:t>
              </a:r>
            </a:p>
          </xdr:txBody>
        </xdr:sp>
      </mc:Fallback>
    </mc:AlternateContent>
    <xdr:clientData/>
  </xdr:oneCellAnchor>
  <xdr:oneCellAnchor>
    <xdr:from>
      <xdr:col>10</xdr:col>
      <xdr:colOff>99392</xdr:colOff>
      <xdr:row>135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0" name="TextBox 419">
              <a:extLst>
                <a:ext uri="{FF2B5EF4-FFF2-40B4-BE49-F238E27FC236}">
                  <a16:creationId xmlns:a16="http://schemas.microsoft.com/office/drawing/2014/main" id="{00000000-0008-0000-1400-0000A4010000}"/>
                </a:ext>
              </a:extLst>
            </xdr:cNvPr>
            <xdr:cNvSpPr txBox="1"/>
          </xdr:nvSpPr>
          <xdr:spPr>
            <a:xfrm>
              <a:off x="643161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=  </a:t>
              </a:r>
            </a:p>
          </xdr:txBody>
        </xdr:sp>
      </mc:Choice>
      <mc:Fallback xmlns="">
        <xdr:sp macro="" textlink="">
          <xdr:nvSpPr>
            <xdr:cNvPr id="420" name="TextBox 419">
              <a:extLst>
                <a:ext uri="{FF2B5EF4-FFF2-40B4-BE49-F238E27FC236}">
                  <a16:creationId xmlns:a16="http://schemas.microsoft.com/office/drawing/2014/main" id="{538AD331-6262-4AD7-AC36-968C3B5A08C9}"/>
                </a:ext>
              </a:extLst>
            </xdr:cNvPr>
            <xdr:cNvSpPr txBox="1"/>
          </xdr:nvSpPr>
          <xdr:spPr>
            <a:xfrm>
              <a:off x="6431612" y="426024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=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137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1" name="TextBox 420">
              <a:extLst>
                <a:ext uri="{FF2B5EF4-FFF2-40B4-BE49-F238E27FC236}">
                  <a16:creationId xmlns:a16="http://schemas.microsoft.com/office/drawing/2014/main" id="{00000000-0008-0000-1400-0000A5010000}"/>
                </a:ext>
              </a:extLst>
            </xdr:cNvPr>
            <xdr:cNvSpPr txBox="1"/>
          </xdr:nvSpPr>
          <xdr:spPr>
            <a:xfrm>
              <a:off x="644486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= </a:t>
              </a:r>
            </a:p>
          </xdr:txBody>
        </xdr:sp>
      </mc:Choice>
      <mc:Fallback xmlns="">
        <xdr:sp macro="" textlink="">
          <xdr:nvSpPr>
            <xdr:cNvPr id="421" name="TextBox 420">
              <a:extLst>
                <a:ext uri="{FF2B5EF4-FFF2-40B4-BE49-F238E27FC236}">
                  <a16:creationId xmlns:a16="http://schemas.microsoft.com/office/drawing/2014/main" id="{C5A793D1-D5C1-4848-97A9-5B540DCF905F}"/>
                </a:ext>
              </a:extLst>
            </xdr:cNvPr>
            <xdr:cNvSpPr txBox="1"/>
          </xdr:nvSpPr>
          <xdr:spPr>
            <a:xfrm>
              <a:off x="6444864" y="464588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= </a:t>
              </a:r>
            </a:p>
          </xdr:txBody>
        </xdr:sp>
      </mc:Fallback>
    </mc:AlternateContent>
    <xdr:clientData/>
  </xdr:oneCellAnchor>
  <xdr:oneCellAnchor>
    <xdr:from>
      <xdr:col>11</xdr:col>
      <xdr:colOff>17584</xdr:colOff>
      <xdr:row>130</xdr:row>
      <xdr:rowOff>0</xdr:rowOff>
    </xdr:from>
    <xdr:ext cx="555572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2" name="TextBox 421">
              <a:extLst>
                <a:ext uri="{FF2B5EF4-FFF2-40B4-BE49-F238E27FC236}">
                  <a16:creationId xmlns:a16="http://schemas.microsoft.com/office/drawing/2014/main" id="{00000000-0008-0000-1400-0000A6010000}"/>
                </a:ext>
              </a:extLst>
            </xdr:cNvPr>
            <xdr:cNvSpPr txBox="1"/>
          </xdr:nvSpPr>
          <xdr:spPr>
            <a:xfrm>
              <a:off x="719562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l-GR" sz="1100" b="0" i="0" u="none" strike="noStrike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π</m:t>
                      </m:r>
                      <m:r>
                        <m:rPr>
                          <m:nor/>
                        </m:rPr>
                        <a:rPr lang="el-GR" b="0"/>
                        <m:t> </m:t>
                      </m:r>
                    </m:num>
                    <m:den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(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</m:oMath>
              </a14:m>
              <a:r>
                <a:rPr lang="en-PH" sz="900" b="0"/>
                <a:t>t)(2)</a:t>
              </a:r>
              <a:endParaRPr lang="en-PH" sz="1100" b="0"/>
            </a:p>
          </xdr:txBody>
        </xdr:sp>
      </mc:Choice>
      <mc:Fallback xmlns="">
        <xdr:sp macro="" textlink="">
          <xdr:nvSpPr>
            <xdr:cNvPr id="422" name="TextBox 421">
              <a:extLst>
                <a:ext uri="{FF2B5EF4-FFF2-40B4-BE49-F238E27FC236}">
                  <a16:creationId xmlns:a16="http://schemas.microsoft.com/office/drawing/2014/main" id="{289C2A47-731C-4038-9618-D9C8726397EE}"/>
                </a:ext>
              </a:extLst>
            </xdr:cNvPr>
            <xdr:cNvSpPr txBox="1"/>
          </xdr:nvSpPr>
          <xdr:spPr>
            <a:xfrm>
              <a:off x="7195624" y="3299460"/>
              <a:ext cx="555572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 </a:t>
              </a:r>
              <a:r>
                <a:rPr lang="el-GR" sz="1100" b="0" i="0" u="none" strike="noStrike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"π</a:t>
              </a:r>
              <a:r>
                <a:rPr lang="el-GR" b="0" i="0"/>
                <a:t> </a:t>
              </a:r>
              <a:r>
                <a:rPr lang="el-GR" b="0" i="0">
                  <a:latin typeface="Cambria Math" panose="02040503050406030204" pitchFamily="18" charset="0"/>
                </a:rPr>
                <a:t>" </a:t>
              </a:r>
              <a:r>
                <a:rPr lang="en-PH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(</a:t>
              </a:r>
              <a:r>
                <a:rPr lang="en-US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</a:t>
              </a:r>
              <a:r>
                <a:rPr lang="en-PH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/>
                <a:t>t)(2)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10</xdr:col>
      <xdr:colOff>17585</xdr:colOff>
      <xdr:row>133</xdr:row>
      <xdr:rowOff>70339</xdr:rowOff>
    </xdr:from>
    <xdr:ext cx="164043" cy="159026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00000000-0008-0000-1400-0000A7010000}"/>
            </a:ext>
          </a:extLst>
        </xdr:cNvPr>
        <xdr:cNvSpPr txBox="1"/>
      </xdr:nvSpPr>
      <xdr:spPr>
        <a:xfrm>
          <a:off x="6349805" y="391843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135</xdr:row>
      <xdr:rowOff>99646</xdr:rowOff>
    </xdr:from>
    <xdr:ext cx="164043" cy="159026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0000000-0008-0000-1400-0000A8010000}"/>
            </a:ext>
          </a:extLst>
        </xdr:cNvPr>
        <xdr:cNvSpPr txBox="1"/>
      </xdr:nvSpPr>
      <xdr:spPr>
        <a:xfrm>
          <a:off x="6361528" y="431350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137</xdr:row>
      <xdr:rowOff>128953</xdr:rowOff>
    </xdr:from>
    <xdr:ext cx="164043" cy="159026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00000000-0008-0000-1400-0000A9010000}"/>
            </a:ext>
          </a:extLst>
        </xdr:cNvPr>
        <xdr:cNvSpPr txBox="1"/>
      </xdr:nvSpPr>
      <xdr:spPr>
        <a:xfrm>
          <a:off x="6367389" y="470857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45720</xdr:colOff>
      <xdr:row>141</xdr:row>
      <xdr:rowOff>0</xdr:rowOff>
    </xdr:from>
    <xdr:ext cx="1253271" cy="1872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6" name="TextBox 425">
              <a:extLst>
                <a:ext uri="{FF2B5EF4-FFF2-40B4-BE49-F238E27FC236}">
                  <a16:creationId xmlns:a16="http://schemas.microsoft.com/office/drawing/2014/main" id="{00000000-0008-0000-1400-0000AA010000}"/>
                </a:ext>
              </a:extLst>
            </xdr:cNvPr>
            <xdr:cNvSpPr txBox="1"/>
          </xdr:nvSpPr>
          <xdr:spPr>
            <a:xfrm>
              <a:off x="637794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𝒇</m:t>
                          </m:r>
                        </m:e>
                        <m:sup>
                          <m:r>
                            <a:rPr lang="en-US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𝒄</m:t>
                      </m:r>
                      <m:r>
                        <a:rPr lang="en-PH" sz="11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Choice>
      <mc:Fallback xmlns="">
        <xdr:sp macro="" textlink="">
          <xdr:nvSpPr>
            <xdr:cNvPr id="426" name="TextBox 425">
              <a:extLst>
                <a:ext uri="{FF2B5EF4-FFF2-40B4-BE49-F238E27FC236}">
                  <a16:creationId xmlns:a16="http://schemas.microsoft.com/office/drawing/2014/main" id="{ABCAD093-592D-4164-BA62-598B0859F85D}"/>
                </a:ext>
              </a:extLst>
            </xdr:cNvPr>
            <xdr:cNvSpPr txBox="1"/>
          </xdr:nvSpPr>
          <xdr:spPr>
            <a:xfrm>
              <a:off x="6377940" y="5311140"/>
              <a:ext cx="1253271" cy="1872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Vs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0.33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𝒇^′ 𝒄</a:t>
              </a:r>
              <a:r>
                <a:rPr lang="en-PH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  <a:r>
                <a:rPr lang="en-PH" sz="1100" b="1" i="1">
                  <a:solidFill>
                    <a:sysClr val="windowText" lastClr="000000"/>
                  </a:solidFill>
                </a:rPr>
                <a:t>b</a:t>
              </a:r>
              <a:r>
                <a:rPr lang="en-PH" sz="700" b="1" i="1">
                  <a:solidFill>
                    <a:sysClr val="windowText" lastClr="000000"/>
                  </a:solidFill>
                </a:rPr>
                <a:t>w</a:t>
              </a:r>
              <a:r>
                <a:rPr lang="en-PH" sz="1100" b="1">
                  <a:solidFill>
                    <a:sysClr val="windowText" lastClr="000000"/>
                  </a:solidFill>
                </a:rPr>
                <a:t>d  </a:t>
              </a:r>
            </a:p>
          </xdr:txBody>
        </xdr:sp>
      </mc:Fallback>
    </mc:AlternateContent>
    <xdr:clientData/>
  </xdr:oneCellAnchor>
  <xdr:oneCellAnchor>
    <xdr:from>
      <xdr:col>10</xdr:col>
      <xdr:colOff>45721</xdr:colOff>
      <xdr:row>142</xdr:row>
      <xdr:rowOff>15240</xdr:rowOff>
    </xdr:from>
    <xdr:ext cx="807720" cy="1719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7" name="TextBox 426">
              <a:extLst>
                <a:ext uri="{FF2B5EF4-FFF2-40B4-BE49-F238E27FC236}">
                  <a16:creationId xmlns:a16="http://schemas.microsoft.com/office/drawing/2014/main" id="{00000000-0008-0000-1400-0000AB010000}"/>
                </a:ext>
              </a:extLst>
            </xdr:cNvPr>
            <xdr:cNvSpPr txBox="1"/>
          </xdr:nvSpPr>
          <xdr:spPr>
            <a:xfrm>
              <a:off x="637794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1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Choice>
      <mc:Fallback xmlns="">
        <xdr:sp macro="" textlink="">
          <xdr:nvSpPr>
            <xdr:cNvPr id="427" name="TextBox 426">
              <a:extLst>
                <a:ext uri="{FF2B5EF4-FFF2-40B4-BE49-F238E27FC236}">
                  <a16:creationId xmlns:a16="http://schemas.microsoft.com/office/drawing/2014/main" id="{D29AC1CC-6E61-4932-AF34-FBF8CBA914A0}"/>
                </a:ext>
              </a:extLst>
            </xdr:cNvPr>
            <xdr:cNvSpPr txBox="1"/>
          </xdr:nvSpPr>
          <xdr:spPr>
            <a:xfrm>
              <a:off x="6377941" y="5509260"/>
              <a:ext cx="807720" cy="1719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Vu </a:t>
              </a:r>
              <a:r>
                <a:rPr lang="en-US" sz="1100" b="1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11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 3</a:t>
              </a:r>
              <a:r>
                <a:rPr lang="en-US" sz="11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1">
                  <a:solidFill>
                    <a:sysClr val="windowText" lastClr="000000"/>
                  </a:solidFill>
                </a:rPr>
                <a:t> </a:t>
              </a:r>
            </a:p>
          </xdr:txBody>
        </xdr:sp>
      </mc:Fallback>
    </mc:AlternateContent>
    <xdr:clientData/>
  </xdr:oneCellAnchor>
  <xdr:oneCellAnchor>
    <xdr:from>
      <xdr:col>10</xdr:col>
      <xdr:colOff>381000</xdr:colOff>
      <xdr:row>139</xdr:row>
      <xdr:rowOff>118110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8" name="TextBox 427">
              <a:extLst>
                <a:ext uri="{FF2B5EF4-FFF2-40B4-BE49-F238E27FC236}">
                  <a16:creationId xmlns:a16="http://schemas.microsoft.com/office/drawing/2014/main" id="{00000000-0008-0000-1400-0000AC010000}"/>
                </a:ext>
              </a:extLst>
            </xdr:cNvPr>
            <xdr:cNvSpPr txBox="1"/>
          </xdr:nvSpPr>
          <xdr:spPr>
            <a:xfrm>
              <a:off x="671322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10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1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1100" b="0"/>
            </a:p>
          </xdr:txBody>
        </xdr:sp>
      </mc:Choice>
      <mc:Fallback xmlns="">
        <xdr:sp macro="" textlink="">
          <xdr:nvSpPr>
            <xdr:cNvPr id="428" name="TextBox 427">
              <a:extLst>
                <a:ext uri="{FF2B5EF4-FFF2-40B4-BE49-F238E27FC236}">
                  <a16:creationId xmlns:a16="http://schemas.microsoft.com/office/drawing/2014/main" id="{C4AFF39B-89FD-42F2-AFF2-278A3F86C94E}"/>
                </a:ext>
              </a:extLst>
            </xdr:cNvPr>
            <xdr:cNvSpPr txBox="1"/>
          </xdr:nvSpPr>
          <xdr:spPr>
            <a:xfrm>
              <a:off x="6713220" y="5063490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Vs =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1100" b="0"/>
            </a:p>
          </xdr:txBody>
        </xdr:sp>
      </mc:Fallback>
    </mc:AlternateContent>
    <xdr:clientData/>
  </xdr:oneCellAnchor>
  <xdr:oneCellAnchor>
    <xdr:from>
      <xdr:col>14</xdr:col>
      <xdr:colOff>426896</xdr:colOff>
      <xdr:row>131</xdr:row>
      <xdr:rowOff>67381</xdr:rowOff>
    </xdr:from>
    <xdr:ext cx="145677" cy="156210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00000000-0008-0000-1400-0000AD010000}"/>
            </a:ext>
          </a:extLst>
        </xdr:cNvPr>
        <xdr:cNvSpPr txBox="1"/>
      </xdr:nvSpPr>
      <xdr:spPr>
        <a:xfrm>
          <a:off x="9433736" y="3549721"/>
          <a:ext cx="145677" cy="156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144</xdr:row>
      <xdr:rowOff>6626</xdr:rowOff>
    </xdr:from>
    <xdr:ext cx="1108086" cy="3333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0" name="TextBox 429">
              <a:extLst>
                <a:ext uri="{FF2B5EF4-FFF2-40B4-BE49-F238E27FC236}">
                  <a16:creationId xmlns:a16="http://schemas.microsoft.com/office/drawing/2014/main" id="{00000000-0008-0000-1400-0000AE010000}"/>
                </a:ext>
              </a:extLst>
            </xdr:cNvPr>
            <xdr:cNvSpPr txBox="1"/>
          </xdr:nvSpPr>
          <xdr:spPr>
            <a:xfrm>
              <a:off x="643161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9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9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0.062</m:t>
                      </m:r>
                      <m:rad>
                        <m:radPr>
                          <m:degHide m:val="on"/>
                          <m:ctrlP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radPr>
                        <m:deg/>
                        <m:e>
                          <m:sSup>
                            <m:sSupPr>
                              <m:ctrlP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</m:e>
                            <m:sup>
                              <m:r>
                                <a:rPr lang="en-US" sz="9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′</m:t>
                              </m:r>
                            </m:sup>
                          </m:sSup>
                          <m:r>
                            <a:rPr lang="en-US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r>
                            <a:rPr lang="en-PH" sz="9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</m:e>
                      </m:rad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9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30" name="TextBox 429">
              <a:extLst>
                <a:ext uri="{FF2B5EF4-FFF2-40B4-BE49-F238E27FC236}">
                  <a16:creationId xmlns:a16="http://schemas.microsoft.com/office/drawing/2014/main" id="{66B6E28F-61CB-4AE5-8FFF-8E90DEB0F281}"/>
                </a:ext>
              </a:extLst>
            </xdr:cNvPr>
            <xdr:cNvSpPr txBox="1"/>
          </xdr:nvSpPr>
          <xdr:spPr>
            <a:xfrm>
              <a:off x="6431612" y="5866406"/>
              <a:ext cx="1108086" cy="3333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0.062</a:t>
              </a:r>
              <a:r>
                <a:rPr lang="en-PH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bw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127967</xdr:colOff>
      <xdr:row>146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1" name="TextBox 430">
              <a:extLst>
                <a:ext uri="{FF2B5EF4-FFF2-40B4-BE49-F238E27FC236}">
                  <a16:creationId xmlns:a16="http://schemas.microsoft.com/office/drawing/2014/main" id="{00000000-0008-0000-1400-0000AF010000}"/>
                </a:ext>
              </a:extLst>
            </xdr:cNvPr>
            <xdr:cNvSpPr txBox="1"/>
          </xdr:nvSpPr>
          <xdr:spPr>
            <a:xfrm>
              <a:off x="646018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8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Avfyt</m:t>
                      </m:r>
                    </m:num>
                    <m:den>
                      <m:r>
                        <a:rPr lang="en-US" sz="8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</m:t>
                      </m:r>
                      <m:r>
                        <m:rPr>
                          <m:nor/>
                        </m:rPr>
                        <a:rPr lang="en-US" sz="800" b="0" i="0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35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lang="en-PH" sz="8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bw</m:t>
                      </m:r>
                      <m:r>
                        <m:rPr>
                          <m:nor/>
                        </m:rPr>
                        <a:rPr lang="en-PH" sz="8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31" name="TextBox 430">
              <a:extLst>
                <a:ext uri="{FF2B5EF4-FFF2-40B4-BE49-F238E27FC236}">
                  <a16:creationId xmlns:a16="http://schemas.microsoft.com/office/drawing/2014/main" id="{74E90E77-CDB0-4E3D-B9BC-B4E57758E3A9}"/>
                </a:ext>
              </a:extLst>
            </xdr:cNvPr>
            <xdr:cNvSpPr txBox="1"/>
          </xdr:nvSpPr>
          <xdr:spPr>
            <a:xfrm>
              <a:off x="6460187" y="627192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n-US" sz="8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0."35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bw </a:t>
              </a:r>
              <a:r>
                <a:rPr lang="en-PH" sz="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112644</xdr:colOff>
      <xdr:row>150</xdr:row>
      <xdr:rowOff>66261</xdr:rowOff>
    </xdr:from>
    <xdr:ext cx="555572" cy="2854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2" name="TextBox 431">
              <a:extLst>
                <a:ext uri="{FF2B5EF4-FFF2-40B4-BE49-F238E27FC236}">
                  <a16:creationId xmlns:a16="http://schemas.microsoft.com/office/drawing/2014/main" id="{00000000-0008-0000-1400-0000B0010000}"/>
                </a:ext>
              </a:extLst>
            </xdr:cNvPr>
            <xdr:cNvSpPr txBox="1"/>
          </xdr:nvSpPr>
          <xdr:spPr>
            <a:xfrm>
              <a:off x="644486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 baseline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32" name="TextBox 431">
              <a:extLst>
                <a:ext uri="{FF2B5EF4-FFF2-40B4-BE49-F238E27FC236}">
                  <a16:creationId xmlns:a16="http://schemas.microsoft.com/office/drawing/2014/main" id="{B82C2400-5D7B-4C44-82FB-3D90D19BB1C7}"/>
                </a:ext>
              </a:extLst>
            </xdr:cNvPr>
            <xdr:cNvSpPr txBox="1"/>
          </xdr:nvSpPr>
          <xdr:spPr>
            <a:xfrm>
              <a:off x="6444864" y="7023321"/>
              <a:ext cx="555572" cy="28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17585</xdr:colOff>
      <xdr:row>144</xdr:row>
      <xdr:rowOff>70339</xdr:rowOff>
    </xdr:from>
    <xdr:ext cx="164043" cy="159026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0000000-0008-0000-1400-0000B1010000}"/>
            </a:ext>
          </a:extLst>
        </xdr:cNvPr>
        <xdr:cNvSpPr txBox="1"/>
      </xdr:nvSpPr>
      <xdr:spPr>
        <a:xfrm>
          <a:off x="6349805" y="593011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29308</xdr:colOff>
      <xdr:row>146</xdr:row>
      <xdr:rowOff>99646</xdr:rowOff>
    </xdr:from>
    <xdr:ext cx="164043" cy="159026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1400-0000B2010000}"/>
            </a:ext>
          </a:extLst>
        </xdr:cNvPr>
        <xdr:cNvSpPr txBox="1"/>
      </xdr:nvSpPr>
      <xdr:spPr>
        <a:xfrm>
          <a:off x="6361528" y="632518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35169</xdr:colOff>
      <xdr:row>150</xdr:row>
      <xdr:rowOff>128953</xdr:rowOff>
    </xdr:from>
    <xdr:ext cx="164043" cy="159026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00000000-0008-0000-1400-0000B3010000}"/>
            </a:ext>
          </a:extLst>
        </xdr:cNvPr>
        <xdr:cNvSpPr txBox="1"/>
      </xdr:nvSpPr>
      <xdr:spPr>
        <a:xfrm>
          <a:off x="6367389" y="7086013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10</xdr:col>
      <xdr:colOff>99392</xdr:colOff>
      <xdr:row>148</xdr:row>
      <xdr:rowOff>46384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6" name="TextBox 435">
              <a:extLst>
                <a:ext uri="{FF2B5EF4-FFF2-40B4-BE49-F238E27FC236}">
                  <a16:creationId xmlns:a16="http://schemas.microsoft.com/office/drawing/2014/main" id="{00000000-0008-0000-1400-0000B4010000}"/>
                </a:ext>
              </a:extLst>
            </xdr:cNvPr>
            <xdr:cNvSpPr txBox="1"/>
          </xdr:nvSpPr>
          <xdr:spPr>
            <a:xfrm>
              <a:off x="643161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36" name="TextBox 435">
              <a:extLst>
                <a:ext uri="{FF2B5EF4-FFF2-40B4-BE49-F238E27FC236}">
                  <a16:creationId xmlns:a16="http://schemas.microsoft.com/office/drawing/2014/main" id="{6FBBB76D-02D6-4C7F-8E26-4D6AE87F9A20}"/>
                </a:ext>
              </a:extLst>
            </xdr:cNvPr>
            <xdr:cNvSpPr txBox="1"/>
          </xdr:nvSpPr>
          <xdr:spPr>
            <a:xfrm>
              <a:off x="6431612" y="6637684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29308</xdr:colOff>
      <xdr:row>148</xdr:row>
      <xdr:rowOff>99646</xdr:rowOff>
    </xdr:from>
    <xdr:ext cx="164043" cy="159026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00000000-0008-0000-1400-0000B5010000}"/>
            </a:ext>
          </a:extLst>
        </xdr:cNvPr>
        <xdr:cNvSpPr txBox="1"/>
      </xdr:nvSpPr>
      <xdr:spPr>
        <a:xfrm>
          <a:off x="6361528" y="6690946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*  </a:t>
          </a:r>
          <a:endParaRPr lang="en-PH" sz="1100" b="1"/>
        </a:p>
      </xdr:txBody>
    </xdr:sp>
    <xdr:clientData/>
  </xdr:oneCellAnchor>
  <xdr:oneCellAnchor>
    <xdr:from>
      <xdr:col>9</xdr:col>
      <xdr:colOff>173717</xdr:colOff>
      <xdr:row>154</xdr:row>
      <xdr:rowOff>4598</xdr:rowOff>
    </xdr:from>
    <xdr:ext cx="2020957" cy="2120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8" name="TextBox 437">
              <a:extLst>
                <a:ext uri="{FF2B5EF4-FFF2-40B4-BE49-F238E27FC236}">
                  <a16:creationId xmlns:a16="http://schemas.microsoft.com/office/drawing/2014/main" id="{00000000-0008-0000-1400-0000B6010000}"/>
                </a:ext>
              </a:extLst>
            </xdr:cNvPr>
            <xdr:cNvSpPr txBox="1"/>
          </xdr:nvSpPr>
          <xdr:spPr>
            <a:xfrm>
              <a:off x="589633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10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10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6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6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438" name="TextBox 437">
              <a:extLst>
                <a:ext uri="{FF2B5EF4-FFF2-40B4-BE49-F238E27FC236}">
                  <a16:creationId xmlns:a16="http://schemas.microsoft.com/office/drawing/2014/main" id="{CAB1425F-0A40-46DB-AE31-C22C6B5B752C}"/>
                </a:ext>
              </a:extLst>
            </xdr:cNvPr>
            <xdr:cNvSpPr txBox="1"/>
          </xdr:nvSpPr>
          <xdr:spPr>
            <a:xfrm>
              <a:off x="5896337" y="7693178"/>
              <a:ext cx="2020957" cy="212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00" b="1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0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.33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10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</a:rPr>
                <a:t>b</a:t>
              </a:r>
              <a:r>
                <a:rPr lang="en-PH" sz="500" b="0" i="1">
                  <a:solidFill>
                    <a:sysClr val="windowText" lastClr="000000"/>
                  </a:solidFill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</a:rPr>
                <a:t>d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&lt; Vs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7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00" b="0">
                  <a:solidFill>
                    <a:sysClr val="windowText" lastClr="000000"/>
                  </a:solidFill>
                </a:rPr>
                <a:t>  </a:t>
              </a:r>
            </a:p>
          </xdr:txBody>
        </xdr:sp>
      </mc:Fallback>
    </mc:AlternateContent>
    <xdr:clientData/>
  </xdr:oneCellAnchor>
  <xdr:oneCellAnchor>
    <xdr:from>
      <xdr:col>10</xdr:col>
      <xdr:colOff>62617</xdr:colOff>
      <xdr:row>155</xdr:row>
      <xdr:rowOff>16234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9" name="TextBox 438">
              <a:extLst>
                <a:ext uri="{FF2B5EF4-FFF2-40B4-BE49-F238E27FC236}">
                  <a16:creationId xmlns:a16="http://schemas.microsoft.com/office/drawing/2014/main" id="{00000000-0008-0000-1400-0000B7010000}"/>
                </a:ext>
              </a:extLst>
            </xdr:cNvPr>
            <xdr:cNvSpPr txBox="1"/>
          </xdr:nvSpPr>
          <xdr:spPr>
            <a:xfrm>
              <a:off x="639483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9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439" name="TextBox 438">
              <a:extLst>
                <a:ext uri="{FF2B5EF4-FFF2-40B4-BE49-F238E27FC236}">
                  <a16:creationId xmlns:a16="http://schemas.microsoft.com/office/drawing/2014/main" id="{5BF64AF2-2B5E-4EB0-AC0E-5CAD99FD0A09}"/>
                </a:ext>
              </a:extLst>
            </xdr:cNvPr>
            <xdr:cNvSpPr txBox="1"/>
          </xdr:nvSpPr>
          <xdr:spPr>
            <a:xfrm>
              <a:off x="6394837" y="788769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900" b="0">
                  <a:solidFill>
                    <a:sysClr val="windowText" lastClr="000000"/>
                  </a:solidFill>
                  <a:effectLst/>
                  <a:ea typeface="+mn-ea"/>
                  <a:cs typeface="+mn-cs"/>
                </a:rPr>
                <a:t>3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</a:rPr>
                <a:t>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&lt;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Vu </a:t>
              </a:r>
              <a:r>
                <a:rPr lang="en-US" sz="9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≤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9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9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9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9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406139</xdr:colOff>
      <xdr:row>152</xdr:row>
      <xdr:rowOff>111552</xdr:rowOff>
    </xdr:from>
    <xdr:ext cx="952500" cy="2813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0" name="TextBox 439">
              <a:extLst>
                <a:ext uri="{FF2B5EF4-FFF2-40B4-BE49-F238E27FC236}">
                  <a16:creationId xmlns:a16="http://schemas.microsoft.com/office/drawing/2014/main" id="{00000000-0008-0000-1400-0000B8010000}"/>
                </a:ext>
              </a:extLst>
            </xdr:cNvPr>
            <xdr:cNvSpPr txBox="1"/>
          </xdr:nvSpPr>
          <xdr:spPr>
            <a:xfrm>
              <a:off x="673835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14:m>
                <m:oMath xmlns:m="http://schemas.openxmlformats.org/officeDocument/2006/math">
                  <m:f>
                    <m:fPr>
                      <m:ctrlPr>
                        <a:rPr lang="en-PH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Vu</m:t>
                      </m:r>
                    </m:num>
                    <m:den>
                      <m:r>
                        <m:rPr>
                          <m:nor/>
                        </m:rPr>
                        <a:rPr lang="en-US" sz="900" b="0" baseline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Ø</m:t>
                      </m:r>
                    </m:den>
                  </m:f>
                  <m: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</m:t>
                  </m:r>
                  <m:r>
                    <m:rPr>
                      <m:sty m:val="p"/>
                    </m:rPr>
                    <a:rPr lang="en-US" sz="9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Vc</m:t>
                  </m:r>
                </m:oMath>
              </a14:m>
              <a:endParaRPr lang="en-PH" sz="900" b="0"/>
            </a:p>
          </xdr:txBody>
        </xdr:sp>
      </mc:Choice>
      <mc:Fallback xmlns="">
        <xdr:sp macro="" textlink="">
          <xdr:nvSpPr>
            <xdr:cNvPr id="440" name="TextBox 439">
              <a:extLst>
                <a:ext uri="{FF2B5EF4-FFF2-40B4-BE49-F238E27FC236}">
                  <a16:creationId xmlns:a16="http://schemas.microsoft.com/office/drawing/2014/main" id="{67D2B351-DEB2-4099-A5DF-8278ACF9B2B4}"/>
                </a:ext>
              </a:extLst>
            </xdr:cNvPr>
            <xdr:cNvSpPr txBox="1"/>
          </xdr:nvSpPr>
          <xdr:spPr>
            <a:xfrm>
              <a:off x="6738359" y="7434372"/>
              <a:ext cx="952500" cy="281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/>
                <a:t>  </a:t>
              </a:r>
              <a:r>
                <a:rPr lang="en-PH" sz="900" b="0"/>
                <a:t>Vs =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"Vu" </a:t>
              </a:r>
              <a:r>
                <a:rPr lang="en-PH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"Ø</a:t>
              </a:r>
              <a:r>
                <a:rPr lang="en-US" sz="9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−Vc</a:t>
              </a:r>
              <a:endParaRPr lang="en-PH" sz="900" b="0"/>
            </a:p>
          </xdr:txBody>
        </xdr:sp>
      </mc:Fallback>
    </mc:AlternateContent>
    <xdr:clientData/>
  </xdr:oneCellAnchor>
  <xdr:oneCellAnchor>
    <xdr:from>
      <xdr:col>14</xdr:col>
      <xdr:colOff>409232</xdr:colOff>
      <xdr:row>153</xdr:row>
      <xdr:rowOff>167484</xdr:rowOff>
    </xdr:from>
    <xdr:ext cx="164043" cy="159026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00000000-0008-0000-1400-0000B9010000}"/>
            </a:ext>
          </a:extLst>
        </xdr:cNvPr>
        <xdr:cNvSpPr txBox="1"/>
      </xdr:nvSpPr>
      <xdr:spPr>
        <a:xfrm>
          <a:off x="9416072" y="7673184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14</xdr:col>
      <xdr:colOff>409419</xdr:colOff>
      <xdr:row>155</xdr:row>
      <xdr:rowOff>7058</xdr:rowOff>
    </xdr:from>
    <xdr:ext cx="164043" cy="159026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00000000-0008-0000-1400-0000BA010000}"/>
            </a:ext>
          </a:extLst>
        </xdr:cNvPr>
        <xdr:cNvSpPr txBox="1"/>
      </xdr:nvSpPr>
      <xdr:spPr>
        <a:xfrm>
          <a:off x="9416259" y="7878518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≤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105087</xdr:colOff>
      <xdr:row>154</xdr:row>
      <xdr:rowOff>3529</xdr:rowOff>
    </xdr:from>
    <xdr:ext cx="164043" cy="159026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00000000-0008-0000-1400-0000BB010000}"/>
            </a:ext>
          </a:extLst>
        </xdr:cNvPr>
        <xdr:cNvSpPr txBox="1"/>
      </xdr:nvSpPr>
      <xdr:spPr>
        <a:xfrm>
          <a:off x="8502327" y="7692109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13</xdr:col>
      <xdr:colOff>105274</xdr:colOff>
      <xdr:row>155</xdr:row>
      <xdr:rowOff>7620</xdr:rowOff>
    </xdr:from>
    <xdr:ext cx="164043" cy="159026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0000000-0008-0000-1400-0000BC010000}"/>
            </a:ext>
          </a:extLst>
        </xdr:cNvPr>
        <xdr:cNvSpPr txBox="1"/>
      </xdr:nvSpPr>
      <xdr:spPr>
        <a:xfrm>
          <a:off x="8502514" y="787908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&lt;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225851</xdr:colOff>
      <xdr:row>158</xdr:row>
      <xdr:rowOff>140431</xdr:rowOff>
    </xdr:from>
    <xdr:ext cx="636865" cy="312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5" name="TextBox 444">
              <a:extLst>
                <a:ext uri="{FF2B5EF4-FFF2-40B4-BE49-F238E27FC236}">
                  <a16:creationId xmlns:a16="http://schemas.microsoft.com/office/drawing/2014/main" id="{00000000-0008-0000-1400-0000BD010000}"/>
                </a:ext>
              </a:extLst>
            </xdr:cNvPr>
            <xdr:cNvSpPr txBox="1"/>
          </xdr:nvSpPr>
          <xdr:spPr>
            <a:xfrm>
              <a:off x="655807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10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0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d</m:t>
                      </m:r>
                    </m:num>
                    <m:den>
                      <m:r>
                        <a:rPr lang="en-US" sz="1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45" name="TextBox 444">
              <a:extLst>
                <a:ext uri="{FF2B5EF4-FFF2-40B4-BE49-F238E27FC236}">
                  <a16:creationId xmlns:a16="http://schemas.microsoft.com/office/drawing/2014/main" id="{DC36EA46-744E-4075-8282-7B935CB712C8}"/>
                </a:ext>
              </a:extLst>
            </xdr:cNvPr>
            <xdr:cNvSpPr txBox="1"/>
          </xdr:nvSpPr>
          <xdr:spPr>
            <a:xfrm>
              <a:off x="6558071" y="8560531"/>
              <a:ext cx="636865" cy="312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10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"d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1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10</xdr:col>
      <xdr:colOff>177466</xdr:colOff>
      <xdr:row>157</xdr:row>
      <xdr:rowOff>11252</xdr:rowOff>
    </xdr:from>
    <xdr:ext cx="750532" cy="2935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6" name="TextBox 445">
              <a:extLst>
                <a:ext uri="{FF2B5EF4-FFF2-40B4-BE49-F238E27FC236}">
                  <a16:creationId xmlns:a16="http://schemas.microsoft.com/office/drawing/2014/main" id="{00000000-0008-0000-1400-0000BE010000}"/>
                </a:ext>
              </a:extLst>
            </xdr:cNvPr>
            <xdr:cNvSpPr txBox="1"/>
          </xdr:nvSpPr>
          <xdr:spPr>
            <a:xfrm>
              <a:off x="650968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14:m>
                <m:oMath xmlns:m="http://schemas.openxmlformats.org/officeDocument/2006/math">
                  <m:r>
                    <a:rPr lang="en-US" sz="700" b="0" i="0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</m:t>
                  </m:r>
                  <m:f>
                    <m:fPr>
                      <m:ctrlPr>
                        <a:rPr lang="en-PH" sz="7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Avf</m:t>
                      </m:r>
                      <m:r>
                        <m:rPr>
                          <m:nor/>
                        </m:rP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y</m:t>
                      </m:r>
                      <m:r>
                        <m:rPr>
                          <m:nor/>
                        </m:rPr>
                        <a:rPr lang="en-US" sz="9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td</m:t>
                      </m:r>
                    </m:num>
                    <m:den>
                      <m:r>
                        <a:rPr lang="en-US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𝑉𝑠</m:t>
                      </m:r>
                      <m:r>
                        <m:rPr>
                          <m:nor/>
                        </m:rPr>
                        <a:rPr lang="en-PH" sz="700" b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den>
                  </m:f>
                </m:oMath>
              </a14:m>
              <a:r>
                <a:rPr lang="en-PH" sz="1100" b="0"/>
                <a:t>   </a:t>
              </a:r>
            </a:p>
          </xdr:txBody>
        </xdr:sp>
      </mc:Choice>
      <mc:Fallback xmlns="">
        <xdr:sp macro="" textlink="">
          <xdr:nvSpPr>
            <xdr:cNvPr id="446" name="TextBox 445">
              <a:extLst>
                <a:ext uri="{FF2B5EF4-FFF2-40B4-BE49-F238E27FC236}">
                  <a16:creationId xmlns:a16="http://schemas.microsoft.com/office/drawing/2014/main" id="{1BB81681-C64F-4855-B78D-0BE4A8F8C997}"/>
                </a:ext>
              </a:extLst>
            </xdr:cNvPr>
            <xdr:cNvSpPr txBox="1"/>
          </xdr:nvSpPr>
          <xdr:spPr>
            <a:xfrm>
              <a:off x="6509686" y="8248472"/>
              <a:ext cx="750532" cy="2935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100" b="0" baseline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*S  </a:t>
              </a:r>
              <a:r>
                <a:rPr lang="en-US" sz="1100" b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≤ </a:t>
              </a:r>
              <a:r>
                <a:rPr lang="en-US" sz="7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"Avfytd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𝑉𝑠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en-PH" sz="7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PH" sz="1100" b="0"/>
                <a:t>   </a:t>
              </a:r>
            </a:p>
          </xdr:txBody>
        </xdr:sp>
      </mc:Fallback>
    </mc:AlternateContent>
    <xdr:clientData/>
  </xdr:oneCellAnchor>
  <xdr:oneCellAnchor>
    <xdr:from>
      <xdr:col>15</xdr:col>
      <xdr:colOff>401955</xdr:colOff>
      <xdr:row>158</xdr:row>
      <xdr:rowOff>22860</xdr:rowOff>
    </xdr:from>
    <xdr:ext cx="249850" cy="168634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0000000-0008-0000-1400-0000BF010000}"/>
            </a:ext>
          </a:extLst>
        </xdr:cNvPr>
        <xdr:cNvSpPr txBox="1"/>
      </xdr:nvSpPr>
      <xdr:spPr>
        <a:xfrm>
          <a:off x="10018395" y="8442960"/>
          <a:ext cx="249850" cy="1686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1" baseline="0">
              <a:solidFill>
                <a:srgbClr val="0070C0"/>
              </a:solidFill>
              <a:effectLst/>
              <a:ea typeface="+mn-ea"/>
              <a:cs typeface="+mn-cs"/>
            </a:rPr>
            <a:t>mm </a:t>
          </a:r>
          <a:endParaRPr lang="en-PH" sz="1100" b="1">
            <a:solidFill>
              <a:srgbClr val="0070C0"/>
            </a:solidFill>
          </a:endParaRPr>
        </a:p>
      </xdr:txBody>
    </xdr:sp>
    <xdr:clientData/>
  </xdr:oneCellAnchor>
  <xdr:oneCellAnchor>
    <xdr:from>
      <xdr:col>10</xdr:col>
      <xdr:colOff>38431</xdr:colOff>
      <xdr:row>161</xdr:row>
      <xdr:rowOff>0</xdr:rowOff>
    </xdr:from>
    <xdr:ext cx="1112190" cy="221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8" name="TextBox 447">
              <a:extLst>
                <a:ext uri="{FF2B5EF4-FFF2-40B4-BE49-F238E27FC236}">
                  <a16:creationId xmlns:a16="http://schemas.microsoft.com/office/drawing/2014/main" id="{00000000-0008-0000-1400-0000C0010000}"/>
                </a:ext>
              </a:extLst>
            </xdr:cNvPr>
            <xdr:cNvSpPr txBox="1"/>
          </xdr:nvSpPr>
          <xdr:spPr>
            <a:xfrm>
              <a:off x="637065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𝑓</m:t>
                          </m:r>
                        </m:e>
                        <m:sup>
                          <m:r>
                            <a:rPr lang="en-US" sz="700" b="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′</m:t>
                          </m:r>
                        </m:sup>
                      </m:sSup>
                      <m:r>
                        <a:rPr lang="en-US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  <m:r>
                        <a:rPr lang="en-PH" sz="700" b="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rad>
                </m:oMath>
              </a14:m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48" name="TextBox 447">
              <a:extLst>
                <a:ext uri="{FF2B5EF4-FFF2-40B4-BE49-F238E27FC236}">
                  <a16:creationId xmlns:a16="http://schemas.microsoft.com/office/drawing/2014/main" id="{CBE07940-52B8-4B2E-8CF5-D8F8898BF17F}"/>
                </a:ext>
              </a:extLst>
            </xdr:cNvPr>
            <xdr:cNvSpPr txBox="1"/>
          </xdr:nvSpPr>
          <xdr:spPr>
            <a:xfrm>
              <a:off x="6370651" y="8968740"/>
              <a:ext cx="1112190" cy="221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05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Vs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 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0.66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n-US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𝑐</a:t>
              </a:r>
              <a:r>
                <a:rPr lang="en-PH" sz="7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</a:t>
              </a:r>
              <a:r>
                <a:rPr lang="en-PH" sz="800" b="0" i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w</a:t>
              </a:r>
              <a:r>
                <a:rPr lang="en-PH" sz="105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d  </a:t>
              </a:r>
              <a:r>
                <a:rPr lang="en-US" sz="105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PH" sz="1050" b="0">
                  <a:solidFill>
                    <a:sysClr val="windowText" lastClr="000000"/>
                  </a:solidFill>
                </a:rPr>
                <a:t>  </a:t>
              </a:r>
              <a:endParaRPr lang="en-PH" sz="105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70237</xdr:colOff>
      <xdr:row>162</xdr:row>
      <xdr:rowOff>23854</xdr:rowOff>
    </xdr:from>
    <xdr:ext cx="1264919" cy="1759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9" name="TextBox 448">
              <a:extLst>
                <a:ext uri="{FF2B5EF4-FFF2-40B4-BE49-F238E27FC236}">
                  <a16:creationId xmlns:a16="http://schemas.microsoft.com/office/drawing/2014/main" id="{00000000-0008-0000-1400-0000C1010000}"/>
                </a:ext>
              </a:extLst>
            </xdr:cNvPr>
            <xdr:cNvSpPr txBox="1"/>
          </xdr:nvSpPr>
          <xdr:spPr>
            <a:xfrm>
              <a:off x="640245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Ø</m:t>
                  </m:r>
                  <m:r>
                    <m:rPr>
                      <m:nor/>
                    </m:rPr>
                    <a:rPr lang="en-US" sz="1100" b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Vc</m:t>
                  </m:r>
                </m:oMath>
              </a14:m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449" name="TextBox 448">
              <a:extLst>
                <a:ext uri="{FF2B5EF4-FFF2-40B4-BE49-F238E27FC236}">
                  <a16:creationId xmlns:a16="http://schemas.microsoft.com/office/drawing/2014/main" id="{97684C88-375C-4321-813B-8151B9E12829}"/>
                </a:ext>
              </a:extLst>
            </xdr:cNvPr>
            <xdr:cNvSpPr txBox="1"/>
          </xdr:nvSpPr>
          <xdr:spPr>
            <a:xfrm>
              <a:off x="6402457" y="9175474"/>
              <a:ext cx="1264919" cy="1759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Vu </a:t>
              </a:r>
              <a:r>
                <a:rPr lang="en-US" sz="1100" b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&gt;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5</a:t>
              </a:r>
              <a:r>
                <a:rPr lang="en-US" sz="1100" b="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"ØVc</a:t>
              </a:r>
              <a:r>
                <a:rPr lang="en-PH" sz="1100" b="0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PH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PH" sz="1100" b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oneCellAnchor>
  <xdr:oneCellAnchor>
    <xdr:from>
      <xdr:col>12</xdr:col>
      <xdr:colOff>632460</xdr:colOff>
      <xdr:row>161</xdr:row>
      <xdr:rowOff>0</xdr:rowOff>
    </xdr:from>
    <xdr:ext cx="164043" cy="159026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0000000-0008-0000-1400-0000C2010000}"/>
            </a:ext>
          </a:extLst>
        </xdr:cNvPr>
        <xdr:cNvSpPr txBox="1"/>
      </xdr:nvSpPr>
      <xdr:spPr>
        <a:xfrm>
          <a:off x="8397240" y="896874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12</xdr:col>
      <xdr:colOff>624840</xdr:colOff>
      <xdr:row>162</xdr:row>
      <xdr:rowOff>0</xdr:rowOff>
    </xdr:from>
    <xdr:ext cx="164043" cy="159026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0000000-0008-0000-1400-0000C3010000}"/>
            </a:ext>
          </a:extLst>
        </xdr:cNvPr>
        <xdr:cNvSpPr txBox="1"/>
      </xdr:nvSpPr>
      <xdr:spPr>
        <a:xfrm>
          <a:off x="8397240" y="9151620"/>
          <a:ext cx="164043" cy="1590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en-US" sz="1100" b="0" baseline="0">
              <a:solidFill>
                <a:schemeClr val="tx1"/>
              </a:solidFill>
              <a:effectLst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tx1"/>
              </a:solidFill>
              <a:effectLst/>
              <a:ea typeface="+mn-ea"/>
              <a:cs typeface="+mn-cs"/>
            </a:rPr>
            <a:t>  </a:t>
          </a:r>
          <a:endParaRPr lang="en-PH" sz="1100" b="1"/>
        </a:p>
      </xdr:txBody>
    </xdr:sp>
    <xdr:clientData/>
  </xdr:oneCellAnchor>
  <xdr:oneCellAnchor>
    <xdr:from>
      <xdr:col>10</xdr:col>
      <xdr:colOff>472440</xdr:colOff>
      <xdr:row>163</xdr:row>
      <xdr:rowOff>17780</xdr:rowOff>
    </xdr:from>
    <xdr:ext cx="2823210" cy="280670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00000000-0008-0000-1400-0000C4010000}"/>
            </a:ext>
          </a:extLst>
        </xdr:cNvPr>
        <xdr:cNvSpPr txBox="1"/>
      </xdr:nvSpPr>
      <xdr:spPr>
        <a:xfrm>
          <a:off x="6804660" y="9352280"/>
          <a:ext cx="2823210" cy="2806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noAutofit/>
        </a:bodyPr>
        <a:lstStyle/>
        <a:p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Beam is too small to accomodate shear reinforcements. </a:t>
          </a:r>
        </a:p>
        <a:p>
          <a:pPr algn="ctr"/>
          <a:r>
            <a:rPr lang="en-US" sz="800" b="1" baseline="0">
              <a:solidFill>
                <a:sysClr val="windowText" lastClr="000000"/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Revise by increasing beam dimensions.</a:t>
          </a:r>
          <a:r>
            <a:rPr lang="en-PH" sz="800" b="1">
              <a:solidFill>
                <a:sysClr val="windowText" lastClr="000000"/>
              </a:solidFill>
              <a:latin typeface="Century Gothic" panose="020B0502020202020204" pitchFamily="34" charset="0"/>
            </a:rPr>
            <a:t>   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209549</xdr:colOff>
      <xdr:row>15</xdr:row>
      <xdr:rowOff>38098</xdr:rowOff>
    </xdr:from>
    <xdr:to>
      <xdr:col>7</xdr:col>
      <xdr:colOff>417444</xdr:colOff>
      <xdr:row>21</xdr:row>
      <xdr:rowOff>135756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5112853" y="2741541"/>
          <a:ext cx="1506608" cy="1124702"/>
        </a:xfrm>
        <a:prstGeom prst="rect">
          <a:avLst/>
        </a:prstGeom>
      </xdr:spPr>
    </xdr:pic>
    <xdr:clientData/>
  </xdr:twoCellAnchor>
  <xdr:oneCellAnchor>
    <xdr:from>
      <xdr:col>15</xdr:col>
      <xdr:colOff>209549</xdr:colOff>
      <xdr:row>15</xdr:row>
      <xdr:rowOff>38098</xdr:rowOff>
    </xdr:from>
    <xdr:ext cx="1457325" cy="123494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18284189" y="2682238"/>
          <a:ext cx="1457325" cy="1234943"/>
        </a:xfrm>
        <a:prstGeom prst="rect">
          <a:avLst/>
        </a:prstGeom>
      </xdr:spPr>
    </xdr:pic>
    <xdr:clientData/>
  </xdr:oneCellAnchor>
  <xdr:oneCellAnchor>
    <xdr:from>
      <xdr:col>5</xdr:col>
      <xdr:colOff>209549</xdr:colOff>
      <xdr:row>54</xdr:row>
      <xdr:rowOff>38098</xdr:rowOff>
    </xdr:from>
    <xdr:ext cx="1457325" cy="12349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11601449" y="2743198"/>
          <a:ext cx="1457325" cy="1234943"/>
        </a:xfrm>
        <a:prstGeom prst="rect">
          <a:avLst/>
        </a:prstGeom>
      </xdr:spPr>
    </xdr:pic>
    <xdr:clientData/>
  </xdr:oneCellAnchor>
  <xdr:oneCellAnchor>
    <xdr:from>
      <xdr:col>15</xdr:col>
      <xdr:colOff>209549</xdr:colOff>
      <xdr:row>54</xdr:row>
      <xdr:rowOff>38098</xdr:rowOff>
    </xdr:from>
    <xdr:ext cx="1457325" cy="12349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18402299" y="2743198"/>
          <a:ext cx="1457325" cy="1234943"/>
        </a:xfrm>
        <a:prstGeom prst="rect">
          <a:avLst/>
        </a:prstGeom>
      </xdr:spPr>
    </xdr:pic>
    <xdr:clientData/>
  </xdr:oneCellAnchor>
  <xdr:oneCellAnchor>
    <xdr:from>
      <xdr:col>25</xdr:col>
      <xdr:colOff>209549</xdr:colOff>
      <xdr:row>15</xdr:row>
      <xdr:rowOff>38098</xdr:rowOff>
    </xdr:from>
    <xdr:ext cx="1457325" cy="12349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12782549" y="2819398"/>
          <a:ext cx="1457325" cy="1234943"/>
        </a:xfrm>
        <a:prstGeom prst="rect">
          <a:avLst/>
        </a:prstGeom>
      </xdr:spPr>
    </xdr:pic>
    <xdr:clientData/>
  </xdr:oneCellAnchor>
  <xdr:oneCellAnchor>
    <xdr:from>
      <xdr:col>25</xdr:col>
      <xdr:colOff>209549</xdr:colOff>
      <xdr:row>54</xdr:row>
      <xdr:rowOff>38098</xdr:rowOff>
    </xdr:from>
    <xdr:ext cx="1457325" cy="123494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12782549" y="9791698"/>
          <a:ext cx="1457325" cy="1234943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542925</xdr:colOff>
      <xdr:row>4</xdr:row>
      <xdr:rowOff>66674</xdr:rowOff>
    </xdr:from>
    <xdr:to>
      <xdr:col>18</xdr:col>
      <xdr:colOff>76200</xdr:colOff>
      <xdr:row>10</xdr:row>
      <xdr:rowOff>190498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885824"/>
          <a:ext cx="1362075" cy="13144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CD%20EXCEL%20J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AppData\Roaming\Microsoft\Excel\ETOFINALEXCEL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L_LL"/>
      <sheetName val="GRASP RESULT"/>
      <sheetName val="SLAB DESIGN"/>
      <sheetName val="BEAM DESIGN"/>
      <sheetName val="STIRRUP DESIGN"/>
      <sheetName val="COLUMN DESIGN"/>
      <sheetName val="LOADS FOR EQ"/>
      <sheetName val="BASE SHEAR"/>
      <sheetName val="PORTAL"/>
      <sheetName val="BEAM WITH EQ"/>
      <sheetName val="STIRRUP WITH EQ"/>
      <sheetName val="COLUMN WITH EQ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0">
          <cell r="B20">
            <v>101.86547039999999</v>
          </cell>
          <cell r="H20">
            <v>79.263230400000012</v>
          </cell>
          <cell r="N20">
            <v>79.263230400000012</v>
          </cell>
        </row>
        <row r="26">
          <cell r="B26">
            <v>131.88407040000001</v>
          </cell>
          <cell r="H26">
            <v>123.40823040000002</v>
          </cell>
          <cell r="N26">
            <v>111.88108800000002</v>
          </cell>
        </row>
        <row r="32">
          <cell r="B32">
            <v>126.2335104</v>
          </cell>
          <cell r="H32">
            <v>103.63127040000001</v>
          </cell>
          <cell r="N32">
            <v>68.089248000000012</v>
          </cell>
        </row>
      </sheetData>
      <sheetData sheetId="7" refreshError="1"/>
      <sheetData sheetId="8" refreshError="1">
        <row r="15">
          <cell r="H15">
            <v>27.528000000000002</v>
          </cell>
          <cell r="I15">
            <v>22.022400000000001</v>
          </cell>
          <cell r="J15">
            <v>27.528000000000002</v>
          </cell>
        </row>
        <row r="22">
          <cell r="H22">
            <v>25.765500000000003</v>
          </cell>
        </row>
        <row r="24">
          <cell r="G24">
            <v>-51.034800000000004</v>
          </cell>
        </row>
        <row r="45">
          <cell r="H45">
            <v>23.172000000000001</v>
          </cell>
          <cell r="I45">
            <v>18.537600000000001</v>
          </cell>
          <cell r="J45">
            <v>23.172000000000001</v>
          </cell>
        </row>
        <row r="82">
          <cell r="H82">
            <v>18.3645</v>
          </cell>
          <cell r="I82">
            <v>14.691599999999999</v>
          </cell>
          <cell r="J82">
            <v>18.3645</v>
          </cell>
          <cell r="M82">
            <v>18.3645</v>
          </cell>
        </row>
      </sheetData>
      <sheetData sheetId="9" refreshError="1">
        <row r="29">
          <cell r="H29">
            <v>340</v>
          </cell>
          <cell r="R29">
            <v>340</v>
          </cell>
          <cell r="AB29">
            <v>340</v>
          </cell>
          <cell r="AL29">
            <v>340</v>
          </cell>
          <cell r="AV29">
            <v>290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L LL "/>
      <sheetName val="GRASP MAXIMUM"/>
      <sheetName val="COLUMN WO EQ"/>
      <sheetName val=" GRASP MAXIMUM 1"/>
      <sheetName val="BEAM DESIGN WO EQ"/>
      <sheetName val="ONE WAY SLAB"/>
      <sheetName val="TWO WAY SLAB"/>
      <sheetName val="STAIR"/>
      <sheetName val="DL FOR EQ"/>
      <sheetName val="DESIGN BASE SHEAR AND LATERAL F"/>
      <sheetName val="PINAKAFINAL PORTAL"/>
      <sheetName val="AXIAL VALUES"/>
      <sheetName val="LD. COMB. AND NEW COL."/>
      <sheetName val="WITH EARTHQUAKE"/>
      <sheetName val="LD. COMB. AND NEW BEAM FINAL"/>
      <sheetName val="DESIGN OF 1 AND 2W SLAB SUMMARY"/>
      <sheetName val="SHEAR VALUES"/>
      <sheetName val="DESIGN OF STIRRUPS"/>
      <sheetName val="DESIGN OF BEAM SUMMARY"/>
      <sheetName val="FINAL BEAM SUMMARY"/>
      <sheetName val="Sheet1"/>
      <sheetName val="DESIGN OF COLUMN SUMMARY"/>
      <sheetName val="DESIGN SUMMARY OF FOO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7">
          <cell r="C37">
            <v>250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499984740745262"/>
  </sheetPr>
  <dimension ref="A1:W67"/>
  <sheetViews>
    <sheetView showGridLines="0" zoomScaleNormal="100" zoomScalePageLayoutView="93" workbookViewId="0">
      <selection activeCell="Q17" sqref="Q17"/>
    </sheetView>
  </sheetViews>
  <sheetFormatPr defaultColWidth="8.88671875" defaultRowHeight="13.8" x14ac:dyDescent="0.25"/>
  <cols>
    <col min="1" max="1" width="8.88671875" style="63"/>
    <col min="2" max="10" width="8.88671875" style="62"/>
    <col min="11" max="11" width="10.6640625" style="65" customWidth="1"/>
    <col min="12" max="22" width="8.88671875" style="62"/>
    <col min="23" max="23" width="8.88671875" style="65"/>
    <col min="24" max="16384" width="8.88671875" style="62"/>
  </cols>
  <sheetData>
    <row r="1" spans="1:23" x14ac:dyDescent="0.25">
      <c r="A1" s="672" t="s">
        <v>536</v>
      </c>
      <c r="B1" s="673"/>
      <c r="C1" s="673"/>
      <c r="D1" s="673"/>
      <c r="E1" s="673"/>
      <c r="F1" s="673"/>
      <c r="G1" s="673"/>
      <c r="H1" s="673"/>
      <c r="I1" s="673"/>
      <c r="J1" s="673"/>
      <c r="K1" s="673"/>
      <c r="L1" s="673"/>
      <c r="M1" s="673"/>
      <c r="N1" s="673"/>
      <c r="O1" s="673"/>
      <c r="P1" s="673"/>
      <c r="Q1" s="673"/>
      <c r="R1" s="673"/>
      <c r="S1" s="673"/>
      <c r="T1" s="673"/>
      <c r="U1" s="673"/>
      <c r="V1" s="673"/>
      <c r="W1" s="674"/>
    </row>
    <row r="2" spans="1:23" x14ac:dyDescent="0.25">
      <c r="A2" s="675"/>
      <c r="B2" s="676"/>
      <c r="C2" s="676"/>
      <c r="D2" s="676"/>
      <c r="E2" s="676"/>
      <c r="F2" s="676"/>
      <c r="G2" s="676"/>
      <c r="H2" s="676"/>
      <c r="I2" s="676"/>
      <c r="J2" s="676"/>
      <c r="K2" s="676"/>
      <c r="L2" s="676"/>
      <c r="M2" s="676"/>
      <c r="N2" s="676"/>
      <c r="O2" s="676"/>
      <c r="P2" s="676"/>
      <c r="Q2" s="676"/>
      <c r="R2" s="676"/>
      <c r="S2" s="676"/>
      <c r="T2" s="676"/>
      <c r="U2" s="676"/>
      <c r="V2" s="676"/>
      <c r="W2" s="677"/>
    </row>
    <row r="3" spans="1:23" ht="31.2" customHeight="1" x14ac:dyDescent="0.25">
      <c r="A3" s="675"/>
      <c r="B3" s="676"/>
      <c r="C3" s="676"/>
      <c r="D3" s="676"/>
      <c r="E3" s="676"/>
      <c r="F3" s="676"/>
      <c r="G3" s="676"/>
      <c r="H3" s="676"/>
      <c r="I3" s="676"/>
      <c r="J3" s="676"/>
      <c r="K3" s="676"/>
      <c r="L3" s="676"/>
      <c r="M3" s="676"/>
      <c r="N3" s="676"/>
      <c r="O3" s="676"/>
      <c r="P3" s="676"/>
      <c r="Q3" s="676"/>
      <c r="R3" s="676"/>
      <c r="S3" s="676"/>
      <c r="T3" s="676"/>
      <c r="U3" s="676"/>
      <c r="V3" s="676"/>
      <c r="W3" s="677"/>
    </row>
    <row r="4" spans="1:23" ht="31.2" customHeight="1" thickBot="1" x14ac:dyDescent="0.3">
      <c r="A4" s="678"/>
      <c r="B4" s="679"/>
      <c r="C4" s="679"/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80"/>
    </row>
    <row r="5" spans="1:23" x14ac:dyDescent="0.25">
      <c r="A5" s="681" t="s">
        <v>537</v>
      </c>
      <c r="B5" s="682"/>
      <c r="C5" s="682"/>
      <c r="D5" s="682"/>
      <c r="E5" s="682"/>
      <c r="F5" s="682"/>
      <c r="G5" s="682"/>
      <c r="H5" s="682"/>
      <c r="I5" s="682"/>
      <c r="J5" s="682"/>
      <c r="K5" s="683"/>
      <c r="L5" s="681" t="s">
        <v>541</v>
      </c>
      <c r="M5" s="682"/>
      <c r="N5" s="682"/>
      <c r="O5" s="682"/>
      <c r="P5" s="682"/>
      <c r="Q5" s="682"/>
      <c r="R5" s="682"/>
      <c r="S5" s="682"/>
      <c r="T5" s="682"/>
      <c r="U5" s="682"/>
      <c r="V5" s="682"/>
      <c r="W5" s="683"/>
    </row>
    <row r="6" spans="1:23" x14ac:dyDescent="0.25">
      <c r="A6" s="257">
        <v>46722</v>
      </c>
      <c r="L6" s="62" t="s">
        <v>540</v>
      </c>
    </row>
    <row r="7" spans="1:23" x14ac:dyDescent="0.25">
      <c r="A7" s="63" t="s">
        <v>194</v>
      </c>
      <c r="L7" s="62" t="s">
        <v>542</v>
      </c>
    </row>
    <row r="8" spans="1:23" x14ac:dyDescent="0.25">
      <c r="A8" s="63" t="s">
        <v>274</v>
      </c>
      <c r="L8" s="62" t="s">
        <v>538</v>
      </c>
    </row>
    <row r="9" spans="1:23" x14ac:dyDescent="0.25">
      <c r="A9" s="63" t="s">
        <v>198</v>
      </c>
      <c r="L9" s="62" t="s">
        <v>556</v>
      </c>
    </row>
    <row r="10" spans="1:23" x14ac:dyDescent="0.25">
      <c r="A10" s="63" t="s">
        <v>195</v>
      </c>
      <c r="L10" s="62" t="s">
        <v>557</v>
      </c>
    </row>
    <row r="11" spans="1:23" x14ac:dyDescent="0.25">
      <c r="A11" s="63" t="s">
        <v>196</v>
      </c>
      <c r="L11" s="62" t="s">
        <v>718</v>
      </c>
    </row>
    <row r="12" spans="1:23" x14ac:dyDescent="0.25">
      <c r="A12" s="63" t="s">
        <v>197</v>
      </c>
    </row>
    <row r="13" spans="1:23" x14ac:dyDescent="0.25">
      <c r="A13" s="63" t="s">
        <v>275</v>
      </c>
    </row>
    <row r="15" spans="1:23" x14ac:dyDescent="0.25">
      <c r="A15" s="257">
        <v>47088</v>
      </c>
    </row>
    <row r="16" spans="1:23" x14ac:dyDescent="0.25">
      <c r="A16" s="63" t="s">
        <v>329</v>
      </c>
    </row>
    <row r="17" spans="1:1" x14ac:dyDescent="0.25">
      <c r="A17" s="63" t="s">
        <v>328</v>
      </c>
    </row>
    <row r="18" spans="1:1" x14ac:dyDescent="0.25">
      <c r="A18" s="63" t="s">
        <v>291</v>
      </c>
    </row>
    <row r="19" spans="1:1" x14ac:dyDescent="0.25">
      <c r="A19" s="63" t="s">
        <v>299</v>
      </c>
    </row>
    <row r="20" spans="1:1" x14ac:dyDescent="0.25">
      <c r="A20" s="63" t="s">
        <v>327</v>
      </c>
    </row>
    <row r="21" spans="1:1" x14ac:dyDescent="0.25">
      <c r="A21" s="63" t="s">
        <v>431</v>
      </c>
    </row>
    <row r="22" spans="1:1" x14ac:dyDescent="0.25">
      <c r="A22" s="63" t="s">
        <v>480</v>
      </c>
    </row>
    <row r="23" spans="1:1" x14ac:dyDescent="0.25">
      <c r="A23" s="63" t="s">
        <v>481</v>
      </c>
    </row>
    <row r="24" spans="1:1" x14ac:dyDescent="0.25">
      <c r="A24" s="63" t="s">
        <v>482</v>
      </c>
    </row>
    <row r="25" spans="1:1" x14ac:dyDescent="0.25">
      <c r="A25" s="63" t="s">
        <v>507</v>
      </c>
    </row>
    <row r="26" spans="1:1" x14ac:dyDescent="0.25">
      <c r="A26" s="63" t="s">
        <v>514</v>
      </c>
    </row>
    <row r="27" spans="1:1" x14ac:dyDescent="0.25">
      <c r="A27" s="63" t="s">
        <v>528</v>
      </c>
    </row>
    <row r="28" spans="1:1" x14ac:dyDescent="0.25">
      <c r="A28" s="63" t="s">
        <v>529</v>
      </c>
    </row>
    <row r="29" spans="1:1" x14ac:dyDescent="0.25">
      <c r="A29" s="63" t="s">
        <v>530</v>
      </c>
    </row>
    <row r="30" spans="1:1" x14ac:dyDescent="0.25">
      <c r="A30" s="63" t="s">
        <v>539</v>
      </c>
    </row>
    <row r="32" spans="1:1" x14ac:dyDescent="0.25">
      <c r="A32" s="257">
        <v>47453</v>
      </c>
    </row>
    <row r="33" spans="1:4" x14ac:dyDescent="0.25">
      <c r="A33" s="63" t="s">
        <v>548</v>
      </c>
    </row>
    <row r="35" spans="1:4" x14ac:dyDescent="0.25">
      <c r="A35" s="257">
        <v>11293</v>
      </c>
    </row>
    <row r="36" spans="1:4" x14ac:dyDescent="0.25">
      <c r="A36" s="63" t="s">
        <v>555</v>
      </c>
    </row>
    <row r="37" spans="1:4" x14ac:dyDescent="0.25">
      <c r="A37" s="63" t="s">
        <v>558</v>
      </c>
    </row>
    <row r="39" spans="1:4" x14ac:dyDescent="0.25">
      <c r="A39" s="257">
        <v>36892</v>
      </c>
    </row>
    <row r="40" spans="1:4" x14ac:dyDescent="0.25">
      <c r="A40" s="63" t="s">
        <v>559</v>
      </c>
    </row>
    <row r="41" spans="1:4" x14ac:dyDescent="0.25">
      <c r="A41" s="63" t="s">
        <v>560</v>
      </c>
    </row>
    <row r="42" spans="1:4" x14ac:dyDescent="0.25">
      <c r="A42" s="63" t="s">
        <v>563</v>
      </c>
    </row>
    <row r="43" spans="1:4" x14ac:dyDescent="0.25">
      <c r="A43" s="63" t="s">
        <v>562</v>
      </c>
    </row>
    <row r="45" spans="1:4" x14ac:dyDescent="0.25">
      <c r="A45" s="257">
        <v>40909</v>
      </c>
    </row>
    <row r="46" spans="1:4" x14ac:dyDescent="0.25">
      <c r="A46" s="63" t="s">
        <v>580</v>
      </c>
    </row>
    <row r="47" spans="1:4" x14ac:dyDescent="0.25">
      <c r="A47" s="101" t="s">
        <v>573</v>
      </c>
      <c r="B47" s="375"/>
      <c r="C47" s="375"/>
      <c r="D47" s="375"/>
    </row>
    <row r="48" spans="1:4" x14ac:dyDescent="0.25">
      <c r="A48" s="101" t="s">
        <v>574</v>
      </c>
      <c r="B48" s="375"/>
      <c r="C48" s="375"/>
      <c r="D48" s="375"/>
    </row>
    <row r="49" spans="1:4" x14ac:dyDescent="0.25">
      <c r="A49" s="101" t="s">
        <v>575</v>
      </c>
      <c r="B49" s="375"/>
      <c r="C49" s="375"/>
      <c r="D49" s="375"/>
    </row>
    <row r="50" spans="1:4" x14ac:dyDescent="0.25">
      <c r="A50" s="101" t="s">
        <v>577</v>
      </c>
      <c r="B50" s="375"/>
      <c r="C50" s="375"/>
      <c r="D50" s="375"/>
    </row>
    <row r="51" spans="1:4" x14ac:dyDescent="0.25">
      <c r="A51" s="101" t="s">
        <v>578</v>
      </c>
      <c r="B51" s="375"/>
      <c r="C51" s="375"/>
      <c r="D51" s="375"/>
    </row>
    <row r="52" spans="1:4" x14ac:dyDescent="0.25">
      <c r="A52" s="101" t="s">
        <v>579</v>
      </c>
      <c r="B52" s="375"/>
      <c r="C52" s="375"/>
      <c r="D52" s="375"/>
    </row>
    <row r="53" spans="1:4" x14ac:dyDescent="0.25">
      <c r="A53" s="101" t="s">
        <v>582</v>
      </c>
    </row>
    <row r="54" spans="1:4" x14ac:dyDescent="0.25">
      <c r="A54" s="101" t="s">
        <v>583</v>
      </c>
    </row>
    <row r="55" spans="1:4" x14ac:dyDescent="0.25">
      <c r="A55" s="101" t="s">
        <v>584</v>
      </c>
    </row>
    <row r="56" spans="1:4" x14ac:dyDescent="0.25">
      <c r="A56" s="101" t="s">
        <v>585</v>
      </c>
    </row>
    <row r="57" spans="1:4" x14ac:dyDescent="0.25">
      <c r="A57" s="101"/>
    </row>
    <row r="58" spans="1:4" x14ac:dyDescent="0.25">
      <c r="A58" s="63" t="s">
        <v>708</v>
      </c>
    </row>
    <row r="59" spans="1:4" x14ac:dyDescent="0.25">
      <c r="A59" s="63" t="s">
        <v>709</v>
      </c>
    </row>
    <row r="60" spans="1:4" x14ac:dyDescent="0.25">
      <c r="A60" s="63" t="s">
        <v>710</v>
      </c>
    </row>
    <row r="61" spans="1:4" x14ac:dyDescent="0.25">
      <c r="A61" s="63" t="s">
        <v>711</v>
      </c>
    </row>
    <row r="62" spans="1:4" x14ac:dyDescent="0.25">
      <c r="A62" s="63" t="s">
        <v>712</v>
      </c>
    </row>
    <row r="63" spans="1:4" x14ac:dyDescent="0.25">
      <c r="A63" s="63" t="s">
        <v>713</v>
      </c>
    </row>
    <row r="65" spans="1:3" x14ac:dyDescent="0.25">
      <c r="A65" s="257">
        <v>40969</v>
      </c>
      <c r="C65" s="62" t="s">
        <v>714</v>
      </c>
    </row>
    <row r="66" spans="1:3" x14ac:dyDescent="0.25">
      <c r="A66" s="63" t="s">
        <v>715</v>
      </c>
    </row>
    <row r="67" spans="1:3" x14ac:dyDescent="0.25">
      <c r="A67" s="63" t="s">
        <v>716</v>
      </c>
    </row>
  </sheetData>
  <mergeCells count="3">
    <mergeCell ref="A1:W4"/>
    <mergeCell ref="A5:K5"/>
    <mergeCell ref="L5:W5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2"/>
  <sheetViews>
    <sheetView workbookViewId="0">
      <selection activeCell="B15" sqref="B15"/>
    </sheetView>
  </sheetViews>
  <sheetFormatPr defaultRowHeight="14.4" x14ac:dyDescent="0.3"/>
  <sheetData>
    <row r="1" spans="1:17" x14ac:dyDescent="0.3">
      <c r="A1" t="s">
        <v>354</v>
      </c>
    </row>
    <row r="3" spans="1:17" x14ac:dyDescent="0.3">
      <c r="A3" t="s">
        <v>589</v>
      </c>
      <c r="J3" t="s">
        <v>183</v>
      </c>
    </row>
    <row r="5" spans="1:17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J5" t="s">
        <v>0</v>
      </c>
      <c r="K5" t="s">
        <v>1</v>
      </c>
      <c r="L5" t="s">
        <v>2</v>
      </c>
      <c r="M5" t="s">
        <v>3</v>
      </c>
      <c r="N5" t="s">
        <v>4</v>
      </c>
      <c r="O5" t="s">
        <v>5</v>
      </c>
      <c r="P5" t="s">
        <v>6</v>
      </c>
      <c r="Q5" t="s">
        <v>7</v>
      </c>
    </row>
    <row r="6" spans="1:17" x14ac:dyDescent="0.3">
      <c r="A6">
        <v>1</v>
      </c>
      <c r="B6">
        <v>-4.1929999999999996</v>
      </c>
      <c r="C6">
        <v>2.7606000000000002</v>
      </c>
      <c r="D6">
        <v>-4.9889000000000001</v>
      </c>
      <c r="E6">
        <v>11.444100000000001</v>
      </c>
      <c r="F6">
        <v>-12.0808</v>
      </c>
      <c r="G6">
        <v>-0.47889999999999999</v>
      </c>
      <c r="H6">
        <v>-0.47889999999999999</v>
      </c>
      <c r="J6">
        <v>1</v>
      </c>
      <c r="K6">
        <v>-1.6734</v>
      </c>
      <c r="L6">
        <v>1.3621000000000001</v>
      </c>
      <c r="M6">
        <v>-1.5398000000000001</v>
      </c>
      <c r="N6">
        <v>4.8033999999999999</v>
      </c>
      <c r="O6">
        <v>-4.6966000000000001</v>
      </c>
      <c r="P6">
        <v>-0.96609999999999996</v>
      </c>
      <c r="Q6">
        <v>-0.96609999999999996</v>
      </c>
    </row>
    <row r="7" spans="1:17" x14ac:dyDescent="0.3">
      <c r="A7">
        <v>2</v>
      </c>
      <c r="B7">
        <v>-4.9889000000000001</v>
      </c>
      <c r="C7">
        <v>2.7606000000000002</v>
      </c>
      <c r="D7">
        <v>-4.1929999999999996</v>
      </c>
      <c r="E7">
        <v>12.0808</v>
      </c>
      <c r="F7">
        <v>-11.444100000000001</v>
      </c>
      <c r="G7">
        <v>-0.47889999999999999</v>
      </c>
      <c r="H7">
        <v>-0.47889999999999999</v>
      </c>
      <c r="J7">
        <v>2</v>
      </c>
      <c r="K7">
        <v>-0.378</v>
      </c>
      <c r="L7">
        <v>0</v>
      </c>
      <c r="M7">
        <v>-9.0899999999999995E-2</v>
      </c>
      <c r="N7">
        <v>0.1148</v>
      </c>
      <c r="O7">
        <v>0.1148</v>
      </c>
      <c r="P7">
        <v>0.66300000000000003</v>
      </c>
      <c r="Q7">
        <v>0.66300000000000003</v>
      </c>
    </row>
    <row r="8" spans="1:17" x14ac:dyDescent="0.3">
      <c r="A8">
        <v>3</v>
      </c>
      <c r="B8">
        <v>-6.4612999999999996</v>
      </c>
      <c r="C8">
        <v>4.7831999999999999</v>
      </c>
      <c r="D8">
        <v>-8.1911000000000005</v>
      </c>
      <c r="E8">
        <v>18.6831</v>
      </c>
      <c r="F8">
        <v>-20.0669</v>
      </c>
      <c r="G8">
        <v>0.76290000000000002</v>
      </c>
      <c r="H8">
        <v>0.76290000000000002</v>
      </c>
      <c r="J8">
        <v>3</v>
      </c>
      <c r="K8">
        <v>-0.45889999999999997</v>
      </c>
      <c r="L8">
        <v>0</v>
      </c>
      <c r="M8">
        <v>-0.54039999999999999</v>
      </c>
      <c r="N8">
        <v>-3.2599999999999997E-2</v>
      </c>
      <c r="O8">
        <v>-3.2599999999999997E-2</v>
      </c>
      <c r="P8">
        <v>0.53049999999999997</v>
      </c>
      <c r="Q8">
        <v>0.53049999999999997</v>
      </c>
    </row>
    <row r="9" spans="1:17" x14ac:dyDescent="0.3">
      <c r="A9">
        <v>4</v>
      </c>
      <c r="B9">
        <v>-8.1911000000000005</v>
      </c>
      <c r="C9">
        <v>4.7831999999999999</v>
      </c>
      <c r="D9">
        <v>-6.4612999999999996</v>
      </c>
      <c r="E9">
        <v>20.0669</v>
      </c>
      <c r="F9">
        <v>-18.6831</v>
      </c>
      <c r="G9">
        <v>0.76290000000000002</v>
      </c>
      <c r="H9">
        <v>0.76290000000000002</v>
      </c>
      <c r="J9">
        <v>4</v>
      </c>
      <c r="K9">
        <v>-2.5304000000000002</v>
      </c>
      <c r="L9">
        <v>2.5072000000000001</v>
      </c>
      <c r="M9">
        <v>-2.9239999999999999</v>
      </c>
      <c r="N9">
        <v>8.2175999999999991</v>
      </c>
      <c r="O9">
        <v>-8.5324000000000009</v>
      </c>
      <c r="P9">
        <v>0.68149999999999999</v>
      </c>
      <c r="Q9">
        <v>0.68149999999999999</v>
      </c>
    </row>
    <row r="10" spans="1:17" x14ac:dyDescent="0.3">
      <c r="A10">
        <v>5</v>
      </c>
      <c r="B10">
        <v>-3.7928999999999999</v>
      </c>
      <c r="C10">
        <v>3.5891000000000002</v>
      </c>
      <c r="D10">
        <v>-5.4526000000000003</v>
      </c>
      <c r="E10">
        <v>12.473599999999999</v>
      </c>
      <c r="F10">
        <v>-13.801399999999999</v>
      </c>
      <c r="G10">
        <v>-2.3195000000000001</v>
      </c>
      <c r="H10">
        <v>-2.3195000000000001</v>
      </c>
      <c r="J10">
        <v>5</v>
      </c>
      <c r="K10">
        <v>-1.6386000000000001</v>
      </c>
      <c r="L10">
        <v>2.1831</v>
      </c>
      <c r="M10">
        <v>-3.1147</v>
      </c>
      <c r="N10">
        <v>6.6595000000000004</v>
      </c>
      <c r="O10">
        <v>-7.8404999999999996</v>
      </c>
      <c r="P10">
        <v>-0.67100000000000004</v>
      </c>
      <c r="Q10">
        <v>-0.67100000000000004</v>
      </c>
    </row>
    <row r="11" spans="1:17" x14ac:dyDescent="0.3">
      <c r="A11">
        <v>6</v>
      </c>
      <c r="B11">
        <v>-5.4526000000000003</v>
      </c>
      <c r="C11">
        <v>3.5891000000000002</v>
      </c>
      <c r="D11">
        <v>-3.7928999999999999</v>
      </c>
      <c r="E11">
        <v>13.801399999999999</v>
      </c>
      <c r="F11">
        <v>-12.473599999999999</v>
      </c>
      <c r="G11">
        <v>-2.3195000000000001</v>
      </c>
      <c r="H11">
        <v>-2.3195000000000001</v>
      </c>
      <c r="J11">
        <v>6</v>
      </c>
      <c r="K11">
        <v>-3.5341</v>
      </c>
      <c r="L11">
        <v>1.8933</v>
      </c>
      <c r="M11">
        <v>-1.8224</v>
      </c>
      <c r="N11">
        <v>7.9347000000000003</v>
      </c>
      <c r="O11">
        <v>-6.5652999999999997</v>
      </c>
      <c r="P11">
        <v>-1.1385000000000001</v>
      </c>
      <c r="Q11">
        <v>-1.1385000000000001</v>
      </c>
    </row>
    <row r="12" spans="1:17" x14ac:dyDescent="0.3">
      <c r="A12">
        <v>7</v>
      </c>
      <c r="B12">
        <v>1.0098</v>
      </c>
      <c r="C12">
        <v>1.0098</v>
      </c>
      <c r="D12">
        <v>-2.0434999999999999</v>
      </c>
      <c r="E12">
        <v>-2.0354999999999999</v>
      </c>
      <c r="F12">
        <v>-2.0354999999999999</v>
      </c>
      <c r="G12">
        <v>-42.6008</v>
      </c>
      <c r="H12">
        <v>-42.6008</v>
      </c>
      <c r="J12">
        <v>7</v>
      </c>
      <c r="K12">
        <v>0.48580000000000001</v>
      </c>
      <c r="L12">
        <v>0.48580000000000001</v>
      </c>
      <c r="M12">
        <v>-1.1740999999999999</v>
      </c>
      <c r="N12">
        <v>-1.1066</v>
      </c>
      <c r="O12">
        <v>-1.1066</v>
      </c>
      <c r="P12">
        <v>-11.430400000000001</v>
      </c>
      <c r="Q12">
        <v>-11.430400000000001</v>
      </c>
    </row>
    <row r="13" spans="1:17" x14ac:dyDescent="0.3">
      <c r="A13">
        <v>8</v>
      </c>
      <c r="B13">
        <v>2.1495000000000002</v>
      </c>
      <c r="C13">
        <v>2.1495000000000002</v>
      </c>
      <c r="D13">
        <v>-2.8317000000000001</v>
      </c>
      <c r="E13">
        <v>-1.5566</v>
      </c>
      <c r="F13">
        <v>-1.5566</v>
      </c>
      <c r="G13">
        <v>-31.156700000000001</v>
      </c>
      <c r="H13">
        <v>-31.156700000000001</v>
      </c>
      <c r="J13">
        <v>8</v>
      </c>
      <c r="K13">
        <v>0.49940000000000001</v>
      </c>
      <c r="L13">
        <v>0.49940000000000001</v>
      </c>
      <c r="M13">
        <v>4.9700000000000001E-2</v>
      </c>
      <c r="N13">
        <v>-0.14050000000000001</v>
      </c>
      <c r="O13">
        <v>-0.14050000000000001</v>
      </c>
      <c r="P13">
        <v>-6.6269999999999998</v>
      </c>
      <c r="Q13">
        <v>-6.6269999999999998</v>
      </c>
    </row>
    <row r="14" spans="1:17" x14ac:dyDescent="0.3">
      <c r="A14">
        <v>9</v>
      </c>
      <c r="B14">
        <v>3.6295999999999999</v>
      </c>
      <c r="C14">
        <v>3.6295999999999999</v>
      </c>
      <c r="D14">
        <v>-3.7928999999999999</v>
      </c>
      <c r="E14">
        <v>-2.3195000000000001</v>
      </c>
      <c r="F14">
        <v>-2.3195000000000001</v>
      </c>
      <c r="G14">
        <v>-12.473599999999999</v>
      </c>
      <c r="H14">
        <v>-12.473599999999999</v>
      </c>
      <c r="J14">
        <v>9</v>
      </c>
      <c r="K14">
        <v>0.50860000000000005</v>
      </c>
      <c r="L14">
        <v>0.50860000000000005</v>
      </c>
      <c r="M14">
        <v>-1.6386000000000001</v>
      </c>
      <c r="N14">
        <v>-0.67100000000000004</v>
      </c>
      <c r="O14">
        <v>-0.67100000000000004</v>
      </c>
      <c r="P14">
        <v>-6.6595000000000004</v>
      </c>
      <c r="Q14">
        <v>-6.6595000000000004</v>
      </c>
    </row>
    <row r="15" spans="1:17" x14ac:dyDescent="0.3">
      <c r="A15">
        <v>10</v>
      </c>
      <c r="B15" s="5">
        <v>-1.62141E-16</v>
      </c>
      <c r="C15" s="5">
        <v>7.4535800000000004E-17</v>
      </c>
      <c r="D15" s="5">
        <v>7.4535800000000004E-17</v>
      </c>
      <c r="E15" s="5">
        <v>1.5778500000000001E-16</v>
      </c>
      <c r="F15" s="5">
        <v>1.5778500000000001E-16</v>
      </c>
      <c r="G15">
        <v>-91.898300000000006</v>
      </c>
      <c r="H15">
        <v>-91.898300000000006</v>
      </c>
      <c r="J15">
        <v>10</v>
      </c>
      <c r="K15">
        <v>-0.7077</v>
      </c>
      <c r="L15">
        <v>1.2613000000000001</v>
      </c>
      <c r="M15">
        <v>1.2613000000000001</v>
      </c>
      <c r="N15">
        <v>1.3126</v>
      </c>
      <c r="O15">
        <v>1.3126</v>
      </c>
      <c r="P15">
        <v>-28.8367</v>
      </c>
      <c r="Q15">
        <v>-28.8367</v>
      </c>
    </row>
    <row r="16" spans="1:17" x14ac:dyDescent="0.3">
      <c r="A16">
        <v>11</v>
      </c>
      <c r="B16" s="5">
        <v>-8.2743900000000002E-17</v>
      </c>
      <c r="C16" s="5">
        <v>1.01849E-16</v>
      </c>
      <c r="D16" s="5">
        <v>1.01849E-16</v>
      </c>
      <c r="E16" s="5">
        <v>5.7685300000000002E-17</v>
      </c>
      <c r="F16" s="5">
        <v>5.7685300000000002E-17</v>
      </c>
      <c r="G16">
        <v>-67.736599999999996</v>
      </c>
      <c r="H16">
        <v>-67.736599999999996</v>
      </c>
      <c r="J16">
        <v>11</v>
      </c>
      <c r="K16">
        <v>9.9400000000000002E-2</v>
      </c>
      <c r="L16">
        <v>9.9400000000000002E-2</v>
      </c>
      <c r="M16">
        <v>-0.9133</v>
      </c>
      <c r="N16">
        <v>-0.3165</v>
      </c>
      <c r="O16">
        <v>-0.3165</v>
      </c>
      <c r="P16">
        <v>-24.025300000000001</v>
      </c>
      <c r="Q16">
        <v>-24.025300000000001</v>
      </c>
    </row>
    <row r="17" spans="1:17" x14ac:dyDescent="0.3">
      <c r="A17">
        <v>12</v>
      </c>
      <c r="B17" s="5">
        <v>5.5574899999999999E-16</v>
      </c>
      <c r="C17" s="5">
        <v>5.5574899999999999E-16</v>
      </c>
      <c r="D17" s="5">
        <v>-8.0662200000000001E-16</v>
      </c>
      <c r="E17" s="5">
        <v>-4.2574100000000001E-16</v>
      </c>
      <c r="F17" s="5">
        <v>-4.2574100000000001E-16</v>
      </c>
      <c r="G17">
        <v>-27.602799999999998</v>
      </c>
      <c r="H17">
        <v>-27.602799999999998</v>
      </c>
      <c r="J17">
        <v>12</v>
      </c>
      <c r="K17">
        <v>1.0768</v>
      </c>
      <c r="L17">
        <v>1.0768</v>
      </c>
      <c r="M17">
        <v>-0.4194</v>
      </c>
      <c r="N17">
        <v>-0.46750000000000003</v>
      </c>
      <c r="O17">
        <v>-0.46750000000000003</v>
      </c>
      <c r="P17">
        <v>-15.7752</v>
      </c>
      <c r="Q17">
        <v>-15.7752</v>
      </c>
    </row>
    <row r="18" spans="1:17" x14ac:dyDescent="0.3">
      <c r="A18">
        <v>13</v>
      </c>
      <c r="B18">
        <v>-1.0098</v>
      </c>
      <c r="C18">
        <v>2.0434999999999999</v>
      </c>
      <c r="D18">
        <v>2.0434999999999999</v>
      </c>
      <c r="E18">
        <v>2.0354999999999999</v>
      </c>
      <c r="F18">
        <v>2.0354999999999999</v>
      </c>
      <c r="G18">
        <v>-42.6008</v>
      </c>
      <c r="H18">
        <v>-42.6008</v>
      </c>
      <c r="J18">
        <v>13</v>
      </c>
      <c r="K18">
        <v>4.0599999999999997E-2</v>
      </c>
      <c r="L18">
        <v>4.0599999999999997E-2</v>
      </c>
      <c r="M18">
        <v>-0.26850000000000002</v>
      </c>
      <c r="N18">
        <v>-0.20599999999999999</v>
      </c>
      <c r="O18">
        <v>-0.20599999999999999</v>
      </c>
      <c r="P18">
        <v>-14.982900000000001</v>
      </c>
      <c r="Q18">
        <v>-14.982900000000001</v>
      </c>
    </row>
    <row r="19" spans="1:17" x14ac:dyDescent="0.3">
      <c r="A19">
        <v>14</v>
      </c>
      <c r="B19">
        <v>-2.1495000000000002</v>
      </c>
      <c r="C19">
        <v>2.8317000000000001</v>
      </c>
      <c r="D19">
        <v>2.8317000000000001</v>
      </c>
      <c r="E19">
        <v>1.5566</v>
      </c>
      <c r="F19">
        <v>1.5566</v>
      </c>
      <c r="G19">
        <v>-31.156700000000001</v>
      </c>
      <c r="H19">
        <v>-31.156700000000001</v>
      </c>
      <c r="J19">
        <v>14</v>
      </c>
      <c r="K19">
        <v>-0.3594</v>
      </c>
      <c r="L19">
        <v>1.103</v>
      </c>
      <c r="M19">
        <v>1.103</v>
      </c>
      <c r="N19">
        <v>0.45700000000000002</v>
      </c>
      <c r="O19">
        <v>0.45700000000000002</v>
      </c>
      <c r="P19">
        <v>-15.0977</v>
      </c>
      <c r="Q19">
        <v>-15.0977</v>
      </c>
    </row>
    <row r="20" spans="1:17" x14ac:dyDescent="0.3">
      <c r="A20">
        <v>15</v>
      </c>
      <c r="B20">
        <v>-3.6295999999999999</v>
      </c>
      <c r="C20">
        <v>3.7928999999999999</v>
      </c>
      <c r="D20">
        <v>3.7928999999999999</v>
      </c>
      <c r="E20">
        <v>2.3195000000000001</v>
      </c>
      <c r="F20">
        <v>2.3195000000000001</v>
      </c>
      <c r="G20">
        <v>-12.473599999999999</v>
      </c>
      <c r="H20">
        <v>-12.473599999999999</v>
      </c>
      <c r="J20">
        <v>15</v>
      </c>
      <c r="K20">
        <v>-1.821</v>
      </c>
      <c r="L20">
        <v>1.8224</v>
      </c>
      <c r="M20">
        <v>1.8224</v>
      </c>
      <c r="N20">
        <v>1.1385000000000001</v>
      </c>
      <c r="O20">
        <v>1.1385000000000001</v>
      </c>
      <c r="P20">
        <v>-6.5652999999999997</v>
      </c>
      <c r="Q20">
        <v>-6.5652999999999997</v>
      </c>
    </row>
    <row r="23" spans="1:17" x14ac:dyDescent="0.3">
      <c r="A23" t="s">
        <v>353</v>
      </c>
    </row>
    <row r="25" spans="1:17" x14ac:dyDescent="0.3">
      <c r="A25" t="s">
        <v>589</v>
      </c>
      <c r="J25" t="s">
        <v>183</v>
      </c>
    </row>
    <row r="26" spans="1:17" x14ac:dyDescent="0.3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J26" t="s">
        <v>0</v>
      </c>
      <c r="K26" t="s">
        <v>1</v>
      </c>
      <c r="L26" t="s">
        <v>2</v>
      </c>
      <c r="M26" t="s">
        <v>3</v>
      </c>
      <c r="N26" t="s">
        <v>4</v>
      </c>
      <c r="O26" t="s">
        <v>5</v>
      </c>
      <c r="P26" t="s">
        <v>6</v>
      </c>
      <c r="Q26" t="s">
        <v>7</v>
      </c>
    </row>
    <row r="27" spans="1:17" x14ac:dyDescent="0.3">
      <c r="A27">
        <v>1</v>
      </c>
      <c r="B27">
        <v>-4.0444000000000004</v>
      </c>
      <c r="C27">
        <v>2.7692999999999999</v>
      </c>
      <c r="D27">
        <v>-5.1201999999999996</v>
      </c>
      <c r="E27">
        <v>11.3322</v>
      </c>
      <c r="F27">
        <v>-12.1928</v>
      </c>
      <c r="G27">
        <v>-0.71450000000000002</v>
      </c>
      <c r="H27">
        <v>-0.71450000000000002</v>
      </c>
      <c r="J27">
        <v>1</v>
      </c>
      <c r="K27">
        <v>-2.23E-2</v>
      </c>
      <c r="L27">
        <v>0</v>
      </c>
      <c r="M27">
        <v>-0.57850000000000001</v>
      </c>
      <c r="N27">
        <v>-0.2225</v>
      </c>
      <c r="O27">
        <v>-0.2225</v>
      </c>
      <c r="P27">
        <v>0.56799999999999995</v>
      </c>
      <c r="Q27">
        <v>0.56799999999999995</v>
      </c>
    </row>
    <row r="28" spans="1:17" x14ac:dyDescent="0.3">
      <c r="A28">
        <v>2</v>
      </c>
      <c r="B28">
        <v>-5.1201999999999996</v>
      </c>
      <c r="C28">
        <v>2.7692999999999999</v>
      </c>
      <c r="D28">
        <v>-4.0444000000000004</v>
      </c>
      <c r="E28">
        <v>12.1928</v>
      </c>
      <c r="F28">
        <v>-11.3322</v>
      </c>
      <c r="G28">
        <v>-0.71450000000000002</v>
      </c>
      <c r="H28">
        <v>-0.71450000000000002</v>
      </c>
      <c r="J28">
        <v>2</v>
      </c>
      <c r="K28">
        <v>-2.4803000000000002</v>
      </c>
      <c r="L28">
        <v>2.0044</v>
      </c>
      <c r="M28">
        <v>-2.4169999999999998</v>
      </c>
      <c r="N28">
        <v>7.1502999999999997</v>
      </c>
      <c r="O28">
        <v>-7.0997000000000003</v>
      </c>
      <c r="P28">
        <v>-1.3572</v>
      </c>
      <c r="Q28">
        <v>-1.3572</v>
      </c>
    </row>
    <row r="29" spans="1:17" x14ac:dyDescent="0.3">
      <c r="A29">
        <v>3</v>
      </c>
      <c r="B29">
        <v>-5.0395000000000003</v>
      </c>
      <c r="C29">
        <v>3.8363999999999998</v>
      </c>
      <c r="D29">
        <v>-6.6627999999999998</v>
      </c>
      <c r="E29">
        <v>14.8507</v>
      </c>
      <c r="F29">
        <v>-16.1493</v>
      </c>
      <c r="G29">
        <v>0.22309999999999999</v>
      </c>
      <c r="H29">
        <v>0.22309999999999999</v>
      </c>
      <c r="J29">
        <v>3</v>
      </c>
      <c r="K29">
        <v>-2.5849000000000002</v>
      </c>
      <c r="L29">
        <v>2.145</v>
      </c>
      <c r="M29">
        <v>-2.0312999999999999</v>
      </c>
      <c r="N29">
        <v>7.3464999999999998</v>
      </c>
      <c r="O29">
        <v>-6.9035000000000002</v>
      </c>
      <c r="P29">
        <v>0.67759999999999998</v>
      </c>
      <c r="Q29">
        <v>0.67759999999999998</v>
      </c>
    </row>
    <row r="30" spans="1:17" x14ac:dyDescent="0.3">
      <c r="A30">
        <v>4</v>
      </c>
      <c r="B30">
        <v>-6.6627999999999998</v>
      </c>
      <c r="C30">
        <v>3.8363999999999998</v>
      </c>
      <c r="D30">
        <v>-5.0395000000000003</v>
      </c>
      <c r="E30">
        <v>16.1493</v>
      </c>
      <c r="F30">
        <v>-14.8507</v>
      </c>
      <c r="G30">
        <v>0.22309999999999999</v>
      </c>
      <c r="H30">
        <v>0.22309999999999999</v>
      </c>
      <c r="J30">
        <v>4</v>
      </c>
      <c r="K30">
        <v>-0.41770000000000002</v>
      </c>
      <c r="L30">
        <v>0</v>
      </c>
      <c r="M30">
        <v>-0.51039999999999996</v>
      </c>
      <c r="N30">
        <v>-3.7100000000000001E-2</v>
      </c>
      <c r="O30">
        <v>-3.7100000000000001E-2</v>
      </c>
      <c r="P30">
        <v>0.40600000000000003</v>
      </c>
      <c r="Q30">
        <v>0.40600000000000003</v>
      </c>
    </row>
    <row r="31" spans="1:17" x14ac:dyDescent="0.3">
      <c r="A31">
        <v>5</v>
      </c>
      <c r="B31">
        <v>-2.4409999999999998</v>
      </c>
      <c r="C31">
        <v>2.0724</v>
      </c>
      <c r="D31">
        <v>-2.9453</v>
      </c>
      <c r="E31">
        <v>7.4233000000000002</v>
      </c>
      <c r="F31">
        <v>-7.8266999999999998</v>
      </c>
      <c r="G31">
        <v>-1.5859000000000001</v>
      </c>
      <c r="H31">
        <v>-1.5859000000000001</v>
      </c>
      <c r="J31">
        <v>5</v>
      </c>
      <c r="K31">
        <v>-1.7543</v>
      </c>
      <c r="L31">
        <v>1.8818999999999999</v>
      </c>
      <c r="M31">
        <v>-3.4708000000000001</v>
      </c>
      <c r="N31">
        <v>6.4383999999999997</v>
      </c>
      <c r="O31">
        <v>-7.8116000000000003</v>
      </c>
      <c r="P31">
        <v>-1.0612999999999999</v>
      </c>
      <c r="Q31">
        <v>-1.0612999999999999</v>
      </c>
    </row>
    <row r="32" spans="1:17" x14ac:dyDescent="0.3">
      <c r="A32">
        <v>6</v>
      </c>
      <c r="B32">
        <v>-2.9453</v>
      </c>
      <c r="C32">
        <v>2.0724</v>
      </c>
      <c r="D32">
        <v>-2.4409999999999998</v>
      </c>
      <c r="E32">
        <v>7.8266999999999998</v>
      </c>
      <c r="F32">
        <v>-7.4233000000000002</v>
      </c>
      <c r="G32">
        <v>-1.5859000000000001</v>
      </c>
      <c r="H32">
        <v>-1.5859000000000001</v>
      </c>
      <c r="J32">
        <v>6</v>
      </c>
      <c r="K32">
        <v>-3.0987</v>
      </c>
      <c r="L32">
        <v>2.1404000000000001</v>
      </c>
      <c r="M32">
        <v>-1.5888</v>
      </c>
      <c r="N32">
        <v>7.7290000000000001</v>
      </c>
      <c r="O32">
        <v>-6.5209999999999999</v>
      </c>
      <c r="P32">
        <v>-0.64500000000000002</v>
      </c>
      <c r="Q32">
        <v>-0.64500000000000002</v>
      </c>
    </row>
    <row r="33" spans="1:17" x14ac:dyDescent="0.3">
      <c r="A33">
        <v>7</v>
      </c>
      <c r="B33">
        <v>1.0267999999999999</v>
      </c>
      <c r="C33">
        <v>1.0267999999999999</v>
      </c>
      <c r="D33">
        <v>-2.0891999999999999</v>
      </c>
      <c r="E33">
        <v>-2.0773000000000001</v>
      </c>
      <c r="F33">
        <v>-2.0773000000000001</v>
      </c>
      <c r="G33">
        <v>-33.606099999999998</v>
      </c>
      <c r="H33">
        <v>-33.606099999999998</v>
      </c>
      <c r="J33">
        <v>7</v>
      </c>
      <c r="K33">
        <v>-1.38E-2</v>
      </c>
      <c r="L33">
        <v>0.26269999999999999</v>
      </c>
      <c r="M33">
        <v>0.26269999999999999</v>
      </c>
      <c r="N33">
        <v>0.18429999999999999</v>
      </c>
      <c r="O33">
        <v>0.18429999999999999</v>
      </c>
      <c r="P33">
        <v>-13.5624</v>
      </c>
      <c r="Q33">
        <v>-13.5624</v>
      </c>
    </row>
    <row r="34" spans="1:17" x14ac:dyDescent="0.3">
      <c r="A34">
        <v>8</v>
      </c>
      <c r="B34">
        <v>1.9551000000000001</v>
      </c>
      <c r="C34">
        <v>1.9551000000000001</v>
      </c>
      <c r="D34">
        <v>-2.4058000000000002</v>
      </c>
      <c r="E34">
        <v>-1.3628</v>
      </c>
      <c r="F34">
        <v>-1.3628</v>
      </c>
      <c r="G34">
        <v>-22.274000000000001</v>
      </c>
      <c r="H34">
        <v>-22.274000000000001</v>
      </c>
      <c r="J34">
        <v>8</v>
      </c>
      <c r="K34">
        <v>0.28489999999999999</v>
      </c>
      <c r="L34">
        <v>0.28489999999999999</v>
      </c>
      <c r="M34">
        <v>-0.94299999999999995</v>
      </c>
      <c r="N34">
        <v>-0.38369999999999999</v>
      </c>
      <c r="O34">
        <v>-0.38369999999999999</v>
      </c>
      <c r="P34">
        <v>-13.784800000000001</v>
      </c>
      <c r="Q34">
        <v>-13.784800000000001</v>
      </c>
    </row>
    <row r="35" spans="1:17" x14ac:dyDescent="0.3">
      <c r="A35">
        <v>9</v>
      </c>
      <c r="B35">
        <v>2.6337000000000002</v>
      </c>
      <c r="C35">
        <v>2.6337000000000002</v>
      </c>
      <c r="D35">
        <v>-2.4409999999999998</v>
      </c>
      <c r="E35">
        <v>-1.5859000000000001</v>
      </c>
      <c r="F35">
        <v>-1.5859000000000001</v>
      </c>
      <c r="G35">
        <v>-7.4233000000000002</v>
      </c>
      <c r="H35">
        <v>-7.4233000000000002</v>
      </c>
      <c r="J35">
        <v>9</v>
      </c>
      <c r="K35">
        <v>1.6418999999999999</v>
      </c>
      <c r="L35">
        <v>1.6418999999999999</v>
      </c>
      <c r="M35">
        <v>-1.7543</v>
      </c>
      <c r="N35">
        <v>-1.0612999999999999</v>
      </c>
      <c r="O35">
        <v>-1.0612999999999999</v>
      </c>
      <c r="P35">
        <v>-6.4383999999999997</v>
      </c>
      <c r="Q35">
        <v>-6.4383999999999997</v>
      </c>
    </row>
    <row r="36" spans="1:17" x14ac:dyDescent="0.3">
      <c r="A36">
        <v>10</v>
      </c>
      <c r="B36" s="5">
        <v>-1.1887399999999999E-16</v>
      </c>
      <c r="C36" s="5">
        <v>2.7269699999999999E-17</v>
      </c>
      <c r="D36" s="5">
        <v>2.7269699999999999E-17</v>
      </c>
      <c r="E36" s="5">
        <v>9.7428900000000001E-17</v>
      </c>
      <c r="F36" s="5">
        <v>9.7428900000000001E-17</v>
      </c>
      <c r="G36">
        <v>-72.337800000000001</v>
      </c>
      <c r="H36">
        <v>-72.337800000000001</v>
      </c>
      <c r="J36">
        <v>10</v>
      </c>
      <c r="K36">
        <v>0.95909999999999995</v>
      </c>
      <c r="L36">
        <v>0.95909999999999995</v>
      </c>
      <c r="M36">
        <v>-1.7116</v>
      </c>
      <c r="N36">
        <v>-1.7805</v>
      </c>
      <c r="O36">
        <v>-1.7805</v>
      </c>
      <c r="P36">
        <v>-29.779800000000002</v>
      </c>
      <c r="Q36">
        <v>-29.779800000000002</v>
      </c>
    </row>
    <row r="37" spans="1:17" x14ac:dyDescent="0.3">
      <c r="A37">
        <v>11</v>
      </c>
      <c r="B37" s="5">
        <v>-1.4148599999999999E-16</v>
      </c>
      <c r="C37" s="5">
        <v>2.0024099999999999E-16</v>
      </c>
      <c r="D37" s="5">
        <v>2.0024099999999999E-16</v>
      </c>
      <c r="E37" s="5">
        <v>1.0679000000000001E-16</v>
      </c>
      <c r="F37" s="5">
        <v>1.0679000000000001E-16</v>
      </c>
      <c r="G37">
        <v>-47.952100000000002</v>
      </c>
      <c r="H37">
        <v>-47.952100000000002</v>
      </c>
      <c r="J37">
        <v>11</v>
      </c>
      <c r="K37">
        <v>0.19020000000000001</v>
      </c>
      <c r="L37">
        <v>0.65339999999999998</v>
      </c>
      <c r="M37">
        <v>0.65339999999999998</v>
      </c>
      <c r="N37">
        <v>0.14480000000000001</v>
      </c>
      <c r="O37">
        <v>0.14480000000000001</v>
      </c>
      <c r="P37">
        <v>-22.407</v>
      </c>
      <c r="Q37">
        <v>-22.407</v>
      </c>
    </row>
    <row r="38" spans="1:17" x14ac:dyDescent="0.3">
      <c r="A38">
        <v>12</v>
      </c>
      <c r="B38" s="5">
        <v>7.4870899999999995E-18</v>
      </c>
      <c r="C38" s="5">
        <v>7.4870899999999995E-18</v>
      </c>
      <c r="D38" s="5">
        <v>-1.1597299999999999E-16</v>
      </c>
      <c r="E38" s="5">
        <v>-3.8581200000000002E-17</v>
      </c>
      <c r="F38" s="5">
        <v>-3.8581200000000002E-17</v>
      </c>
      <c r="G38">
        <v>-15.6534</v>
      </c>
      <c r="H38">
        <v>-15.6534</v>
      </c>
      <c r="J38">
        <v>12</v>
      </c>
      <c r="K38">
        <v>-0.96020000000000005</v>
      </c>
      <c r="L38">
        <v>0.37209999999999999</v>
      </c>
      <c r="M38">
        <v>0.37209999999999999</v>
      </c>
      <c r="N38">
        <v>0.4163</v>
      </c>
      <c r="O38">
        <v>0.4163</v>
      </c>
      <c r="P38">
        <v>-15.5406</v>
      </c>
      <c r="Q38">
        <v>-15.5406</v>
      </c>
    </row>
    <row r="39" spans="1:17" x14ac:dyDescent="0.3">
      <c r="A39">
        <v>13</v>
      </c>
      <c r="B39">
        <v>-1.0267999999999999</v>
      </c>
      <c r="C39">
        <v>2.0891999999999999</v>
      </c>
      <c r="D39">
        <v>2.0891999999999999</v>
      </c>
      <c r="E39">
        <v>2.0773000000000001</v>
      </c>
      <c r="F39">
        <v>2.0773000000000001</v>
      </c>
      <c r="G39">
        <v>-33.606099999999998</v>
      </c>
      <c r="H39">
        <v>-33.606099999999998</v>
      </c>
      <c r="J39">
        <v>13</v>
      </c>
      <c r="K39">
        <v>-0.70660000000000001</v>
      </c>
      <c r="L39">
        <v>1.6877</v>
      </c>
      <c r="M39">
        <v>1.6877</v>
      </c>
      <c r="N39">
        <v>1.5962000000000001</v>
      </c>
      <c r="O39">
        <v>1.5962000000000001</v>
      </c>
      <c r="P39">
        <v>-13.6578</v>
      </c>
      <c r="Q39">
        <v>-13.6578</v>
      </c>
    </row>
    <row r="40" spans="1:17" x14ac:dyDescent="0.3">
      <c r="A40">
        <v>14</v>
      </c>
      <c r="B40">
        <v>-1.9551000000000001</v>
      </c>
      <c r="C40">
        <v>2.4058000000000002</v>
      </c>
      <c r="D40">
        <v>2.4058000000000002</v>
      </c>
      <c r="E40">
        <v>1.3628</v>
      </c>
      <c r="F40">
        <v>1.3628</v>
      </c>
      <c r="G40">
        <v>-22.274000000000001</v>
      </c>
      <c r="H40">
        <v>-22.274000000000001</v>
      </c>
      <c r="J40">
        <v>14</v>
      </c>
      <c r="K40">
        <v>-0.72940000000000005</v>
      </c>
      <c r="L40">
        <v>3.5299999999999998E-2</v>
      </c>
      <c r="M40">
        <v>3.5299999999999998E-2</v>
      </c>
      <c r="N40">
        <v>0.23899999999999999</v>
      </c>
      <c r="O40">
        <v>0.23899999999999999</v>
      </c>
      <c r="P40">
        <v>-6.5580999999999996</v>
      </c>
      <c r="Q40">
        <v>-6.5580999999999996</v>
      </c>
    </row>
    <row r="41" spans="1:17" x14ac:dyDescent="0.3">
      <c r="A41">
        <v>15</v>
      </c>
      <c r="B41">
        <v>-2.6337000000000002</v>
      </c>
      <c r="C41">
        <v>2.4409999999999998</v>
      </c>
      <c r="D41">
        <v>2.4409999999999998</v>
      </c>
      <c r="E41">
        <v>1.5859000000000001</v>
      </c>
      <c r="F41">
        <v>1.5859000000000001</v>
      </c>
      <c r="G41">
        <v>-7.4233000000000002</v>
      </c>
      <c r="H41">
        <v>-7.4233000000000002</v>
      </c>
      <c r="J41">
        <v>15</v>
      </c>
      <c r="K41">
        <v>-0.47510000000000002</v>
      </c>
      <c r="L41">
        <v>1.5888</v>
      </c>
      <c r="M41">
        <v>1.5888</v>
      </c>
      <c r="N41">
        <v>0.64500000000000002</v>
      </c>
      <c r="O41">
        <v>0.64500000000000002</v>
      </c>
      <c r="P41">
        <v>-6.5209999999999999</v>
      </c>
      <c r="Q41">
        <v>-6.5209999999999999</v>
      </c>
    </row>
    <row r="43" spans="1:17" x14ac:dyDescent="0.3">
      <c r="A43" t="s">
        <v>346</v>
      </c>
    </row>
    <row r="45" spans="1:17" x14ac:dyDescent="0.3">
      <c r="A45" t="s">
        <v>178</v>
      </c>
      <c r="J45" t="s">
        <v>183</v>
      </c>
    </row>
    <row r="47" spans="1:17" x14ac:dyDescent="0.3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J47" t="s">
        <v>0</v>
      </c>
      <c r="K47" t="s">
        <v>1</v>
      </c>
      <c r="L47" t="s">
        <v>2</v>
      </c>
      <c r="M47" t="s">
        <v>3</v>
      </c>
      <c r="N47" t="s">
        <v>4</v>
      </c>
      <c r="O47" t="s">
        <v>5</v>
      </c>
      <c r="P47" t="s">
        <v>6</v>
      </c>
      <c r="Q47" t="s">
        <v>7</v>
      </c>
    </row>
    <row r="48" spans="1:17" x14ac:dyDescent="0.3">
      <c r="A48">
        <v>1</v>
      </c>
      <c r="B48">
        <v>-4.2111999999999998</v>
      </c>
      <c r="C48">
        <v>2.7726000000000002</v>
      </c>
      <c r="D48">
        <v>-4.9466000000000001</v>
      </c>
      <c r="E48">
        <v>11.468299999999999</v>
      </c>
      <c r="F48">
        <v>-12.056699999999999</v>
      </c>
      <c r="G48">
        <v>-0.62070000000000003</v>
      </c>
      <c r="H48">
        <v>-0.62070000000000003</v>
      </c>
      <c r="J48">
        <v>1</v>
      </c>
      <c r="K48">
        <v>-1.49E-2</v>
      </c>
      <c r="L48">
        <v>0</v>
      </c>
      <c r="M48">
        <v>-0.38569999999999999</v>
      </c>
      <c r="N48">
        <v>-0.14829999999999999</v>
      </c>
      <c r="O48">
        <v>-0.14829999999999999</v>
      </c>
      <c r="P48">
        <v>0.37869999999999998</v>
      </c>
      <c r="Q48">
        <v>0.37869999999999998</v>
      </c>
    </row>
    <row r="49" spans="1:17" x14ac:dyDescent="0.3">
      <c r="A49">
        <v>2</v>
      </c>
      <c r="B49">
        <v>-4.9466000000000001</v>
      </c>
      <c r="C49">
        <v>2.7726000000000002</v>
      </c>
      <c r="D49">
        <v>-4.2111999999999998</v>
      </c>
      <c r="E49">
        <v>12.056699999999999</v>
      </c>
      <c r="F49">
        <v>-11.468299999999999</v>
      </c>
      <c r="G49">
        <v>-0.62070000000000003</v>
      </c>
      <c r="H49">
        <v>-0.62070000000000003</v>
      </c>
      <c r="J49">
        <v>2</v>
      </c>
      <c r="K49">
        <v>-1.6535</v>
      </c>
      <c r="L49">
        <v>1.3363</v>
      </c>
      <c r="M49">
        <v>-1.6113999999999999</v>
      </c>
      <c r="N49">
        <v>4.7668999999999997</v>
      </c>
      <c r="O49">
        <v>-4.7331000000000003</v>
      </c>
      <c r="P49">
        <v>-0.90480000000000005</v>
      </c>
      <c r="Q49">
        <v>-0.90480000000000005</v>
      </c>
    </row>
    <row r="50" spans="1:17" x14ac:dyDescent="0.3">
      <c r="A50">
        <v>3</v>
      </c>
      <c r="B50">
        <v>-6.7076000000000002</v>
      </c>
      <c r="C50">
        <v>4.6097999999999999</v>
      </c>
      <c r="D50">
        <v>-7.6352000000000002</v>
      </c>
      <c r="E50">
        <v>18.478999999999999</v>
      </c>
      <c r="F50">
        <v>-19.221</v>
      </c>
      <c r="G50">
        <v>1.325</v>
      </c>
      <c r="H50">
        <v>1.325</v>
      </c>
      <c r="J50">
        <v>3</v>
      </c>
      <c r="K50">
        <v>-1.7233000000000001</v>
      </c>
      <c r="L50">
        <v>1.43</v>
      </c>
      <c r="M50">
        <v>-1.3542000000000001</v>
      </c>
      <c r="N50">
        <v>4.8975999999999997</v>
      </c>
      <c r="O50">
        <v>-4.6024000000000003</v>
      </c>
      <c r="P50">
        <v>0.45169999999999999</v>
      </c>
      <c r="Q50">
        <v>0.45169999999999999</v>
      </c>
    </row>
    <row r="51" spans="1:17" x14ac:dyDescent="0.3">
      <c r="A51">
        <v>4</v>
      </c>
      <c r="B51">
        <v>-7.6352000000000002</v>
      </c>
      <c r="C51">
        <v>4.6097999999999999</v>
      </c>
      <c r="D51">
        <v>-6.7076000000000002</v>
      </c>
      <c r="E51">
        <v>19.221</v>
      </c>
      <c r="F51">
        <v>-18.478999999999999</v>
      </c>
      <c r="G51">
        <v>1.325</v>
      </c>
      <c r="H51">
        <v>1.325</v>
      </c>
      <c r="J51">
        <v>4</v>
      </c>
      <c r="K51">
        <v>-0.27839999999999998</v>
      </c>
      <c r="L51">
        <v>0</v>
      </c>
      <c r="M51">
        <v>-0.34029999999999999</v>
      </c>
      <c r="N51">
        <v>-2.47E-2</v>
      </c>
      <c r="O51">
        <v>-2.47E-2</v>
      </c>
      <c r="P51">
        <v>0.2707</v>
      </c>
      <c r="Q51">
        <v>0.2707</v>
      </c>
    </row>
    <row r="52" spans="1:17" x14ac:dyDescent="0.3">
      <c r="A52">
        <v>5</v>
      </c>
      <c r="B52">
        <v>-4.9438000000000004</v>
      </c>
      <c r="C52">
        <v>5.23</v>
      </c>
      <c r="D52">
        <v>-8.2542000000000009</v>
      </c>
      <c r="E52">
        <v>17.5258</v>
      </c>
      <c r="F52">
        <v>-20.174199999999999</v>
      </c>
      <c r="G52">
        <v>-2.8102999999999998</v>
      </c>
      <c r="H52">
        <v>-2.8102999999999998</v>
      </c>
      <c r="J52">
        <v>5</v>
      </c>
      <c r="K52">
        <v>-1.1695</v>
      </c>
      <c r="L52">
        <v>1.2545999999999999</v>
      </c>
      <c r="M52">
        <v>-2.3138999999999998</v>
      </c>
      <c r="N52">
        <v>4.2923</v>
      </c>
      <c r="O52">
        <v>-5.2077</v>
      </c>
      <c r="P52">
        <v>-0.70750000000000002</v>
      </c>
      <c r="Q52">
        <v>-0.70750000000000002</v>
      </c>
    </row>
    <row r="53" spans="1:17" x14ac:dyDescent="0.3">
      <c r="A53">
        <v>6</v>
      </c>
      <c r="B53">
        <v>-8.2542000000000009</v>
      </c>
      <c r="C53">
        <v>5.23</v>
      </c>
      <c r="D53">
        <v>-4.9438000000000004</v>
      </c>
      <c r="E53">
        <v>20.174199999999999</v>
      </c>
      <c r="F53">
        <v>-17.5258</v>
      </c>
      <c r="G53">
        <v>-2.8102999999999998</v>
      </c>
      <c r="H53">
        <v>-2.8102999999999998</v>
      </c>
      <c r="J53">
        <v>6</v>
      </c>
      <c r="K53">
        <v>-2.0657999999999999</v>
      </c>
      <c r="L53">
        <v>1.4269000000000001</v>
      </c>
      <c r="M53">
        <v>-1.0591999999999999</v>
      </c>
      <c r="N53">
        <v>5.1525999999999996</v>
      </c>
      <c r="O53">
        <v>-4.3474000000000004</v>
      </c>
      <c r="P53">
        <v>-0.43</v>
      </c>
      <c r="Q53">
        <v>-0.43</v>
      </c>
    </row>
    <row r="54" spans="1:17" x14ac:dyDescent="0.3">
      <c r="A54">
        <v>7</v>
      </c>
      <c r="B54">
        <v>1.0427</v>
      </c>
      <c r="C54">
        <v>1.0427</v>
      </c>
      <c r="D54">
        <v>-2.1164000000000001</v>
      </c>
      <c r="E54">
        <v>-2.1061000000000001</v>
      </c>
      <c r="F54">
        <v>-2.1061000000000001</v>
      </c>
      <c r="G54">
        <v>-47.473100000000002</v>
      </c>
      <c r="H54">
        <v>-47.473100000000002</v>
      </c>
      <c r="J54">
        <v>7</v>
      </c>
      <c r="K54">
        <v>-9.1999999999999998E-3</v>
      </c>
      <c r="L54">
        <v>0.17510000000000001</v>
      </c>
      <c r="M54">
        <v>0.17510000000000001</v>
      </c>
      <c r="N54">
        <v>0.1229</v>
      </c>
      <c r="O54">
        <v>0.1229</v>
      </c>
      <c r="P54">
        <v>-9.0416000000000007</v>
      </c>
      <c r="Q54">
        <v>-9.0416000000000007</v>
      </c>
    </row>
    <row r="55" spans="1:17" x14ac:dyDescent="0.3">
      <c r="A55">
        <v>8</v>
      </c>
      <c r="B55">
        <v>2.0948000000000002</v>
      </c>
      <c r="C55">
        <v>2.0948000000000002</v>
      </c>
      <c r="D55">
        <v>-2.6583000000000001</v>
      </c>
      <c r="E55">
        <v>-1.4853000000000001</v>
      </c>
      <c r="F55">
        <v>-1.4853000000000001</v>
      </c>
      <c r="G55">
        <v>-36.004800000000003</v>
      </c>
      <c r="H55">
        <v>-36.004800000000003</v>
      </c>
      <c r="J55">
        <v>8</v>
      </c>
      <c r="K55">
        <v>0.19</v>
      </c>
      <c r="L55">
        <v>0.19</v>
      </c>
      <c r="M55">
        <v>-0.62870000000000004</v>
      </c>
      <c r="N55">
        <v>-0.25580000000000003</v>
      </c>
      <c r="O55">
        <v>-0.25580000000000003</v>
      </c>
      <c r="P55">
        <v>-9.1898999999999997</v>
      </c>
      <c r="Q55">
        <v>-9.1898999999999997</v>
      </c>
    </row>
    <row r="56" spans="1:17" x14ac:dyDescent="0.3">
      <c r="A56">
        <v>9</v>
      </c>
      <c r="B56">
        <v>4.0492999999999997</v>
      </c>
      <c r="C56">
        <v>4.0492999999999997</v>
      </c>
      <c r="D56">
        <v>-4.9438000000000004</v>
      </c>
      <c r="E56">
        <v>-2.8102999999999998</v>
      </c>
      <c r="F56">
        <v>-2.8102999999999998</v>
      </c>
      <c r="G56">
        <v>-17.5258</v>
      </c>
      <c r="H56">
        <v>-17.5258</v>
      </c>
      <c r="J56">
        <v>9</v>
      </c>
      <c r="K56">
        <v>1.0946</v>
      </c>
      <c r="L56">
        <v>1.0946</v>
      </c>
      <c r="M56">
        <v>-1.1695</v>
      </c>
      <c r="N56">
        <v>-0.70750000000000002</v>
      </c>
      <c r="O56">
        <v>-0.70750000000000002</v>
      </c>
      <c r="P56">
        <v>-4.2923</v>
      </c>
      <c r="Q56">
        <v>-4.2923</v>
      </c>
    </row>
    <row r="57" spans="1:17" x14ac:dyDescent="0.3">
      <c r="A57">
        <v>10</v>
      </c>
      <c r="B57" s="5">
        <v>-1.2037E-16</v>
      </c>
      <c r="C57">
        <v>0</v>
      </c>
      <c r="D57" s="5">
        <v>-3.1541000000000002E-17</v>
      </c>
      <c r="E57" s="5">
        <v>5.92192E-17</v>
      </c>
      <c r="F57" s="5">
        <v>5.92192E-17</v>
      </c>
      <c r="G57">
        <v>-102.9038</v>
      </c>
      <c r="H57">
        <v>-102.9038</v>
      </c>
      <c r="J57">
        <v>10</v>
      </c>
      <c r="K57">
        <v>0.63939999999999997</v>
      </c>
      <c r="L57">
        <v>0.63939999999999997</v>
      </c>
      <c r="M57">
        <v>-1.1411</v>
      </c>
      <c r="N57">
        <v>-1.1870000000000001</v>
      </c>
      <c r="O57">
        <v>-1.1870000000000001</v>
      </c>
      <c r="P57">
        <v>-19.853200000000001</v>
      </c>
      <c r="Q57">
        <v>-19.853200000000001</v>
      </c>
    </row>
    <row r="58" spans="1:17" x14ac:dyDescent="0.3">
      <c r="A58">
        <v>11</v>
      </c>
      <c r="B58" s="5">
        <v>-4.0829200000000001E-16</v>
      </c>
      <c r="C58" s="5">
        <v>5.7456000000000001E-16</v>
      </c>
      <c r="D58" s="5">
        <v>5.7456000000000001E-16</v>
      </c>
      <c r="E58" s="5">
        <v>3.0714100000000001E-16</v>
      </c>
      <c r="F58" s="5">
        <v>3.0714100000000001E-16</v>
      </c>
      <c r="G58">
        <v>-78.790499999999994</v>
      </c>
      <c r="H58">
        <v>-78.790499999999994</v>
      </c>
      <c r="J58">
        <v>11</v>
      </c>
      <c r="K58">
        <v>0.1268</v>
      </c>
      <c r="L58">
        <v>0.43559999999999999</v>
      </c>
      <c r="M58">
        <v>0.43559999999999999</v>
      </c>
      <c r="N58">
        <v>9.6500000000000002E-2</v>
      </c>
      <c r="O58">
        <v>9.6500000000000002E-2</v>
      </c>
      <c r="P58">
        <v>-14.938000000000001</v>
      </c>
      <c r="Q58">
        <v>-14.938000000000001</v>
      </c>
    </row>
    <row r="59" spans="1:17" x14ac:dyDescent="0.3">
      <c r="A59">
        <v>12</v>
      </c>
      <c r="B59" s="5">
        <v>2.8826399999999999E-16</v>
      </c>
      <c r="C59" s="5">
        <v>2.8826399999999999E-16</v>
      </c>
      <c r="D59" s="5">
        <v>-7.1672000000000004E-16</v>
      </c>
      <c r="E59" s="5">
        <v>-3.1405799999999998E-16</v>
      </c>
      <c r="F59" s="5">
        <v>-3.1405799999999998E-16</v>
      </c>
      <c r="G59">
        <v>-40.348399999999998</v>
      </c>
      <c r="H59">
        <v>-40.348399999999998</v>
      </c>
      <c r="J59">
        <v>12</v>
      </c>
      <c r="K59">
        <v>-0.6401</v>
      </c>
      <c r="L59">
        <v>0.24809999999999999</v>
      </c>
      <c r="M59">
        <v>0.24809999999999999</v>
      </c>
      <c r="N59">
        <v>0.27760000000000001</v>
      </c>
      <c r="O59">
        <v>0.27760000000000001</v>
      </c>
      <c r="P59">
        <v>-10.3604</v>
      </c>
      <c r="Q59">
        <v>-10.3604</v>
      </c>
    </row>
    <row r="60" spans="1:17" x14ac:dyDescent="0.3">
      <c r="A60">
        <v>13</v>
      </c>
      <c r="B60">
        <v>-1.0427</v>
      </c>
      <c r="C60">
        <v>2.1164000000000001</v>
      </c>
      <c r="D60">
        <v>2.1164000000000001</v>
      </c>
      <c r="E60">
        <v>2.1061000000000001</v>
      </c>
      <c r="F60">
        <v>2.1061000000000001</v>
      </c>
      <c r="G60">
        <v>-47.473100000000002</v>
      </c>
      <c r="H60">
        <v>-47.473100000000002</v>
      </c>
      <c r="J60">
        <v>13</v>
      </c>
      <c r="K60">
        <v>-0.47110000000000002</v>
      </c>
      <c r="L60">
        <v>1.1251</v>
      </c>
      <c r="M60">
        <v>1.1251</v>
      </c>
      <c r="N60">
        <v>1.0641</v>
      </c>
      <c r="O60">
        <v>1.0641</v>
      </c>
      <c r="P60">
        <v>-9.1052</v>
      </c>
      <c r="Q60">
        <v>-9.1052</v>
      </c>
    </row>
    <row r="61" spans="1:17" x14ac:dyDescent="0.3">
      <c r="A61">
        <v>14</v>
      </c>
      <c r="B61">
        <v>-2.0948000000000002</v>
      </c>
      <c r="C61">
        <v>2.6583000000000001</v>
      </c>
      <c r="D61">
        <v>2.6583000000000001</v>
      </c>
      <c r="E61">
        <v>1.4853000000000001</v>
      </c>
      <c r="F61">
        <v>1.4853000000000001</v>
      </c>
      <c r="G61">
        <v>-36.004800000000003</v>
      </c>
      <c r="H61">
        <v>-36.004800000000003</v>
      </c>
      <c r="J61">
        <v>14</v>
      </c>
      <c r="K61">
        <v>-0.48620000000000002</v>
      </c>
      <c r="L61">
        <v>2.35E-2</v>
      </c>
      <c r="M61">
        <v>2.35E-2</v>
      </c>
      <c r="N61">
        <v>0.1593</v>
      </c>
      <c r="O61">
        <v>0.1593</v>
      </c>
      <c r="P61">
        <v>-4.3720999999999997</v>
      </c>
      <c r="Q61">
        <v>-4.3720999999999997</v>
      </c>
    </row>
    <row r="62" spans="1:17" x14ac:dyDescent="0.3">
      <c r="A62">
        <v>15</v>
      </c>
      <c r="B62">
        <v>-4.0492999999999997</v>
      </c>
      <c r="C62">
        <v>4.9438000000000004</v>
      </c>
      <c r="D62">
        <v>4.9438000000000004</v>
      </c>
      <c r="E62">
        <v>2.8102999999999998</v>
      </c>
      <c r="F62">
        <v>2.8102999999999998</v>
      </c>
      <c r="G62">
        <v>-17.5258</v>
      </c>
      <c r="H62">
        <v>-17.5258</v>
      </c>
      <c r="J62">
        <v>15</v>
      </c>
      <c r="K62">
        <v>-0.31680000000000003</v>
      </c>
      <c r="L62">
        <v>1.0591999999999999</v>
      </c>
      <c r="M62">
        <v>1.0591999999999999</v>
      </c>
      <c r="N62">
        <v>0.43</v>
      </c>
      <c r="O62">
        <v>0.43</v>
      </c>
      <c r="P62">
        <v>-4.3474000000000004</v>
      </c>
      <c r="Q62">
        <v>-4.3474000000000004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R55"/>
  <sheetViews>
    <sheetView showGridLines="0" view="pageBreakPreview" zoomScale="70" zoomScaleNormal="70" zoomScaleSheetLayoutView="70" zoomScalePageLayoutView="25" workbookViewId="0">
      <selection activeCell="B15" sqref="B15"/>
    </sheetView>
  </sheetViews>
  <sheetFormatPr defaultColWidth="8.88671875" defaultRowHeight="13.8" x14ac:dyDescent="0.25"/>
  <cols>
    <col min="1" max="1" width="9" style="62" bestFit="1" customWidth="1"/>
    <col min="2" max="2" width="12.44140625" style="62" bestFit="1" customWidth="1"/>
    <col min="3" max="3" width="9.6640625" style="62" bestFit="1" customWidth="1"/>
    <col min="4" max="4" width="10.6640625" style="62" bestFit="1" customWidth="1"/>
    <col min="5" max="6" width="10.44140625" style="62" bestFit="1" customWidth="1"/>
    <col min="7" max="7" width="9" style="62" bestFit="1" customWidth="1"/>
    <col min="8" max="8" width="13" style="62" bestFit="1" customWidth="1"/>
    <col min="9" max="9" width="8.88671875" style="62"/>
    <col min="10" max="10" width="9" style="62" bestFit="1" customWidth="1"/>
    <col min="11" max="11" width="10.6640625" style="62" bestFit="1" customWidth="1"/>
    <col min="12" max="12" width="9.6640625" style="62" bestFit="1" customWidth="1"/>
    <col min="13" max="13" width="10.6640625" style="62" bestFit="1" customWidth="1"/>
    <col min="14" max="14" width="14.6640625" style="62" customWidth="1"/>
    <col min="15" max="15" width="10.44140625" style="62" bestFit="1" customWidth="1"/>
    <col min="16" max="16" width="12.109375" style="62" bestFit="1" customWidth="1"/>
    <col min="17" max="17" width="15.33203125" style="62" bestFit="1" customWidth="1"/>
    <col min="18" max="18" width="12" style="62" bestFit="1" customWidth="1"/>
    <col min="19" max="19" width="10.88671875" style="62" bestFit="1" customWidth="1"/>
    <col min="20" max="20" width="12.44140625" style="62" bestFit="1" customWidth="1"/>
    <col min="21" max="25" width="9" style="62" bestFit="1" customWidth="1"/>
    <col min="26" max="26" width="12.88671875" style="62" bestFit="1" customWidth="1"/>
    <col min="27" max="27" width="8.88671875" style="62"/>
    <col min="28" max="28" width="9" style="62" bestFit="1" customWidth="1"/>
    <col min="29" max="29" width="12.44140625" style="62" bestFit="1" customWidth="1"/>
    <col min="30" max="30" width="9.6640625" style="62" bestFit="1" customWidth="1"/>
    <col min="31" max="31" width="10.44140625" style="62" bestFit="1" customWidth="1"/>
    <col min="32" max="33" width="10.6640625" style="62" bestFit="1" customWidth="1"/>
    <col min="34" max="34" width="9" style="62" bestFit="1" customWidth="1"/>
    <col min="35" max="35" width="12.109375" style="62" bestFit="1" customWidth="1"/>
    <col min="36" max="36" width="8.88671875" style="62"/>
    <col min="37" max="37" width="9" style="62" bestFit="1" customWidth="1"/>
    <col min="38" max="38" width="12.44140625" style="62" bestFit="1" customWidth="1"/>
    <col min="39" max="39" width="9.6640625" style="62" bestFit="1" customWidth="1"/>
    <col min="40" max="42" width="10.6640625" style="62" bestFit="1" customWidth="1"/>
    <col min="43" max="43" width="9" style="62" bestFit="1" customWidth="1"/>
    <col min="44" max="44" width="10.88671875" style="62" bestFit="1" customWidth="1"/>
    <col min="45" max="16384" width="8.88671875" style="62"/>
  </cols>
  <sheetData>
    <row r="1" spans="1:44" s="352" customFormat="1" ht="19.95" customHeight="1" x14ac:dyDescent="0.3">
      <c r="A1" s="428" t="s">
        <v>531</v>
      </c>
      <c r="B1" s="429"/>
      <c r="C1" s="429"/>
      <c r="D1" s="429"/>
      <c r="E1" s="429"/>
      <c r="F1" s="429"/>
      <c r="G1" s="429"/>
      <c r="H1" s="430"/>
      <c r="J1" s="428" t="s">
        <v>532</v>
      </c>
      <c r="K1" s="429"/>
      <c r="L1" s="429"/>
      <c r="M1" s="429"/>
      <c r="N1" s="429"/>
      <c r="O1" s="429"/>
      <c r="P1" s="429"/>
      <c r="Q1" s="430"/>
      <c r="S1" s="428" t="s">
        <v>533</v>
      </c>
      <c r="T1" s="429"/>
      <c r="U1" s="429"/>
      <c r="V1" s="429"/>
      <c r="W1" s="429"/>
      <c r="X1" s="429"/>
      <c r="Y1" s="429"/>
      <c r="Z1" s="430"/>
      <c r="AB1" s="428" t="s">
        <v>534</v>
      </c>
      <c r="AC1" s="429"/>
      <c r="AD1" s="429"/>
      <c r="AE1" s="429"/>
      <c r="AF1" s="429"/>
      <c r="AG1" s="429"/>
      <c r="AH1" s="429"/>
      <c r="AI1" s="430"/>
      <c r="AK1" s="428" t="s">
        <v>178</v>
      </c>
      <c r="AL1" s="429"/>
      <c r="AM1" s="429"/>
      <c r="AN1" s="429"/>
      <c r="AO1" s="429"/>
      <c r="AP1" s="429"/>
      <c r="AQ1" s="429"/>
      <c r="AR1" s="430"/>
    </row>
    <row r="2" spans="1:44" x14ac:dyDescent="0.25">
      <c r="A2" s="63" t="s">
        <v>0</v>
      </c>
      <c r="B2" s="62" t="s">
        <v>1</v>
      </c>
      <c r="C2" s="62" t="s">
        <v>2</v>
      </c>
      <c r="D2" s="62" t="s">
        <v>3</v>
      </c>
      <c r="E2" s="62" t="s">
        <v>4</v>
      </c>
      <c r="F2" s="62" t="s">
        <v>5</v>
      </c>
      <c r="G2" s="62" t="s">
        <v>6</v>
      </c>
      <c r="H2" s="65" t="s">
        <v>7</v>
      </c>
      <c r="J2" s="63" t="s">
        <v>0</v>
      </c>
      <c r="K2" s="62" t="s">
        <v>1</v>
      </c>
      <c r="L2" s="62" t="s">
        <v>2</v>
      </c>
      <c r="M2" s="62" t="s">
        <v>3</v>
      </c>
      <c r="N2" s="62" t="s">
        <v>4</v>
      </c>
      <c r="O2" s="62" t="s">
        <v>5</v>
      </c>
      <c r="P2" s="62" t="s">
        <v>6</v>
      </c>
      <c r="Q2" s="65" t="s">
        <v>7</v>
      </c>
      <c r="S2" s="63" t="s">
        <v>0</v>
      </c>
      <c r="T2" s="62" t="s">
        <v>1</v>
      </c>
      <c r="U2" s="62" t="s">
        <v>2</v>
      </c>
      <c r="V2" s="62" t="s">
        <v>3</v>
      </c>
      <c r="W2" s="62" t="s">
        <v>4</v>
      </c>
      <c r="X2" s="62" t="s">
        <v>5</v>
      </c>
      <c r="Y2" s="62" t="s">
        <v>6</v>
      </c>
      <c r="Z2" s="65" t="s">
        <v>7</v>
      </c>
      <c r="AB2" s="63" t="s">
        <v>0</v>
      </c>
      <c r="AC2" s="62" t="s">
        <v>1</v>
      </c>
      <c r="AD2" s="62" t="s">
        <v>2</v>
      </c>
      <c r="AE2" s="62" t="s">
        <v>3</v>
      </c>
      <c r="AF2" s="62" t="s">
        <v>4</v>
      </c>
      <c r="AG2" s="62" t="s">
        <v>5</v>
      </c>
      <c r="AH2" s="62" t="s">
        <v>6</v>
      </c>
      <c r="AI2" s="65" t="s">
        <v>7</v>
      </c>
      <c r="AK2" s="63" t="s">
        <v>0</v>
      </c>
      <c r="AL2" s="62" t="s">
        <v>1</v>
      </c>
      <c r="AM2" s="62" t="s">
        <v>2</v>
      </c>
      <c r="AN2" s="62" t="s">
        <v>3</v>
      </c>
      <c r="AO2" s="62" t="s">
        <v>4</v>
      </c>
      <c r="AP2" s="62" t="s">
        <v>5</v>
      </c>
      <c r="AQ2" s="62" t="s">
        <v>6</v>
      </c>
      <c r="AR2" s="65" t="s">
        <v>7</v>
      </c>
    </row>
    <row r="3" spans="1:44" x14ac:dyDescent="0.25">
      <c r="A3" s="300">
        <v>1</v>
      </c>
      <c r="B3" s="301">
        <v>-5.3490000000000002</v>
      </c>
      <c r="C3" s="301">
        <v>3.3029999999999999</v>
      </c>
      <c r="D3" s="301">
        <v>-5.6887999999999996</v>
      </c>
      <c r="E3" s="301">
        <v>13.979100000000001</v>
      </c>
      <c r="F3" s="301">
        <v>-14.2509</v>
      </c>
      <c r="G3" s="301">
        <v>-0.1842</v>
      </c>
      <c r="H3" s="302">
        <v>-0.1842</v>
      </c>
      <c r="J3" s="300">
        <v>1</v>
      </c>
      <c r="K3" s="301">
        <v>-5.2785000000000002</v>
      </c>
      <c r="L3" s="301">
        <v>3.3163999999999998</v>
      </c>
      <c r="M3" s="301">
        <v>-5.7324000000000002</v>
      </c>
      <c r="N3" s="301">
        <v>13.933400000000001</v>
      </c>
      <c r="O3" s="301">
        <v>-14.2966</v>
      </c>
      <c r="P3" s="301">
        <v>-0.27229999999999999</v>
      </c>
      <c r="Q3" s="302">
        <v>-0.27229999999999999</v>
      </c>
      <c r="S3" s="300">
        <v>1</v>
      </c>
      <c r="T3" s="301">
        <v>-5.4668000000000001</v>
      </c>
      <c r="U3" s="301">
        <v>3.2930000000000001</v>
      </c>
      <c r="V3" s="301">
        <v>-5.5911</v>
      </c>
      <c r="W3" s="301">
        <v>14.065300000000001</v>
      </c>
      <c r="X3" s="301">
        <v>-14.1647</v>
      </c>
      <c r="Y3" s="301">
        <v>0.1903</v>
      </c>
      <c r="Z3" s="302">
        <v>0.1903</v>
      </c>
      <c r="AB3" s="300">
        <v>1</v>
      </c>
      <c r="AC3" s="301">
        <v>-5.4775</v>
      </c>
      <c r="AD3" s="301">
        <v>3.2637</v>
      </c>
      <c r="AE3" s="301">
        <v>-5.6388999999999996</v>
      </c>
      <c r="AF3" s="301">
        <v>14.0504</v>
      </c>
      <c r="AG3" s="301">
        <v>-14.179600000000001</v>
      </c>
      <c r="AH3" s="301">
        <v>0.43519999999999998</v>
      </c>
      <c r="AI3" s="302">
        <v>0.43519999999999998</v>
      </c>
      <c r="AK3" s="63">
        <v>1</v>
      </c>
      <c r="AL3" s="62">
        <v>-4.1929999999999996</v>
      </c>
      <c r="AM3" s="62">
        <v>2.7606000000000002</v>
      </c>
      <c r="AN3" s="62">
        <v>-4.9889000000000001</v>
      </c>
      <c r="AO3" s="62">
        <v>11.444100000000001</v>
      </c>
      <c r="AP3" s="62">
        <v>-12.0808</v>
      </c>
      <c r="AQ3" s="62">
        <v>-0.47889999999999999</v>
      </c>
      <c r="AR3" s="65">
        <v>-0.47889999999999999</v>
      </c>
    </row>
    <row r="4" spans="1:44" x14ac:dyDescent="0.25">
      <c r="A4" s="300">
        <v>2</v>
      </c>
      <c r="B4" s="301">
        <v>-5.6887999999999996</v>
      </c>
      <c r="C4" s="301">
        <v>3.3029999999999999</v>
      </c>
      <c r="D4" s="301">
        <v>-5.3490000000000002</v>
      </c>
      <c r="E4" s="301">
        <v>14.2509</v>
      </c>
      <c r="F4" s="301">
        <v>-13.979100000000001</v>
      </c>
      <c r="G4" s="301">
        <v>-0.1842</v>
      </c>
      <c r="H4" s="302">
        <v>-0.1842</v>
      </c>
      <c r="J4" s="300">
        <v>2</v>
      </c>
      <c r="K4" s="301">
        <v>-5.7872000000000003</v>
      </c>
      <c r="L4" s="301">
        <v>3.2791000000000001</v>
      </c>
      <c r="M4" s="301">
        <v>-5.2984</v>
      </c>
      <c r="N4" s="301">
        <v>14.310499999999999</v>
      </c>
      <c r="O4" s="301">
        <v>-13.919499999999999</v>
      </c>
      <c r="P4" s="301">
        <v>-5.9900000000000002E-2</v>
      </c>
      <c r="Q4" s="302">
        <v>-5.9900000000000002E-2</v>
      </c>
      <c r="S4" s="300">
        <v>2</v>
      </c>
      <c r="T4" s="301">
        <v>-5.6458000000000004</v>
      </c>
      <c r="U4" s="301">
        <v>3.2557</v>
      </c>
      <c r="V4" s="301">
        <v>-5.4866000000000001</v>
      </c>
      <c r="W4" s="301">
        <v>14.178699999999999</v>
      </c>
      <c r="X4" s="301">
        <v>-14.051299999999999</v>
      </c>
      <c r="Y4" s="301">
        <v>0.4027</v>
      </c>
      <c r="Z4" s="302">
        <v>0.4027</v>
      </c>
      <c r="AB4" s="300">
        <v>2</v>
      </c>
      <c r="AC4" s="301">
        <v>-5.6388999999999996</v>
      </c>
      <c r="AD4" s="301">
        <v>3.2637</v>
      </c>
      <c r="AE4" s="301">
        <v>-5.4775</v>
      </c>
      <c r="AF4" s="301">
        <v>14.179600000000001</v>
      </c>
      <c r="AG4" s="301">
        <v>-14.0504</v>
      </c>
      <c r="AH4" s="301">
        <v>0.43519999999999998</v>
      </c>
      <c r="AI4" s="302">
        <v>0.43519999999999998</v>
      </c>
      <c r="AK4" s="63">
        <v>2</v>
      </c>
      <c r="AL4" s="62">
        <v>-4.9889000000000001</v>
      </c>
      <c r="AM4" s="62">
        <v>2.7606000000000002</v>
      </c>
      <c r="AN4" s="62">
        <v>-4.1929999999999996</v>
      </c>
      <c r="AO4" s="62">
        <v>12.0808</v>
      </c>
      <c r="AP4" s="62">
        <v>-11.444100000000001</v>
      </c>
      <c r="AQ4" s="62">
        <v>-0.47889999999999999</v>
      </c>
      <c r="AR4" s="65">
        <v>-0.47889999999999999</v>
      </c>
    </row>
    <row r="5" spans="1:44" x14ac:dyDescent="0.25">
      <c r="A5" s="360">
        <v>3</v>
      </c>
      <c r="B5" s="361">
        <v>-10.8376</v>
      </c>
      <c r="C5" s="361">
        <v>7.5707000000000004</v>
      </c>
      <c r="D5" s="361">
        <v>-12.6023</v>
      </c>
      <c r="E5" s="361">
        <v>30.159099999999999</v>
      </c>
      <c r="F5" s="361">
        <v>-31.570900000000002</v>
      </c>
      <c r="G5" s="361">
        <v>2.3961000000000001</v>
      </c>
      <c r="H5" s="362">
        <v>2.3961000000000001</v>
      </c>
      <c r="J5" s="360">
        <v>3</v>
      </c>
      <c r="K5" s="361">
        <v>-10.268599999999999</v>
      </c>
      <c r="L5" s="361">
        <v>7.2195999999999998</v>
      </c>
      <c r="M5" s="361">
        <v>-12.736000000000001</v>
      </c>
      <c r="N5" s="361">
        <v>28.968</v>
      </c>
      <c r="O5" s="361">
        <v>-30.942</v>
      </c>
      <c r="P5" s="361">
        <v>2.3147000000000002</v>
      </c>
      <c r="Q5" s="362">
        <v>2.3147000000000002</v>
      </c>
      <c r="S5" s="360">
        <v>3</v>
      </c>
      <c r="T5" s="361">
        <v>-11.7974</v>
      </c>
      <c r="U5" s="361">
        <v>9.4024000000000001</v>
      </c>
      <c r="V5" s="361">
        <v>-16.311800000000002</v>
      </c>
      <c r="W5" s="361">
        <v>31.8932</v>
      </c>
      <c r="X5" s="361">
        <v>-37.376800000000003</v>
      </c>
      <c r="Y5" s="361">
        <v>2.3273000000000001</v>
      </c>
      <c r="Z5" s="362">
        <v>2.3273000000000001</v>
      </c>
      <c r="AB5" s="360">
        <v>3</v>
      </c>
      <c r="AC5" s="361">
        <v>-11.8912</v>
      </c>
      <c r="AD5" s="361">
        <v>9.0938999999999997</v>
      </c>
      <c r="AE5" s="361">
        <v>-15.733499999999999</v>
      </c>
      <c r="AF5" s="361">
        <v>35.113100000000003</v>
      </c>
      <c r="AG5" s="361">
        <v>-38.186900000000001</v>
      </c>
      <c r="AH5" s="361">
        <v>1.6551</v>
      </c>
      <c r="AI5" s="362">
        <v>1.6551</v>
      </c>
      <c r="AK5" s="63">
        <v>3</v>
      </c>
      <c r="AL5" s="62">
        <v>-6.4612999999999996</v>
      </c>
      <c r="AM5" s="62">
        <v>4.7831999999999999</v>
      </c>
      <c r="AN5" s="62">
        <v>-8.1911000000000005</v>
      </c>
      <c r="AO5" s="62">
        <v>18.6831</v>
      </c>
      <c r="AP5" s="62">
        <v>-20.0669</v>
      </c>
      <c r="AQ5" s="62">
        <v>0.76290000000000002</v>
      </c>
      <c r="AR5" s="65">
        <v>0.76290000000000002</v>
      </c>
    </row>
    <row r="6" spans="1:44" x14ac:dyDescent="0.25">
      <c r="A6" s="360">
        <v>4</v>
      </c>
      <c r="B6" s="361">
        <v>-12.6023</v>
      </c>
      <c r="C6" s="361">
        <v>7.5707000000000004</v>
      </c>
      <c r="D6" s="361">
        <v>-10.8376</v>
      </c>
      <c r="E6" s="361">
        <v>31.570900000000002</v>
      </c>
      <c r="F6" s="361">
        <v>-30.159099999999999</v>
      </c>
      <c r="G6" s="361">
        <v>2.3961000000000001</v>
      </c>
      <c r="H6" s="362">
        <v>2.3961000000000001</v>
      </c>
      <c r="J6" s="360">
        <v>4</v>
      </c>
      <c r="K6" s="361">
        <v>-12.2172</v>
      </c>
      <c r="L6" s="361">
        <v>7.5373000000000001</v>
      </c>
      <c r="M6" s="361">
        <v>-10.151899999999999</v>
      </c>
      <c r="N6" s="361">
        <v>30.781099999999999</v>
      </c>
      <c r="O6" s="361">
        <v>-29.128900000000002</v>
      </c>
      <c r="P6" s="361">
        <v>1.3746</v>
      </c>
      <c r="Q6" s="362">
        <v>1.3746</v>
      </c>
      <c r="S6" s="360">
        <v>4</v>
      </c>
      <c r="T6" s="361">
        <v>-15.792999999999999</v>
      </c>
      <c r="U6" s="361">
        <v>9.7401999999999997</v>
      </c>
      <c r="V6" s="361">
        <v>-11.6807</v>
      </c>
      <c r="W6" s="361">
        <v>37.215899999999998</v>
      </c>
      <c r="X6" s="361">
        <v>-32.054099999999998</v>
      </c>
      <c r="Y6" s="361">
        <v>1.3871</v>
      </c>
      <c r="Z6" s="362">
        <v>1.3871</v>
      </c>
      <c r="AB6" s="360">
        <v>4</v>
      </c>
      <c r="AC6" s="361">
        <v>-15.733499999999999</v>
      </c>
      <c r="AD6" s="361">
        <v>9.0938999999999997</v>
      </c>
      <c r="AE6" s="361">
        <v>-11.8912</v>
      </c>
      <c r="AF6" s="361">
        <v>38.186900000000001</v>
      </c>
      <c r="AG6" s="361">
        <v>-35.113100000000003</v>
      </c>
      <c r="AH6" s="361">
        <v>1.6551</v>
      </c>
      <c r="AI6" s="362">
        <v>1.6551</v>
      </c>
      <c r="AK6" s="63">
        <v>4</v>
      </c>
      <c r="AL6" s="62">
        <v>-8.1911000000000005</v>
      </c>
      <c r="AM6" s="62">
        <v>4.7831999999999999</v>
      </c>
      <c r="AN6" s="62">
        <v>-6.4612999999999996</v>
      </c>
      <c r="AO6" s="62">
        <v>20.0669</v>
      </c>
      <c r="AP6" s="62">
        <v>-18.6831</v>
      </c>
      <c r="AQ6" s="62">
        <v>0.76290000000000002</v>
      </c>
      <c r="AR6" s="65">
        <v>0.76290000000000002</v>
      </c>
    </row>
    <row r="7" spans="1:44" x14ac:dyDescent="0.25">
      <c r="A7" s="363">
        <v>5</v>
      </c>
      <c r="B7" s="108">
        <v>-8.0893999999999995</v>
      </c>
      <c r="C7" s="108">
        <v>8.5531000000000006</v>
      </c>
      <c r="D7" s="108">
        <v>-13.545400000000001</v>
      </c>
      <c r="E7" s="108">
        <v>28.682600000000001</v>
      </c>
      <c r="F7" s="108">
        <v>-33.047400000000003</v>
      </c>
      <c r="G7" s="108">
        <v>-4.6151999999999997</v>
      </c>
      <c r="H7" s="109">
        <v>-4.6151999999999997</v>
      </c>
      <c r="J7" s="363">
        <v>5</v>
      </c>
      <c r="K7" s="108">
        <v>-7.9347000000000003</v>
      </c>
      <c r="L7" s="108">
        <v>8.8855000000000004</v>
      </c>
      <c r="M7" s="108">
        <v>-11.7446</v>
      </c>
      <c r="N7" s="108">
        <v>28.431000000000001</v>
      </c>
      <c r="O7" s="108">
        <v>-31.478999999999999</v>
      </c>
      <c r="P7" s="108">
        <v>-4.4512999999999998</v>
      </c>
      <c r="Q7" s="109">
        <v>-4.4512999999999998</v>
      </c>
      <c r="S7" s="363">
        <v>5</v>
      </c>
      <c r="T7" s="108">
        <v>-8.2825000000000006</v>
      </c>
      <c r="U7" s="108">
        <v>8.8670000000000009</v>
      </c>
      <c r="V7" s="108">
        <v>-11.427199999999999</v>
      </c>
      <c r="W7" s="108">
        <v>28.697099999999999</v>
      </c>
      <c r="X7" s="108">
        <v>-31.212900000000001</v>
      </c>
      <c r="Y7" s="108">
        <v>-4.8010000000000002</v>
      </c>
      <c r="Z7" s="109">
        <v>-4.8010000000000002</v>
      </c>
      <c r="AB7" s="363">
        <v>5</v>
      </c>
      <c r="AC7" s="108">
        <v>-6.859</v>
      </c>
      <c r="AD7" s="108">
        <v>6.3541999999999996</v>
      </c>
      <c r="AE7" s="108">
        <v>-9.6387999999999998</v>
      </c>
      <c r="AF7" s="108">
        <v>22.2531</v>
      </c>
      <c r="AG7" s="108">
        <v>-24.476900000000001</v>
      </c>
      <c r="AH7" s="108">
        <v>-4.2732000000000001</v>
      </c>
      <c r="AI7" s="109">
        <v>-4.2732000000000001</v>
      </c>
      <c r="AK7" s="63">
        <v>5</v>
      </c>
      <c r="AL7" s="62">
        <v>-3.7928999999999999</v>
      </c>
      <c r="AM7" s="62">
        <v>3.5891000000000002</v>
      </c>
      <c r="AN7" s="62">
        <v>-5.4526000000000003</v>
      </c>
      <c r="AO7" s="62">
        <v>12.473599999999999</v>
      </c>
      <c r="AP7" s="62">
        <v>-13.801399999999999</v>
      </c>
      <c r="AQ7" s="62">
        <v>-2.3195000000000001</v>
      </c>
      <c r="AR7" s="65">
        <v>-2.3195000000000001</v>
      </c>
    </row>
    <row r="8" spans="1:44" x14ac:dyDescent="0.25">
      <c r="A8" s="363">
        <v>6</v>
      </c>
      <c r="B8" s="108">
        <v>-13.545400000000001</v>
      </c>
      <c r="C8" s="108">
        <v>8.5531000000000006</v>
      </c>
      <c r="D8" s="108">
        <v>-8.0893999999999995</v>
      </c>
      <c r="E8" s="108">
        <v>33.047400000000003</v>
      </c>
      <c r="F8" s="108">
        <v>-28.682600000000001</v>
      </c>
      <c r="G8" s="108">
        <v>-4.6151999999999997</v>
      </c>
      <c r="H8" s="109">
        <v>-4.6151999999999997</v>
      </c>
      <c r="J8" s="363">
        <v>6</v>
      </c>
      <c r="K8" s="108">
        <v>-9.9688999999999997</v>
      </c>
      <c r="L8" s="108">
        <v>5.0251999999999999</v>
      </c>
      <c r="M8" s="108">
        <v>-5.8255999999999997</v>
      </c>
      <c r="N8" s="108">
        <v>22.2073</v>
      </c>
      <c r="O8" s="108">
        <v>-18.892700000000001</v>
      </c>
      <c r="P8" s="108">
        <v>-3.6454</v>
      </c>
      <c r="Q8" s="109">
        <v>-3.6454</v>
      </c>
      <c r="S8" s="363">
        <v>6</v>
      </c>
      <c r="T8" s="108">
        <v>-9.6515000000000004</v>
      </c>
      <c r="U8" s="108">
        <v>4.9767000000000001</v>
      </c>
      <c r="V8" s="108">
        <v>-6.1734999999999998</v>
      </c>
      <c r="W8" s="108">
        <v>21.941199999999998</v>
      </c>
      <c r="X8" s="108">
        <v>-19.158799999999999</v>
      </c>
      <c r="Y8" s="108">
        <v>-3.9950999999999999</v>
      </c>
      <c r="Z8" s="109">
        <v>-3.9950999999999999</v>
      </c>
      <c r="AB8" s="363">
        <v>6</v>
      </c>
      <c r="AC8" s="108">
        <v>-9.6387999999999998</v>
      </c>
      <c r="AD8" s="108">
        <v>6.3541999999999996</v>
      </c>
      <c r="AE8" s="108">
        <v>-6.859</v>
      </c>
      <c r="AF8" s="108">
        <v>24.476900000000001</v>
      </c>
      <c r="AG8" s="108">
        <v>-22.2531</v>
      </c>
      <c r="AH8" s="108">
        <v>-4.2732000000000001</v>
      </c>
      <c r="AI8" s="109">
        <v>-4.2732000000000001</v>
      </c>
      <c r="AK8" s="63">
        <v>6</v>
      </c>
      <c r="AL8" s="62">
        <v>-5.4526000000000003</v>
      </c>
      <c r="AM8" s="62">
        <v>3.5891000000000002</v>
      </c>
      <c r="AN8" s="62">
        <v>-3.7928999999999999</v>
      </c>
      <c r="AO8" s="62">
        <v>13.801399999999999</v>
      </c>
      <c r="AP8" s="62">
        <v>-12.473599999999999</v>
      </c>
      <c r="AQ8" s="62">
        <v>-2.3195000000000001</v>
      </c>
      <c r="AR8" s="65">
        <v>-2.3195000000000001</v>
      </c>
    </row>
    <row r="9" spans="1:44" x14ac:dyDescent="0.25">
      <c r="A9" s="63">
        <v>7</v>
      </c>
      <c r="B9" s="62">
        <v>1.1986000000000001</v>
      </c>
      <c r="C9" s="62">
        <v>1.1986000000000001</v>
      </c>
      <c r="D9" s="62">
        <v>-2.4064000000000001</v>
      </c>
      <c r="E9" s="62">
        <v>-2.4033000000000002</v>
      </c>
      <c r="F9" s="62">
        <v>-2.4033000000000002</v>
      </c>
      <c r="G9" s="62">
        <v>-72.820700000000002</v>
      </c>
      <c r="H9" s="65">
        <v>-72.820700000000002</v>
      </c>
      <c r="J9" s="63">
        <v>7</v>
      </c>
      <c r="K9" s="62">
        <v>1.2123999999999999</v>
      </c>
      <c r="L9" s="62">
        <v>1.2123999999999999</v>
      </c>
      <c r="M9" s="62">
        <v>-2.4007999999999998</v>
      </c>
      <c r="N9" s="62">
        <v>-2.4087999999999998</v>
      </c>
      <c r="O9" s="62">
        <v>-2.4087999999999998</v>
      </c>
      <c r="P9" s="62">
        <v>-71.332499999999996</v>
      </c>
      <c r="Q9" s="65">
        <v>-71.332499999999996</v>
      </c>
      <c r="S9" s="63">
        <v>7</v>
      </c>
      <c r="T9" s="62">
        <v>1.1574</v>
      </c>
      <c r="U9" s="62">
        <v>1.1574</v>
      </c>
      <c r="V9" s="62">
        <v>-2.2677</v>
      </c>
      <c r="W9" s="62">
        <v>-2.2833999999999999</v>
      </c>
      <c r="X9" s="62">
        <v>-2.2833999999999999</v>
      </c>
      <c r="Y9" s="62">
        <v>-74.655600000000007</v>
      </c>
      <c r="Z9" s="65">
        <v>-74.655600000000007</v>
      </c>
      <c r="AB9" s="63">
        <v>7</v>
      </c>
      <c r="AC9" s="62">
        <v>1.0987</v>
      </c>
      <c r="AD9" s="62">
        <v>1.0987</v>
      </c>
      <c r="AE9" s="62">
        <v>-2.1756000000000002</v>
      </c>
      <c r="AF9" s="62">
        <v>-2.1827999999999999</v>
      </c>
      <c r="AG9" s="62">
        <v>-2.1827999999999999</v>
      </c>
      <c r="AH9" s="62">
        <v>-71.416600000000003</v>
      </c>
      <c r="AI9" s="65">
        <v>-71.416600000000003</v>
      </c>
      <c r="AK9" s="63">
        <v>7</v>
      </c>
      <c r="AL9" s="62">
        <v>1.0098</v>
      </c>
      <c r="AM9" s="62">
        <v>1.0098</v>
      </c>
      <c r="AN9" s="62">
        <v>-2.0434999999999999</v>
      </c>
      <c r="AO9" s="62">
        <v>-2.0354999999999999</v>
      </c>
      <c r="AP9" s="62">
        <v>-2.0354999999999999</v>
      </c>
      <c r="AQ9" s="62">
        <v>-42.6008</v>
      </c>
      <c r="AR9" s="65">
        <v>-42.6008</v>
      </c>
    </row>
    <row r="10" spans="1:44" x14ac:dyDescent="0.25">
      <c r="A10" s="364">
        <v>8</v>
      </c>
      <c r="B10" s="365">
        <v>2.9426000000000001</v>
      </c>
      <c r="C10" s="365">
        <v>2.9426000000000001</v>
      </c>
      <c r="D10" s="365">
        <v>-4.1584000000000003</v>
      </c>
      <c r="E10" s="365">
        <v>-2.2191000000000001</v>
      </c>
      <c r="F10" s="365">
        <v>-2.2191000000000001</v>
      </c>
      <c r="G10" s="365">
        <v>-58.841700000000003</v>
      </c>
      <c r="H10" s="366">
        <v>-58.841700000000003</v>
      </c>
      <c r="J10" s="364">
        <v>8</v>
      </c>
      <c r="K10" s="365">
        <v>2.8776999999999999</v>
      </c>
      <c r="L10" s="365">
        <v>2.8776999999999999</v>
      </c>
      <c r="M10" s="365">
        <v>-3.9592000000000001</v>
      </c>
      <c r="N10" s="365">
        <v>-2.1364999999999998</v>
      </c>
      <c r="O10" s="365">
        <v>-2.1364999999999998</v>
      </c>
      <c r="P10" s="365">
        <v>-57.399099999999997</v>
      </c>
      <c r="Q10" s="366">
        <v>-57.399099999999997</v>
      </c>
      <c r="S10" s="364">
        <v>8</v>
      </c>
      <c r="T10" s="365">
        <v>3.1991000000000001</v>
      </c>
      <c r="U10" s="365">
        <v>3.1991000000000001</v>
      </c>
      <c r="V10" s="365">
        <v>-4.7167000000000003</v>
      </c>
      <c r="W10" s="365">
        <v>-2.4737</v>
      </c>
      <c r="X10" s="365">
        <v>-2.4737</v>
      </c>
      <c r="Y10" s="365">
        <v>-60.590299999999999</v>
      </c>
      <c r="Z10" s="366">
        <v>-60.590299999999999</v>
      </c>
      <c r="AB10" s="364">
        <v>8</v>
      </c>
      <c r="AC10" s="365">
        <v>3.3018999999999998</v>
      </c>
      <c r="AD10" s="365">
        <v>3.3018999999999998</v>
      </c>
      <c r="AE10" s="365">
        <v>-5.0759999999999996</v>
      </c>
      <c r="AF10" s="365">
        <v>-2.6181000000000001</v>
      </c>
      <c r="AG10" s="365">
        <v>-2.6181000000000001</v>
      </c>
      <c r="AH10" s="365">
        <v>-57.366199999999999</v>
      </c>
      <c r="AI10" s="366">
        <v>-57.366199999999999</v>
      </c>
      <c r="AK10" s="63">
        <v>8</v>
      </c>
      <c r="AL10" s="62">
        <v>2.1495000000000002</v>
      </c>
      <c r="AM10" s="62">
        <v>2.1495000000000002</v>
      </c>
      <c r="AN10" s="62">
        <v>-2.8317000000000001</v>
      </c>
      <c r="AO10" s="62">
        <v>-1.5566</v>
      </c>
      <c r="AP10" s="62">
        <v>-1.5566</v>
      </c>
      <c r="AQ10" s="62">
        <v>-31.156700000000001</v>
      </c>
      <c r="AR10" s="65">
        <v>-31.156700000000001</v>
      </c>
    </row>
    <row r="11" spans="1:44" x14ac:dyDescent="0.25">
      <c r="A11" s="63">
        <v>9</v>
      </c>
      <c r="B11" s="62">
        <v>6.6791</v>
      </c>
      <c r="C11" s="62">
        <v>6.6791</v>
      </c>
      <c r="D11" s="62">
        <v>-8.0893999999999995</v>
      </c>
      <c r="E11" s="62">
        <v>-4.6151999999999997</v>
      </c>
      <c r="F11" s="62">
        <v>-4.6151999999999997</v>
      </c>
      <c r="G11" s="62">
        <v>-28.682600000000001</v>
      </c>
      <c r="H11" s="65">
        <v>-28.682600000000001</v>
      </c>
      <c r="J11" s="63">
        <v>9</v>
      </c>
      <c r="K11" s="62">
        <v>6.3094000000000001</v>
      </c>
      <c r="L11" s="62">
        <v>6.3094000000000001</v>
      </c>
      <c r="M11" s="62">
        <v>-7.9347000000000003</v>
      </c>
      <c r="N11" s="62">
        <v>-4.4512999999999998</v>
      </c>
      <c r="O11" s="62">
        <v>-4.4512999999999998</v>
      </c>
      <c r="P11" s="62">
        <v>-28.431000000000001</v>
      </c>
      <c r="Q11" s="65">
        <v>-28.431000000000001</v>
      </c>
      <c r="S11" s="63">
        <v>9</v>
      </c>
      <c r="T11" s="62">
        <v>7.0805999999999996</v>
      </c>
      <c r="U11" s="62">
        <v>7.0805999999999996</v>
      </c>
      <c r="V11" s="62">
        <v>-8.2825000000000006</v>
      </c>
      <c r="W11" s="62">
        <v>-4.8010000000000002</v>
      </c>
      <c r="X11" s="62">
        <v>-4.8010000000000002</v>
      </c>
      <c r="Y11" s="62">
        <v>-28.697099999999999</v>
      </c>
      <c r="Z11" s="65">
        <v>-28.697099999999999</v>
      </c>
      <c r="AB11" s="63">
        <v>9</v>
      </c>
      <c r="AC11" s="62">
        <v>6.8152999999999997</v>
      </c>
      <c r="AD11" s="62">
        <v>6.8152999999999997</v>
      </c>
      <c r="AE11" s="62">
        <v>-6.859</v>
      </c>
      <c r="AF11" s="62">
        <v>-4.2732000000000001</v>
      </c>
      <c r="AG11" s="62">
        <v>-4.2732000000000001</v>
      </c>
      <c r="AH11" s="62">
        <v>-22.2531</v>
      </c>
      <c r="AI11" s="65">
        <v>-22.2531</v>
      </c>
      <c r="AK11" s="63">
        <v>9</v>
      </c>
      <c r="AL11" s="62">
        <v>3.6295999999999999</v>
      </c>
      <c r="AM11" s="62">
        <v>3.6295999999999999</v>
      </c>
      <c r="AN11" s="62">
        <v>-3.7928999999999999</v>
      </c>
      <c r="AO11" s="62">
        <v>-2.3195000000000001</v>
      </c>
      <c r="AP11" s="62">
        <v>-2.3195000000000001</v>
      </c>
      <c r="AQ11" s="62">
        <v>-12.473599999999999</v>
      </c>
      <c r="AR11" s="65">
        <v>-12.473599999999999</v>
      </c>
    </row>
    <row r="12" spans="1:44" x14ac:dyDescent="0.25">
      <c r="A12" s="63">
        <v>10</v>
      </c>
      <c r="B12" s="256">
        <v>-7.7401500000000002E-16</v>
      </c>
      <c r="C12" s="256">
        <v>3.3004899999999999E-16</v>
      </c>
      <c r="D12" s="256">
        <v>3.3004899999999999E-16</v>
      </c>
      <c r="E12" s="256">
        <v>7.3604299999999998E-16</v>
      </c>
      <c r="F12" s="256">
        <v>7.3604299999999998E-16</v>
      </c>
      <c r="G12" s="62">
        <v>-157.73849999999999</v>
      </c>
      <c r="H12" s="65">
        <v>-157.73849999999999</v>
      </c>
      <c r="J12" s="63">
        <v>10</v>
      </c>
      <c r="K12" s="62">
        <v>-2.6599999999999999E-2</v>
      </c>
      <c r="L12" s="62">
        <v>9.06E-2</v>
      </c>
      <c r="M12" s="62">
        <v>9.06E-2</v>
      </c>
      <c r="N12" s="62">
        <v>7.8100000000000003E-2</v>
      </c>
      <c r="O12" s="62">
        <v>7.8100000000000003E-2</v>
      </c>
      <c r="P12" s="62">
        <v>-144.0164</v>
      </c>
      <c r="Q12" s="65">
        <v>-144.0164</v>
      </c>
      <c r="S12" s="63">
        <v>10</v>
      </c>
      <c r="T12" s="62">
        <v>-2.6599999999999999E-2</v>
      </c>
      <c r="U12" s="62">
        <v>9.06E-2</v>
      </c>
      <c r="V12" s="62">
        <v>9.06E-2</v>
      </c>
      <c r="W12" s="62">
        <v>7.8100000000000003E-2</v>
      </c>
      <c r="X12" s="62">
        <v>7.8100000000000003E-2</v>
      </c>
      <c r="Y12" s="62">
        <v>-156.09010000000001</v>
      </c>
      <c r="Z12" s="65">
        <v>-156.09010000000001</v>
      </c>
      <c r="AB12" s="63">
        <v>10</v>
      </c>
      <c r="AC12" s="256">
        <v>-5.2224300000000003E-16</v>
      </c>
      <c r="AD12" s="256">
        <v>3.2597199999999998E-16</v>
      </c>
      <c r="AE12" s="256">
        <v>3.2597199999999998E-16</v>
      </c>
      <c r="AF12" s="256">
        <v>5.6547700000000002E-16</v>
      </c>
      <c r="AG12" s="256">
        <v>5.6547700000000002E-16</v>
      </c>
      <c r="AH12" s="62">
        <v>-153.68680000000001</v>
      </c>
      <c r="AI12" s="65">
        <v>-153.68680000000001</v>
      </c>
      <c r="AK12" s="63">
        <v>10</v>
      </c>
      <c r="AL12" s="256">
        <v>-1.62141E-16</v>
      </c>
      <c r="AM12" s="256">
        <v>7.4535800000000004E-17</v>
      </c>
      <c r="AN12" s="256">
        <v>7.4535800000000004E-17</v>
      </c>
      <c r="AO12" s="256">
        <v>1.5778500000000001E-16</v>
      </c>
      <c r="AP12" s="256">
        <v>1.5778500000000001E-16</v>
      </c>
      <c r="AQ12" s="62">
        <v>-91.898300000000006</v>
      </c>
      <c r="AR12" s="65">
        <v>-91.898300000000006</v>
      </c>
    </row>
    <row r="13" spans="1:44" x14ac:dyDescent="0.25">
      <c r="A13" s="364">
        <v>11</v>
      </c>
      <c r="B13" s="367">
        <v>-1.0388700000000001E-15</v>
      </c>
      <c r="C13" s="367">
        <v>1.1840699999999999E-15</v>
      </c>
      <c r="D13" s="367">
        <v>1.1840699999999999E-15</v>
      </c>
      <c r="E13" s="367">
        <v>6.9466799999999997E-16</v>
      </c>
      <c r="F13" s="367">
        <v>6.9466799999999997E-16</v>
      </c>
      <c r="G13" s="365">
        <v>-129.23670000000001</v>
      </c>
      <c r="H13" s="366">
        <v>-129.23670000000001</v>
      </c>
      <c r="J13" s="364">
        <v>11</v>
      </c>
      <c r="K13" s="365">
        <v>0.1454</v>
      </c>
      <c r="L13" s="365">
        <v>0.1454</v>
      </c>
      <c r="M13" s="365">
        <v>-0.2843</v>
      </c>
      <c r="N13" s="365">
        <v>-0.1343</v>
      </c>
      <c r="O13" s="365">
        <v>-0.1343</v>
      </c>
      <c r="P13" s="365">
        <v>-115.40940000000001</v>
      </c>
      <c r="Q13" s="366">
        <v>-115.40940000000001</v>
      </c>
      <c r="S13" s="364">
        <v>11</v>
      </c>
      <c r="T13" s="365">
        <v>0.1454</v>
      </c>
      <c r="U13" s="365">
        <v>0.1454</v>
      </c>
      <c r="V13" s="365">
        <v>-0.2843</v>
      </c>
      <c r="W13" s="365">
        <v>-0.1343</v>
      </c>
      <c r="X13" s="365">
        <v>-0.1343</v>
      </c>
      <c r="Y13" s="365">
        <v>-127.74679999999999</v>
      </c>
      <c r="Z13" s="366">
        <v>-127.74679999999999</v>
      </c>
      <c r="AB13" s="364">
        <v>11</v>
      </c>
      <c r="AC13" s="367">
        <v>-2.7008700000000001E-16</v>
      </c>
      <c r="AD13" s="367">
        <v>3.17085E-16</v>
      </c>
      <c r="AE13" s="367">
        <v>3.17085E-16</v>
      </c>
      <c r="AF13" s="367">
        <v>1.8349099999999999E-16</v>
      </c>
      <c r="AG13" s="367">
        <v>1.8349099999999999E-16</v>
      </c>
      <c r="AH13" s="365">
        <v>-125.32769999999999</v>
      </c>
      <c r="AI13" s="366">
        <v>-125.32769999999999</v>
      </c>
      <c r="AK13" s="63">
        <v>11</v>
      </c>
      <c r="AL13" s="256">
        <v>-8.2743900000000002E-17</v>
      </c>
      <c r="AM13" s="256">
        <v>1.01849E-16</v>
      </c>
      <c r="AN13" s="256">
        <v>1.01849E-16</v>
      </c>
      <c r="AO13" s="256">
        <v>5.7685300000000002E-17</v>
      </c>
      <c r="AP13" s="256">
        <v>5.7685300000000002E-17</v>
      </c>
      <c r="AQ13" s="62">
        <v>-67.736599999999996</v>
      </c>
      <c r="AR13" s="65">
        <v>-67.736599999999996</v>
      </c>
    </row>
    <row r="14" spans="1:44" x14ac:dyDescent="0.25">
      <c r="A14" s="63">
        <v>12</v>
      </c>
      <c r="B14" s="256">
        <v>6.2617400000000001E-18</v>
      </c>
      <c r="C14" s="256">
        <v>6.2617400000000001E-18</v>
      </c>
      <c r="D14" s="256">
        <v>-4.7253299999999996E-16</v>
      </c>
      <c r="E14" s="256">
        <v>-1.4962300000000001E-16</v>
      </c>
      <c r="F14" s="256">
        <v>-1.4962300000000001E-16</v>
      </c>
      <c r="G14" s="62">
        <v>-66.094899999999996</v>
      </c>
      <c r="H14" s="65">
        <v>-66.094899999999996</v>
      </c>
      <c r="J14" s="63">
        <v>12</v>
      </c>
      <c r="K14" s="62">
        <v>-0.80310000000000004</v>
      </c>
      <c r="L14" s="62">
        <v>1.7757000000000001</v>
      </c>
      <c r="M14" s="62">
        <v>1.7757000000000001</v>
      </c>
      <c r="N14" s="62">
        <v>0.80589999999999995</v>
      </c>
      <c r="O14" s="62">
        <v>0.80589999999999995</v>
      </c>
      <c r="P14" s="62">
        <v>-53.686300000000003</v>
      </c>
      <c r="Q14" s="65">
        <v>-53.686300000000003</v>
      </c>
      <c r="S14" s="63">
        <v>12</v>
      </c>
      <c r="T14" s="62">
        <v>-0.80310000000000004</v>
      </c>
      <c r="U14" s="62">
        <v>1.7757000000000001</v>
      </c>
      <c r="V14" s="62">
        <v>1.7757000000000001</v>
      </c>
      <c r="W14" s="62">
        <v>0.80589999999999995</v>
      </c>
      <c r="X14" s="62">
        <v>0.80589999999999995</v>
      </c>
      <c r="Y14" s="62">
        <v>-53.1541</v>
      </c>
      <c r="Z14" s="65">
        <v>-53.1541</v>
      </c>
      <c r="AB14" s="63">
        <v>12</v>
      </c>
      <c r="AC14" s="256">
        <v>8.15894E-16</v>
      </c>
      <c r="AD14" s="256">
        <v>8.15894E-16</v>
      </c>
      <c r="AE14" s="256">
        <v>-1.2191E-15</v>
      </c>
      <c r="AF14" s="256">
        <v>-6.3593699999999998E-16</v>
      </c>
      <c r="AG14" s="256">
        <v>-6.3593699999999998E-16</v>
      </c>
      <c r="AH14" s="62">
        <v>-48.953899999999997</v>
      </c>
      <c r="AI14" s="65">
        <v>-48.953899999999997</v>
      </c>
      <c r="AK14" s="63">
        <v>12</v>
      </c>
      <c r="AL14" s="256">
        <v>5.5574899999999999E-16</v>
      </c>
      <c r="AM14" s="256">
        <v>5.5574899999999999E-16</v>
      </c>
      <c r="AN14" s="256">
        <v>-8.0662200000000001E-16</v>
      </c>
      <c r="AO14" s="256">
        <v>-4.2574100000000001E-16</v>
      </c>
      <c r="AP14" s="256">
        <v>-4.2574100000000001E-16</v>
      </c>
      <c r="AQ14" s="62">
        <v>-27.602799999999998</v>
      </c>
      <c r="AR14" s="65">
        <v>-27.602799999999998</v>
      </c>
    </row>
    <row r="15" spans="1:44" x14ac:dyDescent="0.25">
      <c r="A15" s="63">
        <v>13</v>
      </c>
      <c r="B15" s="62">
        <v>-1.1986000000000001</v>
      </c>
      <c r="C15" s="62">
        <v>2.4064000000000001</v>
      </c>
      <c r="D15" s="62">
        <v>2.4064000000000001</v>
      </c>
      <c r="E15" s="62">
        <v>2.4033000000000002</v>
      </c>
      <c r="F15" s="62">
        <v>2.4033000000000002</v>
      </c>
      <c r="G15" s="62">
        <v>-72.820700000000002</v>
      </c>
      <c r="H15" s="65">
        <v>-72.820700000000002</v>
      </c>
      <c r="J15" s="63">
        <v>13</v>
      </c>
      <c r="K15" s="62">
        <v>-1.1517999999999999</v>
      </c>
      <c r="L15" s="62">
        <v>2.3441999999999998</v>
      </c>
      <c r="M15" s="62">
        <v>2.3441999999999998</v>
      </c>
      <c r="N15" s="62">
        <v>2.3307000000000002</v>
      </c>
      <c r="O15" s="62">
        <v>2.3307000000000002</v>
      </c>
      <c r="P15" s="62">
        <v>-61.941099999999999</v>
      </c>
      <c r="Q15" s="65">
        <v>-61.941099999999999</v>
      </c>
      <c r="S15" s="63">
        <v>13</v>
      </c>
      <c r="T15" s="62">
        <v>-1.0968</v>
      </c>
      <c r="U15" s="62">
        <v>2.2111000000000001</v>
      </c>
      <c r="V15" s="62">
        <v>2.2111000000000001</v>
      </c>
      <c r="W15" s="62">
        <v>2.2052999999999998</v>
      </c>
      <c r="X15" s="62">
        <v>2.2052999999999998</v>
      </c>
      <c r="Y15" s="62">
        <v>-65.264200000000002</v>
      </c>
      <c r="Z15" s="65">
        <v>-65.264200000000002</v>
      </c>
      <c r="AB15" s="63">
        <v>13</v>
      </c>
      <c r="AC15" s="62">
        <v>-1.0987</v>
      </c>
      <c r="AD15" s="62">
        <v>2.1756000000000002</v>
      </c>
      <c r="AE15" s="62">
        <v>2.1756000000000002</v>
      </c>
      <c r="AF15" s="62">
        <v>2.1827999999999999</v>
      </c>
      <c r="AG15" s="62">
        <v>2.1827999999999999</v>
      </c>
      <c r="AH15" s="62">
        <v>-71.416600000000003</v>
      </c>
      <c r="AI15" s="65">
        <v>-71.416600000000003</v>
      </c>
      <c r="AK15" s="63">
        <v>13</v>
      </c>
      <c r="AL15" s="62">
        <v>-1.0098</v>
      </c>
      <c r="AM15" s="62">
        <v>2.0434999999999999</v>
      </c>
      <c r="AN15" s="62">
        <v>2.0434999999999999</v>
      </c>
      <c r="AO15" s="62">
        <v>2.0354999999999999</v>
      </c>
      <c r="AP15" s="62">
        <v>2.0354999999999999</v>
      </c>
      <c r="AQ15" s="62">
        <v>-42.6008</v>
      </c>
      <c r="AR15" s="65">
        <v>-42.6008</v>
      </c>
    </row>
    <row r="16" spans="1:44" x14ac:dyDescent="0.25">
      <c r="A16" s="364">
        <v>14</v>
      </c>
      <c r="B16" s="365">
        <v>-2.9426000000000001</v>
      </c>
      <c r="C16" s="365">
        <v>4.1584000000000003</v>
      </c>
      <c r="D16" s="365">
        <v>4.1584000000000003</v>
      </c>
      <c r="E16" s="365">
        <v>2.2191000000000001</v>
      </c>
      <c r="F16" s="365">
        <v>2.2191000000000001</v>
      </c>
      <c r="G16" s="365">
        <v>-58.841700000000003</v>
      </c>
      <c r="H16" s="366">
        <v>-58.841700000000003</v>
      </c>
      <c r="J16" s="364">
        <v>14</v>
      </c>
      <c r="K16" s="365">
        <v>-2.9542000000000002</v>
      </c>
      <c r="L16" s="365">
        <v>4.3124000000000002</v>
      </c>
      <c r="M16" s="365">
        <v>4.3124000000000002</v>
      </c>
      <c r="N16" s="365">
        <v>2.2707999999999999</v>
      </c>
      <c r="O16" s="365">
        <v>2.2707999999999999</v>
      </c>
      <c r="P16" s="365">
        <v>-48.021599999999999</v>
      </c>
      <c r="Q16" s="366">
        <v>-48.021599999999999</v>
      </c>
      <c r="S16" s="364">
        <v>14</v>
      </c>
      <c r="T16" s="365">
        <v>-3.2755999999999998</v>
      </c>
      <c r="U16" s="365">
        <v>5.0698999999999996</v>
      </c>
      <c r="V16" s="365">
        <v>5.0698999999999996</v>
      </c>
      <c r="W16" s="365">
        <v>2.6080000000000001</v>
      </c>
      <c r="X16" s="365">
        <v>2.6080000000000001</v>
      </c>
      <c r="Y16" s="365">
        <v>-51.212899999999998</v>
      </c>
      <c r="Z16" s="366">
        <v>-51.212899999999998</v>
      </c>
      <c r="AB16" s="364">
        <v>14</v>
      </c>
      <c r="AC16" s="365">
        <v>-3.3018999999999998</v>
      </c>
      <c r="AD16" s="365">
        <v>5.0759999999999996</v>
      </c>
      <c r="AE16" s="365">
        <v>5.0759999999999996</v>
      </c>
      <c r="AF16" s="365">
        <v>2.6181000000000001</v>
      </c>
      <c r="AG16" s="365">
        <v>2.6181000000000001</v>
      </c>
      <c r="AH16" s="365">
        <v>-57.366199999999999</v>
      </c>
      <c r="AI16" s="366">
        <v>-57.366199999999999</v>
      </c>
      <c r="AK16" s="63">
        <v>14</v>
      </c>
      <c r="AL16" s="62">
        <v>-2.1495000000000002</v>
      </c>
      <c r="AM16" s="62">
        <v>2.8317000000000001</v>
      </c>
      <c r="AN16" s="62">
        <v>2.8317000000000001</v>
      </c>
      <c r="AO16" s="62">
        <v>1.5566</v>
      </c>
      <c r="AP16" s="62">
        <v>1.5566</v>
      </c>
      <c r="AQ16" s="62">
        <v>-31.156700000000001</v>
      </c>
      <c r="AR16" s="65">
        <v>-31.156700000000001</v>
      </c>
    </row>
    <row r="17" spans="1:44" x14ac:dyDescent="0.25">
      <c r="A17" s="63">
        <v>15</v>
      </c>
      <c r="B17" s="62">
        <v>-6.6791</v>
      </c>
      <c r="C17" s="62">
        <v>8.0893999999999995</v>
      </c>
      <c r="D17" s="62">
        <v>8.0893999999999995</v>
      </c>
      <c r="E17" s="62">
        <v>4.6151999999999997</v>
      </c>
      <c r="F17" s="62">
        <v>4.6151999999999997</v>
      </c>
      <c r="G17" s="62">
        <v>-28.682600000000001</v>
      </c>
      <c r="H17" s="65">
        <v>-28.682600000000001</v>
      </c>
      <c r="J17" s="63">
        <v>15</v>
      </c>
      <c r="K17" s="62">
        <v>-5.8395999999999999</v>
      </c>
      <c r="L17" s="62">
        <v>5.8255999999999997</v>
      </c>
      <c r="M17" s="62">
        <v>5.8255999999999997</v>
      </c>
      <c r="N17" s="62">
        <v>3.6454</v>
      </c>
      <c r="O17" s="62">
        <v>3.6454</v>
      </c>
      <c r="P17" s="62">
        <v>-18.892700000000001</v>
      </c>
      <c r="Q17" s="65">
        <v>-18.892700000000001</v>
      </c>
      <c r="S17" s="63">
        <v>15</v>
      </c>
      <c r="T17" s="62">
        <v>-6.6108000000000002</v>
      </c>
      <c r="U17" s="62">
        <v>6.1734999999999998</v>
      </c>
      <c r="V17" s="62">
        <v>6.1734999999999998</v>
      </c>
      <c r="W17" s="62">
        <v>3.9950999999999999</v>
      </c>
      <c r="X17" s="62">
        <v>3.9950999999999999</v>
      </c>
      <c r="Y17" s="62">
        <v>-19.158799999999999</v>
      </c>
      <c r="Z17" s="65">
        <v>-19.158799999999999</v>
      </c>
      <c r="AB17" s="63">
        <v>15</v>
      </c>
      <c r="AC17" s="62">
        <v>-6.8152999999999997</v>
      </c>
      <c r="AD17" s="62">
        <v>6.859</v>
      </c>
      <c r="AE17" s="62">
        <v>6.859</v>
      </c>
      <c r="AF17" s="62">
        <v>4.2732000000000001</v>
      </c>
      <c r="AG17" s="62">
        <v>4.2732000000000001</v>
      </c>
      <c r="AH17" s="62">
        <v>-22.2531</v>
      </c>
      <c r="AI17" s="65">
        <v>-22.2531</v>
      </c>
      <c r="AK17" s="63">
        <v>15</v>
      </c>
      <c r="AL17" s="62">
        <v>-3.6295999999999999</v>
      </c>
      <c r="AM17" s="62">
        <v>3.7928999999999999</v>
      </c>
      <c r="AN17" s="62">
        <v>3.7928999999999999</v>
      </c>
      <c r="AO17" s="62">
        <v>2.3195000000000001</v>
      </c>
      <c r="AP17" s="62">
        <v>2.3195000000000001</v>
      </c>
      <c r="AQ17" s="62">
        <v>-12.473599999999999</v>
      </c>
      <c r="AR17" s="65">
        <v>-12.473599999999999</v>
      </c>
    </row>
    <row r="18" spans="1:44" x14ac:dyDescent="0.25">
      <c r="A18" s="63"/>
      <c r="H18" s="65"/>
      <c r="J18" s="63"/>
      <c r="Q18" s="65"/>
      <c r="S18" s="63"/>
      <c r="Z18" s="65"/>
      <c r="AB18" s="63"/>
      <c r="AI18" s="65"/>
      <c r="AK18" s="63"/>
      <c r="AR18" s="65"/>
    </row>
    <row r="19" spans="1:44" x14ac:dyDescent="0.25">
      <c r="A19" s="63" t="s">
        <v>0</v>
      </c>
      <c r="B19" s="62" t="s">
        <v>1</v>
      </c>
      <c r="C19" s="62" t="s">
        <v>2</v>
      </c>
      <c r="D19" s="62" t="s">
        <v>3</v>
      </c>
      <c r="E19" s="62" t="s">
        <v>4</v>
      </c>
      <c r="F19" s="62" t="s">
        <v>5</v>
      </c>
      <c r="G19" s="62" t="s">
        <v>6</v>
      </c>
      <c r="H19" s="65" t="s">
        <v>7</v>
      </c>
      <c r="J19" s="63" t="s">
        <v>0</v>
      </c>
      <c r="K19" s="62" t="s">
        <v>1</v>
      </c>
      <c r="L19" s="62" t="s">
        <v>2</v>
      </c>
      <c r="M19" s="62" t="s">
        <v>3</v>
      </c>
      <c r="N19" s="62" t="s">
        <v>4</v>
      </c>
      <c r="O19" s="62" t="s">
        <v>5</v>
      </c>
      <c r="P19" s="62" t="s">
        <v>6</v>
      </c>
      <c r="Q19" s="65" t="s">
        <v>7</v>
      </c>
      <c r="S19" s="80"/>
      <c r="U19" s="62" t="s">
        <v>361</v>
      </c>
      <c r="V19" s="62" t="s">
        <v>362</v>
      </c>
      <c r="Y19" s="62" t="s">
        <v>361</v>
      </c>
      <c r="Z19" s="65" t="s">
        <v>362</v>
      </c>
      <c r="AB19" s="63" t="s">
        <v>0</v>
      </c>
      <c r="AC19" s="62" t="s">
        <v>1</v>
      </c>
      <c r="AD19" s="62" t="s">
        <v>2</v>
      </c>
      <c r="AE19" s="62" t="s">
        <v>3</v>
      </c>
      <c r="AF19" s="62" t="s">
        <v>4</v>
      </c>
      <c r="AG19" s="62" t="s">
        <v>5</v>
      </c>
      <c r="AH19" s="62" t="s">
        <v>6</v>
      </c>
      <c r="AI19" s="65" t="s">
        <v>7</v>
      </c>
      <c r="AK19" s="63" t="s">
        <v>292</v>
      </c>
      <c r="AR19" s="65"/>
    </row>
    <row r="20" spans="1:44" x14ac:dyDescent="0.25">
      <c r="A20" s="63">
        <v>1</v>
      </c>
      <c r="B20" s="62">
        <v>-0.17030000000000001</v>
      </c>
      <c r="C20" s="62">
        <v>0.1424</v>
      </c>
      <c r="D20" s="62">
        <v>0.1424</v>
      </c>
      <c r="E20" s="62">
        <v>0.12509999999999999</v>
      </c>
      <c r="F20" s="62">
        <v>0.12509999999999999</v>
      </c>
      <c r="G20" s="62">
        <v>0.32300000000000001</v>
      </c>
      <c r="H20" s="65">
        <v>0.32300000000000001</v>
      </c>
      <c r="J20" s="63">
        <v>1</v>
      </c>
      <c r="K20" s="62">
        <v>-0.25540000000000002</v>
      </c>
      <c r="L20" s="62">
        <v>0.21360000000000001</v>
      </c>
      <c r="M20" s="62">
        <v>0.21360000000000001</v>
      </c>
      <c r="N20" s="62">
        <v>0.18759999999999999</v>
      </c>
      <c r="O20" s="62">
        <v>0.18759999999999999</v>
      </c>
      <c r="P20" s="62">
        <v>0.48449999999999999</v>
      </c>
      <c r="Q20" s="65">
        <v>0.48449999999999999</v>
      </c>
      <c r="S20" s="80" t="s">
        <v>15</v>
      </c>
      <c r="X20" s="62" t="s">
        <v>360</v>
      </c>
      <c r="Y20" s="62">
        <v>-16.311800000000002</v>
      </c>
      <c r="Z20" s="65">
        <v>9.7042000000000002</v>
      </c>
      <c r="AB20" s="63">
        <v>1</v>
      </c>
      <c r="AC20" s="62">
        <v>-0.2787</v>
      </c>
      <c r="AD20" s="62">
        <v>0.21729999999999999</v>
      </c>
      <c r="AE20" s="62">
        <v>0.21729999999999999</v>
      </c>
      <c r="AF20" s="62">
        <v>0.19839999999999999</v>
      </c>
      <c r="AG20" s="62">
        <v>0.19839999999999999</v>
      </c>
      <c r="AH20" s="62">
        <v>0.63119999999999998</v>
      </c>
      <c r="AI20" s="65">
        <v>0.63119999999999998</v>
      </c>
      <c r="AK20" s="63"/>
      <c r="AM20" s="62" t="s">
        <v>361</v>
      </c>
      <c r="AN20" s="62" t="s">
        <v>362</v>
      </c>
      <c r="AQ20" s="62" t="s">
        <v>361</v>
      </c>
      <c r="AR20" s="65" t="s">
        <v>362</v>
      </c>
    </row>
    <row r="21" spans="1:44" x14ac:dyDescent="0.25">
      <c r="A21" s="63">
        <v>2</v>
      </c>
      <c r="B21" s="62">
        <v>0.1424</v>
      </c>
      <c r="C21" s="62">
        <v>0.1424</v>
      </c>
      <c r="D21" s="62">
        <v>-0.17030000000000001</v>
      </c>
      <c r="E21" s="62">
        <v>-0.12509999999999999</v>
      </c>
      <c r="F21" s="62">
        <v>-0.12509999999999999</v>
      </c>
      <c r="G21" s="62">
        <v>0.32300000000000001</v>
      </c>
      <c r="H21" s="65">
        <v>0.32300000000000001</v>
      </c>
      <c r="J21" s="63">
        <v>2</v>
      </c>
      <c r="K21" s="62">
        <v>0.21360000000000001</v>
      </c>
      <c r="L21" s="62">
        <v>0.21360000000000001</v>
      </c>
      <c r="M21" s="62">
        <v>-0.25540000000000002</v>
      </c>
      <c r="N21" s="62">
        <v>-0.18759999999999999</v>
      </c>
      <c r="O21" s="62">
        <v>-0.18759999999999999</v>
      </c>
      <c r="P21" s="62">
        <v>0.48449999999999999</v>
      </c>
      <c r="Q21" s="65">
        <v>0.48449999999999999</v>
      </c>
      <c r="S21" s="80"/>
      <c r="T21" s="67" t="s">
        <v>360</v>
      </c>
      <c r="U21" s="62">
        <v>12.48</v>
      </c>
      <c r="V21" s="62">
        <v>7.01</v>
      </c>
      <c r="X21" s="62" t="s">
        <v>364</v>
      </c>
      <c r="Y21" s="62">
        <v>-37.376800000000003</v>
      </c>
      <c r="Z21" s="65"/>
      <c r="AB21" s="63">
        <v>2</v>
      </c>
      <c r="AC21" s="62">
        <v>0.21729999999999999</v>
      </c>
      <c r="AD21" s="62">
        <v>0.21729999999999999</v>
      </c>
      <c r="AE21" s="62">
        <v>-0.2787</v>
      </c>
      <c r="AF21" s="62">
        <v>-0.19839999999999999</v>
      </c>
      <c r="AG21" s="62">
        <v>-0.19839999999999999</v>
      </c>
      <c r="AH21" s="62">
        <v>0.63119999999999998</v>
      </c>
      <c r="AI21" s="65">
        <v>0.63119999999999998</v>
      </c>
      <c r="AK21" s="63" t="s">
        <v>359</v>
      </c>
      <c r="AL21" s="62" t="s">
        <v>360</v>
      </c>
      <c r="AM21" s="62">
        <v>4.32</v>
      </c>
      <c r="AN21" s="62">
        <v>2.4500000000000002</v>
      </c>
      <c r="AP21" s="62" t="s">
        <v>360</v>
      </c>
      <c r="AQ21" s="62">
        <v>5.5911</v>
      </c>
      <c r="AR21" s="65">
        <v>3.2930000000000001</v>
      </c>
    </row>
    <row r="22" spans="1:44" x14ac:dyDescent="0.25">
      <c r="A22" s="63">
        <v>3</v>
      </c>
      <c r="B22" s="62">
        <v>-1.6064000000000001</v>
      </c>
      <c r="C22" s="62">
        <v>1.1746000000000001</v>
      </c>
      <c r="D22" s="62">
        <v>-1.9818</v>
      </c>
      <c r="E22" s="62">
        <v>4.5998000000000001</v>
      </c>
      <c r="F22" s="62">
        <v>-4.9001999999999999</v>
      </c>
      <c r="G22" s="62">
        <v>0.46439999999999998</v>
      </c>
      <c r="H22" s="65">
        <v>0.46439999999999998</v>
      </c>
      <c r="J22" s="63">
        <v>3</v>
      </c>
      <c r="K22" s="62">
        <v>-2.4097</v>
      </c>
      <c r="L22" s="62">
        <v>1.7619</v>
      </c>
      <c r="M22" s="62">
        <v>-2.9727999999999999</v>
      </c>
      <c r="N22" s="62">
        <v>6.8997999999999999</v>
      </c>
      <c r="O22" s="62">
        <v>-7.3502000000000001</v>
      </c>
      <c r="P22" s="62">
        <v>0.6966</v>
      </c>
      <c r="Q22" s="65">
        <v>0.6966</v>
      </c>
      <c r="S22" s="80"/>
      <c r="T22" s="67" t="s">
        <v>364</v>
      </c>
      <c r="U22" s="62">
        <v>20.96</v>
      </c>
      <c r="Z22" s="65"/>
      <c r="AB22" s="63">
        <v>3</v>
      </c>
      <c r="AC22" s="62">
        <v>-2.5861000000000001</v>
      </c>
      <c r="AD22" s="62">
        <v>2.0992000000000002</v>
      </c>
      <c r="AE22" s="62">
        <v>-3.6901000000000002</v>
      </c>
      <c r="AF22" s="62">
        <v>7.9333999999999998</v>
      </c>
      <c r="AG22" s="62">
        <v>-8.8165999999999993</v>
      </c>
      <c r="AH22" s="62">
        <v>0.46229999999999999</v>
      </c>
      <c r="AI22" s="65">
        <v>0.46229999999999999</v>
      </c>
      <c r="AK22" s="63"/>
      <c r="AL22" s="62" t="s">
        <v>364</v>
      </c>
      <c r="AM22" s="62">
        <v>11.22</v>
      </c>
      <c r="AP22" s="62" t="s">
        <v>364</v>
      </c>
      <c r="AQ22" s="62">
        <v>14.2509</v>
      </c>
      <c r="AR22" s="65"/>
    </row>
    <row r="23" spans="1:44" x14ac:dyDescent="0.25">
      <c r="A23" s="63">
        <v>4</v>
      </c>
      <c r="B23" s="62">
        <v>-1.9818</v>
      </c>
      <c r="C23" s="62">
        <v>1.1746000000000001</v>
      </c>
      <c r="D23" s="62">
        <v>-1.6064000000000001</v>
      </c>
      <c r="E23" s="62">
        <v>4.9001999999999999</v>
      </c>
      <c r="F23" s="62">
        <v>-4.5998000000000001</v>
      </c>
      <c r="G23" s="62">
        <v>0.46439999999999998</v>
      </c>
      <c r="H23" s="65">
        <v>0.46439999999999998</v>
      </c>
      <c r="J23" s="63">
        <v>4</v>
      </c>
      <c r="K23" s="62">
        <v>-2.9727999999999999</v>
      </c>
      <c r="L23" s="62">
        <v>1.7619</v>
      </c>
      <c r="M23" s="62">
        <v>-2.4097</v>
      </c>
      <c r="N23" s="62">
        <v>7.3502000000000001</v>
      </c>
      <c r="O23" s="62">
        <v>-6.8997999999999999</v>
      </c>
      <c r="P23" s="62">
        <v>0.6966</v>
      </c>
      <c r="Q23" s="65">
        <v>0.6966</v>
      </c>
      <c r="S23" s="80" t="s">
        <v>16</v>
      </c>
      <c r="Z23" s="65"/>
      <c r="AB23" s="63">
        <v>4</v>
      </c>
      <c r="AC23" s="62">
        <v>-3.6901000000000002</v>
      </c>
      <c r="AD23" s="62">
        <v>2.0992000000000002</v>
      </c>
      <c r="AE23" s="62">
        <v>-2.5861000000000001</v>
      </c>
      <c r="AF23" s="62">
        <v>8.8165999999999993</v>
      </c>
      <c r="AG23" s="62">
        <v>-7.9333999999999998</v>
      </c>
      <c r="AH23" s="62">
        <v>0.46229999999999999</v>
      </c>
      <c r="AI23" s="65">
        <v>0.46229999999999999</v>
      </c>
      <c r="AK23" s="63" t="s">
        <v>365</v>
      </c>
      <c r="AL23" s="62" t="s">
        <v>360</v>
      </c>
      <c r="AM23" s="62">
        <v>0.25540000000000002</v>
      </c>
      <c r="AN23" s="62">
        <v>0.21360000000000001</v>
      </c>
      <c r="AR23" s="65"/>
    </row>
    <row r="24" spans="1:44" x14ac:dyDescent="0.25">
      <c r="A24" s="63">
        <v>5</v>
      </c>
      <c r="B24" s="62">
        <v>-1.2425999999999999</v>
      </c>
      <c r="C24" s="62">
        <v>1.3119000000000001</v>
      </c>
      <c r="D24" s="62">
        <v>-2.0972</v>
      </c>
      <c r="E24" s="62">
        <v>4.4081000000000001</v>
      </c>
      <c r="F24" s="62">
        <v>-5.0918999999999999</v>
      </c>
      <c r="G24" s="62">
        <v>-0.71589999999999998</v>
      </c>
      <c r="H24" s="65">
        <v>-0.71589999999999998</v>
      </c>
      <c r="J24" s="63">
        <v>5</v>
      </c>
      <c r="K24" s="62">
        <v>-1.8638999999999999</v>
      </c>
      <c r="L24" s="62">
        <v>1.9678</v>
      </c>
      <c r="M24" s="62">
        <v>-3.1459000000000001</v>
      </c>
      <c r="N24" s="62">
        <v>6.6121999999999996</v>
      </c>
      <c r="O24" s="62">
        <v>-7.6378000000000004</v>
      </c>
      <c r="P24" s="62">
        <v>-1.0739000000000001</v>
      </c>
      <c r="Q24" s="65">
        <v>-1.0739000000000001</v>
      </c>
      <c r="S24" s="63"/>
      <c r="T24" s="67" t="s">
        <v>360</v>
      </c>
      <c r="U24" s="62">
        <v>8.3699999999999997E-2</v>
      </c>
      <c r="V24" s="62">
        <v>0.83699999999999997</v>
      </c>
      <c r="Z24" s="65"/>
      <c r="AB24" s="63">
        <v>5</v>
      </c>
      <c r="AC24" s="62">
        <v>-1.4421999999999999</v>
      </c>
      <c r="AD24" s="62">
        <v>1.2802</v>
      </c>
      <c r="AE24" s="62">
        <v>-1.9348000000000001</v>
      </c>
      <c r="AF24" s="62">
        <v>4.5529000000000002</v>
      </c>
      <c r="AG24" s="62">
        <v>-4.9470999999999998</v>
      </c>
      <c r="AH24" s="62">
        <v>-0.93110000000000004</v>
      </c>
      <c r="AI24" s="65">
        <v>-0.93110000000000004</v>
      </c>
      <c r="AK24" s="63"/>
      <c r="AL24" s="62" t="s">
        <v>364</v>
      </c>
      <c r="AM24" s="62">
        <v>0.48449999999999999</v>
      </c>
      <c r="AR24" s="65"/>
    </row>
    <row r="25" spans="1:44" x14ac:dyDescent="0.25">
      <c r="A25" s="63">
        <v>6</v>
      </c>
      <c r="B25" s="62">
        <v>-2.0972</v>
      </c>
      <c r="C25" s="62">
        <v>1.3119000000000001</v>
      </c>
      <c r="D25" s="62">
        <v>-1.2425999999999999</v>
      </c>
      <c r="E25" s="62">
        <v>5.0918999999999999</v>
      </c>
      <c r="F25" s="62">
        <v>-4.4081000000000001</v>
      </c>
      <c r="G25" s="62">
        <v>-0.71589999999999998</v>
      </c>
      <c r="H25" s="65">
        <v>-0.71589999999999998</v>
      </c>
      <c r="J25" s="63">
        <v>6</v>
      </c>
      <c r="K25" s="62">
        <v>-3.1459000000000001</v>
      </c>
      <c r="L25" s="62">
        <v>1.9678</v>
      </c>
      <c r="M25" s="62">
        <v>-1.8638999999999999</v>
      </c>
      <c r="N25" s="62">
        <v>7.6378000000000004</v>
      </c>
      <c r="O25" s="62">
        <v>-6.6121999999999996</v>
      </c>
      <c r="P25" s="62">
        <v>-1.0739000000000001</v>
      </c>
      <c r="Q25" s="65">
        <v>-1.0739000000000001</v>
      </c>
      <c r="S25" s="63"/>
      <c r="T25" s="67" t="s">
        <v>364</v>
      </c>
      <c r="U25" s="62">
        <v>7.6378000000000004</v>
      </c>
      <c r="Z25" s="65"/>
      <c r="AB25" s="63">
        <v>6</v>
      </c>
      <c r="AC25" s="62">
        <v>-1.9348000000000001</v>
      </c>
      <c r="AD25" s="62">
        <v>1.2802</v>
      </c>
      <c r="AE25" s="62">
        <v>-1.4421999999999999</v>
      </c>
      <c r="AF25" s="62">
        <v>4.9470999999999998</v>
      </c>
      <c r="AG25" s="62">
        <v>-4.5529000000000002</v>
      </c>
      <c r="AH25" s="62">
        <v>-0.93110000000000004</v>
      </c>
      <c r="AI25" s="65">
        <v>-0.93110000000000004</v>
      </c>
      <c r="AK25" s="63"/>
      <c r="AR25" s="65"/>
    </row>
    <row r="26" spans="1:44" x14ac:dyDescent="0.25">
      <c r="A26" s="63">
        <v>7</v>
      </c>
      <c r="B26" s="62">
        <v>-3.0300000000000001E-2</v>
      </c>
      <c r="C26" s="62">
        <v>7.6799999999999993E-2</v>
      </c>
      <c r="D26" s="62">
        <v>7.6799999999999993E-2</v>
      </c>
      <c r="E26" s="62">
        <v>7.1400000000000005E-2</v>
      </c>
      <c r="F26" s="62">
        <v>7.1400000000000005E-2</v>
      </c>
      <c r="G26" s="62">
        <v>-9.1329999999999991</v>
      </c>
      <c r="H26" s="65">
        <v>-9.1329999999999991</v>
      </c>
      <c r="J26" s="63">
        <v>7</v>
      </c>
      <c r="K26" s="62">
        <v>-4.5499999999999999E-2</v>
      </c>
      <c r="L26" s="62">
        <v>0.1152</v>
      </c>
      <c r="M26" s="62">
        <v>0.1152</v>
      </c>
      <c r="N26" s="62">
        <v>0.1071</v>
      </c>
      <c r="O26" s="62">
        <v>0.1071</v>
      </c>
      <c r="P26" s="62">
        <v>-13.6995</v>
      </c>
      <c r="Q26" s="65">
        <v>-13.6995</v>
      </c>
      <c r="S26" s="63"/>
      <c r="Z26" s="65"/>
      <c r="AB26" s="63">
        <v>7</v>
      </c>
      <c r="AC26" s="62">
        <v>-7.0699999999999999E-2</v>
      </c>
      <c r="AD26" s="62">
        <v>0.1729</v>
      </c>
      <c r="AE26" s="62">
        <v>0.1729</v>
      </c>
      <c r="AF26" s="62">
        <v>0.16239999999999999</v>
      </c>
      <c r="AG26" s="62">
        <v>0.16239999999999999</v>
      </c>
      <c r="AH26" s="62">
        <v>-12.684799999999999</v>
      </c>
      <c r="AI26" s="65">
        <v>-12.684799999999999</v>
      </c>
      <c r="AK26" s="63" t="s">
        <v>368</v>
      </c>
      <c r="AR26" s="65"/>
    </row>
    <row r="27" spans="1:44" x14ac:dyDescent="0.25">
      <c r="A27" s="63">
        <v>8</v>
      </c>
      <c r="B27" s="62">
        <v>0.24709999999999999</v>
      </c>
      <c r="C27" s="62">
        <v>0.24709999999999999</v>
      </c>
      <c r="D27" s="62">
        <v>-0.55800000000000005</v>
      </c>
      <c r="E27" s="62">
        <v>-0.25159999999999999</v>
      </c>
      <c r="F27" s="62">
        <v>-0.25159999999999999</v>
      </c>
      <c r="G27" s="62">
        <v>-9.0079999999999991</v>
      </c>
      <c r="H27" s="65">
        <v>-9.0079999999999991</v>
      </c>
      <c r="J27" s="63">
        <v>8</v>
      </c>
      <c r="K27" s="62">
        <v>0.37059999999999998</v>
      </c>
      <c r="L27" s="62">
        <v>0.37059999999999998</v>
      </c>
      <c r="M27" s="62">
        <v>-0.83699999999999997</v>
      </c>
      <c r="N27" s="62">
        <v>-0.37740000000000001</v>
      </c>
      <c r="O27" s="62">
        <v>-0.37740000000000001</v>
      </c>
      <c r="P27" s="62">
        <v>-13.512</v>
      </c>
      <c r="Q27" s="65">
        <v>-13.512</v>
      </c>
      <c r="S27" s="63"/>
      <c r="Z27" s="65"/>
      <c r="AB27" s="63">
        <v>8</v>
      </c>
      <c r="AC27" s="62">
        <v>0.4516</v>
      </c>
      <c r="AD27" s="62">
        <v>0.4516</v>
      </c>
      <c r="AE27" s="62">
        <v>-1.0487</v>
      </c>
      <c r="AF27" s="62">
        <v>-0.46879999999999999</v>
      </c>
      <c r="AG27" s="62">
        <v>-0.46879999999999999</v>
      </c>
      <c r="AH27" s="62">
        <v>-12.4863</v>
      </c>
      <c r="AI27" s="65">
        <v>-12.4863</v>
      </c>
      <c r="AK27" s="63" t="s">
        <v>478</v>
      </c>
      <c r="AL27" s="62" t="s">
        <v>15</v>
      </c>
      <c r="AM27" s="62" t="s">
        <v>16</v>
      </c>
      <c r="AO27" s="62" t="s">
        <v>535</v>
      </c>
      <c r="AP27" s="62" t="s">
        <v>15</v>
      </c>
      <c r="AQ27" s="62" t="s">
        <v>16</v>
      </c>
      <c r="AR27" s="65"/>
    </row>
    <row r="28" spans="1:44" x14ac:dyDescent="0.25">
      <c r="A28" s="63">
        <v>9</v>
      </c>
      <c r="B28" s="62">
        <v>1.0485</v>
      </c>
      <c r="C28" s="62">
        <v>1.0485</v>
      </c>
      <c r="D28" s="62">
        <v>-1.2425999999999999</v>
      </c>
      <c r="E28" s="62">
        <v>-0.71589999999999998</v>
      </c>
      <c r="F28" s="62">
        <v>-0.71589999999999998</v>
      </c>
      <c r="G28" s="62">
        <v>-4.4081000000000001</v>
      </c>
      <c r="H28" s="65">
        <v>-4.4081000000000001</v>
      </c>
      <c r="J28" s="63">
        <v>9</v>
      </c>
      <c r="K28" s="62">
        <v>1.5727</v>
      </c>
      <c r="L28" s="62">
        <v>1.5727</v>
      </c>
      <c r="M28" s="62">
        <v>-1.8638999999999999</v>
      </c>
      <c r="N28" s="62">
        <v>-1.0739000000000001</v>
      </c>
      <c r="O28" s="62">
        <v>-1.0739000000000001</v>
      </c>
      <c r="P28" s="62">
        <v>-6.6121999999999996</v>
      </c>
      <c r="Q28" s="65">
        <v>-6.6121999999999996</v>
      </c>
      <c r="S28" s="63"/>
      <c r="Z28" s="65"/>
      <c r="AB28" s="63">
        <v>9</v>
      </c>
      <c r="AC28" s="62">
        <v>1.5373000000000001</v>
      </c>
      <c r="AD28" s="62">
        <v>1.5373000000000001</v>
      </c>
      <c r="AE28" s="62">
        <v>-1.4421999999999999</v>
      </c>
      <c r="AF28" s="62">
        <v>-0.93110000000000004</v>
      </c>
      <c r="AG28" s="62">
        <v>-0.93110000000000004</v>
      </c>
      <c r="AH28" s="62">
        <v>-4.5529000000000002</v>
      </c>
      <c r="AI28" s="65">
        <v>-4.5529000000000002</v>
      </c>
      <c r="AK28" s="63" t="s">
        <v>370</v>
      </c>
      <c r="AL28" s="62">
        <v>81.05</v>
      </c>
      <c r="AM28" s="62">
        <v>19.989999999999998</v>
      </c>
      <c r="AO28" s="62" t="s">
        <v>370</v>
      </c>
      <c r="AP28" s="62">
        <v>41.5</v>
      </c>
      <c r="AQ28" s="62">
        <v>10.19</v>
      </c>
      <c r="AR28" s="65"/>
    </row>
    <row r="29" spans="1:44" ht="14.4" thickBot="1" x14ac:dyDescent="0.3">
      <c r="A29" s="63">
        <v>10</v>
      </c>
      <c r="B29" s="256">
        <v>-6.2952000000000002E-17</v>
      </c>
      <c r="C29" s="256">
        <v>2.9624299999999997E-17</v>
      </c>
      <c r="D29" s="256">
        <v>2.9624299999999997E-17</v>
      </c>
      <c r="E29" s="256">
        <v>6.1717500000000002E-17</v>
      </c>
      <c r="F29" s="256">
        <v>6.1717500000000002E-17</v>
      </c>
      <c r="G29" s="62">
        <v>-19.733899999999998</v>
      </c>
      <c r="H29" s="65">
        <v>-19.733899999999998</v>
      </c>
      <c r="J29" s="63">
        <v>10</v>
      </c>
      <c r="K29" s="256">
        <v>-6.2401199999999994E-17</v>
      </c>
      <c r="L29" s="256">
        <v>4.0816299999999999E-18</v>
      </c>
      <c r="M29" s="256">
        <v>4.0816299999999999E-18</v>
      </c>
      <c r="N29" s="256">
        <v>4.4321900000000001E-17</v>
      </c>
      <c r="O29" s="256">
        <v>4.4321900000000001E-17</v>
      </c>
      <c r="P29" s="62">
        <v>-29.600899999999999</v>
      </c>
      <c r="Q29" s="65">
        <v>-29.600899999999999</v>
      </c>
      <c r="S29" s="63"/>
      <c r="Z29" s="65"/>
      <c r="AB29" s="63">
        <v>10</v>
      </c>
      <c r="AC29" s="256">
        <v>-2.04796E-16</v>
      </c>
      <c r="AD29" s="256">
        <v>1.47831E-16</v>
      </c>
      <c r="AE29" s="256">
        <v>1.47831E-16</v>
      </c>
      <c r="AF29" s="256">
        <v>2.3508399999999999E-16</v>
      </c>
      <c r="AG29" s="256">
        <v>2.3508399999999999E-16</v>
      </c>
      <c r="AH29" s="62">
        <v>-27.130500000000001</v>
      </c>
      <c r="AI29" s="65">
        <v>-27.130500000000001</v>
      </c>
      <c r="AK29" s="76" t="s">
        <v>371</v>
      </c>
      <c r="AL29" s="78">
        <v>66.489999999999995</v>
      </c>
      <c r="AM29" s="78">
        <v>29.98</v>
      </c>
      <c r="AN29" s="78"/>
      <c r="AO29" s="78" t="s">
        <v>371</v>
      </c>
      <c r="AP29" s="78">
        <v>24.37</v>
      </c>
      <c r="AQ29" s="78">
        <v>15.28</v>
      </c>
      <c r="AR29" s="79"/>
    </row>
    <row r="30" spans="1:44" x14ac:dyDescent="0.25">
      <c r="A30" s="63">
        <v>11</v>
      </c>
      <c r="B30" s="256">
        <v>-9.1356099999999994E-17</v>
      </c>
      <c r="C30" s="256">
        <v>1.3510100000000001E-16</v>
      </c>
      <c r="D30" s="256">
        <v>1.3510100000000001E-16</v>
      </c>
      <c r="E30" s="256">
        <v>7.0767800000000003E-17</v>
      </c>
      <c r="F30" s="256">
        <v>7.0767800000000003E-17</v>
      </c>
      <c r="G30" s="62">
        <v>-19.984100000000002</v>
      </c>
      <c r="H30" s="65">
        <v>-19.984100000000002</v>
      </c>
      <c r="J30" s="63">
        <v>11</v>
      </c>
      <c r="K30" s="256">
        <v>-1.26538E-16</v>
      </c>
      <c r="L30" s="256">
        <v>1.63704E-16</v>
      </c>
      <c r="M30" s="256">
        <v>1.63704E-16</v>
      </c>
      <c r="N30" s="256">
        <v>9.0700699999999997E-17</v>
      </c>
      <c r="O30" s="256">
        <v>9.0700699999999997E-17</v>
      </c>
      <c r="P30" s="62">
        <v>-29.976099999999999</v>
      </c>
      <c r="Q30" s="65">
        <v>-29.976099999999999</v>
      </c>
      <c r="S30" s="63"/>
      <c r="Z30" s="65"/>
      <c r="AB30" s="63">
        <v>11</v>
      </c>
      <c r="AC30" s="256">
        <v>-1.06746E-16</v>
      </c>
      <c r="AD30" s="256">
        <v>1.21791E-16</v>
      </c>
      <c r="AE30" s="256">
        <v>1.21791E-16</v>
      </c>
      <c r="AF30" s="256">
        <v>7.1418E-17</v>
      </c>
      <c r="AG30" s="256">
        <v>7.1418E-17</v>
      </c>
      <c r="AH30" s="62">
        <v>-27.5273</v>
      </c>
      <c r="AI30" s="65">
        <v>-27.5273</v>
      </c>
    </row>
    <row r="31" spans="1:44" x14ac:dyDescent="0.25">
      <c r="A31" s="63">
        <v>12</v>
      </c>
      <c r="B31" s="256">
        <v>1.04732E-16</v>
      </c>
      <c r="C31" s="256">
        <v>1.04732E-16</v>
      </c>
      <c r="D31" s="256">
        <v>-2.2326499999999999E-16</v>
      </c>
      <c r="E31" s="256">
        <v>-1.02499E-16</v>
      </c>
      <c r="F31" s="256">
        <v>-1.02499E-16</v>
      </c>
      <c r="G31" s="62">
        <v>-10.1837</v>
      </c>
      <c r="H31" s="65">
        <v>-10.1837</v>
      </c>
      <c r="J31" s="63">
        <v>12</v>
      </c>
      <c r="K31" s="256">
        <v>1.8919500000000001E-16</v>
      </c>
      <c r="L31" s="256">
        <v>1.8919500000000001E-16</v>
      </c>
      <c r="M31" s="256">
        <v>-2.9175199999999999E-16</v>
      </c>
      <c r="N31" s="256">
        <v>-1.50296E-16</v>
      </c>
      <c r="O31" s="256">
        <v>-1.50296E-16</v>
      </c>
      <c r="P31" s="62">
        <v>-15.275600000000001</v>
      </c>
      <c r="Q31" s="65">
        <v>-15.275600000000001</v>
      </c>
      <c r="S31" s="63"/>
      <c r="Z31" s="65"/>
      <c r="AB31" s="63">
        <v>12</v>
      </c>
      <c r="AC31" s="256">
        <v>9.3121999999999995E-17</v>
      </c>
      <c r="AD31" s="256">
        <v>9.3121999999999995E-17</v>
      </c>
      <c r="AE31" s="256">
        <v>-1.5697299999999999E-16</v>
      </c>
      <c r="AF31" s="256">
        <v>-7.8154599999999995E-17</v>
      </c>
      <c r="AG31" s="256">
        <v>-7.8154599999999995E-17</v>
      </c>
      <c r="AH31" s="62">
        <v>-9.8940999999999999</v>
      </c>
      <c r="AI31" s="65">
        <v>-9.8940999999999999</v>
      </c>
    </row>
    <row r="32" spans="1:44" x14ac:dyDescent="0.25">
      <c r="A32" s="63">
        <v>13</v>
      </c>
      <c r="B32" s="62">
        <v>3.0300000000000001E-2</v>
      </c>
      <c r="C32" s="62">
        <v>3.0300000000000001E-2</v>
      </c>
      <c r="D32" s="62">
        <v>-7.6799999999999993E-2</v>
      </c>
      <c r="E32" s="62">
        <v>-7.1400000000000005E-2</v>
      </c>
      <c r="F32" s="62">
        <v>-7.1400000000000005E-2</v>
      </c>
      <c r="G32" s="62">
        <v>-9.1329999999999991</v>
      </c>
      <c r="H32" s="65">
        <v>-9.1329999999999991</v>
      </c>
      <c r="J32" s="63">
        <v>13</v>
      </c>
      <c r="K32" s="62">
        <v>4.5499999999999999E-2</v>
      </c>
      <c r="L32" s="62">
        <v>4.5499999999999999E-2</v>
      </c>
      <c r="M32" s="62">
        <v>-0.1152</v>
      </c>
      <c r="N32" s="62">
        <v>-0.1071</v>
      </c>
      <c r="O32" s="62">
        <v>-0.1071</v>
      </c>
      <c r="P32" s="62">
        <v>-13.6995</v>
      </c>
      <c r="Q32" s="65">
        <v>-13.6995</v>
      </c>
      <c r="S32" s="63"/>
      <c r="Z32" s="65"/>
      <c r="AB32" s="63">
        <v>13</v>
      </c>
      <c r="AC32" s="62">
        <v>7.0699999999999999E-2</v>
      </c>
      <c r="AD32" s="62">
        <v>7.0699999999999999E-2</v>
      </c>
      <c r="AE32" s="62">
        <v>-0.1729</v>
      </c>
      <c r="AF32" s="62">
        <v>-0.16239999999999999</v>
      </c>
      <c r="AG32" s="62">
        <v>-0.16239999999999999</v>
      </c>
      <c r="AH32" s="62">
        <v>-12.684799999999999</v>
      </c>
      <c r="AI32" s="65">
        <v>-12.684799999999999</v>
      </c>
    </row>
    <row r="33" spans="1:35" x14ac:dyDescent="0.25">
      <c r="A33" s="63">
        <v>14</v>
      </c>
      <c r="B33" s="62">
        <v>-0.24709999999999999</v>
      </c>
      <c r="C33" s="62">
        <v>0.55800000000000005</v>
      </c>
      <c r="D33" s="62">
        <v>0.55800000000000005</v>
      </c>
      <c r="E33" s="62">
        <v>0.25159999999999999</v>
      </c>
      <c r="F33" s="62">
        <v>0.25159999999999999</v>
      </c>
      <c r="G33" s="62">
        <v>-9.0079999999999991</v>
      </c>
      <c r="H33" s="65">
        <v>-9.0079999999999991</v>
      </c>
      <c r="J33" s="63">
        <v>14</v>
      </c>
      <c r="K33" s="62">
        <v>-0.37059999999999998</v>
      </c>
      <c r="L33" s="62">
        <v>0.83699999999999997</v>
      </c>
      <c r="M33" s="62">
        <v>0.83699999999999997</v>
      </c>
      <c r="N33" s="62">
        <v>0.37740000000000001</v>
      </c>
      <c r="O33" s="62">
        <v>0.37740000000000001</v>
      </c>
      <c r="P33" s="62">
        <v>-13.512</v>
      </c>
      <c r="Q33" s="65">
        <v>-13.512</v>
      </c>
      <c r="S33" s="63"/>
      <c r="Z33" s="65"/>
      <c r="AB33" s="63">
        <v>14</v>
      </c>
      <c r="AC33" s="62">
        <v>-0.4516</v>
      </c>
      <c r="AD33" s="62">
        <v>1.0487</v>
      </c>
      <c r="AE33" s="62">
        <v>1.0487</v>
      </c>
      <c r="AF33" s="62">
        <v>0.46879999999999999</v>
      </c>
      <c r="AG33" s="62">
        <v>0.46879999999999999</v>
      </c>
      <c r="AH33" s="62">
        <v>-12.4863</v>
      </c>
      <c r="AI33" s="65">
        <v>-12.4863</v>
      </c>
    </row>
    <row r="34" spans="1:35" x14ac:dyDescent="0.25">
      <c r="A34" s="63">
        <v>15</v>
      </c>
      <c r="B34" s="62">
        <v>-1.0485</v>
      </c>
      <c r="C34" s="62">
        <v>1.2425999999999999</v>
      </c>
      <c r="D34" s="62">
        <v>1.2425999999999999</v>
      </c>
      <c r="E34" s="62">
        <v>0.71589999999999998</v>
      </c>
      <c r="F34" s="62">
        <v>0.71589999999999998</v>
      </c>
      <c r="G34" s="62">
        <v>-4.4081000000000001</v>
      </c>
      <c r="H34" s="65">
        <v>-4.4081000000000001</v>
      </c>
      <c r="J34" s="63">
        <v>15</v>
      </c>
      <c r="K34" s="62">
        <v>-1.5727</v>
      </c>
      <c r="L34" s="62">
        <v>1.8638999999999999</v>
      </c>
      <c r="M34" s="62">
        <v>1.8638999999999999</v>
      </c>
      <c r="N34" s="62">
        <v>1.0739000000000001</v>
      </c>
      <c r="O34" s="62">
        <v>1.0739000000000001</v>
      </c>
      <c r="P34" s="62">
        <v>-6.6121999999999996</v>
      </c>
      <c r="Q34" s="65">
        <v>-6.6121999999999996</v>
      </c>
      <c r="S34" s="63"/>
      <c r="Z34" s="65"/>
      <c r="AB34" s="63">
        <v>15</v>
      </c>
      <c r="AC34" s="62">
        <v>-1.5373000000000001</v>
      </c>
      <c r="AD34" s="62">
        <v>1.4421999999999999</v>
      </c>
      <c r="AE34" s="62">
        <v>1.4421999999999999</v>
      </c>
      <c r="AF34" s="62">
        <v>0.93110000000000004</v>
      </c>
      <c r="AG34" s="62">
        <v>0.93110000000000004</v>
      </c>
      <c r="AH34" s="62">
        <v>-4.5529000000000002</v>
      </c>
      <c r="AI34" s="65">
        <v>-4.5529000000000002</v>
      </c>
    </row>
    <row r="35" spans="1:35" x14ac:dyDescent="0.25">
      <c r="A35" s="63"/>
      <c r="H35" s="65"/>
      <c r="J35" s="63"/>
      <c r="Q35" s="65"/>
      <c r="S35" s="63"/>
      <c r="Z35" s="65"/>
      <c r="AB35" s="63"/>
      <c r="AI35" s="65"/>
    </row>
    <row r="36" spans="1:35" x14ac:dyDescent="0.25">
      <c r="A36" s="63"/>
      <c r="C36" s="62" t="s">
        <v>361</v>
      </c>
      <c r="D36" s="62" t="s">
        <v>362</v>
      </c>
      <c r="G36" s="62" t="s">
        <v>361</v>
      </c>
      <c r="H36" s="65" t="s">
        <v>362</v>
      </c>
      <c r="J36" s="63"/>
      <c r="L36" s="62" t="s">
        <v>361</v>
      </c>
      <c r="M36" s="62" t="s">
        <v>362</v>
      </c>
      <c r="P36" s="62" t="s">
        <v>361</v>
      </c>
      <c r="Q36" s="65" t="s">
        <v>362</v>
      </c>
      <c r="S36" s="63"/>
      <c r="Z36" s="65"/>
      <c r="AB36" s="63"/>
      <c r="AD36" s="62" t="s">
        <v>361</v>
      </c>
      <c r="AE36" s="62" t="s">
        <v>362</v>
      </c>
      <c r="AH36" s="62" t="s">
        <v>361</v>
      </c>
      <c r="AI36" s="65" t="s">
        <v>362</v>
      </c>
    </row>
    <row r="37" spans="1:35" x14ac:dyDescent="0.25">
      <c r="A37" s="63" t="s">
        <v>15</v>
      </c>
      <c r="B37" s="62" t="s">
        <v>360</v>
      </c>
      <c r="C37" s="62">
        <v>8.5</v>
      </c>
      <c r="D37" s="62">
        <v>5.56</v>
      </c>
      <c r="F37" s="62" t="s">
        <v>360</v>
      </c>
      <c r="G37" s="62">
        <f>D7</f>
        <v>-13.545400000000001</v>
      </c>
      <c r="H37" s="65">
        <f>C8</f>
        <v>8.5531000000000006</v>
      </c>
      <c r="J37" s="63" t="s">
        <v>15</v>
      </c>
      <c r="K37" s="62" t="s">
        <v>360</v>
      </c>
      <c r="L37" s="62">
        <v>6.42</v>
      </c>
      <c r="M37" s="62">
        <v>4.79</v>
      </c>
      <c r="O37" s="62" t="s">
        <v>360</v>
      </c>
      <c r="P37" s="62">
        <v>-12.736000000000001</v>
      </c>
      <c r="Q37" s="65">
        <v>8.8855000000000004</v>
      </c>
      <c r="S37" s="63"/>
      <c r="Z37" s="65"/>
      <c r="AB37" s="63" t="s">
        <v>15</v>
      </c>
      <c r="AC37" s="62" t="s">
        <v>360</v>
      </c>
      <c r="AD37" s="62">
        <v>-8.1911000000000005</v>
      </c>
      <c r="AE37" s="62">
        <v>4.7831999999999999</v>
      </c>
      <c r="AG37" s="62" t="s">
        <v>360</v>
      </c>
      <c r="AH37" s="62">
        <v>-15.733499999999999</v>
      </c>
      <c r="AI37" s="65">
        <v>9.0938999999999997</v>
      </c>
    </row>
    <row r="38" spans="1:35" x14ac:dyDescent="0.25">
      <c r="A38" s="63"/>
      <c r="B38" s="62" t="s">
        <v>364</v>
      </c>
      <c r="C38" s="62">
        <v>20.75</v>
      </c>
      <c r="F38" s="62" t="s">
        <v>364</v>
      </c>
      <c r="G38" s="62">
        <f>E8</f>
        <v>33.047400000000003</v>
      </c>
      <c r="H38" s="65"/>
      <c r="J38" s="63"/>
      <c r="K38" s="62" t="s">
        <v>364</v>
      </c>
      <c r="L38" s="62">
        <f>16.05</f>
        <v>16.05</v>
      </c>
      <c r="O38" s="62" t="s">
        <v>364</v>
      </c>
      <c r="P38" s="62">
        <v>-31.478999999999999</v>
      </c>
      <c r="Q38" s="65"/>
      <c r="S38" s="63"/>
      <c r="Z38" s="65"/>
      <c r="AB38" s="63"/>
      <c r="AC38" s="62" t="s">
        <v>364</v>
      </c>
      <c r="AD38" s="62">
        <v>20.0669</v>
      </c>
      <c r="AG38" s="62" t="s">
        <v>364</v>
      </c>
      <c r="AH38" s="62">
        <v>38.186900000000001</v>
      </c>
      <c r="AI38" s="65"/>
    </row>
    <row r="39" spans="1:35" x14ac:dyDescent="0.25">
      <c r="A39" s="63" t="s">
        <v>16</v>
      </c>
      <c r="B39" s="62" t="s">
        <v>360</v>
      </c>
      <c r="C39" s="62">
        <v>-2.0972</v>
      </c>
      <c r="D39" s="62">
        <v>1.1746000000000001</v>
      </c>
      <c r="H39" s="65"/>
      <c r="J39" s="63" t="s">
        <v>16</v>
      </c>
      <c r="K39" s="62" t="s">
        <v>360</v>
      </c>
      <c r="L39" s="62">
        <v>-3.1459000000000001</v>
      </c>
      <c r="M39" s="62">
        <v>1.9678</v>
      </c>
      <c r="Q39" s="65"/>
      <c r="S39" s="63"/>
      <c r="Z39" s="65"/>
      <c r="AB39" s="63" t="s">
        <v>16</v>
      </c>
      <c r="AC39" s="62" t="s">
        <v>360</v>
      </c>
      <c r="AD39" s="62">
        <v>-3.6901000000000002</v>
      </c>
      <c r="AE39" s="62">
        <v>2.0992000000000002</v>
      </c>
      <c r="AI39" s="65"/>
    </row>
    <row r="40" spans="1:35" x14ac:dyDescent="0.25">
      <c r="A40" s="63"/>
      <c r="B40" s="62" t="s">
        <v>364</v>
      </c>
      <c r="C40" s="62">
        <v>5.0918999999999999</v>
      </c>
      <c r="H40" s="65"/>
      <c r="J40" s="63"/>
      <c r="K40" s="62" t="s">
        <v>364</v>
      </c>
      <c r="L40" s="62">
        <v>-7.6378000000000004</v>
      </c>
      <c r="Q40" s="65"/>
      <c r="S40" s="63"/>
      <c r="Z40" s="65"/>
      <c r="AB40" s="63"/>
      <c r="AC40" s="62" t="s">
        <v>364</v>
      </c>
      <c r="AD40" s="62">
        <v>8.8165999999999993</v>
      </c>
      <c r="AI40" s="65"/>
    </row>
    <row r="41" spans="1:35" x14ac:dyDescent="0.25">
      <c r="A41" s="63"/>
      <c r="H41" s="65"/>
      <c r="J41" s="63"/>
      <c r="Q41" s="65"/>
      <c r="S41" s="63"/>
      <c r="Z41" s="65"/>
      <c r="AB41" s="63"/>
      <c r="AI41" s="65"/>
    </row>
    <row r="42" spans="1:35" x14ac:dyDescent="0.25">
      <c r="A42" s="63"/>
      <c r="H42" s="65"/>
      <c r="J42" s="63"/>
      <c r="Q42" s="65"/>
      <c r="S42" s="63"/>
      <c r="Z42" s="65"/>
      <c r="AB42" s="63"/>
      <c r="AI42" s="65"/>
    </row>
    <row r="43" spans="1:35" x14ac:dyDescent="0.25">
      <c r="A43" s="63"/>
      <c r="H43" s="65"/>
      <c r="J43" s="63"/>
      <c r="Q43" s="65"/>
      <c r="S43" s="63"/>
      <c r="Z43" s="65"/>
      <c r="AB43" s="63"/>
      <c r="AI43" s="65"/>
    </row>
    <row r="44" spans="1:35" x14ac:dyDescent="0.25">
      <c r="A44" s="63"/>
      <c r="H44" s="65"/>
      <c r="J44" s="63"/>
      <c r="Q44" s="65"/>
      <c r="S44" s="63"/>
      <c r="Z44" s="65"/>
      <c r="AB44" s="63"/>
      <c r="AI44" s="65"/>
    </row>
    <row r="45" spans="1:35" x14ac:dyDescent="0.25">
      <c r="A45" s="63"/>
      <c r="H45" s="65"/>
      <c r="J45" s="63"/>
      <c r="Q45" s="65"/>
      <c r="S45" s="63"/>
      <c r="Z45" s="65"/>
      <c r="AB45" s="63"/>
      <c r="AI45" s="65"/>
    </row>
    <row r="46" spans="1:35" x14ac:dyDescent="0.25">
      <c r="A46" s="63"/>
      <c r="H46" s="65"/>
      <c r="J46" s="63"/>
      <c r="Q46" s="65"/>
      <c r="S46" s="63"/>
      <c r="Z46" s="65"/>
      <c r="AB46" s="63"/>
      <c r="AI46" s="65"/>
    </row>
    <row r="47" spans="1:35" x14ac:dyDescent="0.25">
      <c r="A47" s="63"/>
      <c r="H47" s="65"/>
      <c r="J47" s="63"/>
      <c r="Q47" s="65"/>
      <c r="S47" s="63"/>
      <c r="Z47" s="65"/>
      <c r="AB47" s="63"/>
      <c r="AI47" s="65"/>
    </row>
    <row r="48" spans="1:35" x14ac:dyDescent="0.25">
      <c r="A48" s="63"/>
      <c r="H48" s="65"/>
      <c r="J48" s="63"/>
      <c r="Q48" s="65"/>
      <c r="S48" s="63"/>
      <c r="Z48" s="65"/>
      <c r="AB48" s="63"/>
      <c r="AI48" s="65"/>
    </row>
    <row r="49" spans="1:35" x14ac:dyDescent="0.25">
      <c r="A49" s="63"/>
      <c r="H49" s="65"/>
      <c r="J49" s="63"/>
      <c r="Q49" s="65"/>
      <c r="S49" s="63"/>
      <c r="Z49" s="65"/>
      <c r="AB49" s="63"/>
      <c r="AI49" s="65"/>
    </row>
    <row r="50" spans="1:35" x14ac:dyDescent="0.25">
      <c r="A50" s="63"/>
      <c r="H50" s="65"/>
      <c r="J50" s="63"/>
      <c r="Q50" s="65"/>
      <c r="S50" s="63"/>
      <c r="Z50" s="65"/>
      <c r="AB50" s="63"/>
      <c r="AI50" s="65"/>
    </row>
    <row r="51" spans="1:35" x14ac:dyDescent="0.25">
      <c r="A51" s="63"/>
      <c r="H51" s="65"/>
      <c r="J51" s="63"/>
      <c r="Q51" s="65"/>
      <c r="S51" s="63"/>
      <c r="Z51" s="65"/>
      <c r="AB51" s="63"/>
      <c r="AI51" s="65"/>
    </row>
    <row r="52" spans="1:35" x14ac:dyDescent="0.25">
      <c r="A52" s="63"/>
      <c r="G52" s="301"/>
      <c r="H52" s="65" t="s">
        <v>292</v>
      </c>
      <c r="J52" s="63"/>
      <c r="P52" s="301"/>
      <c r="Q52" s="65" t="s">
        <v>292</v>
      </c>
      <c r="S52" s="63"/>
      <c r="Y52" s="301"/>
      <c r="Z52" s="65" t="s">
        <v>292</v>
      </c>
      <c r="AB52" s="63"/>
      <c r="AH52" s="301"/>
      <c r="AI52" s="65" t="s">
        <v>292</v>
      </c>
    </row>
    <row r="53" spans="1:35" x14ac:dyDescent="0.25">
      <c r="A53" s="63"/>
      <c r="G53" s="368"/>
      <c r="H53" s="65" t="s">
        <v>358</v>
      </c>
      <c r="J53" s="63"/>
      <c r="P53" s="361"/>
      <c r="Q53" s="65" t="s">
        <v>358</v>
      </c>
      <c r="S53" s="63"/>
      <c r="Y53" s="361"/>
      <c r="Z53" s="65" t="s">
        <v>358</v>
      </c>
      <c r="AB53" s="63"/>
      <c r="AH53" s="361"/>
      <c r="AI53" s="65" t="s">
        <v>358</v>
      </c>
    </row>
    <row r="54" spans="1:35" x14ac:dyDescent="0.25">
      <c r="A54" s="63"/>
      <c r="G54" s="108"/>
      <c r="H54" s="65" t="s">
        <v>363</v>
      </c>
      <c r="J54" s="63"/>
      <c r="P54" s="108"/>
      <c r="Q54" s="65" t="s">
        <v>363</v>
      </c>
      <c r="S54" s="63"/>
      <c r="Y54" s="108"/>
      <c r="Z54" s="65" t="s">
        <v>363</v>
      </c>
      <c r="AB54" s="63"/>
      <c r="AH54" s="108"/>
      <c r="AI54" s="65" t="s">
        <v>363</v>
      </c>
    </row>
    <row r="55" spans="1:35" ht="14.4" thickBot="1" x14ac:dyDescent="0.3">
      <c r="A55" s="76"/>
      <c r="B55" s="78"/>
      <c r="C55" s="78"/>
      <c r="D55" s="78"/>
      <c r="E55" s="78"/>
      <c r="F55" s="78"/>
      <c r="G55" s="78"/>
      <c r="H55" s="79"/>
      <c r="J55" s="76"/>
      <c r="K55" s="78"/>
      <c r="L55" s="78"/>
      <c r="M55" s="78"/>
      <c r="N55" s="78"/>
      <c r="O55" s="78"/>
      <c r="P55" s="78"/>
      <c r="Q55" s="79"/>
      <c r="S55" s="76"/>
      <c r="T55" s="78"/>
      <c r="U55" s="78"/>
      <c r="V55" s="78"/>
      <c r="W55" s="78"/>
      <c r="X55" s="78"/>
      <c r="Y55" s="78"/>
      <c r="Z55" s="79"/>
      <c r="AB55" s="76"/>
      <c r="AC55" s="78"/>
      <c r="AD55" s="78"/>
      <c r="AE55" s="78"/>
      <c r="AF55" s="78"/>
      <c r="AG55" s="78"/>
      <c r="AH55" s="78"/>
      <c r="AI55" s="79"/>
    </row>
  </sheetData>
  <mergeCells count="5">
    <mergeCell ref="AK1:AR1"/>
    <mergeCell ref="A1:H1"/>
    <mergeCell ref="J1:Q1"/>
    <mergeCell ref="S1:Z1"/>
    <mergeCell ref="AB1:AI1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9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73"/>
  <sheetViews>
    <sheetView zoomScale="70" zoomScaleNormal="70" workbookViewId="0">
      <selection activeCell="B15" sqref="B15"/>
    </sheetView>
  </sheetViews>
  <sheetFormatPr defaultRowHeight="14.4" x14ac:dyDescent="0.3"/>
  <sheetData>
    <row r="1" spans="1:26" x14ac:dyDescent="0.3">
      <c r="A1" t="s">
        <v>8</v>
      </c>
      <c r="J1" t="s">
        <v>21</v>
      </c>
      <c r="S1" t="s">
        <v>22</v>
      </c>
    </row>
    <row r="3" spans="1:26" x14ac:dyDescent="0.3">
      <c r="A3" t="s">
        <v>15</v>
      </c>
      <c r="J3" t="s">
        <v>15</v>
      </c>
      <c r="S3" t="s">
        <v>15</v>
      </c>
    </row>
    <row r="4" spans="1:26" x14ac:dyDescent="0.3">
      <c r="A4" s="62" t="s">
        <v>0</v>
      </c>
      <c r="B4" s="62" t="s">
        <v>1</v>
      </c>
      <c r="C4" s="62" t="s">
        <v>2</v>
      </c>
      <c r="D4" s="62" t="s">
        <v>3</v>
      </c>
      <c r="E4" s="62" t="s">
        <v>4</v>
      </c>
      <c r="F4" s="62" t="s">
        <v>5</v>
      </c>
      <c r="G4" s="62" t="s">
        <v>6</v>
      </c>
      <c r="H4" s="62" t="s">
        <v>7</v>
      </c>
      <c r="J4" s="62" t="s">
        <v>0</v>
      </c>
      <c r="K4" s="62" t="s">
        <v>1</v>
      </c>
      <c r="L4" s="62" t="s">
        <v>2</v>
      </c>
      <c r="M4" s="62" t="s">
        <v>3</v>
      </c>
      <c r="N4" s="62" t="s">
        <v>4</v>
      </c>
      <c r="O4" s="62" t="s">
        <v>5</v>
      </c>
      <c r="P4" s="62" t="s">
        <v>6</v>
      </c>
      <c r="Q4" s="62" t="s">
        <v>7</v>
      </c>
      <c r="S4" s="62" t="s">
        <v>0</v>
      </c>
      <c r="T4" s="62" t="s">
        <v>1</v>
      </c>
      <c r="U4" s="62" t="s">
        <v>2</v>
      </c>
      <c r="V4" s="62" t="s">
        <v>3</v>
      </c>
      <c r="W4" s="62" t="s">
        <v>4</v>
      </c>
      <c r="X4" s="62" t="s">
        <v>5</v>
      </c>
      <c r="Y4" s="62" t="s">
        <v>6</v>
      </c>
      <c r="Z4" s="62" t="s">
        <v>7</v>
      </c>
    </row>
    <row r="5" spans="1:26" x14ac:dyDescent="0.3">
      <c r="A5" s="62">
        <v>1</v>
      </c>
      <c r="B5" s="301">
        <v>-11.1693</v>
      </c>
      <c r="C5" s="301">
        <v>7.0134999999999996</v>
      </c>
      <c r="D5" s="301">
        <v>-12.4358</v>
      </c>
      <c r="E5" s="301">
        <v>18.499400000000001</v>
      </c>
      <c r="F5" s="301">
        <v>-19.1326</v>
      </c>
      <c r="G5" s="62">
        <v>-1.1980999999999999</v>
      </c>
      <c r="H5" s="62">
        <v>-1.1980999999999999</v>
      </c>
      <c r="J5" s="62">
        <v>1</v>
      </c>
      <c r="K5" s="301">
        <v>-0.57450000000000001</v>
      </c>
      <c r="L5" s="301">
        <v>0</v>
      </c>
      <c r="M5" s="301">
        <v>-7.0300000000000001E-2</v>
      </c>
      <c r="N5" s="301">
        <v>0.12609999999999999</v>
      </c>
      <c r="O5" s="301">
        <v>0.12609999999999999</v>
      </c>
      <c r="P5" s="62">
        <v>4.2394999999999996</v>
      </c>
      <c r="Q5" s="62">
        <v>4.2394999999999996</v>
      </c>
      <c r="S5" s="62">
        <v>1</v>
      </c>
      <c r="T5" s="301">
        <v>-11.5837</v>
      </c>
      <c r="U5" s="301">
        <v>6.9770000000000003</v>
      </c>
      <c r="V5" s="301">
        <v>-12.0943</v>
      </c>
      <c r="W5" s="301">
        <v>18.688300000000002</v>
      </c>
      <c r="X5" s="301">
        <v>-18.9437</v>
      </c>
      <c r="Y5" s="62">
        <v>0.95589999999999997</v>
      </c>
      <c r="Z5" s="62">
        <v>0.95589999999999997</v>
      </c>
    </row>
    <row r="6" spans="1:26" x14ac:dyDescent="0.3">
      <c r="A6" s="62">
        <v>2</v>
      </c>
      <c r="B6" s="301">
        <v>-6.9310999999999998</v>
      </c>
      <c r="C6" s="301">
        <v>2.1204000000000001</v>
      </c>
      <c r="D6" s="301">
        <v>-6.9310999999999998</v>
      </c>
      <c r="E6" s="301">
        <v>18.103000000000002</v>
      </c>
      <c r="F6" s="301">
        <v>-18.103000000000002</v>
      </c>
      <c r="G6" s="62">
        <v>-1.1516</v>
      </c>
      <c r="H6" s="62">
        <v>-1.1516</v>
      </c>
      <c r="J6" s="62">
        <v>2</v>
      </c>
      <c r="K6" s="301">
        <v>7.8399999999999997E-2</v>
      </c>
      <c r="L6" s="301">
        <v>1.0846</v>
      </c>
      <c r="M6" s="301">
        <v>1.0846</v>
      </c>
      <c r="N6" s="301">
        <v>0.50309999999999999</v>
      </c>
      <c r="O6" s="301">
        <v>0.50309999999999999</v>
      </c>
      <c r="P6" s="62">
        <v>1.1594</v>
      </c>
      <c r="Q6" s="62">
        <v>1.1594</v>
      </c>
      <c r="S6" s="62">
        <v>2</v>
      </c>
      <c r="T6" s="301">
        <v>-4.2690999999999999</v>
      </c>
      <c r="U6" s="301">
        <v>0.43490000000000001</v>
      </c>
      <c r="V6" s="301">
        <v>-4.2690999999999999</v>
      </c>
      <c r="W6" s="301">
        <v>9.4079999999999995</v>
      </c>
      <c r="X6" s="301">
        <v>-9.4079999999999995</v>
      </c>
      <c r="Y6" s="62">
        <v>0.13020000000000001</v>
      </c>
      <c r="Z6" s="62">
        <v>0.13020000000000001</v>
      </c>
    </row>
    <row r="7" spans="1:26" x14ac:dyDescent="0.3">
      <c r="A7" s="62">
        <v>3</v>
      </c>
      <c r="B7" s="301">
        <v>-12.4358</v>
      </c>
      <c r="C7" s="301">
        <v>7.0134999999999996</v>
      </c>
      <c r="D7" s="301">
        <v>-11.1693</v>
      </c>
      <c r="E7" s="301">
        <v>19.1326</v>
      </c>
      <c r="F7" s="301">
        <v>-18.499400000000001</v>
      </c>
      <c r="G7" s="62">
        <v>-1.1980999999999999</v>
      </c>
      <c r="H7" s="62">
        <v>-1.1980999999999999</v>
      </c>
      <c r="J7" s="62">
        <v>3</v>
      </c>
      <c r="K7" s="301">
        <v>-1.35E-2</v>
      </c>
      <c r="L7" s="301">
        <v>0</v>
      </c>
      <c r="M7" s="301">
        <v>-0.87119999999999997</v>
      </c>
      <c r="N7" s="301">
        <v>-0.21440000000000001</v>
      </c>
      <c r="O7" s="301">
        <v>-0.21440000000000001</v>
      </c>
      <c r="P7" s="62">
        <v>6.0449999999999999</v>
      </c>
      <c r="Q7" s="62">
        <v>6.0449999999999999</v>
      </c>
      <c r="S7" s="62">
        <v>3</v>
      </c>
      <c r="T7" s="301">
        <v>-12.0943</v>
      </c>
      <c r="U7" s="301">
        <v>6.9770000000000003</v>
      </c>
      <c r="V7" s="301">
        <v>-11.5837</v>
      </c>
      <c r="W7" s="301">
        <v>18.9437</v>
      </c>
      <c r="X7" s="301">
        <v>-18.688300000000002</v>
      </c>
      <c r="Y7" s="62">
        <v>0.95589999999999997</v>
      </c>
      <c r="Z7" s="62">
        <v>0.95589999999999997</v>
      </c>
    </row>
    <row r="8" spans="1:26" x14ac:dyDescent="0.3">
      <c r="A8" s="62">
        <v>4</v>
      </c>
      <c r="B8" s="370">
        <v>-19.981100000000001</v>
      </c>
      <c r="C8" s="370">
        <v>13.3705</v>
      </c>
      <c r="D8" s="370">
        <v>-21.381900000000002</v>
      </c>
      <c r="E8" s="370">
        <v>33.701799999999999</v>
      </c>
      <c r="F8" s="370">
        <v>-34.402200000000001</v>
      </c>
      <c r="G8" s="62">
        <v>4.7039999999999997</v>
      </c>
      <c r="H8" s="62">
        <v>4.7039999999999997</v>
      </c>
      <c r="J8" s="62">
        <v>4</v>
      </c>
      <c r="K8" s="370">
        <v>-17.579999999999998</v>
      </c>
      <c r="L8" s="370">
        <v>12.3218</v>
      </c>
      <c r="M8" s="370">
        <v>-18.720400000000001</v>
      </c>
      <c r="N8" s="370">
        <v>30.186900000000001</v>
      </c>
      <c r="O8" s="370">
        <v>-30.757100000000001</v>
      </c>
      <c r="P8" s="62">
        <v>5.6241000000000003</v>
      </c>
      <c r="Q8" s="62">
        <v>5.6241000000000003</v>
      </c>
      <c r="S8" s="62">
        <v>4</v>
      </c>
      <c r="T8" s="370">
        <v>-26.228400000000001</v>
      </c>
      <c r="U8" s="370">
        <v>18.703800000000001</v>
      </c>
      <c r="V8" s="370">
        <v>-28.844000000000001</v>
      </c>
      <c r="W8" s="370">
        <v>45.586100000000002</v>
      </c>
      <c r="X8" s="370">
        <v>-46.893900000000002</v>
      </c>
      <c r="Y8" s="62">
        <v>4.4779999999999998</v>
      </c>
      <c r="Z8" s="62">
        <v>4.4779999999999998</v>
      </c>
    </row>
    <row r="9" spans="1:26" x14ac:dyDescent="0.3">
      <c r="A9" s="62">
        <v>5</v>
      </c>
      <c r="B9" s="370">
        <v>-9.2055000000000007</v>
      </c>
      <c r="C9" s="370">
        <v>0</v>
      </c>
      <c r="D9" s="370">
        <v>-9.2055000000000007</v>
      </c>
      <c r="E9" s="370">
        <v>18.103000000000002</v>
      </c>
      <c r="F9" s="370">
        <v>-18.103000000000002</v>
      </c>
      <c r="G9" s="62">
        <v>1.7592000000000001</v>
      </c>
      <c r="H9" s="62">
        <v>1.7592000000000001</v>
      </c>
      <c r="J9" s="62">
        <v>5</v>
      </c>
      <c r="K9" s="370">
        <v>-6.0174000000000003</v>
      </c>
      <c r="L9" s="370">
        <v>0</v>
      </c>
      <c r="M9" s="370">
        <v>-9.1425999999999998</v>
      </c>
      <c r="N9" s="370">
        <v>7.1323999999999996</v>
      </c>
      <c r="O9" s="370">
        <v>-10.2576</v>
      </c>
      <c r="P9" s="62">
        <v>1.6002000000000001</v>
      </c>
      <c r="Q9" s="62">
        <v>1.6002000000000001</v>
      </c>
      <c r="S9" s="62">
        <v>5</v>
      </c>
      <c r="T9" s="370">
        <v>-10.6004</v>
      </c>
      <c r="U9" s="370">
        <v>0</v>
      </c>
      <c r="V9" s="370">
        <v>-10.6004</v>
      </c>
      <c r="W9" s="370">
        <v>15.502000000000001</v>
      </c>
      <c r="X9" s="370">
        <v>-15.502000000000001</v>
      </c>
      <c r="Y9" s="62">
        <v>1.4335</v>
      </c>
      <c r="Z9" s="62">
        <v>1.4335</v>
      </c>
    </row>
    <row r="10" spans="1:26" x14ac:dyDescent="0.3">
      <c r="A10" s="62">
        <v>6</v>
      </c>
      <c r="B10" s="370">
        <v>-21.381900000000002</v>
      </c>
      <c r="C10" s="370">
        <v>13.3705</v>
      </c>
      <c r="D10" s="370">
        <v>-19.981100000000001</v>
      </c>
      <c r="E10" s="370">
        <v>34.402200000000001</v>
      </c>
      <c r="F10" s="370">
        <v>-33.701799999999999</v>
      </c>
      <c r="G10" s="62">
        <v>4.7039999999999997</v>
      </c>
      <c r="H10" s="62">
        <v>4.7039999999999997</v>
      </c>
      <c r="J10" s="62">
        <v>6</v>
      </c>
      <c r="K10" s="370">
        <v>-26.8796</v>
      </c>
      <c r="L10" s="370">
        <v>17.7089</v>
      </c>
      <c r="M10" s="370">
        <v>-23.734500000000001</v>
      </c>
      <c r="N10" s="370">
        <v>43.802300000000002</v>
      </c>
      <c r="O10" s="370">
        <v>-42.229700000000001</v>
      </c>
      <c r="P10" s="62">
        <v>5.5266000000000002</v>
      </c>
      <c r="Q10" s="62">
        <v>5.5266000000000002</v>
      </c>
      <c r="S10" s="62">
        <v>6</v>
      </c>
      <c r="T10" s="370">
        <v>-28.844000000000001</v>
      </c>
      <c r="U10" s="370">
        <v>18.703800000000001</v>
      </c>
      <c r="V10" s="370">
        <v>-26.228400000000001</v>
      </c>
      <c r="W10" s="370">
        <v>46.893900000000002</v>
      </c>
      <c r="X10" s="370">
        <v>-45.586100000000002</v>
      </c>
      <c r="Y10" s="62">
        <v>4.4779999999999998</v>
      </c>
      <c r="Z10" s="62">
        <v>4.4779999999999998</v>
      </c>
    </row>
    <row r="11" spans="1:26" x14ac:dyDescent="0.3">
      <c r="A11" s="62">
        <v>7</v>
      </c>
      <c r="B11" s="108">
        <v>-15.931699999999999</v>
      </c>
      <c r="C11" s="108">
        <v>15.446899999999999</v>
      </c>
      <c r="D11" s="108">
        <v>-21.278500000000001</v>
      </c>
      <c r="E11" s="108">
        <v>32.715299999999999</v>
      </c>
      <c r="F11" s="108">
        <v>-35.3887</v>
      </c>
      <c r="G11" s="62">
        <v>-8.8650000000000002</v>
      </c>
      <c r="H11" s="62">
        <v>-8.8650000000000002</v>
      </c>
      <c r="J11" s="62">
        <v>7</v>
      </c>
      <c r="K11" s="108">
        <v>-14.465</v>
      </c>
      <c r="L11" s="108">
        <v>14.022600000000001</v>
      </c>
      <c r="M11" s="108">
        <v>-18.433800000000002</v>
      </c>
      <c r="N11" s="108">
        <v>29.479800000000001</v>
      </c>
      <c r="O11" s="108">
        <v>-31.464200000000002</v>
      </c>
      <c r="P11" s="62">
        <v>-8.1862999999999992</v>
      </c>
      <c r="Q11" s="62">
        <v>-8.1862999999999992</v>
      </c>
      <c r="S11" s="62">
        <v>7</v>
      </c>
      <c r="T11" s="108">
        <v>-16.674099999999999</v>
      </c>
      <c r="U11" s="108">
        <v>15.3498</v>
      </c>
      <c r="V11" s="108">
        <v>-20.7302</v>
      </c>
      <c r="W11" s="108">
        <v>33.037999999999997</v>
      </c>
      <c r="X11" s="108">
        <v>-35.066000000000003</v>
      </c>
      <c r="Y11" s="62">
        <v>-10.0373</v>
      </c>
      <c r="Z11" s="62">
        <v>-10.0373</v>
      </c>
    </row>
    <row r="12" spans="1:26" x14ac:dyDescent="0.3">
      <c r="A12" s="62">
        <v>8</v>
      </c>
      <c r="B12" s="108">
        <v>-11.9183</v>
      </c>
      <c r="C12" s="108">
        <v>0</v>
      </c>
      <c r="D12" s="108">
        <v>-11.9183</v>
      </c>
      <c r="E12" s="108">
        <v>18.103000000000002</v>
      </c>
      <c r="F12" s="108">
        <v>-18.103000000000002</v>
      </c>
      <c r="G12" s="62">
        <v>-3.5447000000000002</v>
      </c>
      <c r="H12" s="62">
        <v>-3.5447000000000002</v>
      </c>
      <c r="J12" s="62">
        <v>8</v>
      </c>
      <c r="K12" s="108">
        <v>-8.4041999999999994</v>
      </c>
      <c r="L12" s="108">
        <v>0</v>
      </c>
      <c r="M12" s="108">
        <v>-6.8579999999999997</v>
      </c>
      <c r="N12" s="108">
        <v>2.9468999999999999</v>
      </c>
      <c r="O12" s="108">
        <v>-5.7481</v>
      </c>
      <c r="P12" s="62">
        <v>-2.3921999999999999</v>
      </c>
      <c r="Q12" s="62">
        <v>-2.3921999999999999</v>
      </c>
      <c r="S12" s="62">
        <v>8</v>
      </c>
      <c r="T12" s="108">
        <v>-9.4375</v>
      </c>
      <c r="U12" s="108">
        <v>0</v>
      </c>
      <c r="V12" s="108">
        <v>-9.4375</v>
      </c>
      <c r="W12" s="108">
        <v>9.4079999999999995</v>
      </c>
      <c r="X12" s="108">
        <v>-9.4079999999999995</v>
      </c>
      <c r="Y12" s="62">
        <v>-3.149</v>
      </c>
      <c r="Z12" s="62">
        <v>-3.149</v>
      </c>
    </row>
    <row r="13" spans="1:26" x14ac:dyDescent="0.3">
      <c r="A13" s="62">
        <v>9</v>
      </c>
      <c r="B13" s="108">
        <v>-21.278500000000001</v>
      </c>
      <c r="C13" s="108">
        <v>15.446899999999999</v>
      </c>
      <c r="D13" s="108">
        <v>-15.931699999999999</v>
      </c>
      <c r="E13" s="108">
        <v>35.3887</v>
      </c>
      <c r="F13" s="108">
        <v>-32.715299999999999</v>
      </c>
      <c r="G13" s="62">
        <v>-8.8650000000000002</v>
      </c>
      <c r="H13" s="62">
        <v>-8.8650000000000002</v>
      </c>
      <c r="J13" s="62">
        <v>9</v>
      </c>
      <c r="K13" s="108">
        <v>-18.170300000000001</v>
      </c>
      <c r="L13" s="108">
        <v>13.8155</v>
      </c>
      <c r="M13" s="108">
        <v>-15.1427</v>
      </c>
      <c r="N13" s="108">
        <v>31.228899999999999</v>
      </c>
      <c r="O13" s="108">
        <v>-29.7151</v>
      </c>
      <c r="P13" s="62">
        <v>-9.3508999999999993</v>
      </c>
      <c r="Q13" s="62">
        <v>-9.3508999999999993</v>
      </c>
      <c r="S13" s="62">
        <v>9</v>
      </c>
      <c r="T13" s="108">
        <v>-20.7302</v>
      </c>
      <c r="U13" s="108">
        <v>15.3498</v>
      </c>
      <c r="V13" s="108">
        <v>-16.674099999999999</v>
      </c>
      <c r="W13" s="108">
        <v>35.066000000000003</v>
      </c>
      <c r="X13" s="108">
        <v>-33.037999999999997</v>
      </c>
      <c r="Y13" s="62">
        <v>-10.0373</v>
      </c>
      <c r="Z13" s="62">
        <v>-10.0373</v>
      </c>
    </row>
    <row r="14" spans="1:26" x14ac:dyDescent="0.3">
      <c r="A14" s="62">
        <v>10</v>
      </c>
      <c r="B14" s="62">
        <v>2.64</v>
      </c>
      <c r="C14" s="62">
        <v>2.64</v>
      </c>
      <c r="D14" s="62">
        <v>-5.3987999999999996</v>
      </c>
      <c r="E14" s="62">
        <v>-5.3592000000000004</v>
      </c>
      <c r="F14" s="62">
        <v>-5.3592000000000004</v>
      </c>
      <c r="G14" s="301">
        <v>-84.916499999999999</v>
      </c>
      <c r="H14" s="301">
        <v>-84.916499999999999</v>
      </c>
      <c r="J14" s="62">
        <v>10</v>
      </c>
      <c r="K14" s="62">
        <v>-0.74009999999999998</v>
      </c>
      <c r="L14" s="62">
        <v>1.7757000000000001</v>
      </c>
      <c r="M14" s="62">
        <v>1.7757000000000001</v>
      </c>
      <c r="N14" s="62">
        <v>1.6772</v>
      </c>
      <c r="O14" s="62">
        <v>1.6772</v>
      </c>
      <c r="P14" s="301">
        <v>-59.7928</v>
      </c>
      <c r="Q14" s="301">
        <v>-59.7928</v>
      </c>
      <c r="S14" s="62">
        <v>10</v>
      </c>
      <c r="T14" s="62">
        <v>2.3281000000000001</v>
      </c>
      <c r="U14" s="62">
        <v>2.3281000000000001</v>
      </c>
      <c r="V14" s="62">
        <v>-4.5770999999999997</v>
      </c>
      <c r="W14" s="62">
        <v>-4.6033999999999997</v>
      </c>
      <c r="X14" s="62">
        <v>-4.6033999999999997</v>
      </c>
      <c r="Y14" s="301">
        <v>-97.312399999999997</v>
      </c>
      <c r="Z14" s="301">
        <v>-97.312399999999997</v>
      </c>
    </row>
    <row r="15" spans="1:26" x14ac:dyDescent="0.3">
      <c r="A15" s="62">
        <v>11</v>
      </c>
      <c r="B15" s="62">
        <v>-1.2186999999999999</v>
      </c>
      <c r="C15" s="62">
        <v>2.4144999999999999</v>
      </c>
      <c r="D15" s="62">
        <v>2.4144999999999999</v>
      </c>
      <c r="E15" s="62">
        <v>2.4220999999999999</v>
      </c>
      <c r="F15" s="62">
        <v>2.4220999999999999</v>
      </c>
      <c r="G15" s="301">
        <v>-143.23249999999999</v>
      </c>
      <c r="H15" s="301">
        <v>-143.23249999999999</v>
      </c>
      <c r="J15" s="62">
        <v>11</v>
      </c>
      <c r="K15" s="62">
        <v>0.64029999999999998</v>
      </c>
      <c r="L15" s="62">
        <v>0.64029999999999998</v>
      </c>
      <c r="M15" s="62">
        <v>-1.3244</v>
      </c>
      <c r="N15" s="62">
        <v>-1.3098000000000001</v>
      </c>
      <c r="O15" s="62">
        <v>-1.3098000000000001</v>
      </c>
      <c r="P15" s="301">
        <v>-72.677700000000002</v>
      </c>
      <c r="Q15" s="301">
        <v>-72.677700000000002</v>
      </c>
      <c r="S15" s="62">
        <v>11</v>
      </c>
      <c r="T15" s="62">
        <v>-1.5082</v>
      </c>
      <c r="U15" s="62">
        <v>3.0190000000000001</v>
      </c>
      <c r="V15" s="62">
        <v>3.0190000000000001</v>
      </c>
      <c r="W15" s="62">
        <v>3.0181</v>
      </c>
      <c r="X15" s="62">
        <v>3.0181</v>
      </c>
      <c r="Y15" s="301">
        <v>-135.2216</v>
      </c>
      <c r="Z15" s="301">
        <v>-135.2216</v>
      </c>
    </row>
    <row r="16" spans="1:26" x14ac:dyDescent="0.3">
      <c r="A16" s="62">
        <v>12</v>
      </c>
      <c r="B16" s="62">
        <v>1.2186999999999999</v>
      </c>
      <c r="C16" s="62">
        <v>1.2186999999999999</v>
      </c>
      <c r="D16" s="62">
        <v>-2.4144999999999999</v>
      </c>
      <c r="E16" s="62">
        <v>-2.4220999999999999</v>
      </c>
      <c r="F16" s="62">
        <v>-2.4220999999999999</v>
      </c>
      <c r="G16" s="301">
        <v>-143.23249999999999</v>
      </c>
      <c r="H16" s="301">
        <v>-143.23249999999999</v>
      </c>
      <c r="J16" s="62">
        <v>12</v>
      </c>
      <c r="K16" s="62">
        <v>-0.95669999999999999</v>
      </c>
      <c r="L16" s="62">
        <v>1.8232999999999999</v>
      </c>
      <c r="M16" s="62">
        <v>1.8232999999999999</v>
      </c>
      <c r="N16" s="62">
        <v>1.8532999999999999</v>
      </c>
      <c r="O16" s="62">
        <v>1.8532999999999999</v>
      </c>
      <c r="P16" s="301">
        <v>-90.319299999999998</v>
      </c>
      <c r="Q16" s="301">
        <v>-90.319299999999998</v>
      </c>
      <c r="S16" s="62">
        <v>12</v>
      </c>
      <c r="T16" s="62">
        <v>1.5082</v>
      </c>
      <c r="U16" s="62">
        <v>1.5082</v>
      </c>
      <c r="V16" s="62">
        <v>-3.0190000000000001</v>
      </c>
      <c r="W16" s="62">
        <v>-3.0181</v>
      </c>
      <c r="X16" s="62">
        <v>-3.0181</v>
      </c>
      <c r="Y16" s="301">
        <v>-135.2216</v>
      </c>
      <c r="Z16" s="301">
        <v>-135.2216</v>
      </c>
    </row>
    <row r="17" spans="1:26" x14ac:dyDescent="0.3">
      <c r="A17" s="62">
        <v>13</v>
      </c>
      <c r="B17" s="62">
        <v>-2.64</v>
      </c>
      <c r="C17" s="62">
        <v>5.3987999999999996</v>
      </c>
      <c r="D17" s="62">
        <v>5.3987999999999996</v>
      </c>
      <c r="E17" s="62">
        <v>5.3592000000000004</v>
      </c>
      <c r="F17" s="62">
        <v>5.3592000000000004</v>
      </c>
      <c r="G17" s="301">
        <v>-84.916499999999999</v>
      </c>
      <c r="H17" s="301">
        <v>-84.916499999999999</v>
      </c>
      <c r="J17" s="62">
        <v>13</v>
      </c>
      <c r="K17" s="62">
        <v>0.91910000000000003</v>
      </c>
      <c r="L17" s="62">
        <v>0.91910000000000003</v>
      </c>
      <c r="M17" s="62">
        <v>-2.4119000000000002</v>
      </c>
      <c r="N17" s="62">
        <v>-2.2206999999999999</v>
      </c>
      <c r="O17" s="62">
        <v>-2.2206999999999999</v>
      </c>
      <c r="P17" s="301">
        <v>-72.159300000000002</v>
      </c>
      <c r="Q17" s="301">
        <v>-72.159300000000002</v>
      </c>
      <c r="S17" s="62">
        <v>13</v>
      </c>
      <c r="T17" s="62">
        <v>-2.3281000000000001</v>
      </c>
      <c r="U17" s="62">
        <v>4.5770999999999997</v>
      </c>
      <c r="V17" s="62">
        <v>4.5770999999999997</v>
      </c>
      <c r="W17" s="62">
        <v>4.6033999999999997</v>
      </c>
      <c r="X17" s="62">
        <v>4.6033999999999997</v>
      </c>
      <c r="Y17" s="301">
        <v>-97.312399999999997</v>
      </c>
      <c r="Z17" s="301">
        <v>-97.312399999999997</v>
      </c>
    </row>
    <row r="18" spans="1:26" x14ac:dyDescent="0.3">
      <c r="A18" s="62">
        <v>14</v>
      </c>
      <c r="B18" s="62">
        <v>5.7705000000000002</v>
      </c>
      <c r="C18" s="62">
        <v>5.7705000000000002</v>
      </c>
      <c r="D18" s="62">
        <v>-7.5448000000000004</v>
      </c>
      <c r="E18" s="62">
        <v>-4.1609999999999996</v>
      </c>
      <c r="F18" s="62">
        <v>-4.1609999999999996</v>
      </c>
      <c r="G18" s="370">
        <v>-66.417100000000005</v>
      </c>
      <c r="H18" s="370">
        <v>-66.417100000000005</v>
      </c>
      <c r="J18" s="62">
        <v>14</v>
      </c>
      <c r="K18" s="62">
        <v>2.3502999999999998</v>
      </c>
      <c r="L18" s="62">
        <v>2.3502999999999998</v>
      </c>
      <c r="M18" s="62">
        <v>-5.8489000000000004</v>
      </c>
      <c r="N18" s="62">
        <v>-2.5621999999999998</v>
      </c>
      <c r="O18" s="62">
        <v>-2.5621999999999998</v>
      </c>
      <c r="P18" s="370">
        <v>-59.666699999999999</v>
      </c>
      <c r="Q18" s="370">
        <v>-59.666699999999999</v>
      </c>
      <c r="S18" s="62">
        <v>14</v>
      </c>
      <c r="T18" s="62">
        <v>7.0067000000000004</v>
      </c>
      <c r="U18" s="62">
        <v>7.0067000000000004</v>
      </c>
      <c r="V18" s="62">
        <v>-10.783099999999999</v>
      </c>
      <c r="W18" s="62">
        <v>-5.5593000000000004</v>
      </c>
      <c r="X18" s="62">
        <v>-5.5593000000000004</v>
      </c>
      <c r="Y18" s="370">
        <v>-78.624099999999999</v>
      </c>
      <c r="Z18" s="370">
        <v>-78.624099999999999</v>
      </c>
    </row>
    <row r="19" spans="1:26" x14ac:dyDescent="0.3">
      <c r="A19" s="62">
        <v>15</v>
      </c>
      <c r="B19" s="62">
        <v>-3.0901999999999998</v>
      </c>
      <c r="C19" s="62">
        <v>4.5117000000000003</v>
      </c>
      <c r="D19" s="62">
        <v>4.5117000000000003</v>
      </c>
      <c r="E19" s="62">
        <v>2.3755999999999999</v>
      </c>
      <c r="F19" s="62">
        <v>2.3755999999999999</v>
      </c>
      <c r="G19" s="370">
        <v>-105.9969</v>
      </c>
      <c r="H19" s="370">
        <v>-105.9969</v>
      </c>
      <c r="J19" s="62">
        <v>15</v>
      </c>
      <c r="K19" s="62">
        <v>-1.4730000000000001</v>
      </c>
      <c r="L19" s="62">
        <v>4.1916000000000002</v>
      </c>
      <c r="M19" s="62">
        <v>4.1916000000000002</v>
      </c>
      <c r="N19" s="62">
        <v>1.7702</v>
      </c>
      <c r="O19" s="62">
        <v>1.7702</v>
      </c>
      <c r="P19" s="370">
        <v>-72.300600000000003</v>
      </c>
      <c r="Q19" s="370">
        <v>-72.300600000000003</v>
      </c>
      <c r="S19" s="62">
        <v>15</v>
      </c>
      <c r="T19" s="62">
        <v>-4.8063000000000002</v>
      </c>
      <c r="U19" s="62">
        <v>7.4936999999999996</v>
      </c>
      <c r="V19" s="62">
        <v>7.4936999999999996</v>
      </c>
      <c r="W19" s="62">
        <v>3.8437999999999999</v>
      </c>
      <c r="X19" s="62">
        <v>3.8437999999999999</v>
      </c>
      <c r="Y19" s="370">
        <v>-106.8699</v>
      </c>
      <c r="Z19" s="370">
        <v>-106.8699</v>
      </c>
    </row>
    <row r="20" spans="1:26" x14ac:dyDescent="0.3">
      <c r="A20" s="62">
        <v>16</v>
      </c>
      <c r="B20" s="62">
        <v>3.0901999999999998</v>
      </c>
      <c r="C20" s="62">
        <v>3.0901999999999998</v>
      </c>
      <c r="D20" s="62">
        <v>-4.5117000000000003</v>
      </c>
      <c r="E20" s="62">
        <v>-2.3755999999999999</v>
      </c>
      <c r="F20" s="62">
        <v>-2.3755999999999999</v>
      </c>
      <c r="G20" s="370">
        <v>-105.9969</v>
      </c>
      <c r="H20" s="370">
        <v>-105.9969</v>
      </c>
      <c r="J20" s="62">
        <v>16</v>
      </c>
      <c r="K20" s="62">
        <v>2.9214000000000002</v>
      </c>
      <c r="L20" s="62">
        <v>2.9214000000000002</v>
      </c>
      <c r="M20" s="62">
        <v>-6.7817999999999996</v>
      </c>
      <c r="N20" s="62">
        <v>-3.0323000000000002</v>
      </c>
      <c r="O20" s="62">
        <v>-3.0323000000000002</v>
      </c>
      <c r="P20" s="370">
        <v>-91.036900000000003</v>
      </c>
      <c r="Q20" s="370">
        <v>-91.036900000000003</v>
      </c>
      <c r="S20" s="62">
        <v>16</v>
      </c>
      <c r="T20" s="62">
        <v>4.8063000000000002</v>
      </c>
      <c r="U20" s="62">
        <v>4.8063000000000002</v>
      </c>
      <c r="V20" s="62">
        <v>-7.4936999999999996</v>
      </c>
      <c r="W20" s="62">
        <v>-3.8437999999999999</v>
      </c>
      <c r="X20" s="62">
        <v>-3.8437999999999999</v>
      </c>
      <c r="Y20" s="370">
        <v>-106.8699</v>
      </c>
      <c r="Z20" s="370">
        <v>-106.8699</v>
      </c>
    </row>
    <row r="21" spans="1:26" x14ac:dyDescent="0.3">
      <c r="A21" s="62">
        <v>17</v>
      </c>
      <c r="B21" s="62">
        <v>-5.7705000000000002</v>
      </c>
      <c r="C21" s="62">
        <v>7.5448000000000004</v>
      </c>
      <c r="D21" s="62">
        <v>7.5448000000000004</v>
      </c>
      <c r="E21" s="62">
        <v>4.1609999999999996</v>
      </c>
      <c r="F21" s="62">
        <v>4.1609999999999996</v>
      </c>
      <c r="G21" s="370">
        <v>-66.417100000000005</v>
      </c>
      <c r="H21" s="370">
        <v>-66.417100000000005</v>
      </c>
      <c r="J21" s="62">
        <v>17</v>
      </c>
      <c r="K21" s="62">
        <v>-3.2831999999999999</v>
      </c>
      <c r="L21" s="62">
        <v>8.9544999999999995</v>
      </c>
      <c r="M21" s="62">
        <v>8.9544999999999995</v>
      </c>
      <c r="N21" s="62">
        <v>3.8243</v>
      </c>
      <c r="O21" s="62">
        <v>3.8243</v>
      </c>
      <c r="P21" s="370">
        <v>-71.944800000000001</v>
      </c>
      <c r="Q21" s="370">
        <v>-71.944800000000001</v>
      </c>
      <c r="S21" s="62">
        <v>17</v>
      </c>
      <c r="T21" s="62">
        <v>-7.0067000000000004</v>
      </c>
      <c r="U21" s="62">
        <v>10.783099999999999</v>
      </c>
      <c r="V21" s="62">
        <v>10.783099999999999</v>
      </c>
      <c r="W21" s="62">
        <v>5.5593000000000004</v>
      </c>
      <c r="X21" s="62">
        <v>5.5593000000000004</v>
      </c>
      <c r="Y21" s="370">
        <v>-78.624099999999999</v>
      </c>
      <c r="Z21" s="370">
        <v>-78.624099999999999</v>
      </c>
    </row>
    <row r="22" spans="1:26" x14ac:dyDescent="0.3">
      <c r="A22" s="62">
        <v>18</v>
      </c>
      <c r="B22" s="62">
        <v>12.436299999999999</v>
      </c>
      <c r="C22" s="62">
        <v>12.436299999999999</v>
      </c>
      <c r="D22" s="62">
        <v>-15.931699999999999</v>
      </c>
      <c r="E22" s="62">
        <v>-8.8650000000000002</v>
      </c>
      <c r="F22" s="62">
        <v>-8.8650000000000002</v>
      </c>
      <c r="G22" s="108">
        <v>-32.715299999999999</v>
      </c>
      <c r="H22" s="108">
        <v>-32.715299999999999</v>
      </c>
      <c r="J22" s="62">
        <v>18</v>
      </c>
      <c r="K22" s="62">
        <v>11.731199999999999</v>
      </c>
      <c r="L22" s="62">
        <v>11.731199999999999</v>
      </c>
      <c r="M22" s="62">
        <v>-14.465</v>
      </c>
      <c r="N22" s="62">
        <v>-8.1862999999999992</v>
      </c>
      <c r="O22" s="62">
        <v>-8.1862999999999992</v>
      </c>
      <c r="P22" s="108">
        <v>-29.479800000000001</v>
      </c>
      <c r="Q22" s="108">
        <v>-29.479800000000001</v>
      </c>
      <c r="S22" s="62">
        <v>18</v>
      </c>
      <c r="T22" s="62">
        <v>15.4453</v>
      </c>
      <c r="U22" s="62">
        <v>15.4453</v>
      </c>
      <c r="V22" s="62">
        <v>-16.674099999999999</v>
      </c>
      <c r="W22" s="62">
        <v>-10.0373</v>
      </c>
      <c r="X22" s="62">
        <v>-10.0373</v>
      </c>
      <c r="Y22" s="108">
        <v>-33.037999999999997</v>
      </c>
      <c r="Z22" s="108">
        <v>-33.037999999999997</v>
      </c>
    </row>
    <row r="23" spans="1:26" x14ac:dyDescent="0.3">
      <c r="A23" s="62">
        <v>19</v>
      </c>
      <c r="B23" s="62">
        <v>-7.6647999999999996</v>
      </c>
      <c r="C23" s="62">
        <v>9.3602000000000007</v>
      </c>
      <c r="D23" s="62">
        <v>9.3603000000000005</v>
      </c>
      <c r="E23" s="62">
        <v>5.3202999999999996</v>
      </c>
      <c r="F23" s="62">
        <v>5.3202999999999996</v>
      </c>
      <c r="G23" s="108">
        <v>-53.491700000000002</v>
      </c>
      <c r="H23" s="108">
        <v>-53.491700000000002</v>
      </c>
      <c r="J23" s="62">
        <v>19</v>
      </c>
      <c r="K23" s="62">
        <v>-8.5114000000000001</v>
      </c>
      <c r="L23" s="62">
        <v>10.0296</v>
      </c>
      <c r="M23" s="62">
        <v>10.0296</v>
      </c>
      <c r="N23" s="62">
        <v>5.7941000000000003</v>
      </c>
      <c r="O23" s="62">
        <v>5.7941000000000003</v>
      </c>
      <c r="P23" s="108">
        <v>-34.411099999999998</v>
      </c>
      <c r="Q23" s="108">
        <v>-34.411099999999998</v>
      </c>
      <c r="S23" s="62">
        <v>19</v>
      </c>
      <c r="T23" s="62">
        <v>-10.7499</v>
      </c>
      <c r="U23" s="62">
        <v>11.2927</v>
      </c>
      <c r="V23" s="62">
        <v>11.2927</v>
      </c>
      <c r="W23" s="62">
        <v>6.8883000000000001</v>
      </c>
      <c r="X23" s="62">
        <v>6.8883000000000001</v>
      </c>
      <c r="Y23" s="108">
        <v>-44.473999999999997</v>
      </c>
      <c r="Z23" s="108">
        <v>-44.473999999999997</v>
      </c>
    </row>
    <row r="24" spans="1:26" x14ac:dyDescent="0.3">
      <c r="A24" s="62">
        <v>20</v>
      </c>
      <c r="B24" s="62">
        <v>7.6647999999999996</v>
      </c>
      <c r="C24" s="62">
        <v>7.6647999999999996</v>
      </c>
      <c r="D24" s="62">
        <v>-9.3603000000000005</v>
      </c>
      <c r="E24" s="62">
        <v>-5.3202999999999996</v>
      </c>
      <c r="F24" s="62">
        <v>-5.3202999999999996</v>
      </c>
      <c r="G24" s="108">
        <v>-53.491700000000002</v>
      </c>
      <c r="H24" s="108">
        <v>-53.491700000000002</v>
      </c>
      <c r="J24" s="62">
        <v>20</v>
      </c>
      <c r="K24" s="62">
        <v>10.9552</v>
      </c>
      <c r="L24" s="62">
        <v>10.9552</v>
      </c>
      <c r="M24" s="62">
        <v>-11.3123</v>
      </c>
      <c r="N24" s="62">
        <v>-6.9585999999999997</v>
      </c>
      <c r="O24" s="62">
        <v>-6.9585999999999997</v>
      </c>
      <c r="P24" s="108">
        <v>-36.976999999999997</v>
      </c>
      <c r="Q24" s="108">
        <v>-36.976999999999997</v>
      </c>
      <c r="S24" s="62">
        <v>20</v>
      </c>
      <c r="T24" s="62">
        <v>10.7499</v>
      </c>
      <c r="U24" s="62">
        <v>10.7499</v>
      </c>
      <c r="V24" s="62">
        <v>-11.2927</v>
      </c>
      <c r="W24" s="62">
        <v>-6.8883000000000001</v>
      </c>
      <c r="X24" s="62">
        <v>-6.8883000000000001</v>
      </c>
      <c r="Y24" s="108">
        <v>-44.473999999999997</v>
      </c>
      <c r="Z24" s="108">
        <v>-44.473999999999997</v>
      </c>
    </row>
    <row r="25" spans="1:26" x14ac:dyDescent="0.3">
      <c r="A25" s="62">
        <v>21</v>
      </c>
      <c r="B25" s="62">
        <v>-12.436299999999999</v>
      </c>
      <c r="C25" s="62">
        <v>15.931699999999999</v>
      </c>
      <c r="D25" s="62">
        <v>15.931699999999999</v>
      </c>
      <c r="E25" s="62">
        <v>8.8650000000000002</v>
      </c>
      <c r="F25" s="62">
        <v>8.8650000000000002</v>
      </c>
      <c r="G25" s="108">
        <v>-32.715299999999999</v>
      </c>
      <c r="H25" s="108">
        <v>-32.715299999999999</v>
      </c>
      <c r="J25" s="62">
        <v>21</v>
      </c>
      <c r="K25" s="62">
        <v>-14.78</v>
      </c>
      <c r="L25" s="62">
        <v>15.1427</v>
      </c>
      <c r="M25" s="62">
        <v>15.1427</v>
      </c>
      <c r="N25" s="62">
        <v>9.3508999999999993</v>
      </c>
      <c r="O25" s="62">
        <v>9.3508999999999993</v>
      </c>
      <c r="P25" s="108">
        <v>-29.7151</v>
      </c>
      <c r="Q25" s="108">
        <v>-29.7151</v>
      </c>
      <c r="S25" s="62">
        <v>21</v>
      </c>
      <c r="T25" s="62">
        <v>-15.4453</v>
      </c>
      <c r="U25" s="62">
        <v>16.674099999999999</v>
      </c>
      <c r="V25" s="62">
        <v>16.674099999999999</v>
      </c>
      <c r="W25" s="62">
        <v>10.0373</v>
      </c>
      <c r="X25" s="62">
        <v>10.0373</v>
      </c>
      <c r="Y25" s="108">
        <v>-33.037999999999997</v>
      </c>
      <c r="Z25" s="108">
        <v>-33.037999999999997</v>
      </c>
    </row>
    <row r="27" spans="1:26" x14ac:dyDescent="0.3">
      <c r="A27" t="s">
        <v>16</v>
      </c>
      <c r="J27" t="s">
        <v>16</v>
      </c>
      <c r="S27" t="s">
        <v>16</v>
      </c>
    </row>
    <row r="28" spans="1:26" x14ac:dyDescent="0.3">
      <c r="A28" s="62" t="s">
        <v>0</v>
      </c>
      <c r="B28" s="62" t="s">
        <v>1</v>
      </c>
      <c r="C28" s="62" t="s">
        <v>2</v>
      </c>
      <c r="D28" s="62" t="s">
        <v>3</v>
      </c>
      <c r="E28" s="62" t="s">
        <v>4</v>
      </c>
      <c r="F28" s="62" t="s">
        <v>5</v>
      </c>
      <c r="G28" s="62" t="s">
        <v>6</v>
      </c>
      <c r="H28" s="62" t="s">
        <v>7</v>
      </c>
      <c r="J28" s="62" t="s">
        <v>0</v>
      </c>
      <c r="K28" s="62" t="s">
        <v>1</v>
      </c>
      <c r="L28" s="62" t="s">
        <v>2</v>
      </c>
      <c r="M28" s="62" t="s">
        <v>3</v>
      </c>
      <c r="N28" s="62" t="s">
        <v>4</v>
      </c>
      <c r="O28" s="62" t="s">
        <v>5</v>
      </c>
      <c r="P28" s="62" t="s">
        <v>6</v>
      </c>
      <c r="Q28" s="62" t="s">
        <v>7</v>
      </c>
      <c r="S28" s="62" t="s">
        <v>0</v>
      </c>
      <c r="T28" s="62" t="s">
        <v>1</v>
      </c>
      <c r="U28" s="62" t="s">
        <v>2</v>
      </c>
      <c r="V28" s="62" t="s">
        <v>3</v>
      </c>
      <c r="W28" s="62" t="s">
        <v>4</v>
      </c>
      <c r="X28" s="62" t="s">
        <v>5</v>
      </c>
      <c r="Y28" s="62" t="s">
        <v>6</v>
      </c>
      <c r="Z28" s="62" t="s">
        <v>7</v>
      </c>
    </row>
    <row r="29" spans="1:26" x14ac:dyDescent="0.3">
      <c r="A29" s="301">
        <v>1</v>
      </c>
      <c r="B29" s="301">
        <v>-3.1600000000000003E-2</v>
      </c>
      <c r="C29" s="301">
        <v>0</v>
      </c>
      <c r="D29" s="301">
        <v>-0.10979999999999999</v>
      </c>
      <c r="E29" s="301">
        <v>-1.9599999999999999E-2</v>
      </c>
      <c r="F29" s="301">
        <v>-1.9599999999999999E-2</v>
      </c>
      <c r="G29" s="62">
        <v>0.52790000000000004</v>
      </c>
      <c r="H29" s="62">
        <v>0.52790000000000004</v>
      </c>
      <c r="J29" s="301">
        <v>1</v>
      </c>
      <c r="K29" s="301">
        <v>-9.3299999999999994E-2</v>
      </c>
      <c r="L29" s="301">
        <v>0</v>
      </c>
      <c r="M29" s="301">
        <v>-0.10050000000000001</v>
      </c>
      <c r="N29" s="301">
        <v>-1.8E-3</v>
      </c>
      <c r="O29" s="301">
        <v>-1.8E-3</v>
      </c>
      <c r="P29" s="62">
        <v>1.0085999999999999</v>
      </c>
      <c r="Q29" s="62">
        <v>1.0085999999999999</v>
      </c>
      <c r="S29" s="301">
        <v>1</v>
      </c>
      <c r="T29" s="301">
        <v>-0.33810000000000001</v>
      </c>
      <c r="U29" s="301">
        <v>0</v>
      </c>
      <c r="V29" s="301">
        <v>-7.1900000000000006E-2</v>
      </c>
      <c r="W29" s="301">
        <v>6.6500000000000004E-2</v>
      </c>
      <c r="X29" s="301">
        <v>6.6500000000000004E-2</v>
      </c>
      <c r="Y29" s="62">
        <v>2.6789000000000001</v>
      </c>
      <c r="Z29" s="62">
        <v>2.6789000000000001</v>
      </c>
    </row>
    <row r="30" spans="1:26" x14ac:dyDescent="0.3">
      <c r="A30" s="301">
        <v>2</v>
      </c>
      <c r="B30" s="301">
        <v>-0.4536</v>
      </c>
      <c r="C30" s="301">
        <v>0.49640000000000001</v>
      </c>
      <c r="D30" s="301">
        <v>-0.4536</v>
      </c>
      <c r="E30" s="301">
        <v>1.9</v>
      </c>
      <c r="F30" s="301">
        <v>-1.9</v>
      </c>
      <c r="G30" s="62">
        <v>-0.1764</v>
      </c>
      <c r="H30" s="62">
        <v>-0.1764</v>
      </c>
      <c r="J30" s="301">
        <v>2</v>
      </c>
      <c r="K30" s="301">
        <v>-0.1903</v>
      </c>
      <c r="L30" s="301">
        <v>0.38919999999999999</v>
      </c>
      <c r="M30" s="301">
        <v>-7.1499999999999994E-2</v>
      </c>
      <c r="N30" s="301">
        <v>1.4843999999999999</v>
      </c>
      <c r="O30" s="301">
        <v>-0.41560000000000002</v>
      </c>
      <c r="P30" s="62">
        <v>-2.2700000000000001E-2</v>
      </c>
      <c r="Q30" s="62">
        <v>-2.2700000000000001E-2</v>
      </c>
      <c r="S30" s="301">
        <v>2</v>
      </c>
      <c r="T30" s="301">
        <v>0.32300000000000001</v>
      </c>
      <c r="U30" s="301">
        <v>0.32300000000000001</v>
      </c>
      <c r="V30" s="301">
        <v>0.32300000000000001</v>
      </c>
      <c r="W30" s="303">
        <v>6.6949299999999999E-17</v>
      </c>
      <c r="X30" s="303">
        <v>6.6949299999999999E-17</v>
      </c>
      <c r="Y30" s="62">
        <v>0.43140000000000001</v>
      </c>
      <c r="Z30" s="62">
        <v>0.43140000000000001</v>
      </c>
    </row>
    <row r="31" spans="1:26" x14ac:dyDescent="0.3">
      <c r="A31" s="301">
        <v>3</v>
      </c>
      <c r="B31" s="301">
        <v>-0.10979999999999999</v>
      </c>
      <c r="C31" s="301">
        <v>0</v>
      </c>
      <c r="D31" s="301">
        <v>-3.1600000000000003E-2</v>
      </c>
      <c r="E31" s="301">
        <v>1.9599999999999999E-2</v>
      </c>
      <c r="F31" s="301">
        <v>1.9599999999999999E-2</v>
      </c>
      <c r="G31" s="62">
        <v>0.52790000000000004</v>
      </c>
      <c r="H31" s="62">
        <v>0.52790000000000004</v>
      </c>
      <c r="J31" s="301">
        <v>3</v>
      </c>
      <c r="K31" s="301">
        <v>-5.74E-2</v>
      </c>
      <c r="L31" s="301">
        <v>0</v>
      </c>
      <c r="M31" s="301">
        <v>-0.1235</v>
      </c>
      <c r="N31" s="301">
        <v>-1.6500000000000001E-2</v>
      </c>
      <c r="O31" s="301">
        <v>-1.6500000000000001E-2</v>
      </c>
      <c r="P31" s="62">
        <v>0.98560000000000003</v>
      </c>
      <c r="Q31" s="62">
        <v>0.98560000000000003</v>
      </c>
      <c r="S31" s="301">
        <v>3</v>
      </c>
      <c r="T31" s="301">
        <v>-7.1900000000000006E-2</v>
      </c>
      <c r="U31" s="301">
        <v>0</v>
      </c>
      <c r="V31" s="301">
        <v>-0.33810000000000001</v>
      </c>
      <c r="W31" s="301">
        <v>-6.6500000000000004E-2</v>
      </c>
      <c r="X31" s="301">
        <v>-6.6500000000000004E-2</v>
      </c>
      <c r="Y31" s="62">
        <v>2.6789000000000001</v>
      </c>
      <c r="Z31" s="62">
        <v>2.6789000000000001</v>
      </c>
    </row>
    <row r="32" spans="1:26" x14ac:dyDescent="0.3">
      <c r="A32" s="370">
        <v>4</v>
      </c>
      <c r="B32" s="370">
        <v>-2.8898999999999999</v>
      </c>
      <c r="C32" s="370">
        <v>1.8781000000000001</v>
      </c>
      <c r="D32" s="370">
        <v>-2.8538000000000001</v>
      </c>
      <c r="E32" s="370">
        <v>4.7590000000000003</v>
      </c>
      <c r="F32" s="370">
        <v>-4.7409999999999997</v>
      </c>
      <c r="G32" s="62">
        <v>1.4031</v>
      </c>
      <c r="H32" s="62">
        <v>1.4031</v>
      </c>
      <c r="J32" s="370">
        <v>4</v>
      </c>
      <c r="K32" s="370">
        <v>-5.726</v>
      </c>
      <c r="L32" s="370">
        <v>3.7302</v>
      </c>
      <c r="M32" s="370">
        <v>-5.8135000000000003</v>
      </c>
      <c r="N32" s="370">
        <v>9.4780999999999995</v>
      </c>
      <c r="O32" s="370">
        <v>-9.5219000000000005</v>
      </c>
      <c r="P32" s="62">
        <v>2.8328000000000002</v>
      </c>
      <c r="Q32" s="62">
        <v>2.8328000000000002</v>
      </c>
      <c r="S32" s="370">
        <v>4</v>
      </c>
      <c r="T32" s="370">
        <v>-8.8999000000000006</v>
      </c>
      <c r="U32" s="370">
        <v>6.9528999999999996</v>
      </c>
      <c r="V32" s="370">
        <v>-9.8942999999999994</v>
      </c>
      <c r="W32" s="370">
        <v>16.101400000000002</v>
      </c>
      <c r="X32" s="370">
        <v>-16.598600000000001</v>
      </c>
      <c r="Y32" s="62">
        <v>1.1559999999999999</v>
      </c>
      <c r="Z32" s="62">
        <v>1.1559999999999999</v>
      </c>
    </row>
    <row r="33" spans="1:26" x14ac:dyDescent="0.3">
      <c r="A33" s="370">
        <v>5</v>
      </c>
      <c r="B33" s="370">
        <v>-0.57450000000000001</v>
      </c>
      <c r="C33" s="370">
        <v>0</v>
      </c>
      <c r="D33" s="370">
        <v>-0.57450000000000001</v>
      </c>
      <c r="E33" s="374">
        <v>4.2194900000000002E-16</v>
      </c>
      <c r="F33" s="374">
        <v>4.2194900000000002E-16</v>
      </c>
      <c r="G33" s="62">
        <v>0.39950000000000002</v>
      </c>
      <c r="H33" s="62">
        <v>0.39950000000000002</v>
      </c>
      <c r="J33" s="370">
        <v>5</v>
      </c>
      <c r="K33" s="370">
        <v>-1.1016999999999999</v>
      </c>
      <c r="L33" s="370">
        <v>0</v>
      </c>
      <c r="M33" s="370">
        <v>-1.0690999999999999</v>
      </c>
      <c r="N33" s="374">
        <v>1.6299999999999999E-2</v>
      </c>
      <c r="O33" s="374">
        <v>1.6299999999999999E-2</v>
      </c>
      <c r="P33" s="62">
        <v>0.72519999999999996</v>
      </c>
      <c r="Q33" s="62">
        <v>0.72519999999999996</v>
      </c>
      <c r="S33" s="370">
        <v>5</v>
      </c>
      <c r="T33" s="370">
        <v>-2.6684000000000001</v>
      </c>
      <c r="U33" s="370">
        <v>0</v>
      </c>
      <c r="V33" s="370">
        <v>-2.6684000000000001</v>
      </c>
      <c r="W33" s="374">
        <v>-5.7610199999999997E-16</v>
      </c>
      <c r="X33" s="374">
        <v>-5.7610199999999997E-16</v>
      </c>
      <c r="Y33" s="62">
        <v>0.25950000000000001</v>
      </c>
      <c r="Z33" s="62">
        <v>0.25950000000000001</v>
      </c>
    </row>
    <row r="34" spans="1:26" x14ac:dyDescent="0.3">
      <c r="A34" s="370">
        <v>6</v>
      </c>
      <c r="B34" s="370">
        <v>-2.8538000000000001</v>
      </c>
      <c r="C34" s="370">
        <v>1.8781000000000001</v>
      </c>
      <c r="D34" s="370">
        <v>-2.8898999999999999</v>
      </c>
      <c r="E34" s="370">
        <v>4.7409999999999997</v>
      </c>
      <c r="F34" s="370">
        <v>-4.7590000000000003</v>
      </c>
      <c r="G34" s="62">
        <v>1.4031</v>
      </c>
      <c r="H34" s="62">
        <v>1.4031</v>
      </c>
      <c r="J34" s="370">
        <v>6</v>
      </c>
      <c r="K34" s="370">
        <v>-5.7953999999999999</v>
      </c>
      <c r="L34" s="370">
        <v>3.7326000000000001</v>
      </c>
      <c r="M34" s="370">
        <v>-5.7393999999999998</v>
      </c>
      <c r="N34" s="370">
        <v>9.5139999999999993</v>
      </c>
      <c r="O34" s="370">
        <v>-9.4860000000000007</v>
      </c>
      <c r="P34" s="62">
        <v>2.8195999999999999</v>
      </c>
      <c r="Q34" s="62">
        <v>2.8195999999999999</v>
      </c>
      <c r="S34" s="370">
        <v>6</v>
      </c>
      <c r="T34" s="370">
        <v>-9.8942999999999994</v>
      </c>
      <c r="U34" s="370">
        <v>6.9528999999999996</v>
      </c>
      <c r="V34" s="370">
        <v>-8.8999000000000006</v>
      </c>
      <c r="W34" s="370">
        <v>16.598600000000001</v>
      </c>
      <c r="X34" s="370">
        <v>-16.101400000000002</v>
      </c>
      <c r="Y34" s="62">
        <v>1.1559999999999999</v>
      </c>
      <c r="Z34" s="62">
        <v>1.1559999999999999</v>
      </c>
    </row>
    <row r="35" spans="1:26" x14ac:dyDescent="0.3">
      <c r="A35" s="108">
        <v>7</v>
      </c>
      <c r="B35" s="108">
        <v>-3.2860999999999998</v>
      </c>
      <c r="C35" s="108">
        <v>3.3915999999999999</v>
      </c>
      <c r="D35" s="108">
        <v>-4.4306999999999999</v>
      </c>
      <c r="E35" s="108">
        <v>6.9638</v>
      </c>
      <c r="F35" s="108">
        <v>-7.5362</v>
      </c>
      <c r="G35" s="62">
        <v>-1.7082999999999999</v>
      </c>
      <c r="H35" s="62">
        <v>-1.7082999999999999</v>
      </c>
      <c r="J35" s="108">
        <v>7</v>
      </c>
      <c r="K35" s="108">
        <v>-6.6138000000000003</v>
      </c>
      <c r="L35" s="108">
        <v>6.8822000000000001</v>
      </c>
      <c r="M35" s="108">
        <v>-8.6217000000000006</v>
      </c>
      <c r="N35" s="108">
        <v>13.997999999999999</v>
      </c>
      <c r="O35" s="108">
        <v>-15.002000000000001</v>
      </c>
      <c r="P35" s="62">
        <v>-3.4266999999999999</v>
      </c>
      <c r="Q35" s="62">
        <v>-3.4266999999999999</v>
      </c>
      <c r="S35" s="108">
        <v>7</v>
      </c>
      <c r="T35" s="108">
        <v>-3.9220000000000002</v>
      </c>
      <c r="U35" s="108">
        <v>3.0988000000000002</v>
      </c>
      <c r="V35" s="108">
        <v>-4.3803999999999998</v>
      </c>
      <c r="W35" s="108">
        <v>7.1353999999999997</v>
      </c>
      <c r="X35" s="108">
        <v>-7.3646000000000003</v>
      </c>
      <c r="Y35" s="62">
        <v>-2.8065000000000002</v>
      </c>
      <c r="Z35" s="62">
        <v>-2.8065000000000002</v>
      </c>
    </row>
    <row r="36" spans="1:26" x14ac:dyDescent="0.3">
      <c r="A36" s="108">
        <v>8</v>
      </c>
      <c r="B36" s="108">
        <v>-2.1598000000000002</v>
      </c>
      <c r="C36" s="108">
        <v>0</v>
      </c>
      <c r="D36" s="108">
        <v>-2.1598000000000002</v>
      </c>
      <c r="E36" s="108">
        <v>1.9</v>
      </c>
      <c r="F36" s="108">
        <v>-1.9</v>
      </c>
      <c r="G36" s="62">
        <v>-0.47489999999999999</v>
      </c>
      <c r="H36" s="62">
        <v>-0.47489999999999999</v>
      </c>
      <c r="J36" s="108">
        <v>8</v>
      </c>
      <c r="K36" s="108">
        <v>-3.6922000000000001</v>
      </c>
      <c r="L36" s="108">
        <v>0</v>
      </c>
      <c r="M36" s="108">
        <v>-3.7198000000000002</v>
      </c>
      <c r="N36" s="108">
        <v>0.4612</v>
      </c>
      <c r="O36" s="108">
        <v>-1.4388000000000001</v>
      </c>
      <c r="P36" s="62">
        <v>-0.79920000000000002</v>
      </c>
      <c r="Q36" s="62">
        <v>-0.79920000000000002</v>
      </c>
      <c r="S36" s="108">
        <v>8</v>
      </c>
      <c r="T36" s="108">
        <v>-1.2040999999999999</v>
      </c>
      <c r="U36" s="108">
        <v>0</v>
      </c>
      <c r="V36" s="108">
        <v>-1.2040999999999999</v>
      </c>
      <c r="W36" s="372">
        <v>-5.8285300000000005E-16</v>
      </c>
      <c r="X36" s="372">
        <v>-5.8285300000000005E-16</v>
      </c>
      <c r="Y36" s="62">
        <v>-0.5353</v>
      </c>
      <c r="Z36" s="62">
        <v>-0.5353</v>
      </c>
    </row>
    <row r="37" spans="1:26" x14ac:dyDescent="0.3">
      <c r="A37" s="108">
        <v>9</v>
      </c>
      <c r="B37" s="108">
        <v>-4.4306999999999999</v>
      </c>
      <c r="C37" s="108">
        <v>3.3915999999999999</v>
      </c>
      <c r="D37" s="108">
        <v>-3.2860999999999998</v>
      </c>
      <c r="E37" s="108">
        <v>7.5362</v>
      </c>
      <c r="F37" s="108">
        <v>-6.9638</v>
      </c>
      <c r="G37" s="62">
        <v>-1.7082999999999999</v>
      </c>
      <c r="H37" s="62">
        <v>-1.7082999999999999</v>
      </c>
      <c r="J37" s="108">
        <v>9</v>
      </c>
      <c r="K37" s="108">
        <v>-8.6336999999999993</v>
      </c>
      <c r="L37" s="108">
        <v>6.8773999999999997</v>
      </c>
      <c r="M37" s="108">
        <v>-6.6115000000000004</v>
      </c>
      <c r="N37" s="108">
        <v>15.005599999999999</v>
      </c>
      <c r="O37" s="108">
        <v>-13.994400000000001</v>
      </c>
      <c r="P37" s="62">
        <v>-3.4239000000000002</v>
      </c>
      <c r="Q37" s="62">
        <v>-3.4239000000000002</v>
      </c>
      <c r="S37" s="108">
        <v>9</v>
      </c>
      <c r="T37" s="108">
        <v>-4.3803999999999998</v>
      </c>
      <c r="U37" s="108">
        <v>3.0988000000000002</v>
      </c>
      <c r="V37" s="108">
        <v>-3.9220000000000002</v>
      </c>
      <c r="W37" s="108">
        <v>7.3646000000000003</v>
      </c>
      <c r="X37" s="108">
        <v>-7.1353999999999997</v>
      </c>
      <c r="Y37" s="62">
        <v>-2.8065000000000002</v>
      </c>
      <c r="Z37" s="62">
        <v>-2.8065000000000002</v>
      </c>
    </row>
    <row r="38" spans="1:26" x14ac:dyDescent="0.3">
      <c r="A38" s="62">
        <v>10</v>
      </c>
      <c r="B38" s="62">
        <v>-9.8500000000000004E-2</v>
      </c>
      <c r="C38" s="62">
        <v>0.2356</v>
      </c>
      <c r="D38" s="62">
        <v>0.2356</v>
      </c>
      <c r="E38" s="62">
        <v>0.22270000000000001</v>
      </c>
      <c r="F38" s="62">
        <v>0.22270000000000001</v>
      </c>
      <c r="G38" s="301">
        <v>-11.7033</v>
      </c>
      <c r="H38" s="301">
        <v>-11.7033</v>
      </c>
      <c r="J38" s="62">
        <v>10</v>
      </c>
      <c r="K38" s="62">
        <v>-0.18909999999999999</v>
      </c>
      <c r="L38" s="62">
        <v>0.433</v>
      </c>
      <c r="M38" s="62">
        <v>0.433</v>
      </c>
      <c r="N38" s="62">
        <v>0.41470000000000001</v>
      </c>
      <c r="O38" s="62">
        <v>0.41470000000000001</v>
      </c>
      <c r="P38" s="301">
        <v>-23.474299999999999</v>
      </c>
      <c r="Q38" s="301">
        <v>-23.474299999999999</v>
      </c>
      <c r="S38" s="62">
        <v>10</v>
      </c>
      <c r="T38" s="62">
        <v>-0.43980000000000002</v>
      </c>
      <c r="U38" s="62">
        <v>1.1026</v>
      </c>
      <c r="V38" s="62">
        <v>1.1026</v>
      </c>
      <c r="W38" s="62">
        <v>1.0283</v>
      </c>
      <c r="X38" s="62">
        <v>1.0283</v>
      </c>
      <c r="Y38" s="301">
        <v>-23.3034</v>
      </c>
      <c r="Z38" s="301">
        <v>-23.3034</v>
      </c>
    </row>
    <row r="39" spans="1:26" x14ac:dyDescent="0.3">
      <c r="A39" s="62">
        <v>11</v>
      </c>
      <c r="B39" s="62">
        <v>0.2361</v>
      </c>
      <c r="C39" s="62">
        <v>0.2361</v>
      </c>
      <c r="D39" s="62">
        <v>-0.47570000000000001</v>
      </c>
      <c r="E39" s="62">
        <v>-0.47460000000000002</v>
      </c>
      <c r="F39" s="62">
        <v>-0.47460000000000002</v>
      </c>
      <c r="G39" s="301">
        <v>-16.096699999999998</v>
      </c>
      <c r="H39" s="301">
        <v>-16.096699999999998</v>
      </c>
      <c r="J39" s="62">
        <v>11</v>
      </c>
      <c r="K39" s="62">
        <v>0.24709999999999999</v>
      </c>
      <c r="L39" s="62">
        <v>0.24709999999999999</v>
      </c>
      <c r="M39" s="62">
        <v>-0.52</v>
      </c>
      <c r="N39" s="62">
        <v>-0.51139999999999997</v>
      </c>
      <c r="O39" s="62">
        <v>-0.51139999999999997</v>
      </c>
      <c r="P39" s="301">
        <v>-26.4876</v>
      </c>
      <c r="Q39" s="301">
        <v>-26.4876</v>
      </c>
      <c r="S39" s="62">
        <v>11</v>
      </c>
      <c r="T39" s="62">
        <v>0.43930000000000002</v>
      </c>
      <c r="U39" s="62">
        <v>0.43930000000000002</v>
      </c>
      <c r="V39" s="62">
        <v>-0.86990000000000001</v>
      </c>
      <c r="W39" s="62">
        <v>-0.87280000000000002</v>
      </c>
      <c r="X39" s="62">
        <v>-0.87280000000000002</v>
      </c>
      <c r="Y39" s="301">
        <v>-23.896599999999999</v>
      </c>
      <c r="Z39" s="301">
        <v>-23.896599999999999</v>
      </c>
    </row>
    <row r="40" spans="1:26" x14ac:dyDescent="0.3">
      <c r="A40" s="62">
        <v>12</v>
      </c>
      <c r="B40" s="62">
        <v>-0.2361</v>
      </c>
      <c r="C40" s="62">
        <v>0.47570000000000001</v>
      </c>
      <c r="D40" s="62">
        <v>0.47570000000000001</v>
      </c>
      <c r="E40" s="62">
        <v>0.47460000000000002</v>
      </c>
      <c r="F40" s="62">
        <v>0.47460000000000002</v>
      </c>
      <c r="G40" s="301">
        <v>-16.096699999999998</v>
      </c>
      <c r="H40" s="301">
        <v>-16.096699999999998</v>
      </c>
      <c r="J40" s="62">
        <v>12</v>
      </c>
      <c r="K40" s="62">
        <v>-0.24729999999999999</v>
      </c>
      <c r="L40" s="62">
        <v>0.46970000000000001</v>
      </c>
      <c r="M40" s="62">
        <v>0.46970000000000001</v>
      </c>
      <c r="N40" s="62">
        <v>0.47799999999999998</v>
      </c>
      <c r="O40" s="62">
        <v>0.47799999999999998</v>
      </c>
      <c r="P40" s="301">
        <v>-26.341100000000001</v>
      </c>
      <c r="Q40" s="301">
        <v>-26.341100000000001</v>
      </c>
      <c r="S40" s="62">
        <v>12</v>
      </c>
      <c r="T40" s="62">
        <v>-0.43930000000000002</v>
      </c>
      <c r="U40" s="62">
        <v>0.86990000000000001</v>
      </c>
      <c r="V40" s="62">
        <v>0.86990000000000001</v>
      </c>
      <c r="W40" s="62">
        <v>0.87280000000000002</v>
      </c>
      <c r="X40" s="62">
        <v>0.87280000000000002</v>
      </c>
      <c r="Y40" s="301">
        <v>-23.896599999999999</v>
      </c>
      <c r="Z40" s="301">
        <v>-23.896599999999999</v>
      </c>
    </row>
    <row r="41" spans="1:26" x14ac:dyDescent="0.3">
      <c r="A41" s="62">
        <v>13</v>
      </c>
      <c r="B41" s="62">
        <v>9.8500000000000004E-2</v>
      </c>
      <c r="C41" s="62">
        <v>9.8500000000000004E-2</v>
      </c>
      <c r="D41" s="62">
        <v>-0.2356</v>
      </c>
      <c r="E41" s="62">
        <v>-0.22270000000000001</v>
      </c>
      <c r="F41" s="62">
        <v>-0.22270000000000001</v>
      </c>
      <c r="G41" s="301">
        <v>-11.7033</v>
      </c>
      <c r="H41" s="301">
        <v>-11.7033</v>
      </c>
      <c r="J41" s="62">
        <v>13</v>
      </c>
      <c r="K41" s="62">
        <v>0.15609999999999999</v>
      </c>
      <c r="L41" s="62">
        <v>0.15609999999999999</v>
      </c>
      <c r="M41" s="62">
        <v>-0.41589999999999999</v>
      </c>
      <c r="N41" s="62">
        <v>-0.38129999999999997</v>
      </c>
      <c r="O41" s="62">
        <v>-0.38129999999999997</v>
      </c>
      <c r="P41" s="301">
        <v>-23.497</v>
      </c>
      <c r="Q41" s="301">
        <v>-23.497</v>
      </c>
      <c r="S41" s="62">
        <v>13</v>
      </c>
      <c r="T41" s="62">
        <v>0.43980000000000002</v>
      </c>
      <c r="U41" s="62">
        <v>0.43980000000000002</v>
      </c>
      <c r="V41" s="62">
        <v>-1.1026</v>
      </c>
      <c r="W41" s="62">
        <v>-1.0283</v>
      </c>
      <c r="X41" s="62">
        <v>-1.0283</v>
      </c>
      <c r="Y41" s="301">
        <v>-23.3034</v>
      </c>
      <c r="Z41" s="301">
        <v>-23.3034</v>
      </c>
    </row>
    <row r="42" spans="1:26" x14ac:dyDescent="0.3">
      <c r="A42" s="62">
        <v>14</v>
      </c>
      <c r="B42" s="62">
        <v>0.26719999999999999</v>
      </c>
      <c r="C42" s="62">
        <v>0.26719999999999999</v>
      </c>
      <c r="D42" s="62">
        <v>-0.70940000000000003</v>
      </c>
      <c r="E42" s="62">
        <v>-0.30520000000000003</v>
      </c>
      <c r="F42" s="62">
        <v>-0.30520000000000003</v>
      </c>
      <c r="G42" s="370">
        <v>-11.722899999999999</v>
      </c>
      <c r="H42" s="370">
        <v>-11.722899999999999</v>
      </c>
      <c r="J42" s="62">
        <v>14</v>
      </c>
      <c r="K42" s="62">
        <v>0.52629999999999999</v>
      </c>
      <c r="L42" s="62">
        <v>0.52629999999999999</v>
      </c>
      <c r="M42" s="62">
        <v>-1.3743000000000001</v>
      </c>
      <c r="N42" s="62">
        <v>-0.59389999999999998</v>
      </c>
      <c r="O42" s="62">
        <v>-0.59389999999999998</v>
      </c>
      <c r="P42" s="370">
        <v>-23.476099999999999</v>
      </c>
      <c r="Q42" s="370">
        <v>-23.476099999999999</v>
      </c>
      <c r="S42" s="62">
        <v>14</v>
      </c>
      <c r="T42" s="62">
        <v>1.4407000000000001</v>
      </c>
      <c r="U42" s="62">
        <v>1.4407000000000001</v>
      </c>
      <c r="V42" s="62">
        <v>-3.8410000000000002</v>
      </c>
      <c r="W42" s="62">
        <v>-1.6505000000000001</v>
      </c>
      <c r="X42" s="62">
        <v>-1.6505000000000001</v>
      </c>
      <c r="Y42" s="370">
        <v>-23.236799999999999</v>
      </c>
      <c r="Z42" s="370">
        <v>-23.236799999999999</v>
      </c>
    </row>
    <row r="43" spans="1:26" x14ac:dyDescent="0.3">
      <c r="A43" s="62">
        <v>15</v>
      </c>
      <c r="B43" s="62">
        <v>-0.13189999999999999</v>
      </c>
      <c r="C43" s="62">
        <v>0.60329999999999995</v>
      </c>
      <c r="D43" s="62">
        <v>0.60329999999999995</v>
      </c>
      <c r="E43" s="62">
        <v>0.22969999999999999</v>
      </c>
      <c r="F43" s="62">
        <v>0.22969999999999999</v>
      </c>
      <c r="G43" s="370">
        <v>-14.177099999999999</v>
      </c>
      <c r="H43" s="370">
        <v>-14.177099999999999</v>
      </c>
      <c r="J43" s="62">
        <v>15</v>
      </c>
      <c r="K43" s="62">
        <v>-0.43020000000000003</v>
      </c>
      <c r="L43" s="62">
        <v>1.2334000000000001</v>
      </c>
      <c r="M43" s="62">
        <v>1.2334000000000001</v>
      </c>
      <c r="N43" s="62">
        <v>0.51990000000000003</v>
      </c>
      <c r="O43" s="62">
        <v>0.51990000000000003</v>
      </c>
      <c r="P43" s="370">
        <v>-25.0014</v>
      </c>
      <c r="Q43" s="370">
        <v>-25.0014</v>
      </c>
      <c r="S43" s="62">
        <v>15</v>
      </c>
      <c r="T43" s="62">
        <v>-1.2647999999999999</v>
      </c>
      <c r="U43" s="62">
        <v>3.1343999999999999</v>
      </c>
      <c r="V43" s="62">
        <v>3.1343999999999999</v>
      </c>
      <c r="W43" s="62">
        <v>1.3747</v>
      </c>
      <c r="X43" s="62">
        <v>1.3747</v>
      </c>
      <c r="Y43" s="370">
        <v>-23.963200000000001</v>
      </c>
      <c r="Z43" s="370">
        <v>-23.963200000000001</v>
      </c>
    </row>
    <row r="44" spans="1:26" x14ac:dyDescent="0.3">
      <c r="A44" s="62">
        <v>16</v>
      </c>
      <c r="B44" s="62">
        <v>0.13189999999999999</v>
      </c>
      <c r="C44" s="62">
        <v>0.13189999999999999</v>
      </c>
      <c r="D44" s="62">
        <v>-0.60329999999999995</v>
      </c>
      <c r="E44" s="62">
        <v>-0.22969999999999999</v>
      </c>
      <c r="F44" s="62">
        <v>-0.22969999999999999</v>
      </c>
      <c r="G44" s="370">
        <v>-14.177099999999999</v>
      </c>
      <c r="H44" s="370">
        <v>-14.177099999999999</v>
      </c>
      <c r="J44" s="62">
        <v>16</v>
      </c>
      <c r="K44" s="62">
        <v>0.4556</v>
      </c>
      <c r="L44" s="62">
        <v>0.4556</v>
      </c>
      <c r="M44" s="62">
        <v>-1.2413000000000001</v>
      </c>
      <c r="N44" s="62">
        <v>-0.53029999999999999</v>
      </c>
      <c r="O44" s="62">
        <v>-0.53029999999999999</v>
      </c>
      <c r="P44" s="370">
        <v>-25.9421</v>
      </c>
      <c r="Q44" s="370">
        <v>-25.9421</v>
      </c>
      <c r="S44" s="62">
        <v>16</v>
      </c>
      <c r="T44" s="62">
        <v>1.2647999999999999</v>
      </c>
      <c r="U44" s="62">
        <v>1.2647999999999999</v>
      </c>
      <c r="V44" s="62">
        <v>-3.1343999999999999</v>
      </c>
      <c r="W44" s="62">
        <v>-1.3747</v>
      </c>
      <c r="X44" s="62">
        <v>-1.3747</v>
      </c>
      <c r="Y44" s="370">
        <v>-23.963200000000001</v>
      </c>
      <c r="Z44" s="370">
        <v>-23.963200000000001</v>
      </c>
    </row>
    <row r="45" spans="1:26" x14ac:dyDescent="0.3">
      <c r="A45" s="62">
        <v>17</v>
      </c>
      <c r="B45" s="62">
        <v>-0.26719999999999999</v>
      </c>
      <c r="C45" s="62">
        <v>0.70940000000000003</v>
      </c>
      <c r="D45" s="62">
        <v>0.70940000000000003</v>
      </c>
      <c r="E45" s="62">
        <v>0.30520000000000003</v>
      </c>
      <c r="F45" s="62">
        <v>0.30520000000000003</v>
      </c>
      <c r="G45" s="370">
        <v>-11.722899999999999</v>
      </c>
      <c r="H45" s="370">
        <v>-11.722899999999999</v>
      </c>
      <c r="J45" s="62">
        <v>17</v>
      </c>
      <c r="K45" s="62">
        <v>-0.53939999999999999</v>
      </c>
      <c r="L45" s="62">
        <v>1.3945000000000001</v>
      </c>
      <c r="M45" s="62">
        <v>1.3945000000000001</v>
      </c>
      <c r="N45" s="62">
        <v>0.60429999999999995</v>
      </c>
      <c r="O45" s="62">
        <v>0.60429999999999995</v>
      </c>
      <c r="P45" s="370">
        <v>-23.480399999999999</v>
      </c>
      <c r="Q45" s="370">
        <v>-23.480399999999999</v>
      </c>
      <c r="S45" s="62">
        <v>17</v>
      </c>
      <c r="T45" s="62">
        <v>-1.4407000000000001</v>
      </c>
      <c r="U45" s="62">
        <v>3.8410000000000002</v>
      </c>
      <c r="V45" s="62">
        <v>3.8410000000000002</v>
      </c>
      <c r="W45" s="62">
        <v>1.6505000000000001</v>
      </c>
      <c r="X45" s="62">
        <v>1.6505000000000001</v>
      </c>
      <c r="Y45" s="370">
        <v>-23.236799999999999</v>
      </c>
      <c r="Z45" s="370">
        <v>-23.236799999999999</v>
      </c>
    </row>
    <row r="46" spans="1:26" x14ac:dyDescent="0.3">
      <c r="A46" s="62">
        <v>18</v>
      </c>
      <c r="B46" s="62">
        <v>2.1806000000000001</v>
      </c>
      <c r="C46" s="62">
        <v>2.1806000000000001</v>
      </c>
      <c r="D46" s="62">
        <v>-3.2860999999999998</v>
      </c>
      <c r="E46" s="62">
        <v>-1.7082999999999999</v>
      </c>
      <c r="F46" s="62">
        <v>-1.7082999999999999</v>
      </c>
      <c r="G46" s="108">
        <v>-6.9638</v>
      </c>
      <c r="H46" s="108">
        <v>-6.9638</v>
      </c>
      <c r="J46" s="62">
        <v>18</v>
      </c>
      <c r="K46" s="62">
        <v>4.3516000000000004</v>
      </c>
      <c r="L46" s="62">
        <v>4.3516000000000004</v>
      </c>
      <c r="M46" s="62">
        <v>-6.6138000000000003</v>
      </c>
      <c r="N46" s="62">
        <v>-3.4266999999999999</v>
      </c>
      <c r="O46" s="62">
        <v>-3.4266999999999999</v>
      </c>
      <c r="P46" s="108">
        <v>-13.997999999999999</v>
      </c>
      <c r="Q46" s="108">
        <v>-13.997999999999999</v>
      </c>
      <c r="S46" s="62">
        <v>18</v>
      </c>
      <c r="T46" s="62">
        <v>5.0587999999999997</v>
      </c>
      <c r="U46" s="62">
        <v>5.0587999999999997</v>
      </c>
      <c r="V46" s="62">
        <v>-3.9220000000000002</v>
      </c>
      <c r="W46" s="62">
        <v>-2.8065000000000002</v>
      </c>
      <c r="X46" s="62">
        <v>-2.8065000000000002</v>
      </c>
      <c r="Y46" s="108">
        <v>-7.1353999999999997</v>
      </c>
      <c r="Z46" s="108">
        <v>-7.1353999999999997</v>
      </c>
    </row>
    <row r="47" spans="1:26" x14ac:dyDescent="0.3">
      <c r="A47" s="62">
        <v>19</v>
      </c>
      <c r="B47" s="62">
        <v>-1.6759999999999999</v>
      </c>
      <c r="C47" s="62">
        <v>2.2709999999999999</v>
      </c>
      <c r="D47" s="62">
        <v>2.2709999999999999</v>
      </c>
      <c r="E47" s="62">
        <v>1.2334000000000001</v>
      </c>
      <c r="F47" s="62">
        <v>1.2334000000000001</v>
      </c>
      <c r="G47" s="108">
        <v>-9.4361999999999995</v>
      </c>
      <c r="H47" s="108">
        <v>-9.4361999999999995</v>
      </c>
      <c r="J47" s="62">
        <v>19</v>
      </c>
      <c r="K47" s="62">
        <v>-3.4784999999999999</v>
      </c>
      <c r="L47" s="62">
        <v>4.9295</v>
      </c>
      <c r="M47" s="62">
        <v>4.9295</v>
      </c>
      <c r="N47" s="62">
        <v>2.6274999999999999</v>
      </c>
      <c r="O47" s="62">
        <v>2.6274999999999999</v>
      </c>
      <c r="P47" s="108">
        <v>-15.463200000000001</v>
      </c>
      <c r="Q47" s="108">
        <v>-15.463200000000001</v>
      </c>
      <c r="S47" s="62">
        <v>19</v>
      </c>
      <c r="T47" s="62">
        <v>-4.0914999999999999</v>
      </c>
      <c r="U47" s="62">
        <v>3.1762999999999999</v>
      </c>
      <c r="V47" s="62">
        <v>3.1762999999999999</v>
      </c>
      <c r="W47" s="62">
        <v>2.2711999999999999</v>
      </c>
      <c r="X47" s="62">
        <v>2.2711999999999999</v>
      </c>
      <c r="Y47" s="108">
        <v>-7.3646000000000003</v>
      </c>
      <c r="Z47" s="108">
        <v>-7.3646000000000003</v>
      </c>
    </row>
    <row r="48" spans="1:26" x14ac:dyDescent="0.3">
      <c r="A48" s="62">
        <v>20</v>
      </c>
      <c r="B48" s="62">
        <v>1.6759999999999999</v>
      </c>
      <c r="C48" s="62">
        <v>1.6759999999999999</v>
      </c>
      <c r="D48" s="62">
        <v>-2.2709999999999999</v>
      </c>
      <c r="E48" s="62">
        <v>-1.2334000000000001</v>
      </c>
      <c r="F48" s="62">
        <v>-1.2334000000000001</v>
      </c>
      <c r="G48" s="108">
        <v>-9.4361999999999995</v>
      </c>
      <c r="H48" s="108">
        <v>-9.4361999999999995</v>
      </c>
      <c r="J48" s="62">
        <v>20</v>
      </c>
      <c r="K48" s="62">
        <v>3.4849999999999999</v>
      </c>
      <c r="L48" s="62">
        <v>3.4849999999999999</v>
      </c>
      <c r="M48" s="62">
        <v>-4.9138999999999999</v>
      </c>
      <c r="N48" s="62">
        <v>-2.6246999999999998</v>
      </c>
      <c r="O48" s="62">
        <v>-2.6246999999999998</v>
      </c>
      <c r="P48" s="108">
        <v>-16.444400000000002</v>
      </c>
      <c r="Q48" s="108">
        <v>-16.444400000000002</v>
      </c>
      <c r="S48" s="62">
        <v>20</v>
      </c>
      <c r="T48" s="62">
        <v>4.0914999999999999</v>
      </c>
      <c r="U48" s="62">
        <v>4.0914999999999999</v>
      </c>
      <c r="V48" s="62">
        <v>-3.1762999999999999</v>
      </c>
      <c r="W48" s="62">
        <v>-2.2711999999999999</v>
      </c>
      <c r="X48" s="62">
        <v>-2.2711999999999999</v>
      </c>
      <c r="Y48" s="108">
        <v>-7.3646000000000003</v>
      </c>
      <c r="Z48" s="108">
        <v>-7.3646000000000003</v>
      </c>
    </row>
    <row r="49" spans="1:26" x14ac:dyDescent="0.3">
      <c r="A49" s="62">
        <v>21</v>
      </c>
      <c r="B49" s="62">
        <v>-2.1806000000000001</v>
      </c>
      <c r="C49" s="62">
        <v>3.2860999999999998</v>
      </c>
      <c r="D49" s="62">
        <v>3.2860999999999998</v>
      </c>
      <c r="E49" s="62">
        <v>1.7082999999999999</v>
      </c>
      <c r="F49" s="62">
        <v>1.7082999999999999</v>
      </c>
      <c r="G49" s="108">
        <v>-6.9638</v>
      </c>
      <c r="H49" s="108">
        <v>-6.9638</v>
      </c>
      <c r="J49" s="62">
        <v>21</v>
      </c>
      <c r="K49" s="62">
        <v>-4.3449999999999998</v>
      </c>
      <c r="L49" s="62">
        <v>6.6115000000000004</v>
      </c>
      <c r="M49" s="62">
        <v>6.6115000000000004</v>
      </c>
      <c r="N49" s="62">
        <v>3.4239000000000002</v>
      </c>
      <c r="O49" s="62">
        <v>3.4239000000000002</v>
      </c>
      <c r="P49" s="108">
        <v>-13.994400000000001</v>
      </c>
      <c r="Q49" s="108">
        <v>-13.994400000000001</v>
      </c>
      <c r="S49" s="62">
        <v>21</v>
      </c>
      <c r="T49" s="62">
        <v>-5.0587999999999997</v>
      </c>
      <c r="U49" s="62">
        <v>3.9220000000000002</v>
      </c>
      <c r="V49" s="62">
        <v>3.9220000000000002</v>
      </c>
      <c r="W49" s="62">
        <v>2.8065000000000002</v>
      </c>
      <c r="X49" s="62">
        <v>2.8065000000000002</v>
      </c>
      <c r="Y49" s="108">
        <v>-7.1353999999999997</v>
      </c>
      <c r="Z49" s="108">
        <v>-7.1353999999999997</v>
      </c>
    </row>
    <row r="50" spans="1:26" x14ac:dyDescent="0.3">
      <c r="A50" s="62"/>
      <c r="B50" s="62"/>
      <c r="C50" s="62"/>
      <c r="D50" s="62"/>
      <c r="E50" s="62"/>
      <c r="F50" s="62"/>
      <c r="G50" s="62"/>
      <c r="H50" s="62"/>
      <c r="J50" s="62"/>
      <c r="K50" s="62"/>
      <c r="L50" s="62"/>
      <c r="M50" s="62"/>
      <c r="N50" s="62"/>
      <c r="O50" s="62"/>
      <c r="P50" s="62"/>
      <c r="Q50" s="62"/>
      <c r="S50" s="62"/>
      <c r="T50" s="62"/>
      <c r="U50" s="62"/>
      <c r="V50" s="62"/>
      <c r="W50" s="62"/>
      <c r="X50" s="62"/>
      <c r="Y50" s="62"/>
      <c r="Z50" s="62"/>
    </row>
    <row r="51" spans="1:26" x14ac:dyDescent="0.3">
      <c r="A51" t="s">
        <v>17</v>
      </c>
      <c r="J51" t="s">
        <v>17</v>
      </c>
      <c r="S51" t="s">
        <v>17</v>
      </c>
    </row>
    <row r="52" spans="1:26" x14ac:dyDescent="0.3">
      <c r="A52" s="62" t="s">
        <v>0</v>
      </c>
      <c r="B52" s="62" t="s">
        <v>1</v>
      </c>
      <c r="C52" s="62" t="s">
        <v>2</v>
      </c>
      <c r="D52" s="62" t="s">
        <v>3</v>
      </c>
      <c r="E52" s="62" t="s">
        <v>4</v>
      </c>
      <c r="F52" s="62" t="s">
        <v>5</v>
      </c>
      <c r="G52" s="62" t="s">
        <v>6</v>
      </c>
      <c r="H52" s="62" t="s">
        <v>7</v>
      </c>
      <c r="J52" s="62" t="s">
        <v>0</v>
      </c>
      <c r="K52" s="62" t="s">
        <v>1</v>
      </c>
      <c r="L52" s="62" t="s">
        <v>2</v>
      </c>
      <c r="M52" s="62" t="s">
        <v>3</v>
      </c>
      <c r="N52" s="62" t="s">
        <v>4</v>
      </c>
      <c r="O52" s="62" t="s">
        <v>5</v>
      </c>
      <c r="P52" s="62" t="s">
        <v>6</v>
      </c>
      <c r="Q52" s="62" t="s">
        <v>7</v>
      </c>
      <c r="S52" s="62" t="s">
        <v>0</v>
      </c>
      <c r="T52" s="62" t="s">
        <v>1</v>
      </c>
      <c r="U52" s="62" t="s">
        <v>2</v>
      </c>
      <c r="V52" s="62" t="s">
        <v>3</v>
      </c>
      <c r="W52" s="62" t="s">
        <v>4</v>
      </c>
      <c r="X52" s="62" t="s">
        <v>5</v>
      </c>
      <c r="Y52" s="62" t="s">
        <v>6</v>
      </c>
      <c r="Z52" s="62" t="s">
        <v>7</v>
      </c>
    </row>
    <row r="53" spans="1:26" x14ac:dyDescent="0.3">
      <c r="A53" s="301">
        <v>1</v>
      </c>
      <c r="B53" s="301">
        <v>-13.4536</v>
      </c>
      <c r="C53" s="301">
        <v>8.3031000000000006</v>
      </c>
      <c r="D53" s="301">
        <v>-15.0985</v>
      </c>
      <c r="E53" s="301">
        <v>22.167999999999999</v>
      </c>
      <c r="F53" s="301">
        <v>-22.990400000000001</v>
      </c>
      <c r="G53" s="62">
        <v>-0.59309999999999996</v>
      </c>
      <c r="H53" s="62">
        <v>-0.59309999999999996</v>
      </c>
      <c r="J53" s="301">
        <v>1</v>
      </c>
      <c r="K53" s="301">
        <v>-0.8387</v>
      </c>
      <c r="L53" s="301">
        <v>0</v>
      </c>
      <c r="M53" s="301">
        <v>-0.2452</v>
      </c>
      <c r="N53" s="301">
        <v>0.1484</v>
      </c>
      <c r="O53" s="301">
        <v>0.1484</v>
      </c>
      <c r="P53" s="62">
        <v>6.7011000000000003</v>
      </c>
      <c r="Q53" s="62">
        <v>6.7011000000000003</v>
      </c>
      <c r="S53" s="301">
        <v>1</v>
      </c>
      <c r="T53" s="301">
        <v>-14.4414</v>
      </c>
      <c r="U53" s="301">
        <v>8.0442999999999998</v>
      </c>
      <c r="V53" s="301">
        <v>-14.628299999999999</v>
      </c>
      <c r="W53" s="301">
        <v>22.532499999999999</v>
      </c>
      <c r="X53" s="301">
        <v>-22.625900000000001</v>
      </c>
      <c r="Y53" s="62">
        <v>5.4332000000000003</v>
      </c>
      <c r="Z53" s="62">
        <v>5.4332000000000003</v>
      </c>
    </row>
    <row r="54" spans="1:26" x14ac:dyDescent="0.3">
      <c r="A54" s="301">
        <v>2</v>
      </c>
      <c r="B54" s="301">
        <v>-9.0431000000000008</v>
      </c>
      <c r="C54" s="301">
        <v>3.3386999999999998</v>
      </c>
      <c r="D54" s="301">
        <v>-9.0431000000000008</v>
      </c>
      <c r="E54" s="301">
        <v>24.7636</v>
      </c>
      <c r="F54" s="301">
        <v>-24.7636</v>
      </c>
      <c r="G54" s="62">
        <v>-1.6640999999999999</v>
      </c>
      <c r="H54" s="62">
        <v>-1.6640999999999999</v>
      </c>
      <c r="J54" s="301">
        <v>2</v>
      </c>
      <c r="K54" s="301">
        <v>-0.21049999999999999</v>
      </c>
      <c r="L54" s="301">
        <v>1.2483</v>
      </c>
      <c r="M54" s="301">
        <v>1.1871</v>
      </c>
      <c r="N54" s="301">
        <v>2.9788000000000001</v>
      </c>
      <c r="O54" s="301">
        <v>-6.1199999999999997E-2</v>
      </c>
      <c r="P54" s="62">
        <v>1.3551</v>
      </c>
      <c r="Q54" s="62">
        <v>1.3551</v>
      </c>
      <c r="S54" s="301">
        <v>2</v>
      </c>
      <c r="T54" s="301">
        <v>-4.6062000000000003</v>
      </c>
      <c r="U54" s="301">
        <v>1.0386</v>
      </c>
      <c r="V54" s="301">
        <v>-4.6062000000000003</v>
      </c>
      <c r="W54" s="301">
        <v>11.2896</v>
      </c>
      <c r="X54" s="301">
        <v>-11.2896</v>
      </c>
      <c r="Y54" s="62">
        <v>0.84640000000000004</v>
      </c>
      <c r="Z54" s="62">
        <v>0.84640000000000004</v>
      </c>
    </row>
    <row r="55" spans="1:26" x14ac:dyDescent="0.3">
      <c r="A55" s="301">
        <v>3</v>
      </c>
      <c r="B55" s="301">
        <v>-15.0985</v>
      </c>
      <c r="C55" s="301">
        <v>8.3031000000000006</v>
      </c>
      <c r="D55" s="301">
        <v>-13.4536</v>
      </c>
      <c r="E55" s="301">
        <v>22.990400000000001</v>
      </c>
      <c r="F55" s="301">
        <v>-22.167999999999999</v>
      </c>
      <c r="G55" s="62">
        <v>-0.59309999999999996</v>
      </c>
      <c r="H55" s="62">
        <v>-0.59309999999999996</v>
      </c>
      <c r="J55" s="301">
        <v>3</v>
      </c>
      <c r="K55" s="301">
        <v>-0.108</v>
      </c>
      <c r="L55" s="301">
        <v>0</v>
      </c>
      <c r="M55" s="301">
        <v>-1.2431000000000001</v>
      </c>
      <c r="N55" s="301">
        <v>-0.2838</v>
      </c>
      <c r="O55" s="301">
        <v>-0.2838</v>
      </c>
      <c r="P55" s="62">
        <v>8.8309999999999995</v>
      </c>
      <c r="Q55" s="62">
        <v>8.8309999999999995</v>
      </c>
      <c r="S55" s="301">
        <v>3</v>
      </c>
      <c r="T55" s="301">
        <v>-14.628299999999999</v>
      </c>
      <c r="U55" s="301">
        <v>8.0442999999999998</v>
      </c>
      <c r="V55" s="301">
        <v>-14.4414</v>
      </c>
      <c r="W55" s="301">
        <v>22.625900000000001</v>
      </c>
      <c r="X55" s="301">
        <v>-22.532499999999999</v>
      </c>
      <c r="Y55" s="62">
        <v>5.4332000000000003</v>
      </c>
      <c r="Z55" s="62">
        <v>5.4332000000000003</v>
      </c>
    </row>
    <row r="56" spans="1:26" x14ac:dyDescent="0.3">
      <c r="A56" s="370">
        <v>4</v>
      </c>
      <c r="B56" s="370">
        <v>-28.601199999999999</v>
      </c>
      <c r="C56" s="370">
        <v>19.049600000000002</v>
      </c>
      <c r="D56" s="370">
        <v>-30.224499999999999</v>
      </c>
      <c r="E56" s="370">
        <v>48.056600000000003</v>
      </c>
      <c r="F56" s="370">
        <v>-48.868200000000002</v>
      </c>
      <c r="G56" s="62">
        <v>7.8898000000000001</v>
      </c>
      <c r="H56" s="62">
        <v>7.8898000000000001</v>
      </c>
      <c r="J56" s="370">
        <v>4</v>
      </c>
      <c r="K56" s="370">
        <v>-30.2576</v>
      </c>
      <c r="L56" s="370">
        <v>20.7545</v>
      </c>
      <c r="M56" s="370">
        <v>-31.766100000000002</v>
      </c>
      <c r="N56" s="370">
        <v>51.389299999999999</v>
      </c>
      <c r="O56" s="370">
        <v>-52.143500000000003</v>
      </c>
      <c r="P56" s="62">
        <v>11.2813</v>
      </c>
      <c r="Q56" s="62">
        <v>11.2813</v>
      </c>
      <c r="S56" s="370">
        <v>4</v>
      </c>
      <c r="T56" s="370">
        <v>-45.713799999999999</v>
      </c>
      <c r="U56" s="370">
        <v>33.569299999999998</v>
      </c>
      <c r="V56" s="370">
        <v>-50.443600000000004</v>
      </c>
      <c r="W56" s="370">
        <v>80.465599999999995</v>
      </c>
      <c r="X56" s="370">
        <v>-82.830399999999997</v>
      </c>
      <c r="Y56" s="62">
        <v>7.2232000000000003</v>
      </c>
      <c r="Z56" s="62">
        <v>7.2232000000000003</v>
      </c>
    </row>
    <row r="57" spans="1:26" x14ac:dyDescent="0.3">
      <c r="A57" s="370">
        <v>5</v>
      </c>
      <c r="B57" s="370">
        <v>-11.9658</v>
      </c>
      <c r="C57" s="370">
        <v>0</v>
      </c>
      <c r="D57" s="370">
        <v>-11.9658</v>
      </c>
      <c r="E57" s="370">
        <v>21.723600000000001</v>
      </c>
      <c r="F57" s="370">
        <v>-21.723600000000001</v>
      </c>
      <c r="G57" s="62">
        <v>2.7502</v>
      </c>
      <c r="H57" s="62">
        <v>2.7502</v>
      </c>
      <c r="J57" s="370">
        <v>5</v>
      </c>
      <c r="K57" s="370">
        <v>-8.9835999999999991</v>
      </c>
      <c r="L57" s="370">
        <v>0</v>
      </c>
      <c r="M57" s="370">
        <v>-12.6816</v>
      </c>
      <c r="N57" s="370">
        <v>8.5850000000000009</v>
      </c>
      <c r="O57" s="370">
        <v>-12.282999999999999</v>
      </c>
      <c r="P57" s="62">
        <v>3.0804999999999998</v>
      </c>
      <c r="Q57" s="62">
        <v>3.0804999999999998</v>
      </c>
      <c r="S57" s="370">
        <v>5</v>
      </c>
      <c r="T57" s="370">
        <v>-16.989799999999999</v>
      </c>
      <c r="U57" s="370">
        <v>0</v>
      </c>
      <c r="V57" s="370">
        <v>-16.989799999999999</v>
      </c>
      <c r="W57" s="370">
        <v>18.602399999999999</v>
      </c>
      <c r="X57" s="370">
        <v>-18.602399999999999</v>
      </c>
      <c r="Y57" s="62">
        <v>2.1354000000000002</v>
      </c>
      <c r="Z57" s="62">
        <v>2.1354000000000002</v>
      </c>
    </row>
    <row r="58" spans="1:26" x14ac:dyDescent="0.3">
      <c r="A58" s="370">
        <v>6</v>
      </c>
      <c r="B58" s="370">
        <v>-30.224499999999999</v>
      </c>
      <c r="C58" s="370">
        <v>19.049600000000002</v>
      </c>
      <c r="D58" s="370">
        <v>-28.601199999999999</v>
      </c>
      <c r="E58" s="370">
        <v>48.868200000000002</v>
      </c>
      <c r="F58" s="370">
        <v>-48.056600000000003</v>
      </c>
      <c r="G58" s="62">
        <v>7.8898000000000001</v>
      </c>
      <c r="H58" s="62">
        <v>7.8898000000000001</v>
      </c>
      <c r="J58" s="370">
        <v>6</v>
      </c>
      <c r="K58" s="370">
        <v>-41.528100000000002</v>
      </c>
      <c r="L58" s="370">
        <v>27.222899999999999</v>
      </c>
      <c r="M58" s="370">
        <v>-37.664499999999997</v>
      </c>
      <c r="N58" s="370">
        <v>67.7851</v>
      </c>
      <c r="O58" s="370">
        <v>-65.853300000000004</v>
      </c>
      <c r="P58" s="62">
        <v>11.1432</v>
      </c>
      <c r="Q58" s="62">
        <v>11.1432</v>
      </c>
      <c r="S58" s="370">
        <v>6</v>
      </c>
      <c r="T58" s="370">
        <v>-50.443600000000004</v>
      </c>
      <c r="U58" s="370">
        <v>33.569299999999998</v>
      </c>
      <c r="V58" s="370">
        <v>-45.713799999999999</v>
      </c>
      <c r="W58" s="370">
        <v>82.830399999999997</v>
      </c>
      <c r="X58" s="370">
        <v>-80.465599999999995</v>
      </c>
      <c r="Y58" s="62">
        <v>7.2232000000000003</v>
      </c>
      <c r="Z58" s="62">
        <v>7.2232000000000003</v>
      </c>
    </row>
    <row r="59" spans="1:26" x14ac:dyDescent="0.3">
      <c r="A59" s="108">
        <v>7</v>
      </c>
      <c r="B59" s="108">
        <v>-24.375800000000002</v>
      </c>
      <c r="C59" s="108">
        <v>23.962800000000001</v>
      </c>
      <c r="D59" s="108">
        <v>-32.623399999999997</v>
      </c>
      <c r="E59" s="108">
        <v>50.400500000000001</v>
      </c>
      <c r="F59" s="108">
        <v>-54.524299999999997</v>
      </c>
      <c r="G59" s="62">
        <v>-13.3713</v>
      </c>
      <c r="H59" s="62">
        <v>-13.3713</v>
      </c>
      <c r="J59" s="108">
        <v>7</v>
      </c>
      <c r="K59" s="108">
        <v>-27.940100000000001</v>
      </c>
      <c r="L59" s="108">
        <v>27.838699999999999</v>
      </c>
      <c r="M59" s="108">
        <v>-35.915399999999998</v>
      </c>
      <c r="N59" s="108">
        <v>57.772599999999997</v>
      </c>
      <c r="O59" s="108">
        <v>-61.760199999999998</v>
      </c>
      <c r="P59" s="62">
        <v>-15.3063</v>
      </c>
      <c r="Q59" s="62">
        <v>-15.3063</v>
      </c>
      <c r="S59" s="108">
        <v>7</v>
      </c>
      <c r="T59" s="108">
        <v>-26.284199999999998</v>
      </c>
      <c r="U59" s="108">
        <v>23.3779</v>
      </c>
      <c r="V59" s="108">
        <v>-31.884899999999998</v>
      </c>
      <c r="W59" s="108">
        <v>51.062199999999997</v>
      </c>
      <c r="X59" s="108">
        <v>-53.8626</v>
      </c>
      <c r="Y59" s="62">
        <v>-16.5352</v>
      </c>
      <c r="Z59" s="62">
        <v>-16.5352</v>
      </c>
    </row>
    <row r="60" spans="1:26" x14ac:dyDescent="0.3">
      <c r="A60" s="108">
        <v>8</v>
      </c>
      <c r="B60" s="108">
        <v>-17.7576</v>
      </c>
      <c r="C60" s="108">
        <v>0</v>
      </c>
      <c r="D60" s="108">
        <v>-17.7576</v>
      </c>
      <c r="E60" s="108">
        <v>24.7636</v>
      </c>
      <c r="F60" s="108">
        <v>-24.7636</v>
      </c>
      <c r="G60" s="62">
        <v>-5.0134999999999996</v>
      </c>
      <c r="H60" s="62">
        <v>-5.0134999999999996</v>
      </c>
      <c r="J60" s="108">
        <v>8</v>
      </c>
      <c r="K60" s="108">
        <v>-15.9925</v>
      </c>
      <c r="L60" s="108">
        <v>0</v>
      </c>
      <c r="M60" s="108">
        <v>-14.1813</v>
      </c>
      <c r="N60" s="108">
        <v>4.2740999999999998</v>
      </c>
      <c r="O60" s="108">
        <v>-9.1998999999999995</v>
      </c>
      <c r="P60" s="62">
        <v>-4.1494</v>
      </c>
      <c r="Q60" s="62">
        <v>-4.1494</v>
      </c>
      <c r="S60" s="108">
        <v>8</v>
      </c>
      <c r="T60" s="108">
        <v>-13.2516</v>
      </c>
      <c r="U60" s="108">
        <v>0</v>
      </c>
      <c r="V60" s="108">
        <v>-13.2516</v>
      </c>
      <c r="W60" s="108">
        <v>11.2896</v>
      </c>
      <c r="X60" s="108">
        <v>-11.2896</v>
      </c>
      <c r="Y60" s="62">
        <v>-4.6353</v>
      </c>
      <c r="Z60" s="62">
        <v>-4.6353</v>
      </c>
    </row>
    <row r="61" spans="1:26" x14ac:dyDescent="0.3">
      <c r="A61" s="108">
        <v>9</v>
      </c>
      <c r="B61" s="108">
        <v>-32.623399999999997</v>
      </c>
      <c r="C61" s="108">
        <v>23.962800000000001</v>
      </c>
      <c r="D61" s="108">
        <v>-24.375800000000002</v>
      </c>
      <c r="E61" s="108">
        <v>54.524299999999997</v>
      </c>
      <c r="F61" s="108">
        <v>-50.400500000000001</v>
      </c>
      <c r="G61" s="62">
        <v>-13.3713</v>
      </c>
      <c r="H61" s="62">
        <v>-13.3713</v>
      </c>
      <c r="J61" s="108">
        <v>9</v>
      </c>
      <c r="K61" s="108">
        <v>-35.618299999999998</v>
      </c>
      <c r="L61" s="108">
        <v>27.5825</v>
      </c>
      <c r="M61" s="108">
        <v>-28.749600000000001</v>
      </c>
      <c r="N61" s="108">
        <v>61.483600000000003</v>
      </c>
      <c r="O61" s="108">
        <v>-58.049199999999999</v>
      </c>
      <c r="P61" s="62">
        <v>-16.699200000000001</v>
      </c>
      <c r="Q61" s="62">
        <v>-16.699200000000001</v>
      </c>
      <c r="S61" s="108">
        <v>9</v>
      </c>
      <c r="T61" s="108">
        <v>-31.884899999999998</v>
      </c>
      <c r="U61" s="108">
        <v>23.3779</v>
      </c>
      <c r="V61" s="108">
        <v>-26.284199999999998</v>
      </c>
      <c r="W61" s="108">
        <v>53.8626</v>
      </c>
      <c r="X61" s="108">
        <v>-51.062199999999997</v>
      </c>
      <c r="Y61" s="62">
        <v>-16.5352</v>
      </c>
      <c r="Z61" s="62">
        <v>-16.5352</v>
      </c>
    </row>
    <row r="62" spans="1:26" x14ac:dyDescent="0.3">
      <c r="A62" s="62">
        <v>10</v>
      </c>
      <c r="B62" s="62">
        <v>3.0104000000000002</v>
      </c>
      <c r="C62" s="62">
        <v>3.0104000000000002</v>
      </c>
      <c r="D62" s="62">
        <v>-6.1014999999999997</v>
      </c>
      <c r="E62" s="62">
        <v>-6.0746000000000002</v>
      </c>
      <c r="F62" s="62">
        <v>-6.0746000000000002</v>
      </c>
      <c r="G62" s="301">
        <v>-120.6251</v>
      </c>
      <c r="H62" s="301">
        <v>-120.6251</v>
      </c>
      <c r="J62" s="62">
        <v>10</v>
      </c>
      <c r="K62" s="62">
        <v>-1.1906000000000001</v>
      </c>
      <c r="L62" s="62">
        <v>2.8235999999999999</v>
      </c>
      <c r="M62" s="62">
        <v>2.8235999999999999</v>
      </c>
      <c r="N62" s="62">
        <v>2.6762000000000001</v>
      </c>
      <c r="O62" s="62">
        <v>2.6762000000000001</v>
      </c>
      <c r="P62" s="301">
        <v>-109.31019999999999</v>
      </c>
      <c r="Q62" s="301">
        <v>-109.31019999999999</v>
      </c>
      <c r="S62" s="62">
        <v>10</v>
      </c>
      <c r="T62" s="62">
        <v>2.0899000000000001</v>
      </c>
      <c r="U62" s="62">
        <v>2.0899000000000001</v>
      </c>
      <c r="V62" s="62">
        <v>-3.7282999999999999</v>
      </c>
      <c r="W62" s="62">
        <v>-3.8788</v>
      </c>
      <c r="X62" s="62">
        <v>-3.8788</v>
      </c>
      <c r="Y62" s="301">
        <v>-154.06030000000001</v>
      </c>
      <c r="Z62" s="301">
        <v>-154.06030000000001</v>
      </c>
    </row>
    <row r="63" spans="1:26" x14ac:dyDescent="0.3">
      <c r="A63" s="62">
        <v>11</v>
      </c>
      <c r="B63" s="62">
        <v>-1.0847</v>
      </c>
      <c r="C63" s="62">
        <v>2.1362000000000001</v>
      </c>
      <c r="D63" s="62">
        <v>2.1362000000000001</v>
      </c>
      <c r="E63" s="62">
        <v>2.1473</v>
      </c>
      <c r="F63" s="62">
        <v>2.1473</v>
      </c>
      <c r="G63" s="301">
        <v>-197.6337</v>
      </c>
      <c r="H63" s="301">
        <v>-197.6337</v>
      </c>
      <c r="J63" s="62">
        <v>11</v>
      </c>
      <c r="K63" s="62">
        <v>1.1637999999999999</v>
      </c>
      <c r="L63" s="62">
        <v>1.1637999999999999</v>
      </c>
      <c r="M63" s="62">
        <v>-2.4213</v>
      </c>
      <c r="N63" s="62">
        <v>-2.39</v>
      </c>
      <c r="O63" s="62">
        <v>-2.39</v>
      </c>
      <c r="P63" s="301">
        <v>-129.5933</v>
      </c>
      <c r="Q63" s="301">
        <v>-129.5933</v>
      </c>
      <c r="S63" s="62">
        <v>11</v>
      </c>
      <c r="T63" s="62">
        <v>-1.107</v>
      </c>
      <c r="U63" s="62">
        <v>2.2309999999999999</v>
      </c>
      <c r="V63" s="62">
        <v>2.2309999999999999</v>
      </c>
      <c r="W63" s="62">
        <v>2.2252999999999998</v>
      </c>
      <c r="X63" s="62">
        <v>2.2252999999999998</v>
      </c>
      <c r="Y63" s="301">
        <v>-200.50059999999999</v>
      </c>
      <c r="Z63" s="301">
        <v>-200.50059999999999</v>
      </c>
    </row>
    <row r="64" spans="1:26" x14ac:dyDescent="0.3">
      <c r="A64" s="62">
        <v>12</v>
      </c>
      <c r="B64" s="62">
        <v>1.0847</v>
      </c>
      <c r="C64" s="62">
        <v>1.0847</v>
      </c>
      <c r="D64" s="62">
        <v>-2.1362000000000001</v>
      </c>
      <c r="E64" s="62">
        <v>-2.1473</v>
      </c>
      <c r="F64" s="62">
        <v>-2.1473</v>
      </c>
      <c r="G64" s="301">
        <v>-197.6337</v>
      </c>
      <c r="H64" s="301">
        <v>-197.6337</v>
      </c>
      <c r="J64" s="62">
        <v>12</v>
      </c>
      <c r="K64" s="62">
        <v>-1.5437000000000001</v>
      </c>
      <c r="L64" s="62">
        <v>2.9394999999999998</v>
      </c>
      <c r="M64" s="62">
        <v>2.9394999999999998</v>
      </c>
      <c r="N64" s="62">
        <v>2.9887999999999999</v>
      </c>
      <c r="O64" s="62">
        <v>2.9887999999999999</v>
      </c>
      <c r="P64" s="301">
        <v>-150.529</v>
      </c>
      <c r="Q64" s="301">
        <v>-150.529</v>
      </c>
      <c r="S64" s="62">
        <v>12</v>
      </c>
      <c r="T64" s="62">
        <v>1.107</v>
      </c>
      <c r="U64" s="62">
        <v>1.107</v>
      </c>
      <c r="V64" s="62">
        <v>-2.2309999999999999</v>
      </c>
      <c r="W64" s="62">
        <v>-2.2252999999999998</v>
      </c>
      <c r="X64" s="62">
        <v>-2.2252999999999998</v>
      </c>
      <c r="Y64" s="301">
        <v>-200.50059999999999</v>
      </c>
      <c r="Z64" s="301">
        <v>-200.50059999999999</v>
      </c>
    </row>
    <row r="65" spans="1:26" x14ac:dyDescent="0.3">
      <c r="A65" s="62">
        <v>13</v>
      </c>
      <c r="B65" s="62">
        <v>-3.0104000000000002</v>
      </c>
      <c r="C65" s="62">
        <v>6.1014999999999997</v>
      </c>
      <c r="D65" s="62">
        <v>6.1014999999999997</v>
      </c>
      <c r="E65" s="62">
        <v>6.0746000000000002</v>
      </c>
      <c r="F65" s="62">
        <v>6.0746000000000002</v>
      </c>
      <c r="G65" s="301">
        <v>-120.6251</v>
      </c>
      <c r="H65" s="301">
        <v>-120.6251</v>
      </c>
      <c r="J65" s="62">
        <v>13</v>
      </c>
      <c r="K65" s="62">
        <v>1.3527</v>
      </c>
      <c r="L65" s="62">
        <v>1.3527</v>
      </c>
      <c r="M65" s="62">
        <v>-3.5598000000000001</v>
      </c>
      <c r="N65" s="62">
        <v>-3.2749999999999999</v>
      </c>
      <c r="O65" s="62">
        <v>-3.2749999999999999</v>
      </c>
      <c r="P65" s="301">
        <v>-124.1863</v>
      </c>
      <c r="Q65" s="301">
        <v>-124.1863</v>
      </c>
      <c r="S65" s="62">
        <v>13</v>
      </c>
      <c r="T65" s="62">
        <v>-2.0899000000000001</v>
      </c>
      <c r="U65" s="62">
        <v>3.7282999999999999</v>
      </c>
      <c r="V65" s="62">
        <v>3.7282999999999999</v>
      </c>
      <c r="W65" s="62">
        <v>3.8788</v>
      </c>
      <c r="X65" s="62">
        <v>3.8788</v>
      </c>
      <c r="Y65" s="301">
        <v>-154.06030000000001</v>
      </c>
      <c r="Z65" s="301">
        <v>-154.06030000000001</v>
      </c>
    </row>
    <row r="66" spans="1:26" x14ac:dyDescent="0.3">
      <c r="A66" s="62">
        <v>14</v>
      </c>
      <c r="B66" s="62">
        <v>7.3521000000000001</v>
      </c>
      <c r="C66" s="62">
        <v>7.3521000000000001</v>
      </c>
      <c r="D66" s="62">
        <v>-10.188800000000001</v>
      </c>
      <c r="E66" s="62">
        <v>-5.4814999999999996</v>
      </c>
      <c r="F66" s="62">
        <v>-5.4814999999999996</v>
      </c>
      <c r="G66" s="370">
        <v>-98.457099999999997</v>
      </c>
      <c r="H66" s="370">
        <v>-98.457099999999997</v>
      </c>
      <c r="J66" s="62">
        <v>14</v>
      </c>
      <c r="K66" s="62">
        <v>3.6623000000000001</v>
      </c>
      <c r="L66" s="62">
        <v>3.6623000000000001</v>
      </c>
      <c r="M66" s="62">
        <v>-9.2174999999999994</v>
      </c>
      <c r="N66" s="62">
        <v>-4.0250000000000004</v>
      </c>
      <c r="O66" s="62">
        <v>-4.0250000000000004</v>
      </c>
      <c r="P66" s="370">
        <v>-109.1619</v>
      </c>
      <c r="Q66" s="370">
        <v>-109.1619</v>
      </c>
      <c r="S66" s="62">
        <v>14</v>
      </c>
      <c r="T66" s="62">
        <v>10.713200000000001</v>
      </c>
      <c r="U66" s="62">
        <v>10.713200000000001</v>
      </c>
      <c r="V66" s="62">
        <v>-19.0853</v>
      </c>
      <c r="W66" s="62">
        <v>-9.3119999999999994</v>
      </c>
      <c r="X66" s="62">
        <v>-9.3119999999999994</v>
      </c>
      <c r="Y66" s="370">
        <v>-131.52780000000001</v>
      </c>
      <c r="Z66" s="370">
        <v>-131.52780000000001</v>
      </c>
    </row>
    <row r="67" spans="1:26" x14ac:dyDescent="0.3">
      <c r="A67" s="62">
        <v>15</v>
      </c>
      <c r="B67" s="62">
        <v>-3.9192</v>
      </c>
      <c r="C67" s="62">
        <v>6.3792999999999997</v>
      </c>
      <c r="D67" s="62">
        <v>6.3792999999999997</v>
      </c>
      <c r="E67" s="62">
        <v>3.2183000000000002</v>
      </c>
      <c r="F67" s="62">
        <v>3.2183000000000002</v>
      </c>
      <c r="G67" s="370">
        <v>-149.87970000000001</v>
      </c>
      <c r="H67" s="370">
        <v>-149.87970000000001</v>
      </c>
      <c r="J67" s="62">
        <v>15</v>
      </c>
      <c r="K67" s="62">
        <v>-2.456</v>
      </c>
      <c r="L67" s="62">
        <v>7.0033000000000003</v>
      </c>
      <c r="M67" s="62">
        <v>7.0033000000000003</v>
      </c>
      <c r="N67" s="62">
        <v>2.956</v>
      </c>
      <c r="O67" s="62">
        <v>2.956</v>
      </c>
      <c r="P67" s="370">
        <v>-126.7629</v>
      </c>
      <c r="Q67" s="370">
        <v>-126.7629</v>
      </c>
      <c r="S67" s="62">
        <v>15</v>
      </c>
      <c r="T67" s="62">
        <v>-7.7911999999999999</v>
      </c>
      <c r="U67" s="62">
        <v>14.0075</v>
      </c>
      <c r="V67" s="62">
        <v>14.0075</v>
      </c>
      <c r="W67" s="62">
        <v>6.8121</v>
      </c>
      <c r="X67" s="62">
        <v>6.8121</v>
      </c>
      <c r="Y67" s="370">
        <v>-166.58500000000001</v>
      </c>
      <c r="Z67" s="370">
        <v>-166.58500000000001</v>
      </c>
    </row>
    <row r="68" spans="1:26" x14ac:dyDescent="0.3">
      <c r="A68" s="62">
        <v>16</v>
      </c>
      <c r="B68" s="62">
        <v>3.9192</v>
      </c>
      <c r="C68" s="62">
        <v>3.9192</v>
      </c>
      <c r="D68" s="62">
        <v>-6.3792999999999997</v>
      </c>
      <c r="E68" s="62">
        <v>-3.2183000000000002</v>
      </c>
      <c r="F68" s="62">
        <v>-3.2183000000000002</v>
      </c>
      <c r="G68" s="370">
        <v>-149.87970000000001</v>
      </c>
      <c r="H68" s="370">
        <v>-149.87970000000001</v>
      </c>
      <c r="J68" s="62">
        <v>16</v>
      </c>
      <c r="K68" s="62">
        <v>4.2346000000000004</v>
      </c>
      <c r="L68" s="62">
        <v>4.2346000000000004</v>
      </c>
      <c r="M68" s="62">
        <v>-10.1242</v>
      </c>
      <c r="N68" s="62">
        <v>-4.4870999999999999</v>
      </c>
      <c r="O68" s="62">
        <v>-4.4870999999999999</v>
      </c>
      <c r="P68" s="370">
        <v>-150.75149999999999</v>
      </c>
      <c r="Q68" s="370">
        <v>-150.75149999999999</v>
      </c>
      <c r="S68" s="62">
        <v>16</v>
      </c>
      <c r="T68" s="62">
        <v>7.7911999999999999</v>
      </c>
      <c r="U68" s="62">
        <v>7.7911999999999999</v>
      </c>
      <c r="V68" s="62">
        <v>-14.0075</v>
      </c>
      <c r="W68" s="62">
        <v>-6.8121</v>
      </c>
      <c r="X68" s="62">
        <v>-6.8121</v>
      </c>
      <c r="Y68" s="370">
        <v>-166.58500000000001</v>
      </c>
      <c r="Z68" s="370">
        <v>-166.58500000000001</v>
      </c>
    </row>
    <row r="69" spans="1:26" x14ac:dyDescent="0.3">
      <c r="A69" s="62">
        <v>17</v>
      </c>
      <c r="B69" s="62">
        <v>-7.3521000000000001</v>
      </c>
      <c r="C69" s="62">
        <v>10.188800000000001</v>
      </c>
      <c r="D69" s="62">
        <v>10.188800000000001</v>
      </c>
      <c r="E69" s="62">
        <v>5.4814999999999996</v>
      </c>
      <c r="F69" s="62">
        <v>5.4814999999999996</v>
      </c>
      <c r="G69" s="370">
        <v>-98.457099999999997</v>
      </c>
      <c r="H69" s="370">
        <v>-98.457099999999997</v>
      </c>
      <c r="J69" s="62">
        <v>17</v>
      </c>
      <c r="K69" s="62">
        <v>-4.8028000000000004</v>
      </c>
      <c r="L69" s="62">
        <v>12.976599999999999</v>
      </c>
      <c r="M69" s="62">
        <v>12.976599999999999</v>
      </c>
      <c r="N69" s="62">
        <v>5.5560999999999998</v>
      </c>
      <c r="O69" s="62">
        <v>5.5560999999999998</v>
      </c>
      <c r="P69" s="370">
        <v>-123.9025</v>
      </c>
      <c r="Q69" s="370">
        <v>-123.9025</v>
      </c>
      <c r="S69" s="62">
        <v>17</v>
      </c>
      <c r="T69" s="62">
        <v>-10.713200000000001</v>
      </c>
      <c r="U69" s="62">
        <v>19.0853</v>
      </c>
      <c r="V69" s="62">
        <v>19.0853</v>
      </c>
      <c r="W69" s="62">
        <v>9.3119999999999994</v>
      </c>
      <c r="X69" s="62">
        <v>9.3119999999999994</v>
      </c>
      <c r="Y69" s="370">
        <v>-131.52780000000001</v>
      </c>
      <c r="Z69" s="370">
        <v>-131.52780000000001</v>
      </c>
    </row>
    <row r="70" spans="1:26" x14ac:dyDescent="0.3">
      <c r="A70" s="62">
        <v>18</v>
      </c>
      <c r="B70" s="62">
        <v>18.412400000000002</v>
      </c>
      <c r="C70" s="62">
        <v>18.412400000000002</v>
      </c>
      <c r="D70" s="62">
        <v>-24.375800000000002</v>
      </c>
      <c r="E70" s="62">
        <v>-13.3713</v>
      </c>
      <c r="F70" s="62">
        <v>-13.3713</v>
      </c>
      <c r="G70" s="108">
        <v>-50.400500000000001</v>
      </c>
      <c r="H70" s="108">
        <v>-50.400500000000001</v>
      </c>
      <c r="J70" s="62">
        <v>18</v>
      </c>
      <c r="K70" s="62">
        <v>21.040099999999999</v>
      </c>
      <c r="L70" s="62">
        <v>21.040099999999999</v>
      </c>
      <c r="M70" s="62">
        <v>-27.940100000000001</v>
      </c>
      <c r="N70" s="62">
        <v>-15.3063</v>
      </c>
      <c r="O70" s="62">
        <v>-15.3063</v>
      </c>
      <c r="P70" s="108">
        <v>-57.772599999999997</v>
      </c>
      <c r="Q70" s="108">
        <v>-57.772599999999997</v>
      </c>
      <c r="S70" s="62">
        <v>18</v>
      </c>
      <c r="T70" s="62">
        <v>26.628499999999999</v>
      </c>
      <c r="U70" s="62">
        <v>26.628499999999999</v>
      </c>
      <c r="V70" s="62">
        <v>-26.284199999999998</v>
      </c>
      <c r="W70" s="62">
        <v>-16.5352</v>
      </c>
      <c r="X70" s="62">
        <v>-16.5352</v>
      </c>
      <c r="Y70" s="108">
        <v>-51.062199999999997</v>
      </c>
      <c r="Z70" s="108">
        <v>-51.062199999999997</v>
      </c>
    </row>
    <row r="71" spans="1:26" x14ac:dyDescent="0.3">
      <c r="A71" s="62">
        <v>19</v>
      </c>
      <c r="B71" s="62">
        <v>-11.879300000000001</v>
      </c>
      <c r="C71" s="62">
        <v>14.8658</v>
      </c>
      <c r="D71" s="62">
        <v>14.8658</v>
      </c>
      <c r="E71" s="62">
        <v>8.3579000000000008</v>
      </c>
      <c r="F71" s="62">
        <v>8.3579000000000008</v>
      </c>
      <c r="G71" s="108">
        <v>-79.287899999999993</v>
      </c>
      <c r="H71" s="108">
        <v>-79.287899999999993</v>
      </c>
      <c r="J71" s="62">
        <v>19</v>
      </c>
      <c r="K71" s="62">
        <v>-15.779199999999999</v>
      </c>
      <c r="L71" s="62">
        <v>19.922799999999999</v>
      </c>
      <c r="M71" s="62">
        <v>19.922799999999999</v>
      </c>
      <c r="N71" s="62">
        <v>11.1569</v>
      </c>
      <c r="O71" s="62">
        <v>11.1569</v>
      </c>
      <c r="P71" s="108">
        <v>-66.034400000000005</v>
      </c>
      <c r="Q71" s="108">
        <v>-66.034400000000005</v>
      </c>
      <c r="S71" s="62">
        <v>19</v>
      </c>
      <c r="T71" s="62">
        <v>-19.446300000000001</v>
      </c>
      <c r="U71" s="62">
        <v>18.633400000000002</v>
      </c>
      <c r="V71" s="62">
        <v>18.633400000000002</v>
      </c>
      <c r="W71" s="62">
        <v>11.899900000000001</v>
      </c>
      <c r="X71" s="62">
        <v>11.899900000000001</v>
      </c>
      <c r="Y71" s="108">
        <v>-65.152199999999993</v>
      </c>
      <c r="Z71" s="108">
        <v>-65.152199999999993</v>
      </c>
    </row>
    <row r="72" spans="1:26" x14ac:dyDescent="0.3">
      <c r="A72" s="62">
        <v>20</v>
      </c>
      <c r="B72" s="62">
        <v>11.879300000000001</v>
      </c>
      <c r="C72" s="62">
        <v>11.879300000000001</v>
      </c>
      <c r="D72" s="62">
        <v>-14.8658</v>
      </c>
      <c r="E72" s="62">
        <v>-8.3579000000000008</v>
      </c>
      <c r="F72" s="62">
        <v>-8.3579000000000008</v>
      </c>
      <c r="G72" s="108">
        <v>-79.287899999999993</v>
      </c>
      <c r="H72" s="108">
        <v>-79.287899999999993</v>
      </c>
      <c r="J72" s="62">
        <v>20</v>
      </c>
      <c r="K72" s="62">
        <v>18.7224</v>
      </c>
      <c r="L72" s="62">
        <v>18.7224</v>
      </c>
      <c r="M72" s="62">
        <v>-21.437100000000001</v>
      </c>
      <c r="N72" s="62">
        <v>-12.549799999999999</v>
      </c>
      <c r="O72" s="62">
        <v>-12.549799999999999</v>
      </c>
      <c r="P72" s="108">
        <v>-70.683400000000006</v>
      </c>
      <c r="Q72" s="108">
        <v>-70.683400000000006</v>
      </c>
      <c r="S72" s="62">
        <v>20</v>
      </c>
      <c r="T72" s="62">
        <v>19.446300000000001</v>
      </c>
      <c r="U72" s="62">
        <v>19.446300000000001</v>
      </c>
      <c r="V72" s="62">
        <v>-18.633400000000002</v>
      </c>
      <c r="W72" s="62">
        <v>-11.899900000000001</v>
      </c>
      <c r="X72" s="62">
        <v>-11.899900000000001</v>
      </c>
      <c r="Y72" s="108">
        <v>-65.152199999999993</v>
      </c>
      <c r="Z72" s="108">
        <v>-65.152199999999993</v>
      </c>
    </row>
    <row r="73" spans="1:26" x14ac:dyDescent="0.3">
      <c r="A73" s="62">
        <v>21</v>
      </c>
      <c r="B73" s="62">
        <v>-18.412400000000002</v>
      </c>
      <c r="C73" s="62">
        <v>24.375800000000002</v>
      </c>
      <c r="D73" s="62">
        <v>24.375800000000002</v>
      </c>
      <c r="E73" s="62">
        <v>13.3713</v>
      </c>
      <c r="F73" s="62">
        <v>13.3713</v>
      </c>
      <c r="G73" s="108">
        <v>-50.400500000000001</v>
      </c>
      <c r="H73" s="108">
        <v>-50.400500000000001</v>
      </c>
      <c r="J73" s="62">
        <v>21</v>
      </c>
      <c r="K73" s="62">
        <v>-24.687999999999999</v>
      </c>
      <c r="L73" s="62">
        <v>28.749600000000001</v>
      </c>
      <c r="M73" s="62">
        <v>28.749600000000001</v>
      </c>
      <c r="N73" s="62">
        <v>16.699200000000001</v>
      </c>
      <c r="O73" s="62">
        <v>16.699200000000001</v>
      </c>
      <c r="P73" s="108">
        <v>-58.049199999999999</v>
      </c>
      <c r="Q73" s="108">
        <v>-58.049199999999999</v>
      </c>
      <c r="S73" s="62">
        <v>21</v>
      </c>
      <c r="T73" s="62">
        <v>-26.628499999999999</v>
      </c>
      <c r="U73" s="62">
        <v>26.284199999999998</v>
      </c>
      <c r="V73" s="62">
        <v>26.284199999999998</v>
      </c>
      <c r="W73" s="62">
        <v>16.5352</v>
      </c>
      <c r="X73" s="62">
        <v>16.5352</v>
      </c>
      <c r="Y73" s="108">
        <v>-51.062199999999997</v>
      </c>
      <c r="Z73" s="108">
        <v>-51.062199999999997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D110"/>
  <sheetViews>
    <sheetView showGridLines="0" zoomScale="115" zoomScaleNormal="115" workbookViewId="0">
      <selection activeCell="B15" sqref="B1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346</v>
      </c>
      <c r="R1" t="s">
        <v>183</v>
      </c>
    </row>
    <row r="2" spans="1:30" x14ac:dyDescent="0.3">
      <c r="A2" s="1">
        <v>1</v>
      </c>
      <c r="B2" s="1">
        <v>-5.3490000000000002</v>
      </c>
      <c r="C2" s="1">
        <v>3.3029999999999999</v>
      </c>
      <c r="D2" s="1">
        <v>-5.6887999999999996</v>
      </c>
      <c r="E2" s="1">
        <v>13.979100000000001</v>
      </c>
      <c r="F2" s="1">
        <v>-14.2509</v>
      </c>
      <c r="G2" s="1">
        <v>-0.1842</v>
      </c>
      <c r="H2" s="1">
        <v>-0.1842</v>
      </c>
      <c r="R2" t="s">
        <v>0</v>
      </c>
      <c r="S2" t="s">
        <v>1</v>
      </c>
      <c r="T2" t="s">
        <v>2</v>
      </c>
      <c r="U2" t="s">
        <v>3</v>
      </c>
      <c r="V2" t="s">
        <v>4</v>
      </c>
      <c r="W2" t="s">
        <v>5</v>
      </c>
      <c r="X2" t="s">
        <v>6</v>
      </c>
      <c r="Y2" t="s">
        <v>7</v>
      </c>
    </row>
    <row r="3" spans="1:30" x14ac:dyDescent="0.3">
      <c r="A3" s="1">
        <v>2</v>
      </c>
      <c r="B3" s="1">
        <v>-5.6887999999999996</v>
      </c>
      <c r="C3" s="1">
        <v>3.3029999999999999</v>
      </c>
      <c r="D3" s="1">
        <v>-5.3490000000000002</v>
      </c>
      <c r="E3" s="1">
        <v>14.2509</v>
      </c>
      <c r="F3" s="1">
        <v>-13.979100000000001</v>
      </c>
      <c r="G3" s="1">
        <v>-0.1842</v>
      </c>
      <c r="H3" s="1">
        <v>-0.1842</v>
      </c>
      <c r="R3">
        <v>1</v>
      </c>
      <c r="S3">
        <v>-0.17030000000000001</v>
      </c>
      <c r="T3">
        <v>0.1424</v>
      </c>
      <c r="U3">
        <v>0.1424</v>
      </c>
      <c r="V3">
        <v>0.12509999999999999</v>
      </c>
      <c r="W3">
        <v>0.12509999999999999</v>
      </c>
      <c r="X3">
        <v>0.32300000000000001</v>
      </c>
      <c r="Y3">
        <v>0.32300000000000001</v>
      </c>
    </row>
    <row r="4" spans="1:30" x14ac:dyDescent="0.3">
      <c r="A4" s="2">
        <v>3</v>
      </c>
      <c r="B4" s="2">
        <v>-10.8376</v>
      </c>
      <c r="C4" s="2">
        <v>7.5707000000000004</v>
      </c>
      <c r="D4" s="2">
        <v>-12.6023</v>
      </c>
      <c r="E4" s="2">
        <v>30.159099999999999</v>
      </c>
      <c r="F4" s="2">
        <v>-31.570900000000002</v>
      </c>
      <c r="G4" s="2">
        <v>2.3961000000000001</v>
      </c>
      <c r="H4" s="2">
        <v>2.3961000000000001</v>
      </c>
      <c r="R4">
        <v>2</v>
      </c>
      <c r="S4">
        <v>0.1424</v>
      </c>
      <c r="T4">
        <v>0.1424</v>
      </c>
      <c r="U4">
        <v>-0.17030000000000001</v>
      </c>
      <c r="V4">
        <v>-0.12509999999999999</v>
      </c>
      <c r="W4">
        <v>-0.12509999999999999</v>
      </c>
      <c r="X4">
        <v>0.32300000000000001</v>
      </c>
      <c r="Y4">
        <v>0.32300000000000001</v>
      </c>
    </row>
    <row r="5" spans="1:30" x14ac:dyDescent="0.3">
      <c r="A5" s="2">
        <v>4</v>
      </c>
      <c r="B5" s="2">
        <v>-12.6023</v>
      </c>
      <c r="C5" s="2">
        <v>7.5707000000000004</v>
      </c>
      <c r="D5" s="2">
        <v>-10.8376</v>
      </c>
      <c r="E5" s="2">
        <v>31.570900000000002</v>
      </c>
      <c r="F5" s="2">
        <v>-30.159099999999999</v>
      </c>
      <c r="G5" s="2">
        <v>2.3961000000000001</v>
      </c>
      <c r="H5" s="2">
        <v>2.3961000000000001</v>
      </c>
      <c r="R5">
        <v>3</v>
      </c>
      <c r="S5">
        <v>-1.6064000000000001</v>
      </c>
      <c r="T5">
        <v>1.1746000000000001</v>
      </c>
      <c r="U5">
        <v>-1.9818</v>
      </c>
      <c r="V5">
        <v>4.5998000000000001</v>
      </c>
      <c r="W5">
        <v>-4.9001999999999999</v>
      </c>
      <c r="X5">
        <v>0.46439999999999998</v>
      </c>
      <c r="Y5">
        <v>0.46439999999999998</v>
      </c>
    </row>
    <row r="6" spans="1:30" x14ac:dyDescent="0.3">
      <c r="A6" s="3">
        <v>5</v>
      </c>
      <c r="B6" s="3">
        <v>-8.0893999999999995</v>
      </c>
      <c r="C6" s="3">
        <v>8.5531000000000006</v>
      </c>
      <c r="D6" s="3">
        <v>-13.545400000000001</v>
      </c>
      <c r="E6" s="3">
        <v>28.682600000000001</v>
      </c>
      <c r="F6" s="3">
        <v>-33.047400000000003</v>
      </c>
      <c r="G6" s="3">
        <v>-4.6151999999999997</v>
      </c>
      <c r="H6" s="3">
        <v>-4.6151999999999997</v>
      </c>
      <c r="R6">
        <v>4</v>
      </c>
      <c r="S6">
        <v>-1.9818</v>
      </c>
      <c r="T6">
        <v>1.1746000000000001</v>
      </c>
      <c r="U6">
        <v>-1.6064000000000001</v>
      </c>
      <c r="V6">
        <v>4.9001999999999999</v>
      </c>
      <c r="W6">
        <v>-4.5998000000000001</v>
      </c>
      <c r="X6">
        <v>0.46439999999999998</v>
      </c>
      <c r="Y6">
        <v>0.46439999999999998</v>
      </c>
    </row>
    <row r="7" spans="1:30" x14ac:dyDescent="0.3">
      <c r="A7" s="3">
        <v>6</v>
      </c>
      <c r="B7" s="3">
        <v>-13.545400000000001</v>
      </c>
      <c r="C7" s="3">
        <v>8.5531000000000006</v>
      </c>
      <c r="D7" s="3">
        <v>-8.0893999999999995</v>
      </c>
      <c r="E7" s="3">
        <v>33.047400000000003</v>
      </c>
      <c r="F7" s="3">
        <v>-28.682600000000001</v>
      </c>
      <c r="G7" s="3">
        <v>-4.6151999999999997</v>
      </c>
      <c r="H7" s="3">
        <v>-4.6151999999999997</v>
      </c>
      <c r="R7">
        <v>5</v>
      </c>
      <c r="S7">
        <v>-1.2425999999999999</v>
      </c>
      <c r="T7">
        <v>1.3119000000000001</v>
      </c>
      <c r="U7">
        <v>-2.0972</v>
      </c>
      <c r="V7">
        <v>4.4081000000000001</v>
      </c>
      <c r="W7">
        <v>-5.0918999999999999</v>
      </c>
      <c r="X7">
        <v>-0.71589999999999998</v>
      </c>
      <c r="Y7">
        <v>-0.71589999999999998</v>
      </c>
    </row>
    <row r="8" spans="1:30" x14ac:dyDescent="0.3">
      <c r="A8">
        <v>7</v>
      </c>
      <c r="B8">
        <v>1.1986000000000001</v>
      </c>
      <c r="C8">
        <v>1.1986000000000001</v>
      </c>
      <c r="D8">
        <v>-2.4064000000000001</v>
      </c>
      <c r="E8">
        <v>-2.4033000000000002</v>
      </c>
      <c r="F8">
        <v>-2.4033000000000002</v>
      </c>
      <c r="G8">
        <v>-72.820700000000002</v>
      </c>
      <c r="H8">
        <v>-72.820700000000002</v>
      </c>
      <c r="R8">
        <v>6</v>
      </c>
      <c r="S8">
        <v>-2.0972</v>
      </c>
      <c r="T8">
        <v>1.3119000000000001</v>
      </c>
      <c r="U8">
        <v>-1.2425999999999999</v>
      </c>
      <c r="V8">
        <v>5.0918999999999999</v>
      </c>
      <c r="W8">
        <v>-4.4081000000000001</v>
      </c>
      <c r="X8">
        <v>-0.71589999999999998</v>
      </c>
      <c r="Y8">
        <v>-0.71589999999999998</v>
      </c>
    </row>
    <row r="9" spans="1:30" x14ac:dyDescent="0.3">
      <c r="A9" s="167">
        <v>8</v>
      </c>
      <c r="B9" s="167">
        <v>2.9426000000000001</v>
      </c>
      <c r="C9" s="167">
        <v>2.9426000000000001</v>
      </c>
      <c r="D9" s="167">
        <v>-4.1584000000000003</v>
      </c>
      <c r="E9" s="167">
        <v>-2.2191000000000001</v>
      </c>
      <c r="F9" s="167">
        <v>-2.2191000000000001</v>
      </c>
      <c r="G9" s="167">
        <v>-58.841700000000003</v>
      </c>
      <c r="H9" s="167">
        <v>-58.841700000000003</v>
      </c>
      <c r="I9" s="167"/>
      <c r="J9" s="167"/>
      <c r="K9" s="167"/>
      <c r="L9" s="167"/>
      <c r="M9" s="167"/>
      <c r="N9" s="167"/>
      <c r="O9" s="167"/>
      <c r="P9" s="167"/>
      <c r="Q9" s="167"/>
      <c r="R9" s="167">
        <v>7</v>
      </c>
      <c r="S9" s="167">
        <v>-3.0300000000000001E-2</v>
      </c>
      <c r="T9" s="167">
        <v>7.6799999999999993E-2</v>
      </c>
      <c r="U9" s="167">
        <v>7.6799999999999993E-2</v>
      </c>
      <c r="V9" s="167">
        <v>7.1400000000000005E-2</v>
      </c>
      <c r="W9" s="167">
        <v>7.1400000000000005E-2</v>
      </c>
      <c r="X9" s="167">
        <v>-9.1329999999999991</v>
      </c>
      <c r="Y9" s="167">
        <v>-9.1329999999999991</v>
      </c>
      <c r="Z9" s="167"/>
      <c r="AA9" s="167"/>
      <c r="AB9" s="167"/>
      <c r="AC9" s="167"/>
      <c r="AD9" s="167"/>
    </row>
    <row r="10" spans="1:30" x14ac:dyDescent="0.3">
      <c r="A10">
        <v>9</v>
      </c>
      <c r="B10">
        <v>6.6791</v>
      </c>
      <c r="C10">
        <v>6.6791</v>
      </c>
      <c r="D10">
        <v>-8.0893999999999995</v>
      </c>
      <c r="E10">
        <v>-4.6151999999999997</v>
      </c>
      <c r="F10">
        <v>-4.6151999999999997</v>
      </c>
      <c r="G10">
        <v>-28.682600000000001</v>
      </c>
      <c r="H10">
        <v>-28.682600000000001</v>
      </c>
      <c r="R10">
        <v>8</v>
      </c>
      <c r="S10">
        <v>0.24709999999999999</v>
      </c>
      <c r="T10">
        <v>0.24709999999999999</v>
      </c>
      <c r="U10">
        <v>-0.55800000000000005</v>
      </c>
      <c r="V10">
        <v>-0.25159999999999999</v>
      </c>
      <c r="W10">
        <v>-0.25159999999999999</v>
      </c>
      <c r="X10">
        <v>-9.0079999999999991</v>
      </c>
      <c r="Y10">
        <v>-9.0079999999999991</v>
      </c>
    </row>
    <row r="11" spans="1:30" x14ac:dyDescent="0.3">
      <c r="A11">
        <v>10</v>
      </c>
      <c r="B11" s="5">
        <v>-7.7401500000000002E-16</v>
      </c>
      <c r="C11" s="5">
        <v>3.3004899999999999E-16</v>
      </c>
      <c r="D11" s="5">
        <v>3.3004899999999999E-16</v>
      </c>
      <c r="E11" s="5">
        <v>7.3604299999999998E-16</v>
      </c>
      <c r="F11" s="5">
        <v>7.3604299999999998E-16</v>
      </c>
      <c r="G11">
        <v>-157.73849999999999</v>
      </c>
      <c r="H11">
        <v>-157.73849999999999</v>
      </c>
      <c r="R11">
        <v>9</v>
      </c>
      <c r="S11">
        <v>1.0485</v>
      </c>
      <c r="T11">
        <v>1.0485</v>
      </c>
      <c r="U11">
        <v>-1.2425999999999999</v>
      </c>
      <c r="V11">
        <v>-0.71589999999999998</v>
      </c>
      <c r="W11">
        <v>-0.71589999999999998</v>
      </c>
      <c r="X11">
        <v>-4.4081000000000001</v>
      </c>
      <c r="Y11">
        <v>-4.4081000000000001</v>
      </c>
    </row>
    <row r="12" spans="1:30" x14ac:dyDescent="0.3">
      <c r="A12" s="167">
        <v>11</v>
      </c>
      <c r="B12" s="168">
        <v>-1.0388700000000001E-15</v>
      </c>
      <c r="C12" s="168">
        <v>1.1840699999999999E-15</v>
      </c>
      <c r="D12" s="168">
        <v>1.1840699999999999E-15</v>
      </c>
      <c r="E12" s="168">
        <v>6.9466799999999997E-16</v>
      </c>
      <c r="F12" s="168">
        <v>6.9466799999999997E-16</v>
      </c>
      <c r="G12" s="167">
        <v>-129.23670000000001</v>
      </c>
      <c r="H12" s="167">
        <v>-129.23670000000001</v>
      </c>
      <c r="I12" s="167"/>
      <c r="J12" s="167"/>
      <c r="K12" s="167"/>
      <c r="L12" s="167"/>
      <c r="M12" s="167"/>
      <c r="N12" s="167"/>
      <c r="O12" s="167"/>
      <c r="P12" s="167"/>
      <c r="Q12" s="167"/>
      <c r="R12" s="167">
        <v>10</v>
      </c>
      <c r="S12" s="168">
        <v>-6.2952000000000002E-17</v>
      </c>
      <c r="T12" s="168">
        <v>2.9624299999999997E-17</v>
      </c>
      <c r="U12" s="168">
        <v>2.9624299999999997E-17</v>
      </c>
      <c r="V12" s="168">
        <v>6.1717500000000002E-17</v>
      </c>
      <c r="W12" s="168">
        <v>6.1717500000000002E-17</v>
      </c>
      <c r="X12" s="167">
        <v>-19.733899999999998</v>
      </c>
      <c r="Y12" s="167">
        <v>-19.733899999999998</v>
      </c>
      <c r="Z12" s="167"/>
      <c r="AA12" s="167"/>
      <c r="AB12" s="167"/>
      <c r="AC12" s="167"/>
      <c r="AD12" s="167"/>
    </row>
    <row r="13" spans="1:30" x14ac:dyDescent="0.3">
      <c r="A13">
        <v>12</v>
      </c>
      <c r="B13" s="5">
        <v>6.2617400000000001E-18</v>
      </c>
      <c r="C13" s="5">
        <v>6.2617400000000001E-18</v>
      </c>
      <c r="D13" s="5">
        <v>-4.7253299999999996E-16</v>
      </c>
      <c r="E13" s="5">
        <v>-1.4962300000000001E-16</v>
      </c>
      <c r="F13" s="5">
        <v>-1.4962300000000001E-16</v>
      </c>
      <c r="G13">
        <v>-66.094899999999996</v>
      </c>
      <c r="H13">
        <v>-66.094899999999996</v>
      </c>
      <c r="R13">
        <v>11</v>
      </c>
      <c r="S13" s="5">
        <v>-9.1356099999999994E-17</v>
      </c>
      <c r="T13" s="5">
        <v>1.3510100000000001E-16</v>
      </c>
      <c r="U13" s="5">
        <v>1.3510100000000001E-16</v>
      </c>
      <c r="V13" s="5">
        <v>7.0767800000000003E-17</v>
      </c>
      <c r="W13" s="5">
        <v>7.0767800000000003E-17</v>
      </c>
      <c r="X13">
        <v>-19.984100000000002</v>
      </c>
      <c r="Y13">
        <v>-19.984100000000002</v>
      </c>
    </row>
    <row r="14" spans="1:30" x14ac:dyDescent="0.3">
      <c r="A14">
        <v>13</v>
      </c>
      <c r="B14">
        <v>-1.1986000000000001</v>
      </c>
      <c r="C14">
        <v>2.4064000000000001</v>
      </c>
      <c r="D14">
        <v>2.4064000000000001</v>
      </c>
      <c r="E14">
        <v>2.4033000000000002</v>
      </c>
      <c r="F14">
        <v>2.4033000000000002</v>
      </c>
      <c r="G14">
        <v>-72.820700000000002</v>
      </c>
      <c r="H14">
        <v>-72.820700000000002</v>
      </c>
      <c r="R14">
        <v>12</v>
      </c>
      <c r="S14" s="5">
        <v>1.04732E-16</v>
      </c>
      <c r="T14" s="5">
        <v>1.04732E-16</v>
      </c>
      <c r="U14" s="5">
        <v>-2.2326499999999999E-16</v>
      </c>
      <c r="V14" s="5">
        <v>-1.02499E-16</v>
      </c>
      <c r="W14" s="5">
        <v>-1.02499E-16</v>
      </c>
      <c r="X14">
        <v>-10.1837</v>
      </c>
      <c r="Y14">
        <v>-10.1837</v>
      </c>
    </row>
    <row r="15" spans="1:30" x14ac:dyDescent="0.3">
      <c r="A15" s="167">
        <v>14</v>
      </c>
      <c r="B15" s="167">
        <v>-2.9426000000000001</v>
      </c>
      <c r="C15" s="167">
        <v>4.1584000000000003</v>
      </c>
      <c r="D15" s="167">
        <v>4.1584000000000003</v>
      </c>
      <c r="E15" s="167">
        <v>2.2191000000000001</v>
      </c>
      <c r="F15" s="167">
        <v>2.2191000000000001</v>
      </c>
      <c r="G15" s="167">
        <v>-58.841700000000003</v>
      </c>
      <c r="H15" s="167">
        <v>-58.841700000000003</v>
      </c>
      <c r="I15" s="167"/>
      <c r="J15" s="167"/>
      <c r="K15" s="167"/>
      <c r="L15" s="167"/>
      <c r="M15" s="167"/>
      <c r="N15" s="167"/>
      <c r="O15" s="167"/>
      <c r="P15" s="167"/>
      <c r="Q15" s="167"/>
      <c r="R15" s="167">
        <v>13</v>
      </c>
      <c r="S15" s="167">
        <v>3.0300000000000001E-2</v>
      </c>
      <c r="T15" s="167">
        <v>3.0300000000000001E-2</v>
      </c>
      <c r="U15" s="167">
        <v>-7.6799999999999993E-2</v>
      </c>
      <c r="V15" s="167">
        <v>-7.1400000000000005E-2</v>
      </c>
      <c r="W15" s="167">
        <v>-7.1400000000000005E-2</v>
      </c>
      <c r="X15" s="167">
        <v>-9.1329999999999991</v>
      </c>
      <c r="Y15" s="167">
        <v>-9.1329999999999991</v>
      </c>
      <c r="Z15" s="167"/>
      <c r="AA15" s="167"/>
      <c r="AB15" s="167"/>
      <c r="AC15" s="167"/>
      <c r="AD15" s="167"/>
    </row>
    <row r="16" spans="1:30" x14ac:dyDescent="0.3">
      <c r="A16">
        <v>15</v>
      </c>
      <c r="B16">
        <v>-6.6791</v>
      </c>
      <c r="C16">
        <v>8.0893999999999995</v>
      </c>
      <c r="D16">
        <v>8.0893999999999995</v>
      </c>
      <c r="E16">
        <v>4.6151999999999997</v>
      </c>
      <c r="F16">
        <v>4.6151999999999997</v>
      </c>
      <c r="G16">
        <v>-28.682600000000001</v>
      </c>
      <c r="H16">
        <v>-28.682600000000001</v>
      </c>
      <c r="R16">
        <v>14</v>
      </c>
      <c r="S16">
        <v>-0.24709999999999999</v>
      </c>
      <c r="T16">
        <v>0.55800000000000005</v>
      </c>
      <c r="U16">
        <v>0.55800000000000005</v>
      </c>
      <c r="V16">
        <v>0.25159999999999999</v>
      </c>
      <c r="W16">
        <v>0.25159999999999999</v>
      </c>
      <c r="X16">
        <v>-9.0079999999999991</v>
      </c>
      <c r="Y16">
        <v>-9.0079999999999991</v>
      </c>
    </row>
    <row r="17" spans="1:30" x14ac:dyDescent="0.3">
      <c r="R17">
        <v>15</v>
      </c>
      <c r="S17">
        <v>-1.0485</v>
      </c>
      <c r="T17">
        <v>1.2425999999999999</v>
      </c>
      <c r="U17">
        <v>1.2425999999999999</v>
      </c>
      <c r="V17">
        <v>0.71589999999999998</v>
      </c>
      <c r="W17">
        <v>0.71589999999999998</v>
      </c>
      <c r="X17">
        <v>-4.4081000000000001</v>
      </c>
      <c r="Y17">
        <v>-4.4081000000000001</v>
      </c>
    </row>
    <row r="18" spans="1:30" x14ac:dyDescent="0.3">
      <c r="B18" s="1"/>
      <c r="C18" t="s">
        <v>292</v>
      </c>
      <c r="T18" t="s">
        <v>13</v>
      </c>
      <c r="V18" t="s">
        <v>14</v>
      </c>
    </row>
    <row r="19" spans="1:30" x14ac:dyDescent="0.3">
      <c r="B19" s="2"/>
      <c r="C19" t="s">
        <v>358</v>
      </c>
      <c r="R19" t="s">
        <v>359</v>
      </c>
      <c r="S19" t="s">
        <v>360</v>
      </c>
      <c r="T19">
        <v>8.5</v>
      </c>
      <c r="V19">
        <v>5.56</v>
      </c>
      <c r="Z19" t="s">
        <v>361</v>
      </c>
      <c r="AA19" t="s">
        <v>362</v>
      </c>
    </row>
    <row r="20" spans="1:30" x14ac:dyDescent="0.3">
      <c r="B20" s="3"/>
      <c r="C20" t="s">
        <v>363</v>
      </c>
      <c r="S20" t="s">
        <v>364</v>
      </c>
      <c r="T20">
        <v>20.75</v>
      </c>
      <c r="Y20" t="s">
        <v>360</v>
      </c>
      <c r="Z20">
        <f>D6</f>
        <v>-13.545400000000001</v>
      </c>
      <c r="AA20">
        <f>C7</f>
        <v>8.5531000000000006</v>
      </c>
    </row>
    <row r="21" spans="1:30" x14ac:dyDescent="0.3">
      <c r="R21" t="s">
        <v>365</v>
      </c>
      <c r="S21" t="s">
        <v>360</v>
      </c>
      <c r="T21">
        <f>S8</f>
        <v>-2.0972</v>
      </c>
      <c r="V21">
        <f>T6</f>
        <v>1.1746000000000001</v>
      </c>
      <c r="Y21" t="s">
        <v>364</v>
      </c>
      <c r="Z21">
        <f>E7</f>
        <v>33.047400000000003</v>
      </c>
    </row>
    <row r="22" spans="1:30" x14ac:dyDescent="0.3">
      <c r="A22" t="s">
        <v>366</v>
      </c>
      <c r="S22" t="s">
        <v>364</v>
      </c>
      <c r="T22">
        <f>V8</f>
        <v>5.0918999999999999</v>
      </c>
    </row>
    <row r="24" spans="1:30" x14ac:dyDescent="0.3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</row>
    <row r="25" spans="1:30" x14ac:dyDescent="0.3">
      <c r="A25" s="1">
        <v>1</v>
      </c>
      <c r="B25" s="1">
        <v>-5.2785000000000002</v>
      </c>
      <c r="C25" s="1">
        <v>3.3163999999999998</v>
      </c>
      <c r="D25" s="1">
        <v>-5.7324000000000002</v>
      </c>
      <c r="E25" s="1">
        <v>13.933400000000001</v>
      </c>
      <c r="F25" s="1">
        <v>-14.2966</v>
      </c>
      <c r="G25" s="1">
        <v>-0.27229999999999999</v>
      </c>
      <c r="H25" s="1">
        <v>-0.27229999999999999</v>
      </c>
    </row>
    <row r="26" spans="1:30" x14ac:dyDescent="0.3">
      <c r="A26" s="1">
        <v>2</v>
      </c>
      <c r="B26" s="1">
        <v>-5.7872000000000003</v>
      </c>
      <c r="C26" s="1">
        <v>3.2791000000000001</v>
      </c>
      <c r="D26" s="1">
        <v>-5.2984</v>
      </c>
      <c r="E26" s="1">
        <v>14.310499999999999</v>
      </c>
      <c r="F26" s="1">
        <v>-13.919499999999999</v>
      </c>
      <c r="G26" s="1">
        <v>-5.9900000000000002E-2</v>
      </c>
      <c r="H26" s="1">
        <v>-5.9900000000000002E-2</v>
      </c>
    </row>
    <row r="27" spans="1:30" x14ac:dyDescent="0.3">
      <c r="A27" s="2">
        <v>3</v>
      </c>
      <c r="B27" s="2">
        <v>-10.268599999999999</v>
      </c>
      <c r="C27" s="2">
        <v>7.2195999999999998</v>
      </c>
      <c r="D27" s="2">
        <v>-12.736000000000001</v>
      </c>
      <c r="E27" s="2">
        <v>28.968</v>
      </c>
      <c r="F27" s="2">
        <v>-30.942</v>
      </c>
      <c r="G27" s="2">
        <v>2.3147000000000002</v>
      </c>
      <c r="H27" s="2">
        <v>2.3147000000000002</v>
      </c>
    </row>
    <row r="28" spans="1:30" x14ac:dyDescent="0.3">
      <c r="A28" s="2">
        <v>4</v>
      </c>
      <c r="B28" s="2">
        <v>-12.2172</v>
      </c>
      <c r="C28" s="2">
        <v>7.5373000000000001</v>
      </c>
      <c r="D28" s="2">
        <v>-10.151899999999999</v>
      </c>
      <c r="E28" s="2">
        <v>30.781099999999999</v>
      </c>
      <c r="F28" s="2">
        <v>-29.128900000000002</v>
      </c>
      <c r="G28" s="2">
        <v>1.3746</v>
      </c>
      <c r="H28" s="2">
        <v>1.3746</v>
      </c>
    </row>
    <row r="29" spans="1:30" x14ac:dyDescent="0.3">
      <c r="A29" s="3">
        <v>5</v>
      </c>
      <c r="B29" s="3">
        <v>-7.9347000000000003</v>
      </c>
      <c r="C29" s="3">
        <v>8.8855000000000004</v>
      </c>
      <c r="D29" s="3">
        <v>-11.7446</v>
      </c>
      <c r="E29" s="3">
        <v>28.431000000000001</v>
      </c>
      <c r="F29" s="3">
        <v>-31.478999999999999</v>
      </c>
      <c r="G29" s="3">
        <v>-4.4512999999999998</v>
      </c>
      <c r="H29" s="3">
        <v>-4.4512999999999998</v>
      </c>
      <c r="R29" t="s">
        <v>0</v>
      </c>
      <c r="S29" t="s">
        <v>1</v>
      </c>
      <c r="T29" t="s">
        <v>2</v>
      </c>
      <c r="U29" t="s">
        <v>3</v>
      </c>
      <c r="V29" t="s">
        <v>4</v>
      </c>
      <c r="W29" t="s">
        <v>5</v>
      </c>
      <c r="X29" t="s">
        <v>6</v>
      </c>
      <c r="Y29" t="s">
        <v>7</v>
      </c>
    </row>
    <row r="30" spans="1:30" x14ac:dyDescent="0.3">
      <c r="A30" s="3">
        <v>6</v>
      </c>
      <c r="B30" s="3">
        <v>-9.9688999999999997</v>
      </c>
      <c r="C30" s="3">
        <v>5.0251999999999999</v>
      </c>
      <c r="D30" s="3">
        <v>-5.8255999999999997</v>
      </c>
      <c r="E30" s="3">
        <v>22.2073</v>
      </c>
      <c r="F30" s="3">
        <v>-18.892700000000001</v>
      </c>
      <c r="G30" s="3">
        <v>-3.6454</v>
      </c>
      <c r="H30" s="3">
        <v>-3.6454</v>
      </c>
      <c r="R30">
        <v>1</v>
      </c>
      <c r="S30">
        <v>-0.25540000000000002</v>
      </c>
      <c r="T30">
        <v>0.21360000000000001</v>
      </c>
      <c r="U30">
        <v>0.21360000000000001</v>
      </c>
      <c r="V30">
        <v>0.18759999999999999</v>
      </c>
      <c r="W30">
        <v>0.18759999999999999</v>
      </c>
      <c r="X30">
        <v>0.48449999999999999</v>
      </c>
      <c r="Y30">
        <v>0.48449999999999999</v>
      </c>
    </row>
    <row r="31" spans="1:30" x14ac:dyDescent="0.3">
      <c r="A31">
        <v>7</v>
      </c>
      <c r="B31">
        <v>1.2123999999999999</v>
      </c>
      <c r="C31">
        <v>1.2123999999999999</v>
      </c>
      <c r="D31">
        <v>-2.4007999999999998</v>
      </c>
      <c r="E31">
        <v>-2.4087999999999998</v>
      </c>
      <c r="F31">
        <v>-2.4087999999999998</v>
      </c>
      <c r="G31">
        <v>-71.332499999999996</v>
      </c>
      <c r="H31">
        <v>-71.332499999999996</v>
      </c>
      <c r="R31">
        <v>2</v>
      </c>
      <c r="S31">
        <v>0.21360000000000001</v>
      </c>
      <c r="T31">
        <v>0.21360000000000001</v>
      </c>
      <c r="U31">
        <v>-0.25540000000000002</v>
      </c>
      <c r="V31">
        <v>-0.18759999999999999</v>
      </c>
      <c r="W31">
        <v>-0.18759999999999999</v>
      </c>
      <c r="X31">
        <v>0.48449999999999999</v>
      </c>
      <c r="Y31">
        <v>0.48449999999999999</v>
      </c>
    </row>
    <row r="32" spans="1:30" x14ac:dyDescent="0.3">
      <c r="A32" s="167">
        <v>8</v>
      </c>
      <c r="B32" s="167">
        <v>2.8776999999999999</v>
      </c>
      <c r="C32" s="167">
        <v>2.8776999999999999</v>
      </c>
      <c r="D32" s="167">
        <v>-3.9592000000000001</v>
      </c>
      <c r="E32" s="167">
        <v>-2.1364999999999998</v>
      </c>
      <c r="F32" s="167">
        <v>-2.1364999999999998</v>
      </c>
      <c r="G32" s="167">
        <v>-57.399099999999997</v>
      </c>
      <c r="H32" s="167">
        <v>-57.399099999999997</v>
      </c>
      <c r="I32" s="167"/>
      <c r="J32" s="167"/>
      <c r="K32" s="167"/>
      <c r="L32" s="167"/>
      <c r="M32" s="167"/>
      <c r="N32" s="167"/>
      <c r="O32" s="167"/>
      <c r="P32" s="167"/>
      <c r="Q32" s="167"/>
      <c r="R32" s="167">
        <v>3</v>
      </c>
      <c r="S32" s="167">
        <v>-2.4097</v>
      </c>
      <c r="T32" s="167">
        <v>1.7619</v>
      </c>
      <c r="U32" s="167">
        <v>-2.9727999999999999</v>
      </c>
      <c r="V32" s="167">
        <v>6.8997999999999999</v>
      </c>
      <c r="W32" s="167">
        <v>-7.3502000000000001</v>
      </c>
      <c r="X32" s="167">
        <v>0.6966</v>
      </c>
      <c r="Y32" s="167">
        <v>0.6966</v>
      </c>
      <c r="Z32" s="167"/>
      <c r="AA32" s="167"/>
      <c r="AB32" s="167"/>
      <c r="AC32" s="167"/>
      <c r="AD32" s="167"/>
    </row>
    <row r="33" spans="1:30" x14ac:dyDescent="0.3">
      <c r="A33">
        <v>9</v>
      </c>
      <c r="B33">
        <v>6.3094000000000001</v>
      </c>
      <c r="C33">
        <v>6.3094000000000001</v>
      </c>
      <c r="D33">
        <v>-7.9347000000000003</v>
      </c>
      <c r="E33">
        <v>-4.4512999999999998</v>
      </c>
      <c r="F33">
        <v>-4.4512999999999998</v>
      </c>
      <c r="G33">
        <v>-28.431000000000001</v>
      </c>
      <c r="H33">
        <v>-28.431000000000001</v>
      </c>
      <c r="R33">
        <v>4</v>
      </c>
      <c r="S33">
        <v>-2.9727999999999999</v>
      </c>
      <c r="T33">
        <v>1.7619</v>
      </c>
      <c r="U33">
        <v>-2.4097</v>
      </c>
      <c r="V33">
        <v>7.3502000000000001</v>
      </c>
      <c r="W33">
        <v>-6.8997999999999999</v>
      </c>
      <c r="X33">
        <v>0.6966</v>
      </c>
      <c r="Y33">
        <v>0.6966</v>
      </c>
    </row>
    <row r="34" spans="1:30" x14ac:dyDescent="0.3">
      <c r="A34">
        <v>10</v>
      </c>
      <c r="B34">
        <v>-2.6599999999999999E-2</v>
      </c>
      <c r="C34">
        <v>9.06E-2</v>
      </c>
      <c r="D34">
        <v>9.06E-2</v>
      </c>
      <c r="E34">
        <v>7.8100000000000003E-2</v>
      </c>
      <c r="F34">
        <v>7.8100000000000003E-2</v>
      </c>
      <c r="G34">
        <v>-144.0164</v>
      </c>
      <c r="H34">
        <v>-144.0164</v>
      </c>
      <c r="R34">
        <v>5</v>
      </c>
      <c r="S34">
        <v>-1.8638999999999999</v>
      </c>
      <c r="T34">
        <v>1.9678</v>
      </c>
      <c r="U34">
        <v>-3.1459000000000001</v>
      </c>
      <c r="V34">
        <v>6.6121999999999996</v>
      </c>
      <c r="W34">
        <v>-7.6378000000000004</v>
      </c>
      <c r="X34">
        <v>-1.0739000000000001</v>
      </c>
      <c r="Y34">
        <v>-1.0739000000000001</v>
      </c>
    </row>
    <row r="35" spans="1:30" x14ac:dyDescent="0.3">
      <c r="A35" s="167">
        <v>11</v>
      </c>
      <c r="B35" s="167">
        <v>0.1454</v>
      </c>
      <c r="C35" s="167">
        <v>0.1454</v>
      </c>
      <c r="D35" s="167">
        <v>-0.2843</v>
      </c>
      <c r="E35" s="167">
        <v>-0.1343</v>
      </c>
      <c r="F35" s="167">
        <v>-0.1343</v>
      </c>
      <c r="G35" s="167">
        <v>-115.40940000000001</v>
      </c>
      <c r="H35" s="167">
        <v>-115.40940000000001</v>
      </c>
      <c r="I35" s="167"/>
      <c r="J35" s="167"/>
      <c r="K35" s="167"/>
      <c r="L35" s="167"/>
      <c r="M35" s="167"/>
      <c r="N35" s="167"/>
      <c r="O35" s="167"/>
      <c r="P35" s="167"/>
      <c r="Q35" s="167"/>
      <c r="R35" s="167">
        <v>6</v>
      </c>
      <c r="S35" s="167">
        <v>-3.1459000000000001</v>
      </c>
      <c r="T35" s="167">
        <v>1.9678</v>
      </c>
      <c r="U35" s="167">
        <v>-1.8638999999999999</v>
      </c>
      <c r="V35" s="167">
        <v>7.6378000000000004</v>
      </c>
      <c r="W35" s="167">
        <v>-6.6121999999999996</v>
      </c>
      <c r="X35" s="167">
        <v>-1.0739000000000001</v>
      </c>
      <c r="Y35" s="167">
        <v>-1.0739000000000001</v>
      </c>
      <c r="Z35" s="167"/>
      <c r="AA35" s="167"/>
      <c r="AB35" s="167"/>
      <c r="AC35" s="167"/>
      <c r="AD35" s="167"/>
    </row>
    <row r="36" spans="1:30" x14ac:dyDescent="0.3">
      <c r="A36">
        <v>12</v>
      </c>
      <c r="B36">
        <v>-0.80310000000000004</v>
      </c>
      <c r="C36">
        <v>1.7757000000000001</v>
      </c>
      <c r="D36">
        <v>1.7757000000000001</v>
      </c>
      <c r="E36">
        <v>0.80589999999999995</v>
      </c>
      <c r="F36">
        <v>0.80589999999999995</v>
      </c>
      <c r="G36">
        <v>-53.686300000000003</v>
      </c>
      <c r="H36">
        <v>-53.686300000000003</v>
      </c>
      <c r="R36">
        <v>7</v>
      </c>
      <c r="S36">
        <v>-4.5499999999999999E-2</v>
      </c>
      <c r="T36">
        <v>0.1152</v>
      </c>
      <c r="U36">
        <v>0.1152</v>
      </c>
      <c r="V36">
        <v>0.1071</v>
      </c>
      <c r="W36">
        <v>0.1071</v>
      </c>
      <c r="X36">
        <v>-13.6995</v>
      </c>
      <c r="Y36">
        <v>-13.6995</v>
      </c>
    </row>
    <row r="37" spans="1:30" x14ac:dyDescent="0.3">
      <c r="A37">
        <v>13</v>
      </c>
      <c r="B37">
        <v>-1.1517999999999999</v>
      </c>
      <c r="C37">
        <v>2.3441999999999998</v>
      </c>
      <c r="D37">
        <v>2.3441999999999998</v>
      </c>
      <c r="E37">
        <v>2.3307000000000002</v>
      </c>
      <c r="F37">
        <v>2.3307000000000002</v>
      </c>
      <c r="G37">
        <v>-61.941099999999999</v>
      </c>
      <c r="H37">
        <v>-61.941099999999999</v>
      </c>
      <c r="R37">
        <v>8</v>
      </c>
      <c r="S37">
        <v>0.37059999999999998</v>
      </c>
      <c r="T37">
        <v>0.37059999999999998</v>
      </c>
      <c r="U37">
        <v>-0.83699999999999997</v>
      </c>
      <c r="V37">
        <v>-0.37740000000000001</v>
      </c>
      <c r="W37">
        <v>-0.37740000000000001</v>
      </c>
      <c r="X37">
        <v>-13.512</v>
      </c>
      <c r="Y37">
        <v>-13.512</v>
      </c>
    </row>
    <row r="38" spans="1:30" x14ac:dyDescent="0.3">
      <c r="A38" s="167">
        <v>14</v>
      </c>
      <c r="B38" s="167">
        <v>-2.9542000000000002</v>
      </c>
      <c r="C38" s="167">
        <v>4.3124000000000002</v>
      </c>
      <c r="D38" s="167">
        <v>4.3124000000000002</v>
      </c>
      <c r="E38" s="167">
        <v>2.2707999999999999</v>
      </c>
      <c r="F38" s="167">
        <v>2.2707999999999999</v>
      </c>
      <c r="G38" s="167">
        <v>-48.021599999999999</v>
      </c>
      <c r="H38" s="167">
        <v>-48.021599999999999</v>
      </c>
      <c r="I38" s="167"/>
      <c r="J38" s="167"/>
      <c r="K38" s="167"/>
      <c r="L38" s="167"/>
      <c r="M38" s="167"/>
      <c r="N38" s="167"/>
      <c r="O38" s="167"/>
      <c r="P38" s="167"/>
      <c r="Q38" s="167"/>
      <c r="R38" s="167">
        <v>9</v>
      </c>
      <c r="S38" s="167">
        <v>1.5727</v>
      </c>
      <c r="T38" s="167">
        <v>1.5727</v>
      </c>
      <c r="U38" s="167">
        <v>-1.8638999999999999</v>
      </c>
      <c r="V38" s="167">
        <v>-1.0739000000000001</v>
      </c>
      <c r="W38" s="167">
        <v>-1.0739000000000001</v>
      </c>
      <c r="X38" s="167">
        <v>-6.6121999999999996</v>
      </c>
      <c r="Y38" s="167">
        <v>-6.6121999999999996</v>
      </c>
      <c r="Z38" s="167"/>
      <c r="AA38" s="167"/>
      <c r="AB38" s="167"/>
      <c r="AC38" s="167"/>
      <c r="AD38" s="167"/>
    </row>
    <row r="39" spans="1:30" x14ac:dyDescent="0.3">
      <c r="A39">
        <v>15</v>
      </c>
      <c r="B39">
        <v>-5.8395999999999999</v>
      </c>
      <c r="C39">
        <v>5.8255999999999997</v>
      </c>
      <c r="D39">
        <v>5.8255999999999997</v>
      </c>
      <c r="E39">
        <v>3.6454</v>
      </c>
      <c r="F39">
        <v>3.6454</v>
      </c>
      <c r="G39">
        <v>-18.892700000000001</v>
      </c>
      <c r="H39">
        <v>-18.892700000000001</v>
      </c>
      <c r="R39">
        <v>10</v>
      </c>
      <c r="S39" s="5">
        <v>-6.2401199999999994E-17</v>
      </c>
      <c r="T39" s="5">
        <v>4.0816299999999999E-18</v>
      </c>
      <c r="U39" s="5">
        <v>4.0816299999999999E-18</v>
      </c>
      <c r="V39" s="5">
        <v>4.4321900000000001E-17</v>
      </c>
      <c r="W39" s="5">
        <v>4.4321900000000001E-17</v>
      </c>
      <c r="X39">
        <v>-29.600899999999999</v>
      </c>
      <c r="Y39">
        <v>-29.600899999999999</v>
      </c>
    </row>
    <row r="40" spans="1:30" x14ac:dyDescent="0.3">
      <c r="R40">
        <v>11</v>
      </c>
      <c r="S40" s="5">
        <v>-1.26538E-16</v>
      </c>
      <c r="T40" s="5">
        <v>1.63704E-16</v>
      </c>
      <c r="U40" s="5">
        <v>1.63704E-16</v>
      </c>
      <c r="V40" s="5">
        <v>9.0700699999999997E-17</v>
      </c>
      <c r="W40" s="5">
        <v>9.0700699999999997E-17</v>
      </c>
      <c r="X40">
        <v>-29.976099999999999</v>
      </c>
      <c r="Y40">
        <v>-29.976099999999999</v>
      </c>
    </row>
    <row r="41" spans="1:30" x14ac:dyDescent="0.3">
      <c r="R41">
        <v>12</v>
      </c>
      <c r="S41" s="5">
        <v>1.8919500000000001E-16</v>
      </c>
      <c r="T41" s="5">
        <v>1.8919500000000001E-16</v>
      </c>
      <c r="U41" s="5">
        <v>-2.9175199999999999E-16</v>
      </c>
      <c r="V41" s="5">
        <v>-1.50296E-16</v>
      </c>
      <c r="W41" s="5">
        <v>-1.50296E-16</v>
      </c>
      <c r="X41">
        <v>-15.275600000000001</v>
      </c>
      <c r="Y41">
        <v>-15.275600000000001</v>
      </c>
    </row>
    <row r="42" spans="1:30" x14ac:dyDescent="0.3">
      <c r="A42" t="s">
        <v>367</v>
      </c>
      <c r="R42">
        <v>13</v>
      </c>
      <c r="S42">
        <v>4.5499999999999999E-2</v>
      </c>
      <c r="T42">
        <v>4.5499999999999999E-2</v>
      </c>
      <c r="U42">
        <v>-0.1152</v>
      </c>
      <c r="V42">
        <v>-0.1071</v>
      </c>
      <c r="W42">
        <v>-0.1071</v>
      </c>
      <c r="X42">
        <v>-13.6995</v>
      </c>
      <c r="Y42">
        <v>-13.6995</v>
      </c>
    </row>
    <row r="43" spans="1:30" x14ac:dyDescent="0.3">
      <c r="R43">
        <v>14</v>
      </c>
      <c r="S43">
        <v>-0.37059999999999998</v>
      </c>
      <c r="T43">
        <v>0.83699999999999997</v>
      </c>
      <c r="U43">
        <v>0.83699999999999997</v>
      </c>
      <c r="V43">
        <v>0.37740000000000001</v>
      </c>
      <c r="W43">
        <v>0.37740000000000001</v>
      </c>
      <c r="X43">
        <v>-13.512</v>
      </c>
      <c r="Y43">
        <v>-13.512</v>
      </c>
    </row>
    <row r="44" spans="1:30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R44">
        <v>15</v>
      </c>
      <c r="S44">
        <v>-1.5727</v>
      </c>
      <c r="T44">
        <v>1.8638999999999999</v>
      </c>
      <c r="U44">
        <v>1.8638999999999999</v>
      </c>
      <c r="V44">
        <v>1.0739000000000001</v>
      </c>
      <c r="W44">
        <v>1.0739000000000001</v>
      </c>
      <c r="X44">
        <v>-6.6121999999999996</v>
      </c>
      <c r="Y44">
        <v>-6.6121999999999996</v>
      </c>
    </row>
    <row r="45" spans="1:30" x14ac:dyDescent="0.3">
      <c r="A45" s="1">
        <v>1</v>
      </c>
      <c r="B45" s="1">
        <v>-5.4668000000000001</v>
      </c>
      <c r="C45" s="1">
        <v>3.2930000000000001</v>
      </c>
      <c r="D45" s="1">
        <v>-5.5911</v>
      </c>
      <c r="E45" s="1">
        <v>14.065300000000001</v>
      </c>
      <c r="F45" s="1">
        <v>-14.1647</v>
      </c>
      <c r="G45" s="1">
        <v>0.1903</v>
      </c>
      <c r="H45" s="1">
        <v>0.1903</v>
      </c>
    </row>
    <row r="46" spans="1:30" x14ac:dyDescent="0.3">
      <c r="A46" s="1">
        <v>2</v>
      </c>
      <c r="B46" s="1">
        <v>-5.6458000000000004</v>
      </c>
      <c r="C46" s="1">
        <v>3.2557</v>
      </c>
      <c r="D46" s="1">
        <v>-5.4866000000000001</v>
      </c>
      <c r="E46" s="1">
        <v>14.178699999999999</v>
      </c>
      <c r="F46" s="1">
        <v>-14.051299999999999</v>
      </c>
      <c r="G46" s="1">
        <v>0.4027</v>
      </c>
      <c r="H46" s="1">
        <v>0.4027</v>
      </c>
    </row>
    <row r="47" spans="1:30" x14ac:dyDescent="0.3">
      <c r="A47" s="2">
        <v>3</v>
      </c>
      <c r="B47" s="2">
        <v>-11.7974</v>
      </c>
      <c r="C47" s="2">
        <v>9.4024000000000001</v>
      </c>
      <c r="D47" s="2">
        <v>-16.311800000000002</v>
      </c>
      <c r="E47" s="2">
        <v>31.8932</v>
      </c>
      <c r="F47" s="2">
        <v>-37.376800000000003</v>
      </c>
      <c r="G47" s="2">
        <v>2.3273000000000001</v>
      </c>
      <c r="H47" s="2">
        <v>2.3273000000000001</v>
      </c>
    </row>
    <row r="48" spans="1:30" x14ac:dyDescent="0.3">
      <c r="A48" s="2">
        <v>4</v>
      </c>
      <c r="B48" s="2">
        <v>-15.792999999999999</v>
      </c>
      <c r="C48" s="2">
        <v>9.7401999999999997</v>
      </c>
      <c r="D48" s="2">
        <v>-11.6807</v>
      </c>
      <c r="E48" s="2">
        <v>37.215899999999998</v>
      </c>
      <c r="F48" s="2">
        <v>-32.054099999999998</v>
      </c>
      <c r="G48" s="2">
        <v>1.3871</v>
      </c>
      <c r="H48" s="2">
        <v>1.3871</v>
      </c>
      <c r="R48" t="s">
        <v>366</v>
      </c>
    </row>
    <row r="49" spans="1:30" x14ac:dyDescent="0.3">
      <c r="A49" s="3">
        <v>5</v>
      </c>
      <c r="B49" s="3">
        <v>-8.2825000000000006</v>
      </c>
      <c r="C49" s="3">
        <v>8.8670000000000009</v>
      </c>
      <c r="D49" s="3">
        <v>-11.427199999999999</v>
      </c>
      <c r="E49" s="3">
        <v>28.697099999999999</v>
      </c>
      <c r="F49" s="3">
        <v>-31.212900000000001</v>
      </c>
      <c r="G49" s="3">
        <v>-4.8010000000000002</v>
      </c>
      <c r="H49" s="3">
        <v>-4.8010000000000002</v>
      </c>
      <c r="S49" t="s">
        <v>359</v>
      </c>
    </row>
    <row r="50" spans="1:30" x14ac:dyDescent="0.3">
      <c r="A50" s="3">
        <v>6</v>
      </c>
      <c r="B50" s="3">
        <v>-9.6515000000000004</v>
      </c>
      <c r="C50" s="3">
        <v>4.9767000000000001</v>
      </c>
      <c r="D50" s="3">
        <v>-6.1734999999999998</v>
      </c>
      <c r="E50" s="3">
        <v>21.941199999999998</v>
      </c>
      <c r="F50" s="3">
        <v>-19.158799999999999</v>
      </c>
      <c r="G50" s="3">
        <v>-3.9950999999999999</v>
      </c>
      <c r="H50" s="3">
        <v>-3.9950999999999999</v>
      </c>
      <c r="U50" t="s">
        <v>13</v>
      </c>
      <c r="W50" t="s">
        <v>14</v>
      </c>
    </row>
    <row r="51" spans="1:30" x14ac:dyDescent="0.3">
      <c r="A51">
        <v>7</v>
      </c>
      <c r="B51">
        <v>1.1574</v>
      </c>
      <c r="C51">
        <v>1.1574</v>
      </c>
      <c r="D51">
        <v>-2.2677</v>
      </c>
      <c r="E51">
        <v>-2.2833999999999999</v>
      </c>
      <c r="F51">
        <v>-2.2833999999999999</v>
      </c>
      <c r="G51">
        <v>-74.655600000000007</v>
      </c>
      <c r="H51">
        <v>-74.655600000000007</v>
      </c>
      <c r="S51" t="s">
        <v>359</v>
      </c>
      <c r="T51" t="s">
        <v>360</v>
      </c>
      <c r="U51">
        <v>6.42</v>
      </c>
      <c r="W51">
        <v>4.79</v>
      </c>
      <c r="AA51" t="s">
        <v>361</v>
      </c>
      <c r="AB51" t="s">
        <v>362</v>
      </c>
    </row>
    <row r="52" spans="1:30" x14ac:dyDescent="0.3">
      <c r="A52" s="167">
        <v>8</v>
      </c>
      <c r="B52" s="167">
        <v>3.1991000000000001</v>
      </c>
      <c r="C52" s="167">
        <v>3.1991000000000001</v>
      </c>
      <c r="D52" s="167">
        <v>-4.7167000000000003</v>
      </c>
      <c r="E52" s="167">
        <v>-2.4737</v>
      </c>
      <c r="F52" s="167">
        <v>-2.4737</v>
      </c>
      <c r="G52" s="167">
        <v>-60.590299999999999</v>
      </c>
      <c r="H52" s="167">
        <v>-60.590299999999999</v>
      </c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 t="s">
        <v>364</v>
      </c>
      <c r="U52" s="167">
        <f>16.05</f>
        <v>16.05</v>
      </c>
      <c r="V52" s="167"/>
      <c r="W52" s="167"/>
      <c r="X52" s="167"/>
      <c r="Y52" s="167"/>
      <c r="Z52" s="167" t="s">
        <v>360</v>
      </c>
      <c r="AA52" s="167">
        <f>D27</f>
        <v>-12.736000000000001</v>
      </c>
      <c r="AB52" s="167">
        <f>C29</f>
        <v>8.8855000000000004</v>
      </c>
      <c r="AC52" s="167"/>
      <c r="AD52" s="167"/>
    </row>
    <row r="53" spans="1:30" x14ac:dyDescent="0.3">
      <c r="A53">
        <v>9</v>
      </c>
      <c r="B53">
        <v>7.0805999999999996</v>
      </c>
      <c r="C53">
        <v>7.0805999999999996</v>
      </c>
      <c r="D53">
        <v>-8.2825000000000006</v>
      </c>
      <c r="E53">
        <v>-4.8010000000000002</v>
      </c>
      <c r="F53">
        <v>-4.8010000000000002</v>
      </c>
      <c r="G53">
        <v>-28.697099999999999</v>
      </c>
      <c r="H53">
        <v>-28.697099999999999</v>
      </c>
      <c r="S53" t="s">
        <v>365</v>
      </c>
      <c r="T53" t="s">
        <v>360</v>
      </c>
      <c r="U53">
        <f>U34</f>
        <v>-3.1459000000000001</v>
      </c>
      <c r="W53">
        <f>T34</f>
        <v>1.9678</v>
      </c>
      <c r="Z53" t="s">
        <v>364</v>
      </c>
      <c r="AA53">
        <f>F29</f>
        <v>-31.478999999999999</v>
      </c>
    </row>
    <row r="54" spans="1:30" x14ac:dyDescent="0.3">
      <c r="A54">
        <v>10</v>
      </c>
      <c r="B54">
        <v>-2.6599999999999999E-2</v>
      </c>
      <c r="C54">
        <v>9.06E-2</v>
      </c>
      <c r="D54">
        <v>9.06E-2</v>
      </c>
      <c r="E54">
        <v>7.8100000000000003E-2</v>
      </c>
      <c r="F54">
        <v>7.8100000000000003E-2</v>
      </c>
      <c r="G54">
        <v>-156.09010000000001</v>
      </c>
      <c r="H54">
        <v>-156.09010000000001</v>
      </c>
      <c r="T54" t="s">
        <v>364</v>
      </c>
      <c r="U54">
        <f>W34</f>
        <v>-7.6378000000000004</v>
      </c>
    </row>
    <row r="55" spans="1:30" x14ac:dyDescent="0.3">
      <c r="A55" s="167">
        <v>11</v>
      </c>
      <c r="B55" s="167">
        <v>0.1454</v>
      </c>
      <c r="C55" s="167">
        <v>0.1454</v>
      </c>
      <c r="D55" s="167">
        <v>-0.2843</v>
      </c>
      <c r="E55" s="167">
        <v>-0.1343</v>
      </c>
      <c r="F55" s="167">
        <v>-0.1343</v>
      </c>
      <c r="G55" s="167">
        <v>-127.74679999999999</v>
      </c>
      <c r="H55" s="167">
        <v>-127.74679999999999</v>
      </c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  <c r="AD55" s="167"/>
    </row>
    <row r="56" spans="1:30" x14ac:dyDescent="0.3">
      <c r="A56">
        <v>12</v>
      </c>
      <c r="B56">
        <v>-0.80310000000000004</v>
      </c>
      <c r="C56">
        <v>1.7757000000000001</v>
      </c>
      <c r="D56">
        <v>1.7757000000000001</v>
      </c>
      <c r="E56">
        <v>0.80589999999999995</v>
      </c>
      <c r="F56">
        <v>0.80589999999999995</v>
      </c>
      <c r="G56">
        <v>-53.1541</v>
      </c>
      <c r="H56">
        <v>-53.1541</v>
      </c>
    </row>
    <row r="57" spans="1:30" x14ac:dyDescent="0.3">
      <c r="A57">
        <v>13</v>
      </c>
      <c r="B57">
        <v>-1.0968</v>
      </c>
      <c r="C57">
        <v>2.2111000000000001</v>
      </c>
      <c r="D57">
        <v>2.2111000000000001</v>
      </c>
      <c r="E57">
        <v>2.2052999999999998</v>
      </c>
      <c r="F57">
        <v>2.2052999999999998</v>
      </c>
      <c r="G57">
        <v>-65.264200000000002</v>
      </c>
      <c r="H57">
        <v>-65.264200000000002</v>
      </c>
      <c r="R57" t="s">
        <v>367</v>
      </c>
    </row>
    <row r="58" spans="1:30" x14ac:dyDescent="0.3">
      <c r="A58" s="167">
        <v>14</v>
      </c>
      <c r="B58" s="167">
        <v>-3.2755999999999998</v>
      </c>
      <c r="C58" s="167">
        <v>5.0698999999999996</v>
      </c>
      <c r="D58" s="167">
        <v>5.0698999999999996</v>
      </c>
      <c r="E58" s="167">
        <v>2.6080000000000001</v>
      </c>
      <c r="F58" s="167">
        <v>2.6080000000000001</v>
      </c>
      <c r="G58" s="167">
        <v>-51.212899999999998</v>
      </c>
      <c r="H58" s="167">
        <v>-51.212899999999998</v>
      </c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 t="s">
        <v>359</v>
      </c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</row>
    <row r="59" spans="1:30" x14ac:dyDescent="0.3">
      <c r="A59">
        <v>15</v>
      </c>
      <c r="B59">
        <v>-6.6108000000000002</v>
      </c>
      <c r="C59">
        <v>6.1734999999999998</v>
      </c>
      <c r="D59">
        <v>6.1734999999999998</v>
      </c>
      <c r="E59">
        <v>3.9950999999999999</v>
      </c>
      <c r="F59">
        <v>3.9950999999999999</v>
      </c>
      <c r="G59">
        <v>-19.158799999999999</v>
      </c>
      <c r="H59">
        <v>-19.158799999999999</v>
      </c>
      <c r="U59" t="s">
        <v>13</v>
      </c>
      <c r="W59" t="s">
        <v>14</v>
      </c>
    </row>
    <row r="60" spans="1:30" x14ac:dyDescent="0.3">
      <c r="S60" t="s">
        <v>359</v>
      </c>
      <c r="T60" t="s">
        <v>360</v>
      </c>
      <c r="U60">
        <v>12.48</v>
      </c>
      <c r="W60">
        <v>7.01</v>
      </c>
      <c r="AA60" t="s">
        <v>361</v>
      </c>
      <c r="AB60" t="s">
        <v>362</v>
      </c>
    </row>
    <row r="61" spans="1:30" x14ac:dyDescent="0.3">
      <c r="T61" t="s">
        <v>364</v>
      </c>
      <c r="U61">
        <v>20.96</v>
      </c>
      <c r="Z61" t="s">
        <v>360</v>
      </c>
      <c r="AA61">
        <f>D47</f>
        <v>-16.311800000000002</v>
      </c>
      <c r="AB61">
        <f>C48</f>
        <v>9.7401999999999997</v>
      </c>
    </row>
    <row r="62" spans="1:30" x14ac:dyDescent="0.3">
      <c r="A62" t="s">
        <v>354</v>
      </c>
      <c r="S62" t="s">
        <v>365</v>
      </c>
      <c r="T62" t="s">
        <v>360</v>
      </c>
      <c r="U62">
        <f>U43</f>
        <v>0.83699999999999997</v>
      </c>
      <c r="W62">
        <f>T43</f>
        <v>0.83699999999999997</v>
      </c>
      <c r="Z62" t="s">
        <v>364</v>
      </c>
      <c r="AA62">
        <f>F47</f>
        <v>-37.376800000000003</v>
      </c>
    </row>
    <row r="63" spans="1:30" x14ac:dyDescent="0.3">
      <c r="T63" t="s">
        <v>364</v>
      </c>
      <c r="U63">
        <f>V35</f>
        <v>7.6378000000000004</v>
      </c>
    </row>
    <row r="64" spans="1:30" x14ac:dyDescent="0.3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</row>
    <row r="65" spans="1:30" x14ac:dyDescent="0.3">
      <c r="A65" s="1">
        <v>1</v>
      </c>
      <c r="B65" s="1">
        <v>-5.4775</v>
      </c>
      <c r="C65" s="1">
        <v>3.2637</v>
      </c>
      <c r="D65" s="1">
        <v>-5.6388999999999996</v>
      </c>
      <c r="E65" s="1">
        <v>14.0504</v>
      </c>
      <c r="F65" s="1">
        <v>-14.179600000000001</v>
      </c>
      <c r="G65" s="1">
        <v>0.43519999999999998</v>
      </c>
      <c r="H65" s="1">
        <v>0.43519999999999998</v>
      </c>
      <c r="S65" t="s">
        <v>0</v>
      </c>
      <c r="T65" t="s">
        <v>1</v>
      </c>
      <c r="U65" t="s">
        <v>2</v>
      </c>
      <c r="V65" t="s">
        <v>3</v>
      </c>
      <c r="W65" t="s">
        <v>4</v>
      </c>
      <c r="X65" t="s">
        <v>5</v>
      </c>
      <c r="Y65" t="s">
        <v>6</v>
      </c>
      <c r="Z65" t="s">
        <v>7</v>
      </c>
    </row>
    <row r="66" spans="1:30" x14ac:dyDescent="0.3">
      <c r="A66" s="1">
        <v>2</v>
      </c>
      <c r="B66" s="1">
        <v>-5.6388999999999996</v>
      </c>
      <c r="C66" s="1">
        <v>3.2637</v>
      </c>
      <c r="D66" s="1">
        <v>-5.4775</v>
      </c>
      <c r="E66" s="1">
        <v>14.179600000000001</v>
      </c>
      <c r="F66" s="1">
        <v>-14.0504</v>
      </c>
      <c r="G66" s="1">
        <v>0.43519999999999998</v>
      </c>
      <c r="H66" s="1">
        <v>0.43519999999999998</v>
      </c>
      <c r="S66">
        <v>1</v>
      </c>
      <c r="T66">
        <v>-0.2787</v>
      </c>
      <c r="U66">
        <v>0.21729999999999999</v>
      </c>
      <c r="V66">
        <v>0.21729999999999999</v>
      </c>
      <c r="W66">
        <v>0.19839999999999999</v>
      </c>
      <c r="X66">
        <v>0.19839999999999999</v>
      </c>
      <c r="Y66">
        <v>0.63119999999999998</v>
      </c>
      <c r="Z66">
        <v>0.63119999999999998</v>
      </c>
    </row>
    <row r="67" spans="1:30" x14ac:dyDescent="0.3">
      <c r="A67" s="2">
        <v>3</v>
      </c>
      <c r="B67" s="2">
        <v>-11.8912</v>
      </c>
      <c r="C67" s="2">
        <v>9.0938999999999997</v>
      </c>
      <c r="D67" s="2">
        <v>-15.733499999999999</v>
      </c>
      <c r="E67" s="2">
        <v>35.113100000000003</v>
      </c>
      <c r="F67" s="2">
        <v>-38.186900000000001</v>
      </c>
      <c r="G67" s="2">
        <v>1.6551</v>
      </c>
      <c r="H67" s="2">
        <v>1.6551</v>
      </c>
      <c r="S67">
        <v>2</v>
      </c>
      <c r="T67">
        <v>0.21729999999999999</v>
      </c>
      <c r="U67">
        <v>0.21729999999999999</v>
      </c>
      <c r="V67">
        <v>-0.2787</v>
      </c>
      <c r="W67">
        <v>-0.19839999999999999</v>
      </c>
      <c r="X67">
        <v>-0.19839999999999999</v>
      </c>
      <c r="Y67">
        <v>0.63119999999999998</v>
      </c>
      <c r="Z67">
        <v>0.63119999999999998</v>
      </c>
    </row>
    <row r="68" spans="1:30" x14ac:dyDescent="0.3">
      <c r="A68" s="2">
        <v>4</v>
      </c>
      <c r="B68" s="2">
        <v>-15.733499999999999</v>
      </c>
      <c r="C68" s="2">
        <v>9.0938999999999997</v>
      </c>
      <c r="D68" s="2">
        <v>-11.8912</v>
      </c>
      <c r="E68" s="2">
        <v>38.186900000000001</v>
      </c>
      <c r="F68" s="2">
        <v>-35.113100000000003</v>
      </c>
      <c r="G68" s="2">
        <v>1.6551</v>
      </c>
      <c r="H68" s="2">
        <v>1.6551</v>
      </c>
      <c r="S68">
        <v>3</v>
      </c>
      <c r="T68">
        <v>-2.5861000000000001</v>
      </c>
      <c r="U68">
        <v>2.0992000000000002</v>
      </c>
      <c r="V68">
        <v>-3.6901000000000002</v>
      </c>
      <c r="W68">
        <v>7.9333999999999998</v>
      </c>
      <c r="X68">
        <v>-8.8165999999999993</v>
      </c>
      <c r="Y68">
        <v>0.46229999999999999</v>
      </c>
      <c r="Z68">
        <v>0.46229999999999999</v>
      </c>
    </row>
    <row r="69" spans="1:30" x14ac:dyDescent="0.3">
      <c r="A69" s="3">
        <v>5</v>
      </c>
      <c r="B69" s="3">
        <v>-6.859</v>
      </c>
      <c r="C69" s="3">
        <v>6.3541999999999996</v>
      </c>
      <c r="D69" s="3">
        <v>-9.6387999999999998</v>
      </c>
      <c r="E69" s="3">
        <v>22.2531</v>
      </c>
      <c r="F69" s="3">
        <v>-24.476900000000001</v>
      </c>
      <c r="G69" s="3">
        <v>-4.2732000000000001</v>
      </c>
      <c r="H69" s="3">
        <v>-4.2732000000000001</v>
      </c>
      <c r="S69">
        <v>4</v>
      </c>
      <c r="T69">
        <v>-3.6901000000000002</v>
      </c>
      <c r="U69">
        <v>2.0992000000000002</v>
      </c>
      <c r="V69">
        <v>-2.5861000000000001</v>
      </c>
      <c r="W69">
        <v>8.8165999999999993</v>
      </c>
      <c r="X69">
        <v>-7.9333999999999998</v>
      </c>
      <c r="Y69">
        <v>0.46229999999999999</v>
      </c>
      <c r="Z69">
        <v>0.46229999999999999</v>
      </c>
    </row>
    <row r="70" spans="1:30" x14ac:dyDescent="0.3">
      <c r="A70" s="3">
        <v>6</v>
      </c>
      <c r="B70" s="3">
        <v>-9.6387999999999998</v>
      </c>
      <c r="C70" s="3">
        <v>6.3541999999999996</v>
      </c>
      <c r="D70" s="3">
        <v>-6.859</v>
      </c>
      <c r="E70" s="3">
        <v>24.476900000000001</v>
      </c>
      <c r="F70" s="3">
        <v>-22.2531</v>
      </c>
      <c r="G70" s="3">
        <v>-4.2732000000000001</v>
      </c>
      <c r="H70" s="3">
        <v>-4.2732000000000001</v>
      </c>
      <c r="S70">
        <v>5</v>
      </c>
      <c r="T70">
        <v>-1.4421999999999999</v>
      </c>
      <c r="U70">
        <v>1.2802</v>
      </c>
      <c r="V70">
        <v>-1.9348000000000001</v>
      </c>
      <c r="W70">
        <v>4.5529000000000002</v>
      </c>
      <c r="X70">
        <v>-4.9470999999999998</v>
      </c>
      <c r="Y70">
        <v>-0.93110000000000004</v>
      </c>
      <c r="Z70">
        <v>-0.93110000000000004</v>
      </c>
    </row>
    <row r="71" spans="1:30" x14ac:dyDescent="0.3">
      <c r="A71">
        <v>7</v>
      </c>
      <c r="B71">
        <v>1.0987</v>
      </c>
      <c r="C71">
        <v>1.0987</v>
      </c>
      <c r="D71">
        <v>-2.1756000000000002</v>
      </c>
      <c r="E71">
        <v>-2.1827999999999999</v>
      </c>
      <c r="F71">
        <v>-2.1827999999999999</v>
      </c>
      <c r="G71">
        <v>-71.416600000000003</v>
      </c>
      <c r="H71">
        <v>-71.416600000000003</v>
      </c>
      <c r="S71">
        <v>6</v>
      </c>
      <c r="T71">
        <v>-1.9348000000000001</v>
      </c>
      <c r="U71">
        <v>1.2802</v>
      </c>
      <c r="V71">
        <v>-1.4421999999999999</v>
      </c>
      <c r="W71">
        <v>4.9470999999999998</v>
      </c>
      <c r="X71">
        <v>-4.5529000000000002</v>
      </c>
      <c r="Y71">
        <v>-0.93110000000000004</v>
      </c>
      <c r="Z71">
        <v>-0.93110000000000004</v>
      </c>
    </row>
    <row r="72" spans="1:30" x14ac:dyDescent="0.3">
      <c r="A72" s="167">
        <v>8</v>
      </c>
      <c r="B72" s="167">
        <v>3.3018999999999998</v>
      </c>
      <c r="C72" s="167">
        <v>3.3018999999999998</v>
      </c>
      <c r="D72" s="167">
        <v>-5.0759999999999996</v>
      </c>
      <c r="E72" s="167">
        <v>-2.6181000000000001</v>
      </c>
      <c r="F72" s="167">
        <v>-2.6181000000000001</v>
      </c>
      <c r="G72" s="167">
        <v>-57.366199999999999</v>
      </c>
      <c r="H72" s="167">
        <v>-57.366199999999999</v>
      </c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>
        <v>7</v>
      </c>
      <c r="T72" s="167">
        <v>-7.0699999999999999E-2</v>
      </c>
      <c r="U72" s="167">
        <v>0.1729</v>
      </c>
      <c r="V72" s="167">
        <v>0.1729</v>
      </c>
      <c r="W72" s="167">
        <v>0.16239999999999999</v>
      </c>
      <c r="X72" s="167">
        <v>0.16239999999999999</v>
      </c>
      <c r="Y72" s="167">
        <v>-12.684799999999999</v>
      </c>
      <c r="Z72" s="167">
        <v>-12.684799999999999</v>
      </c>
      <c r="AA72" s="167"/>
      <c r="AB72" s="167"/>
      <c r="AC72" s="167"/>
      <c r="AD72" s="167"/>
    </row>
    <row r="73" spans="1:30" x14ac:dyDescent="0.3">
      <c r="A73">
        <v>9</v>
      </c>
      <c r="B73">
        <v>6.8152999999999997</v>
      </c>
      <c r="C73">
        <v>6.8152999999999997</v>
      </c>
      <c r="D73">
        <v>-6.859</v>
      </c>
      <c r="E73">
        <v>-4.2732000000000001</v>
      </c>
      <c r="F73">
        <v>-4.2732000000000001</v>
      </c>
      <c r="G73">
        <v>-22.2531</v>
      </c>
      <c r="H73">
        <v>-22.2531</v>
      </c>
      <c r="S73">
        <v>8</v>
      </c>
      <c r="T73">
        <v>0.4516</v>
      </c>
      <c r="U73">
        <v>0.4516</v>
      </c>
      <c r="V73">
        <v>-1.0487</v>
      </c>
      <c r="W73">
        <v>-0.46879999999999999</v>
      </c>
      <c r="X73">
        <v>-0.46879999999999999</v>
      </c>
      <c r="Y73">
        <v>-12.4863</v>
      </c>
      <c r="Z73">
        <v>-12.4863</v>
      </c>
    </row>
    <row r="74" spans="1:30" x14ac:dyDescent="0.3">
      <c r="A74">
        <v>10</v>
      </c>
      <c r="B74" s="5">
        <v>-5.2224300000000003E-16</v>
      </c>
      <c r="C74" s="5">
        <v>3.2597199999999998E-16</v>
      </c>
      <c r="D74" s="5">
        <v>3.2597199999999998E-16</v>
      </c>
      <c r="E74" s="5">
        <v>5.6547700000000002E-16</v>
      </c>
      <c r="F74" s="5">
        <v>5.6547700000000002E-16</v>
      </c>
      <c r="G74">
        <v>-153.68680000000001</v>
      </c>
      <c r="H74">
        <v>-153.68680000000001</v>
      </c>
      <c r="S74">
        <v>9</v>
      </c>
      <c r="T74">
        <v>1.5373000000000001</v>
      </c>
      <c r="U74">
        <v>1.5373000000000001</v>
      </c>
      <c r="V74">
        <v>-1.4421999999999999</v>
      </c>
      <c r="W74">
        <v>-0.93110000000000004</v>
      </c>
      <c r="X74">
        <v>-0.93110000000000004</v>
      </c>
      <c r="Y74">
        <v>-4.5529000000000002</v>
      </c>
      <c r="Z74">
        <v>-4.5529000000000002</v>
      </c>
    </row>
    <row r="75" spans="1:30" x14ac:dyDescent="0.3">
      <c r="A75" s="167">
        <v>11</v>
      </c>
      <c r="B75" s="168">
        <v>-2.7008700000000001E-16</v>
      </c>
      <c r="C75" s="168">
        <v>3.17085E-16</v>
      </c>
      <c r="D75" s="168">
        <v>3.17085E-16</v>
      </c>
      <c r="E75" s="168">
        <v>1.8349099999999999E-16</v>
      </c>
      <c r="F75" s="168">
        <v>1.8349099999999999E-16</v>
      </c>
      <c r="G75" s="167">
        <v>-125.32769999999999</v>
      </c>
      <c r="H75" s="167">
        <v>-125.32769999999999</v>
      </c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>
        <v>10</v>
      </c>
      <c r="T75" s="168">
        <v>-2.04796E-16</v>
      </c>
      <c r="U75" s="168">
        <v>1.47831E-16</v>
      </c>
      <c r="V75" s="168">
        <v>1.47831E-16</v>
      </c>
      <c r="W75" s="168">
        <v>2.3508399999999999E-16</v>
      </c>
      <c r="X75" s="168">
        <v>2.3508399999999999E-16</v>
      </c>
      <c r="Y75" s="167">
        <v>-27.130500000000001</v>
      </c>
      <c r="Z75" s="167">
        <v>-27.130500000000001</v>
      </c>
      <c r="AA75" s="167"/>
      <c r="AB75" s="167"/>
      <c r="AC75" s="167"/>
      <c r="AD75" s="167"/>
    </row>
    <row r="76" spans="1:30" x14ac:dyDescent="0.3">
      <c r="A76">
        <v>12</v>
      </c>
      <c r="B76" s="5">
        <v>8.15894E-16</v>
      </c>
      <c r="C76" s="5">
        <v>8.15894E-16</v>
      </c>
      <c r="D76" s="5">
        <v>-1.2191E-15</v>
      </c>
      <c r="E76" s="5">
        <v>-6.3593699999999998E-16</v>
      </c>
      <c r="F76" s="5">
        <v>-6.3593699999999998E-16</v>
      </c>
      <c r="G76">
        <v>-48.953899999999997</v>
      </c>
      <c r="H76">
        <v>-48.953899999999997</v>
      </c>
      <c r="S76">
        <v>11</v>
      </c>
      <c r="T76" s="5">
        <v>-1.06746E-16</v>
      </c>
      <c r="U76" s="5">
        <v>1.21791E-16</v>
      </c>
      <c r="V76" s="5">
        <v>1.21791E-16</v>
      </c>
      <c r="W76" s="5">
        <v>7.1418E-17</v>
      </c>
      <c r="X76" s="5">
        <v>7.1418E-17</v>
      </c>
      <c r="Y76">
        <v>-27.5273</v>
      </c>
      <c r="Z76">
        <v>-27.5273</v>
      </c>
    </row>
    <row r="77" spans="1:30" x14ac:dyDescent="0.3">
      <c r="A77">
        <v>13</v>
      </c>
      <c r="B77">
        <v>-1.0987</v>
      </c>
      <c r="C77">
        <v>2.1756000000000002</v>
      </c>
      <c r="D77">
        <v>2.1756000000000002</v>
      </c>
      <c r="E77">
        <v>2.1827999999999999</v>
      </c>
      <c r="F77">
        <v>2.1827999999999999</v>
      </c>
      <c r="G77">
        <v>-71.416600000000003</v>
      </c>
      <c r="H77">
        <v>-71.416600000000003</v>
      </c>
      <c r="S77">
        <v>12</v>
      </c>
      <c r="T77" s="5">
        <v>9.3121999999999995E-17</v>
      </c>
      <c r="U77" s="5">
        <v>9.3121999999999995E-17</v>
      </c>
      <c r="V77" s="5">
        <v>-1.5697299999999999E-16</v>
      </c>
      <c r="W77" s="5">
        <v>-7.8154599999999995E-17</v>
      </c>
      <c r="X77" s="5">
        <v>-7.8154599999999995E-17</v>
      </c>
      <c r="Y77">
        <v>-9.8940999999999999</v>
      </c>
      <c r="Z77">
        <v>-9.8940999999999999</v>
      </c>
    </row>
    <row r="78" spans="1:30" x14ac:dyDescent="0.3">
      <c r="A78" s="167">
        <v>14</v>
      </c>
      <c r="B78" s="167">
        <v>-3.3018999999999998</v>
      </c>
      <c r="C78" s="167">
        <v>5.0759999999999996</v>
      </c>
      <c r="D78" s="167">
        <v>5.0759999999999996</v>
      </c>
      <c r="E78" s="167">
        <v>2.6181000000000001</v>
      </c>
      <c r="F78" s="167">
        <v>2.6181000000000001</v>
      </c>
      <c r="G78" s="167">
        <v>-57.366199999999999</v>
      </c>
      <c r="H78" s="167">
        <v>-57.366199999999999</v>
      </c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>
        <v>13</v>
      </c>
      <c r="T78" s="167">
        <v>7.0699999999999999E-2</v>
      </c>
      <c r="U78" s="167">
        <v>7.0699999999999999E-2</v>
      </c>
      <c r="V78" s="167">
        <v>-0.1729</v>
      </c>
      <c r="W78" s="167">
        <v>-0.16239999999999999</v>
      </c>
      <c r="X78" s="167">
        <v>-0.16239999999999999</v>
      </c>
      <c r="Y78" s="167">
        <v>-12.684799999999999</v>
      </c>
      <c r="Z78" s="167">
        <v>-12.684799999999999</v>
      </c>
      <c r="AA78" s="167"/>
      <c r="AB78" s="167"/>
      <c r="AC78" s="167"/>
      <c r="AD78" s="167"/>
    </row>
    <row r="79" spans="1:30" x14ac:dyDescent="0.3">
      <c r="A79">
        <v>15</v>
      </c>
      <c r="B79">
        <v>-6.8152999999999997</v>
      </c>
      <c r="C79">
        <v>6.859</v>
      </c>
      <c r="D79">
        <v>6.859</v>
      </c>
      <c r="E79">
        <v>4.2732000000000001</v>
      </c>
      <c r="F79">
        <v>4.2732000000000001</v>
      </c>
      <c r="G79">
        <v>-22.2531</v>
      </c>
      <c r="H79">
        <v>-22.2531</v>
      </c>
      <c r="S79">
        <v>14</v>
      </c>
      <c r="T79">
        <v>-0.4516</v>
      </c>
      <c r="U79">
        <v>1.0487</v>
      </c>
      <c r="V79">
        <v>1.0487</v>
      </c>
      <c r="W79">
        <v>0.46879999999999999</v>
      </c>
      <c r="X79">
        <v>0.46879999999999999</v>
      </c>
      <c r="Y79">
        <v>-12.4863</v>
      </c>
      <c r="Z79">
        <v>-12.4863</v>
      </c>
    </row>
    <row r="80" spans="1:30" x14ac:dyDescent="0.3">
      <c r="S80">
        <v>15</v>
      </c>
      <c r="T80">
        <v>-1.5373000000000001</v>
      </c>
      <c r="U80">
        <v>1.4421999999999999</v>
      </c>
      <c r="V80">
        <v>1.4421999999999999</v>
      </c>
      <c r="W80">
        <v>0.93110000000000004</v>
      </c>
      <c r="X80">
        <v>0.93110000000000004</v>
      </c>
      <c r="Y80">
        <v>-4.5529000000000002</v>
      </c>
      <c r="Z80">
        <v>-4.5529000000000002</v>
      </c>
    </row>
    <row r="81" spans="1:29" x14ac:dyDescent="0.3">
      <c r="A81" s="431" t="s">
        <v>178</v>
      </c>
      <c r="B81" s="431"/>
      <c r="C81" s="431"/>
      <c r="D81" s="431"/>
      <c r="E81" s="431"/>
      <c r="F81" s="431"/>
      <c r="G81" s="431"/>
      <c r="H81" s="431"/>
    </row>
    <row r="82" spans="1:29" x14ac:dyDescent="0.3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</row>
    <row r="83" spans="1:29" x14ac:dyDescent="0.3">
      <c r="A83">
        <v>1</v>
      </c>
      <c r="B83">
        <v>-4.1929999999999996</v>
      </c>
      <c r="C83">
        <v>2.7606000000000002</v>
      </c>
      <c r="D83">
        <v>-4.9889000000000001</v>
      </c>
      <c r="E83">
        <v>11.444100000000001</v>
      </c>
      <c r="F83">
        <v>-12.0808</v>
      </c>
      <c r="G83">
        <v>-0.47889999999999999</v>
      </c>
      <c r="H83">
        <v>-0.47889999999999999</v>
      </c>
      <c r="S83" t="s">
        <v>354</v>
      </c>
    </row>
    <row r="84" spans="1:29" x14ac:dyDescent="0.3">
      <c r="A84">
        <v>2</v>
      </c>
      <c r="B84">
        <v>-4.9889000000000001</v>
      </c>
      <c r="C84">
        <v>2.7606000000000002</v>
      </c>
      <c r="D84">
        <v>-4.1929999999999996</v>
      </c>
      <c r="E84">
        <v>12.0808</v>
      </c>
      <c r="F84">
        <v>-11.444100000000001</v>
      </c>
      <c r="G84">
        <v>-0.47889999999999999</v>
      </c>
      <c r="H84">
        <v>-0.47889999999999999</v>
      </c>
      <c r="T84" t="s">
        <v>359</v>
      </c>
    </row>
    <row r="85" spans="1:29" x14ac:dyDescent="0.3">
      <c r="A85">
        <v>3</v>
      </c>
      <c r="B85">
        <v>-6.4612999999999996</v>
      </c>
      <c r="C85">
        <v>4.7831999999999999</v>
      </c>
      <c r="D85">
        <v>-8.1911000000000005</v>
      </c>
      <c r="E85">
        <v>18.6831</v>
      </c>
      <c r="F85">
        <v>-20.0669</v>
      </c>
      <c r="G85">
        <v>0.76290000000000002</v>
      </c>
      <c r="H85">
        <v>0.76290000000000002</v>
      </c>
      <c r="V85" t="s">
        <v>13</v>
      </c>
      <c r="X85" t="s">
        <v>14</v>
      </c>
    </row>
    <row r="86" spans="1:29" x14ac:dyDescent="0.3">
      <c r="A86">
        <v>4</v>
      </c>
      <c r="B86">
        <v>-8.1911000000000005</v>
      </c>
      <c r="C86">
        <v>4.7831999999999999</v>
      </c>
      <c r="D86">
        <v>-6.4612999999999996</v>
      </c>
      <c r="E86">
        <v>20.0669</v>
      </c>
      <c r="F86">
        <v>-18.6831</v>
      </c>
      <c r="G86">
        <v>0.76290000000000002</v>
      </c>
      <c r="H86">
        <v>0.76290000000000002</v>
      </c>
      <c r="T86" t="s">
        <v>359</v>
      </c>
      <c r="U86" t="s">
        <v>360</v>
      </c>
      <c r="V86">
        <f>B86</f>
        <v>-8.1911000000000005</v>
      </c>
      <c r="X86">
        <f>C85</f>
        <v>4.7831999999999999</v>
      </c>
      <c r="AB86" t="s">
        <v>361</v>
      </c>
      <c r="AC86" t="s">
        <v>362</v>
      </c>
    </row>
    <row r="87" spans="1:29" x14ac:dyDescent="0.3">
      <c r="A87">
        <v>5</v>
      </c>
      <c r="B87">
        <v>-3.7928999999999999</v>
      </c>
      <c r="C87">
        <v>3.5891000000000002</v>
      </c>
      <c r="D87">
        <v>-5.4526000000000003</v>
      </c>
      <c r="E87">
        <v>12.473599999999999</v>
      </c>
      <c r="F87">
        <v>-13.801399999999999</v>
      </c>
      <c r="G87">
        <v>-2.3195000000000001</v>
      </c>
      <c r="H87">
        <v>-2.3195000000000001</v>
      </c>
      <c r="U87" t="s">
        <v>364</v>
      </c>
      <c r="V87">
        <f>E86</f>
        <v>20.0669</v>
      </c>
      <c r="AA87" t="s">
        <v>360</v>
      </c>
      <c r="AB87">
        <f>B68</f>
        <v>-15.733499999999999</v>
      </c>
      <c r="AC87">
        <f>C68</f>
        <v>9.0938999999999997</v>
      </c>
    </row>
    <row r="88" spans="1:29" x14ac:dyDescent="0.3">
      <c r="A88">
        <v>6</v>
      </c>
      <c r="B88">
        <v>-5.4526000000000003</v>
      </c>
      <c r="C88">
        <v>3.5891000000000002</v>
      </c>
      <c r="D88">
        <v>-3.7928999999999999</v>
      </c>
      <c r="E88">
        <v>13.801399999999999</v>
      </c>
      <c r="F88">
        <v>-12.473599999999999</v>
      </c>
      <c r="G88">
        <v>-2.3195000000000001</v>
      </c>
      <c r="H88">
        <v>-2.3195000000000001</v>
      </c>
      <c r="T88" t="s">
        <v>365</v>
      </c>
      <c r="U88" t="s">
        <v>360</v>
      </c>
      <c r="V88">
        <f>V68</f>
        <v>-3.6901000000000002</v>
      </c>
      <c r="X88">
        <f>U68</f>
        <v>2.0992000000000002</v>
      </c>
      <c r="AA88" t="s">
        <v>364</v>
      </c>
      <c r="AB88">
        <f>E68</f>
        <v>38.186900000000001</v>
      </c>
    </row>
    <row r="89" spans="1:29" x14ac:dyDescent="0.3">
      <c r="A89">
        <v>7</v>
      </c>
      <c r="B89">
        <v>1.0098</v>
      </c>
      <c r="C89">
        <v>1.0098</v>
      </c>
      <c r="D89">
        <v>-2.0434999999999999</v>
      </c>
      <c r="E89">
        <v>-2.0354999999999999</v>
      </c>
      <c r="F89">
        <v>-2.0354999999999999</v>
      </c>
      <c r="G89">
        <v>-42.6008</v>
      </c>
      <c r="H89">
        <v>-42.6008</v>
      </c>
      <c r="U89" t="s">
        <v>364</v>
      </c>
      <c r="V89">
        <f>W69</f>
        <v>8.8165999999999993</v>
      </c>
    </row>
    <row r="90" spans="1:29" x14ac:dyDescent="0.3">
      <c r="A90">
        <v>8</v>
      </c>
      <c r="B90">
        <v>2.1495000000000002</v>
      </c>
      <c r="C90">
        <v>2.1495000000000002</v>
      </c>
      <c r="D90">
        <v>-2.8317000000000001</v>
      </c>
      <c r="E90">
        <v>-1.5566</v>
      </c>
      <c r="F90">
        <v>-1.5566</v>
      </c>
      <c r="G90">
        <v>-31.156700000000001</v>
      </c>
      <c r="H90">
        <v>-31.156700000000001</v>
      </c>
    </row>
    <row r="91" spans="1:29" x14ac:dyDescent="0.3">
      <c r="A91">
        <v>9</v>
      </c>
      <c r="B91">
        <v>3.6295999999999999</v>
      </c>
      <c r="C91">
        <v>3.6295999999999999</v>
      </c>
      <c r="D91">
        <v>-3.7928999999999999</v>
      </c>
      <c r="E91">
        <v>-2.3195000000000001</v>
      </c>
      <c r="F91">
        <v>-2.3195000000000001</v>
      </c>
      <c r="G91">
        <v>-12.473599999999999</v>
      </c>
      <c r="H91">
        <v>-12.473599999999999</v>
      </c>
    </row>
    <row r="92" spans="1:29" x14ac:dyDescent="0.3">
      <c r="A92">
        <v>10</v>
      </c>
      <c r="B92" s="5">
        <v>-1.62141E-16</v>
      </c>
      <c r="C92" s="5">
        <v>7.4535800000000004E-17</v>
      </c>
      <c r="D92" s="5">
        <v>7.4535800000000004E-17</v>
      </c>
      <c r="E92" s="5">
        <v>1.5778500000000001E-16</v>
      </c>
      <c r="F92" s="5">
        <v>1.5778500000000001E-16</v>
      </c>
      <c r="G92">
        <v>-91.898300000000006</v>
      </c>
      <c r="H92">
        <v>-91.898300000000006</v>
      </c>
    </row>
    <row r="93" spans="1:29" x14ac:dyDescent="0.3">
      <c r="A93">
        <v>11</v>
      </c>
      <c r="B93" s="5">
        <v>-8.2743900000000002E-17</v>
      </c>
      <c r="C93" s="5">
        <v>1.01849E-16</v>
      </c>
      <c r="D93" s="5">
        <v>1.01849E-16</v>
      </c>
      <c r="E93" s="5">
        <v>5.7685300000000002E-17</v>
      </c>
      <c r="F93" s="5">
        <v>5.7685300000000002E-17</v>
      </c>
      <c r="G93">
        <v>-67.736599999999996</v>
      </c>
      <c r="H93">
        <v>-67.736599999999996</v>
      </c>
    </row>
    <row r="94" spans="1:29" x14ac:dyDescent="0.3">
      <c r="A94">
        <v>12</v>
      </c>
      <c r="B94" s="5">
        <v>5.5574899999999999E-16</v>
      </c>
      <c r="C94" s="5">
        <v>5.5574899999999999E-16</v>
      </c>
      <c r="D94" s="5">
        <v>-8.0662200000000001E-16</v>
      </c>
      <c r="E94" s="5">
        <v>-4.2574100000000001E-16</v>
      </c>
      <c r="F94" s="5">
        <v>-4.2574100000000001E-16</v>
      </c>
      <c r="G94">
        <v>-27.602799999999998</v>
      </c>
      <c r="H94">
        <v>-27.602799999999998</v>
      </c>
    </row>
    <row r="95" spans="1:29" x14ac:dyDescent="0.3">
      <c r="A95">
        <v>13</v>
      </c>
      <c r="B95">
        <v>-1.0098</v>
      </c>
      <c r="C95">
        <v>2.0434999999999999</v>
      </c>
      <c r="D95">
        <v>2.0434999999999999</v>
      </c>
      <c r="E95">
        <v>2.0354999999999999</v>
      </c>
      <c r="F95">
        <v>2.0354999999999999</v>
      </c>
      <c r="G95">
        <v>-42.6008</v>
      </c>
      <c r="H95">
        <v>-42.6008</v>
      </c>
    </row>
    <row r="96" spans="1:29" x14ac:dyDescent="0.3">
      <c r="A96">
        <v>14</v>
      </c>
      <c r="B96">
        <v>-2.1495000000000002</v>
      </c>
      <c r="C96">
        <v>2.8317000000000001</v>
      </c>
      <c r="D96">
        <v>2.8317000000000001</v>
      </c>
      <c r="E96">
        <v>1.5566</v>
      </c>
      <c r="F96">
        <v>1.5566</v>
      </c>
      <c r="G96">
        <v>-31.156700000000001</v>
      </c>
      <c r="H96">
        <v>-31.156700000000001</v>
      </c>
      <c r="L96" t="s">
        <v>292</v>
      </c>
    </row>
    <row r="97" spans="1:22" x14ac:dyDescent="0.3">
      <c r="A97">
        <v>15</v>
      </c>
      <c r="B97">
        <v>-3.6295999999999999</v>
      </c>
      <c r="C97">
        <v>3.7928999999999999</v>
      </c>
      <c r="D97">
        <v>3.7928999999999999</v>
      </c>
      <c r="E97">
        <v>2.3195000000000001</v>
      </c>
      <c r="F97">
        <v>2.3195000000000001</v>
      </c>
      <c r="G97">
        <v>-12.473599999999999</v>
      </c>
      <c r="H97">
        <v>-12.473599999999999</v>
      </c>
      <c r="M97" t="s">
        <v>359</v>
      </c>
    </row>
    <row r="98" spans="1:22" x14ac:dyDescent="0.3">
      <c r="O98" t="s">
        <v>13</v>
      </c>
      <c r="Q98" t="s">
        <v>14</v>
      </c>
    </row>
    <row r="99" spans="1:22" x14ac:dyDescent="0.3">
      <c r="M99" t="s">
        <v>359</v>
      </c>
      <c r="N99" t="s">
        <v>360</v>
      </c>
      <c r="O99">
        <v>4.32</v>
      </c>
      <c r="Q99">
        <v>2.4500000000000002</v>
      </c>
      <c r="U99" t="s">
        <v>361</v>
      </c>
      <c r="V99" t="s">
        <v>362</v>
      </c>
    </row>
    <row r="100" spans="1:22" x14ac:dyDescent="0.3">
      <c r="N100" t="s">
        <v>364</v>
      </c>
      <c r="O100">
        <v>11.22</v>
      </c>
      <c r="T100" t="s">
        <v>360</v>
      </c>
      <c r="U100">
        <f>ABS(D45)</f>
        <v>5.5911</v>
      </c>
      <c r="V100">
        <f>C45</f>
        <v>3.2930000000000001</v>
      </c>
    </row>
    <row r="101" spans="1:22" x14ac:dyDescent="0.3">
      <c r="M101" t="s">
        <v>365</v>
      </c>
      <c r="N101" t="s">
        <v>360</v>
      </c>
      <c r="O101">
        <f>ABS(U31)</f>
        <v>0.25540000000000002</v>
      </c>
      <c r="Q101">
        <f>T31</f>
        <v>0.21360000000000001</v>
      </c>
      <c r="T101" t="s">
        <v>364</v>
      </c>
      <c r="U101">
        <f>ABS(F2)</f>
        <v>14.2509</v>
      </c>
    </row>
    <row r="102" spans="1:22" x14ac:dyDescent="0.3">
      <c r="B102" t="s">
        <v>368</v>
      </c>
      <c r="N102" t="s">
        <v>364</v>
      </c>
      <c r="O102">
        <f>X30</f>
        <v>0.48449999999999999</v>
      </c>
    </row>
    <row r="104" spans="1:22" x14ac:dyDescent="0.3">
      <c r="B104" t="s">
        <v>369</v>
      </c>
      <c r="C104" t="s">
        <v>15</v>
      </c>
      <c r="D104" t="s">
        <v>16</v>
      </c>
    </row>
    <row r="105" spans="1:22" x14ac:dyDescent="0.3">
      <c r="B105" t="s">
        <v>370</v>
      </c>
      <c r="C105">
        <v>81.05</v>
      </c>
      <c r="D105">
        <v>19.989999999999998</v>
      </c>
    </row>
    <row r="106" spans="1:22" x14ac:dyDescent="0.3">
      <c r="B106" t="s">
        <v>371</v>
      </c>
      <c r="C106">
        <v>66.489999999999995</v>
      </c>
      <c r="D106">
        <v>29.98</v>
      </c>
    </row>
    <row r="108" spans="1:22" x14ac:dyDescent="0.3">
      <c r="B108" t="s">
        <v>358</v>
      </c>
      <c r="C108" t="s">
        <v>15</v>
      </c>
      <c r="D108" t="s">
        <v>16</v>
      </c>
    </row>
    <row r="109" spans="1:22" x14ac:dyDescent="0.3">
      <c r="B109" t="s">
        <v>370</v>
      </c>
      <c r="C109">
        <v>41.5</v>
      </c>
      <c r="D109">
        <v>10.19</v>
      </c>
    </row>
    <row r="110" spans="1:22" x14ac:dyDescent="0.3">
      <c r="B110" t="s">
        <v>371</v>
      </c>
      <c r="C110">
        <v>24.37</v>
      </c>
      <c r="D110">
        <v>15.28</v>
      </c>
    </row>
  </sheetData>
  <mergeCells count="1">
    <mergeCell ref="A81:H81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34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I162"/>
  <sheetViews>
    <sheetView showGridLines="0" view="pageBreakPreview" zoomScale="46" zoomScaleNormal="55" zoomScaleSheetLayoutView="70" workbookViewId="0">
      <selection activeCell="B15" sqref="B15"/>
    </sheetView>
  </sheetViews>
  <sheetFormatPr defaultColWidth="8.88671875" defaultRowHeight="13.8" x14ac:dyDescent="0.25"/>
  <cols>
    <col min="1" max="1" width="12" style="62" customWidth="1"/>
    <col min="2" max="2" width="10.6640625" style="62" bestFit="1" customWidth="1"/>
    <col min="3" max="3" width="13.33203125" style="62" bestFit="1" customWidth="1"/>
    <col min="4" max="4" width="11.88671875" style="62" customWidth="1"/>
    <col min="5" max="5" width="11.33203125" style="62" bestFit="1" customWidth="1"/>
    <col min="6" max="6" width="10.6640625" style="62" bestFit="1" customWidth="1"/>
    <col min="7" max="8" width="9.6640625" style="62" bestFit="1" customWidth="1"/>
    <col min="9" max="9" width="1.88671875" style="62" customWidth="1"/>
    <col min="10" max="10" width="8.33203125" style="62" customWidth="1"/>
    <col min="11" max="11" width="14.109375" style="62" customWidth="1"/>
    <col min="12" max="12" width="14.6640625" style="62" customWidth="1"/>
    <col min="13" max="13" width="10.6640625" style="62" bestFit="1" customWidth="1"/>
    <col min="14" max="14" width="8.6640625" style="62" bestFit="1" customWidth="1"/>
    <col min="15" max="15" width="11.33203125" style="62" bestFit="1" customWidth="1"/>
    <col min="16" max="16" width="10.5546875" style="62" bestFit="1" customWidth="1"/>
    <col min="17" max="17" width="14.33203125" style="62" bestFit="1" customWidth="1"/>
    <col min="18" max="20" width="8.88671875" style="62"/>
    <col min="21" max="21" width="10.5546875" style="62" bestFit="1" customWidth="1"/>
    <col min="22" max="23" width="12.88671875" style="62" bestFit="1" customWidth="1"/>
    <col min="24" max="24" width="10.5546875" style="62" bestFit="1" customWidth="1"/>
    <col min="25" max="25" width="12.5546875" style="62" bestFit="1" customWidth="1"/>
    <col min="26" max="26" width="13.44140625" style="62" bestFit="1" customWidth="1"/>
    <col min="27" max="27" width="4.6640625" style="62" customWidth="1"/>
    <col min="28" max="31" width="8.88671875" style="62"/>
    <col min="32" max="32" width="23.109375" style="62" bestFit="1" customWidth="1"/>
    <col min="33" max="16384" width="8.88671875" style="62"/>
  </cols>
  <sheetData>
    <row r="1" spans="1:35" ht="19.95" customHeight="1" x14ac:dyDescent="0.25">
      <c r="A1" s="428" t="s">
        <v>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30"/>
    </row>
    <row r="2" spans="1:35" x14ac:dyDescent="0.25">
      <c r="A2" s="112" t="s">
        <v>9</v>
      </c>
      <c r="J2" s="92" t="s">
        <v>11</v>
      </c>
      <c r="V2" s="65"/>
    </row>
    <row r="3" spans="1:35" x14ac:dyDescent="0.25">
      <c r="A3" s="63" t="s">
        <v>0</v>
      </c>
      <c r="B3" s="62" t="s">
        <v>1</v>
      </c>
      <c r="C3" s="62" t="s">
        <v>2</v>
      </c>
      <c r="D3" s="62" t="s">
        <v>3</v>
      </c>
      <c r="E3" s="62" t="s">
        <v>4</v>
      </c>
      <c r="F3" s="62" t="s">
        <v>5</v>
      </c>
      <c r="G3" s="62" t="s">
        <v>6</v>
      </c>
      <c r="H3" s="62" t="s">
        <v>7</v>
      </c>
      <c r="J3" s="62" t="s">
        <v>0</v>
      </c>
      <c r="K3" s="62" t="s">
        <v>1</v>
      </c>
      <c r="L3" s="62" t="s">
        <v>2</v>
      </c>
      <c r="M3" s="62" t="s">
        <v>3</v>
      </c>
      <c r="N3" s="62" t="s">
        <v>4</v>
      </c>
      <c r="O3" s="62" t="s">
        <v>5</v>
      </c>
      <c r="P3" s="62" t="s">
        <v>6</v>
      </c>
      <c r="Q3" s="62" t="s">
        <v>7</v>
      </c>
      <c r="V3" s="65"/>
    </row>
    <row r="4" spans="1:35" x14ac:dyDescent="0.25">
      <c r="A4" s="300">
        <v>1</v>
      </c>
      <c r="B4" s="301">
        <v>-11.1693</v>
      </c>
      <c r="C4" s="301">
        <v>7.0134999999999996</v>
      </c>
      <c r="D4" s="301">
        <v>-12.4358</v>
      </c>
      <c r="E4" s="301">
        <v>18.499400000000001</v>
      </c>
      <c r="F4" s="301">
        <v>-19.1326</v>
      </c>
      <c r="G4" s="62">
        <v>-1.1980999999999999</v>
      </c>
      <c r="H4" s="62">
        <v>-1.1980999999999999</v>
      </c>
      <c r="J4" s="301">
        <v>1</v>
      </c>
      <c r="K4" s="301">
        <v>-13.4985</v>
      </c>
      <c r="L4" s="301">
        <v>8.2956000000000003</v>
      </c>
      <c r="M4" s="301">
        <v>-15.0687</v>
      </c>
      <c r="N4" s="301">
        <v>22.186599999999999</v>
      </c>
      <c r="O4" s="301">
        <v>-22.971800000000002</v>
      </c>
      <c r="P4" s="62">
        <v>-0.40539999999999998</v>
      </c>
      <c r="Q4" s="62">
        <v>-0.40539999999999998</v>
      </c>
      <c r="V4" s="65"/>
    </row>
    <row r="5" spans="1:35" x14ac:dyDescent="0.25">
      <c r="A5" s="300">
        <v>2</v>
      </c>
      <c r="B5" s="301">
        <v>-6.9310999999999998</v>
      </c>
      <c r="C5" s="301">
        <v>2.1204000000000001</v>
      </c>
      <c r="D5" s="301">
        <v>-6.9310999999999998</v>
      </c>
      <c r="E5" s="301">
        <v>18.103000000000002</v>
      </c>
      <c r="F5" s="301">
        <v>-18.103000000000002</v>
      </c>
      <c r="G5" s="62">
        <v>-1.1516</v>
      </c>
      <c r="H5" s="62">
        <v>-1.1516</v>
      </c>
      <c r="J5" s="301">
        <v>2</v>
      </c>
      <c r="K5" s="301">
        <v>-9.0449000000000002</v>
      </c>
      <c r="L5" s="301">
        <v>3.3369</v>
      </c>
      <c r="M5" s="301">
        <v>-9.0449000000000002</v>
      </c>
      <c r="N5" s="301">
        <v>24.7636</v>
      </c>
      <c r="O5" s="301">
        <v>-24.7636</v>
      </c>
      <c r="P5" s="62">
        <v>-1.4456</v>
      </c>
      <c r="Q5" s="62">
        <v>-1.4456</v>
      </c>
      <c r="V5" s="65"/>
    </row>
    <row r="6" spans="1:35" x14ac:dyDescent="0.25">
      <c r="A6" s="300">
        <v>3</v>
      </c>
      <c r="B6" s="301">
        <v>-12.4358</v>
      </c>
      <c r="C6" s="301">
        <v>7.0134999999999996</v>
      </c>
      <c r="D6" s="301">
        <v>-11.1693</v>
      </c>
      <c r="E6" s="301">
        <v>19.1326</v>
      </c>
      <c r="F6" s="301">
        <v>-18.499400000000001</v>
      </c>
      <c r="G6" s="62">
        <v>-1.1980999999999999</v>
      </c>
      <c r="H6" s="62">
        <v>-1.1980999999999999</v>
      </c>
      <c r="J6" s="301">
        <v>3</v>
      </c>
      <c r="K6" s="301">
        <v>-15.0687</v>
      </c>
      <c r="L6" s="301">
        <v>8.2956000000000003</v>
      </c>
      <c r="M6" s="301">
        <v>-13.4985</v>
      </c>
      <c r="N6" s="301">
        <v>22.971800000000002</v>
      </c>
      <c r="O6" s="301">
        <v>-22.186599999999999</v>
      </c>
      <c r="P6" s="62">
        <v>-0.40539999999999998</v>
      </c>
      <c r="Q6" s="62">
        <v>-0.40539999999999998</v>
      </c>
      <c r="V6" s="65"/>
      <c r="W6" s="62" cm="1">
        <f t="array" ref="W6">MAX(ABS(N4:O6))</f>
        <v>24.7636</v>
      </c>
      <c r="X6" s="92" t="s">
        <v>576</v>
      </c>
    </row>
    <row r="7" spans="1:35" x14ac:dyDescent="0.25">
      <c r="A7" s="369">
        <v>4</v>
      </c>
      <c r="B7" s="370">
        <v>-19.981100000000001</v>
      </c>
      <c r="C7" s="370">
        <v>13.3705</v>
      </c>
      <c r="D7" s="370">
        <v>-21.381900000000002</v>
      </c>
      <c r="E7" s="370">
        <v>33.701799999999999</v>
      </c>
      <c r="F7" s="370">
        <v>-34.402200000000001</v>
      </c>
      <c r="G7" s="62">
        <v>4.7039999999999997</v>
      </c>
      <c r="H7" s="62">
        <v>4.7039999999999997</v>
      </c>
      <c r="J7" s="370">
        <v>4</v>
      </c>
      <c r="K7" s="370">
        <v>-28.338000000000001</v>
      </c>
      <c r="L7" s="370">
        <v>19.103100000000001</v>
      </c>
      <c r="M7" s="370">
        <v>-30.380700000000001</v>
      </c>
      <c r="N7" s="370">
        <v>47.951700000000002</v>
      </c>
      <c r="O7" s="370">
        <v>-48.973100000000002</v>
      </c>
      <c r="P7" s="62">
        <v>7.0646000000000004</v>
      </c>
      <c r="Q7" s="62">
        <v>7.0646000000000004</v>
      </c>
      <c r="V7" s="65"/>
    </row>
    <row r="8" spans="1:35" x14ac:dyDescent="0.25">
      <c r="A8" s="369">
        <v>5</v>
      </c>
      <c r="B8" s="370">
        <v>-9.2055000000000007</v>
      </c>
      <c r="C8" s="370">
        <v>0</v>
      </c>
      <c r="D8" s="370">
        <v>-9.2055000000000007</v>
      </c>
      <c r="E8" s="370">
        <v>18.103000000000002</v>
      </c>
      <c r="F8" s="370">
        <v>-18.103000000000002</v>
      </c>
      <c r="G8" s="62">
        <v>1.7592000000000001</v>
      </c>
      <c r="H8" s="62">
        <v>1.7592000000000001</v>
      </c>
      <c r="J8" s="370">
        <v>5</v>
      </c>
      <c r="K8" s="370">
        <v>-12.921099999999999</v>
      </c>
      <c r="L8" s="370">
        <v>0</v>
      </c>
      <c r="M8" s="370">
        <v>-12.921099999999999</v>
      </c>
      <c r="N8" s="370">
        <v>24.7636</v>
      </c>
      <c r="O8" s="370">
        <v>-24.7636</v>
      </c>
      <c r="P8" s="62">
        <v>2.5427</v>
      </c>
      <c r="Q8" s="62">
        <v>2.5427</v>
      </c>
      <c r="V8" s="65"/>
    </row>
    <row r="9" spans="1:35" x14ac:dyDescent="0.25">
      <c r="A9" s="369">
        <v>6</v>
      </c>
      <c r="B9" s="370">
        <v>-21.381900000000002</v>
      </c>
      <c r="C9" s="370">
        <v>13.3705</v>
      </c>
      <c r="D9" s="370">
        <v>-19.981100000000001</v>
      </c>
      <c r="E9" s="370">
        <v>34.402200000000001</v>
      </c>
      <c r="F9" s="370">
        <v>-33.701799999999999</v>
      </c>
      <c r="G9" s="62">
        <v>4.7039999999999997</v>
      </c>
      <c r="H9" s="62">
        <v>4.7039999999999997</v>
      </c>
      <c r="J9" s="370">
        <v>6</v>
      </c>
      <c r="K9" s="370">
        <v>-30.380700000000001</v>
      </c>
      <c r="L9" s="370">
        <v>19.103100000000001</v>
      </c>
      <c r="M9" s="370">
        <v>-28.338000000000001</v>
      </c>
      <c r="N9" s="370">
        <v>48.973100000000002</v>
      </c>
      <c r="O9" s="370">
        <v>-47.951700000000002</v>
      </c>
      <c r="P9" s="62">
        <v>7.0646000000000004</v>
      </c>
      <c r="Q9" s="62">
        <v>7.0646000000000004</v>
      </c>
      <c r="V9" s="65"/>
    </row>
    <row r="10" spans="1:35" x14ac:dyDescent="0.25">
      <c r="A10" s="363">
        <v>7</v>
      </c>
      <c r="B10" s="108">
        <v>-15.931699999999999</v>
      </c>
      <c r="C10" s="108">
        <v>15.446899999999999</v>
      </c>
      <c r="D10" s="108">
        <v>-21.278500000000001</v>
      </c>
      <c r="E10" s="108">
        <v>32.715299999999999</v>
      </c>
      <c r="F10" s="108">
        <v>-35.3887</v>
      </c>
      <c r="G10" s="62">
        <v>-8.8650000000000002</v>
      </c>
      <c r="H10" s="62">
        <v>-8.8650000000000002</v>
      </c>
      <c r="J10" s="108">
        <v>7</v>
      </c>
      <c r="K10" s="108">
        <v>-22.710100000000001</v>
      </c>
      <c r="L10" s="108">
        <v>21.994499999999999</v>
      </c>
      <c r="M10" s="108">
        <v>-30.2257</v>
      </c>
      <c r="N10" s="108">
        <v>46.583500000000001</v>
      </c>
      <c r="O10" s="108">
        <v>-50.341299999999997</v>
      </c>
      <c r="P10" s="62">
        <v>-12.6746</v>
      </c>
      <c r="Q10" s="62">
        <v>-12.6746</v>
      </c>
      <c r="V10" s="65"/>
    </row>
    <row r="11" spans="1:35" x14ac:dyDescent="0.25">
      <c r="A11" s="363">
        <v>8</v>
      </c>
      <c r="B11" s="108">
        <v>-11.9183</v>
      </c>
      <c r="C11" s="108">
        <v>0</v>
      </c>
      <c r="D11" s="108">
        <v>-11.9183</v>
      </c>
      <c r="E11" s="108">
        <v>18.103000000000002</v>
      </c>
      <c r="F11" s="108">
        <v>-18.103000000000002</v>
      </c>
      <c r="G11" s="62">
        <v>-3.5447000000000002</v>
      </c>
      <c r="H11" s="62">
        <v>-3.5447000000000002</v>
      </c>
      <c r="J11" s="108">
        <v>8</v>
      </c>
      <c r="K11" s="108">
        <v>-16.708500000000001</v>
      </c>
      <c r="L11" s="108">
        <v>0</v>
      </c>
      <c r="M11" s="108">
        <v>-16.708600000000001</v>
      </c>
      <c r="N11" s="108">
        <v>24.7636</v>
      </c>
      <c r="O11" s="108">
        <v>-24.7636</v>
      </c>
      <c r="P11" s="62">
        <v>-4.9661999999999997</v>
      </c>
      <c r="Q11" s="62">
        <v>-4.9661999999999997</v>
      </c>
      <c r="V11" s="65"/>
    </row>
    <row r="12" spans="1:35" x14ac:dyDescent="0.25">
      <c r="A12" s="363">
        <v>9</v>
      </c>
      <c r="B12" s="108">
        <v>-21.278500000000001</v>
      </c>
      <c r="C12" s="108">
        <v>15.446899999999999</v>
      </c>
      <c r="D12" s="108">
        <v>-15.931699999999999</v>
      </c>
      <c r="E12" s="108">
        <v>35.3887</v>
      </c>
      <c r="F12" s="108">
        <v>-32.715299999999999</v>
      </c>
      <c r="G12" s="62">
        <v>-8.8650000000000002</v>
      </c>
      <c r="H12" s="62">
        <v>-8.8650000000000002</v>
      </c>
      <c r="J12" s="108">
        <v>9</v>
      </c>
      <c r="K12" s="108">
        <v>-30.2257</v>
      </c>
      <c r="L12" s="108">
        <v>21.994499999999999</v>
      </c>
      <c r="M12" s="108">
        <v>-22.710100000000001</v>
      </c>
      <c r="N12" s="108">
        <v>50.341299999999997</v>
      </c>
      <c r="O12" s="108">
        <v>-46.583500000000001</v>
      </c>
      <c r="P12" s="62">
        <v>-12.6746</v>
      </c>
      <c r="Q12" s="62">
        <v>-12.6746</v>
      </c>
      <c r="V12" s="65"/>
      <c r="AF12" s="62" t="s">
        <v>356</v>
      </c>
      <c r="AI12" s="62" t="s">
        <v>357</v>
      </c>
    </row>
    <row r="13" spans="1:35" x14ac:dyDescent="0.25">
      <c r="A13" s="63">
        <v>10</v>
      </c>
      <c r="B13" s="62">
        <v>2.64</v>
      </c>
      <c r="C13" s="62">
        <v>2.64</v>
      </c>
      <c r="D13" s="62">
        <v>-5.3987999999999996</v>
      </c>
      <c r="E13" s="62">
        <v>-5.3592000000000004</v>
      </c>
      <c r="F13" s="62">
        <v>-5.3592000000000004</v>
      </c>
      <c r="G13" s="301">
        <v>-84.916499999999999</v>
      </c>
      <c r="H13" s="301">
        <v>-84.916499999999999</v>
      </c>
      <c r="J13" s="62">
        <v>10</v>
      </c>
      <c r="K13" s="62">
        <v>2.9872000000000001</v>
      </c>
      <c r="L13" s="62">
        <v>2.9872000000000001</v>
      </c>
      <c r="M13" s="62">
        <v>-6.0358000000000001</v>
      </c>
      <c r="N13" s="62">
        <v>-6.0153999999999996</v>
      </c>
      <c r="O13" s="62">
        <v>-6.0153999999999996</v>
      </c>
      <c r="P13" s="301">
        <v>-116.72190000000001</v>
      </c>
      <c r="Q13" s="301">
        <v>-116.72190000000001</v>
      </c>
      <c r="V13" s="65"/>
      <c r="AF13" s="62">
        <f>MIN(L37,Y61,Y111)</f>
        <v>-30.380700000000001</v>
      </c>
      <c r="AI13" s="62">
        <f>MAX(M37,Z61,Z111)</f>
        <v>21.994499999999999</v>
      </c>
    </row>
    <row r="14" spans="1:35" x14ac:dyDescent="0.25">
      <c r="A14" s="63">
        <v>11</v>
      </c>
      <c r="B14" s="62">
        <v>-1.2186999999999999</v>
      </c>
      <c r="C14" s="62">
        <v>2.4144999999999999</v>
      </c>
      <c r="D14" s="62">
        <v>2.4144999999999999</v>
      </c>
      <c r="E14" s="62">
        <v>2.4220999999999999</v>
      </c>
      <c r="F14" s="62">
        <v>2.4220999999999999</v>
      </c>
      <c r="G14" s="301">
        <v>-143.23249999999999</v>
      </c>
      <c r="H14" s="301">
        <v>-143.23249999999999</v>
      </c>
      <c r="J14" s="62">
        <v>11</v>
      </c>
      <c r="K14" s="62">
        <v>-1.0828</v>
      </c>
      <c r="L14" s="62">
        <v>2.1366999999999998</v>
      </c>
      <c r="M14" s="62">
        <v>2.1366999999999998</v>
      </c>
      <c r="N14" s="62">
        <v>2.1463000000000001</v>
      </c>
      <c r="O14" s="62">
        <v>2.1463000000000001</v>
      </c>
      <c r="P14" s="301">
        <v>-196.57689999999999</v>
      </c>
      <c r="Q14" s="301">
        <v>-196.57689999999999</v>
      </c>
      <c r="V14" s="65"/>
    </row>
    <row r="15" spans="1:35" x14ac:dyDescent="0.25">
      <c r="A15" s="63">
        <v>12</v>
      </c>
      <c r="B15" s="62">
        <v>1.2186999999999999</v>
      </c>
      <c r="C15" s="62">
        <v>1.2186999999999999</v>
      </c>
      <c r="D15" s="62">
        <v>-2.4144999999999999</v>
      </c>
      <c r="E15" s="62">
        <v>-2.4220999999999999</v>
      </c>
      <c r="F15" s="62">
        <v>-2.4220999999999999</v>
      </c>
      <c r="G15" s="301">
        <v>-143.23249999999999</v>
      </c>
      <c r="H15" s="301">
        <v>-143.23249999999999</v>
      </c>
      <c r="J15" s="62">
        <v>12</v>
      </c>
      <c r="K15" s="62">
        <v>1.0828</v>
      </c>
      <c r="L15" s="62">
        <v>1.0828</v>
      </c>
      <c r="M15" s="62">
        <v>-2.1366999999999998</v>
      </c>
      <c r="N15" s="62">
        <v>-2.1463000000000001</v>
      </c>
      <c r="O15" s="62">
        <v>-2.1463000000000001</v>
      </c>
      <c r="P15" s="301">
        <v>-196.57689999999999</v>
      </c>
      <c r="Q15" s="301">
        <v>-196.57689999999999</v>
      </c>
      <c r="V15" s="65"/>
      <c r="AF15" s="62" t="s">
        <v>355</v>
      </c>
    </row>
    <row r="16" spans="1:35" x14ac:dyDescent="0.25">
      <c r="A16" s="63">
        <v>13</v>
      </c>
      <c r="B16" s="62">
        <v>-2.64</v>
      </c>
      <c r="C16" s="62">
        <v>5.3987999999999996</v>
      </c>
      <c r="D16" s="62">
        <v>5.3987999999999996</v>
      </c>
      <c r="E16" s="62">
        <v>5.3592000000000004</v>
      </c>
      <c r="F16" s="62">
        <v>5.3592000000000004</v>
      </c>
      <c r="G16" s="301">
        <v>-84.916499999999999</v>
      </c>
      <c r="H16" s="301">
        <v>-84.916499999999999</v>
      </c>
      <c r="J16" s="62">
        <v>13</v>
      </c>
      <c r="K16" s="62">
        <v>-2.9872000000000001</v>
      </c>
      <c r="L16" s="62">
        <v>6.0358000000000001</v>
      </c>
      <c r="M16" s="62">
        <v>6.0358000000000001</v>
      </c>
      <c r="N16" s="62">
        <v>6.0153999999999996</v>
      </c>
      <c r="O16" s="62">
        <v>6.0153999999999996</v>
      </c>
      <c r="P16" s="301">
        <v>-116.72190000000001</v>
      </c>
      <c r="Q16" s="301">
        <v>-116.72190000000001</v>
      </c>
      <c r="V16" s="65"/>
      <c r="AF16" s="62">
        <f>MAX(L38,Y62,Y112)</f>
        <v>50.341299999999997</v>
      </c>
    </row>
    <row r="17" spans="1:22" x14ac:dyDescent="0.25">
      <c r="A17" s="63">
        <v>14</v>
      </c>
      <c r="B17" s="62">
        <v>5.7705000000000002</v>
      </c>
      <c r="C17" s="62">
        <v>5.7705000000000002</v>
      </c>
      <c r="D17" s="62">
        <v>-7.5448000000000004</v>
      </c>
      <c r="E17" s="62">
        <v>-4.1609999999999996</v>
      </c>
      <c r="F17" s="62">
        <v>-4.1609999999999996</v>
      </c>
      <c r="G17" s="370">
        <v>-66.417100000000005</v>
      </c>
      <c r="H17" s="370">
        <v>-66.417100000000005</v>
      </c>
      <c r="J17" s="62">
        <v>14</v>
      </c>
      <c r="K17" s="62">
        <v>7.4626000000000001</v>
      </c>
      <c r="L17" s="62">
        <v>7.4626000000000001</v>
      </c>
      <c r="M17" s="62">
        <v>-10.4893</v>
      </c>
      <c r="N17" s="62">
        <v>-5.61</v>
      </c>
      <c r="O17" s="62">
        <v>-5.61</v>
      </c>
      <c r="P17" s="370">
        <v>-94.535300000000007</v>
      </c>
      <c r="Q17" s="370">
        <v>-94.535300000000007</v>
      </c>
      <c r="V17" s="65"/>
    </row>
    <row r="18" spans="1:22" x14ac:dyDescent="0.25">
      <c r="A18" s="63">
        <v>15</v>
      </c>
      <c r="B18" s="62">
        <v>-3.0901999999999998</v>
      </c>
      <c r="C18" s="62">
        <v>4.5117000000000003</v>
      </c>
      <c r="D18" s="62">
        <v>4.5117000000000003</v>
      </c>
      <c r="E18" s="62">
        <v>2.3755999999999999</v>
      </c>
      <c r="F18" s="62">
        <v>2.3755999999999999</v>
      </c>
      <c r="G18" s="370">
        <v>-105.9969</v>
      </c>
      <c r="H18" s="370">
        <v>-105.9969</v>
      </c>
      <c r="J18" s="62">
        <v>15</v>
      </c>
      <c r="K18" s="62">
        <v>-3.8871000000000002</v>
      </c>
      <c r="L18" s="62">
        <v>6.3097000000000003</v>
      </c>
      <c r="M18" s="62">
        <v>6.3097000000000003</v>
      </c>
      <c r="N18" s="62">
        <v>3.1865000000000001</v>
      </c>
      <c r="O18" s="62">
        <v>3.1865000000000001</v>
      </c>
      <c r="P18" s="370">
        <v>-148.8416</v>
      </c>
      <c r="Q18" s="370">
        <v>-148.8416</v>
      </c>
      <c r="V18" s="65"/>
    </row>
    <row r="19" spans="1:22" x14ac:dyDescent="0.25">
      <c r="A19" s="63">
        <v>16</v>
      </c>
      <c r="B19" s="62">
        <v>3.0901999999999998</v>
      </c>
      <c r="C19" s="62">
        <v>3.0901999999999998</v>
      </c>
      <c r="D19" s="62">
        <v>-4.5117000000000003</v>
      </c>
      <c r="E19" s="62">
        <v>-2.3755999999999999</v>
      </c>
      <c r="F19" s="62">
        <v>-2.3755999999999999</v>
      </c>
      <c r="G19" s="370">
        <v>-105.9969</v>
      </c>
      <c r="H19" s="370">
        <v>-105.9969</v>
      </c>
      <c r="J19" s="62">
        <v>16</v>
      </c>
      <c r="K19" s="62">
        <v>3.8871000000000002</v>
      </c>
      <c r="L19" s="62">
        <v>3.8871000000000002</v>
      </c>
      <c r="M19" s="62">
        <v>-6.3097000000000003</v>
      </c>
      <c r="N19" s="62">
        <v>-3.1865000000000001</v>
      </c>
      <c r="O19" s="62">
        <v>-3.1865000000000001</v>
      </c>
      <c r="P19" s="370">
        <v>-148.8416</v>
      </c>
      <c r="Q19" s="370">
        <v>-148.8416</v>
      </c>
      <c r="V19" s="65"/>
    </row>
    <row r="20" spans="1:22" x14ac:dyDescent="0.25">
      <c r="A20" s="63">
        <v>17</v>
      </c>
      <c r="B20" s="62">
        <v>-5.7705000000000002</v>
      </c>
      <c r="C20" s="62">
        <v>7.5448000000000004</v>
      </c>
      <c r="D20" s="62">
        <v>7.5448000000000004</v>
      </c>
      <c r="E20" s="62">
        <v>4.1609999999999996</v>
      </c>
      <c r="F20" s="62">
        <v>4.1609999999999996</v>
      </c>
      <c r="G20" s="370">
        <v>-66.417100000000005</v>
      </c>
      <c r="H20" s="370">
        <v>-66.417100000000005</v>
      </c>
      <c r="J20" s="62">
        <v>17</v>
      </c>
      <c r="K20" s="62">
        <v>-7.4626000000000001</v>
      </c>
      <c r="L20" s="62">
        <v>10.4893</v>
      </c>
      <c r="M20" s="62">
        <v>10.4893</v>
      </c>
      <c r="N20" s="62">
        <v>5.61</v>
      </c>
      <c r="O20" s="62">
        <v>5.61</v>
      </c>
      <c r="P20" s="370">
        <v>-94.535300000000007</v>
      </c>
      <c r="Q20" s="370">
        <v>-94.535300000000007</v>
      </c>
      <c r="V20" s="65"/>
    </row>
    <row r="21" spans="1:22" x14ac:dyDescent="0.25">
      <c r="A21" s="63">
        <v>18</v>
      </c>
      <c r="B21" s="62">
        <v>12.436299999999999</v>
      </c>
      <c r="C21" s="62">
        <v>12.436299999999999</v>
      </c>
      <c r="D21" s="62">
        <v>-15.931699999999999</v>
      </c>
      <c r="E21" s="62">
        <v>-8.8650000000000002</v>
      </c>
      <c r="F21" s="62">
        <v>-8.8650000000000002</v>
      </c>
      <c r="G21" s="108">
        <v>-32.715299999999999</v>
      </c>
      <c r="H21" s="108">
        <v>-32.715299999999999</v>
      </c>
      <c r="J21" s="62">
        <v>18</v>
      </c>
      <c r="K21" s="62">
        <v>17.848700000000001</v>
      </c>
      <c r="L21" s="62">
        <v>17.848700000000001</v>
      </c>
      <c r="M21" s="62">
        <v>-22.710100000000001</v>
      </c>
      <c r="N21" s="62">
        <v>-12.6746</v>
      </c>
      <c r="O21" s="62">
        <v>-12.6746</v>
      </c>
      <c r="P21" s="108">
        <v>-46.583500000000001</v>
      </c>
      <c r="Q21" s="108">
        <v>-46.583500000000001</v>
      </c>
      <c r="V21" s="65"/>
    </row>
    <row r="22" spans="1:22" x14ac:dyDescent="0.25">
      <c r="A22" s="63">
        <v>19</v>
      </c>
      <c r="B22" s="62">
        <v>-7.6647999999999996</v>
      </c>
      <c r="C22" s="62">
        <v>9.3602000000000007</v>
      </c>
      <c r="D22" s="62">
        <v>9.3603000000000005</v>
      </c>
      <c r="E22" s="62">
        <v>5.3202999999999996</v>
      </c>
      <c r="F22" s="62">
        <v>5.3202999999999996</v>
      </c>
      <c r="G22" s="108">
        <v>-53.491700000000002</v>
      </c>
      <c r="H22" s="108">
        <v>-53.491700000000002</v>
      </c>
      <c r="J22" s="62">
        <v>19</v>
      </c>
      <c r="K22" s="62">
        <v>-11.149900000000001</v>
      </c>
      <c r="L22" s="62">
        <v>13.517099999999999</v>
      </c>
      <c r="M22" s="62">
        <v>13.517099999999999</v>
      </c>
      <c r="N22" s="62">
        <v>7.7084999999999999</v>
      </c>
      <c r="O22" s="62">
        <v>7.7084999999999999</v>
      </c>
      <c r="P22" s="108">
        <v>-75.104900000000001</v>
      </c>
      <c r="Q22" s="108">
        <v>-75.104900000000001</v>
      </c>
      <c r="V22" s="65"/>
    </row>
    <row r="23" spans="1:22" x14ac:dyDescent="0.25">
      <c r="A23" s="63">
        <v>20</v>
      </c>
      <c r="B23" s="62">
        <v>7.6647999999999996</v>
      </c>
      <c r="C23" s="62">
        <v>7.6647999999999996</v>
      </c>
      <c r="D23" s="62">
        <v>-9.3603000000000005</v>
      </c>
      <c r="E23" s="62">
        <v>-5.3202999999999996</v>
      </c>
      <c r="F23" s="62">
        <v>-5.3202999999999996</v>
      </c>
      <c r="G23" s="108">
        <v>-53.491700000000002</v>
      </c>
      <c r="H23" s="108">
        <v>-53.491700000000002</v>
      </c>
      <c r="J23" s="62">
        <v>20</v>
      </c>
      <c r="K23" s="62">
        <v>11.149900000000001</v>
      </c>
      <c r="L23" s="62">
        <v>11.149900000000001</v>
      </c>
      <c r="M23" s="62">
        <v>-13.517099999999999</v>
      </c>
      <c r="N23" s="62">
        <v>-7.7084999999999999</v>
      </c>
      <c r="O23" s="62">
        <v>-7.7084999999999999</v>
      </c>
      <c r="P23" s="108">
        <v>-75.104900000000001</v>
      </c>
      <c r="Q23" s="108">
        <v>-75.104900000000001</v>
      </c>
      <c r="V23" s="65"/>
    </row>
    <row r="24" spans="1:22" x14ac:dyDescent="0.25">
      <c r="A24" s="63">
        <v>21</v>
      </c>
      <c r="B24" s="62">
        <v>-12.436299999999999</v>
      </c>
      <c r="C24" s="62">
        <v>15.931699999999999</v>
      </c>
      <c r="D24" s="62">
        <v>15.931699999999999</v>
      </c>
      <c r="E24" s="62">
        <v>8.8650000000000002</v>
      </c>
      <c r="F24" s="62">
        <v>8.8650000000000002</v>
      </c>
      <c r="G24" s="108">
        <v>-32.715299999999999</v>
      </c>
      <c r="H24" s="108">
        <v>-32.715299999999999</v>
      </c>
      <c r="J24" s="62">
        <v>21</v>
      </c>
      <c r="K24" s="62">
        <v>-17.848700000000001</v>
      </c>
      <c r="L24" s="62">
        <v>22.710100000000001</v>
      </c>
      <c r="M24" s="62">
        <v>22.710100000000001</v>
      </c>
      <c r="N24" s="62">
        <v>12.6746</v>
      </c>
      <c r="O24" s="62">
        <v>12.6746</v>
      </c>
      <c r="P24" s="108">
        <v>-46.583500000000001</v>
      </c>
      <c r="Q24" s="108">
        <v>-46.583500000000001</v>
      </c>
      <c r="V24" s="65"/>
    </row>
    <row r="25" spans="1:22" x14ac:dyDescent="0.25">
      <c r="A25" s="63"/>
      <c r="V25" s="65"/>
    </row>
    <row r="26" spans="1:22" x14ac:dyDescent="0.25">
      <c r="A26" s="112" t="s">
        <v>10</v>
      </c>
      <c r="J26" s="92" t="s">
        <v>475</v>
      </c>
      <c r="K26" s="92"/>
      <c r="O26" s="92" t="s">
        <v>470</v>
      </c>
      <c r="V26" s="65"/>
    </row>
    <row r="27" spans="1:22" x14ac:dyDescent="0.25">
      <c r="A27" s="63" t="s">
        <v>0</v>
      </c>
      <c r="B27" s="62" t="s">
        <v>1</v>
      </c>
      <c r="C27" s="62" t="s">
        <v>2</v>
      </c>
      <c r="D27" s="62" t="s">
        <v>3</v>
      </c>
      <c r="E27" s="62" t="s">
        <v>4</v>
      </c>
      <c r="F27" s="62" t="s">
        <v>5</v>
      </c>
      <c r="G27" s="62" t="s">
        <v>6</v>
      </c>
      <c r="H27" s="62" t="s">
        <v>7</v>
      </c>
      <c r="J27" s="62" t="s">
        <v>473</v>
      </c>
      <c r="K27" s="62" t="s">
        <v>18</v>
      </c>
      <c r="L27" s="62" t="s">
        <v>13</v>
      </c>
      <c r="M27" s="62" t="s">
        <v>14</v>
      </c>
      <c r="O27" s="62" t="s">
        <v>292</v>
      </c>
      <c r="V27" s="65"/>
    </row>
    <row r="28" spans="1:22" x14ac:dyDescent="0.25">
      <c r="A28" s="300">
        <v>1</v>
      </c>
      <c r="B28" s="301">
        <v>-5.96E-2</v>
      </c>
      <c r="C28" s="301">
        <v>0</v>
      </c>
      <c r="D28" s="301">
        <v>-9.11E-2</v>
      </c>
      <c r="E28" s="301">
        <v>-7.9000000000000008E-3</v>
      </c>
      <c r="F28" s="301">
        <v>-7.9000000000000008E-3</v>
      </c>
      <c r="G28" s="62">
        <v>0.6452</v>
      </c>
      <c r="H28" s="62">
        <v>0.6452</v>
      </c>
      <c r="J28" s="62" t="s">
        <v>15</v>
      </c>
      <c r="O28" s="62" t="s">
        <v>471</v>
      </c>
      <c r="P28" s="62" t="s">
        <v>18</v>
      </c>
      <c r="Q28" s="62" t="s">
        <v>13</v>
      </c>
      <c r="R28" s="62" t="s">
        <v>14</v>
      </c>
      <c r="V28" s="65"/>
    </row>
    <row r="29" spans="1:22" x14ac:dyDescent="0.25">
      <c r="A29" s="300">
        <v>2</v>
      </c>
      <c r="B29" s="301">
        <v>-0.45479999999999998</v>
      </c>
      <c r="C29" s="301" t="s">
        <v>554</v>
      </c>
      <c r="D29" s="301">
        <v>-0.45479999999999998</v>
      </c>
      <c r="E29" s="301">
        <v>1.9</v>
      </c>
      <c r="F29" s="301">
        <v>-1.9</v>
      </c>
      <c r="G29" s="62">
        <v>-3.9800000000000002E-2</v>
      </c>
      <c r="H29" s="62">
        <v>-3.9800000000000002E-2</v>
      </c>
      <c r="K29" s="62" t="s">
        <v>19</v>
      </c>
      <c r="L29" s="62">
        <f>MIN(B4:B12)</f>
        <v>-21.381900000000002</v>
      </c>
      <c r="M29" s="62">
        <f>MAX(C4:C12)</f>
        <v>15.446899999999999</v>
      </c>
      <c r="O29" s="62" t="s">
        <v>15</v>
      </c>
      <c r="V29" s="65"/>
    </row>
    <row r="30" spans="1:22" x14ac:dyDescent="0.25">
      <c r="A30" s="300">
        <v>3</v>
      </c>
      <c r="B30" s="301">
        <v>-9.11E-2</v>
      </c>
      <c r="C30" s="301">
        <v>0</v>
      </c>
      <c r="D30" s="301">
        <v>-5.96E-2</v>
      </c>
      <c r="E30" s="301">
        <v>7.9000000000000008E-3</v>
      </c>
      <c r="F30" s="301">
        <v>7.9000000000000008E-3</v>
      </c>
      <c r="G30" s="62">
        <v>0.6452</v>
      </c>
      <c r="H30" s="62">
        <v>0.6452</v>
      </c>
      <c r="K30" s="62" t="s">
        <v>20</v>
      </c>
      <c r="L30" s="62" cm="1">
        <f t="array" ref="L30">MAX(ABS(E4:F12))</f>
        <v>35.3887</v>
      </c>
      <c r="P30" s="62" t="s">
        <v>19</v>
      </c>
      <c r="Q30" s="62">
        <f>MIN(B4:B6)</f>
        <v>-12.4358</v>
      </c>
      <c r="R30" s="62">
        <f>MAX(C4:C6)</f>
        <v>7.0134999999999996</v>
      </c>
      <c r="V30" s="65"/>
    </row>
    <row r="31" spans="1:22" x14ac:dyDescent="0.25">
      <c r="A31" s="369">
        <v>4</v>
      </c>
      <c r="B31" s="370">
        <v>-2.7254</v>
      </c>
      <c r="C31" s="370">
        <v>1.9116</v>
      </c>
      <c r="D31" s="370">
        <v>-2.9514999999999998</v>
      </c>
      <c r="E31" s="370">
        <v>4.6935000000000002</v>
      </c>
      <c r="F31" s="370">
        <v>-4.8064999999999998</v>
      </c>
      <c r="G31" s="62">
        <v>0.88739999999999997</v>
      </c>
      <c r="H31" s="62">
        <v>0.88739999999999997</v>
      </c>
      <c r="K31" s="62" t="s">
        <v>147</v>
      </c>
      <c r="L31" s="62" cm="1">
        <f t="array" ref="L31">MAX(ABS(H13:H24))</f>
        <v>143.23249999999999</v>
      </c>
      <c r="P31" s="62" t="s">
        <v>20</v>
      </c>
      <c r="Q31" s="62" cm="1">
        <f t="array" ref="Q31">MAX(ABS(E4:F6))</f>
        <v>19.1326</v>
      </c>
      <c r="V31" s="65"/>
    </row>
    <row r="32" spans="1:22" x14ac:dyDescent="0.25">
      <c r="A32" s="369">
        <v>5</v>
      </c>
      <c r="B32" s="370">
        <v>-1.1715</v>
      </c>
      <c r="C32" s="370">
        <v>0</v>
      </c>
      <c r="D32" s="370">
        <v>-1.1715</v>
      </c>
      <c r="E32" s="370">
        <v>1.9</v>
      </c>
      <c r="F32" s="370">
        <v>-1.9</v>
      </c>
      <c r="G32" s="62">
        <v>0.2697</v>
      </c>
      <c r="H32" s="62">
        <v>0.2697</v>
      </c>
      <c r="J32" s="62" t="s">
        <v>16</v>
      </c>
      <c r="P32" s="62" t="s">
        <v>147</v>
      </c>
      <c r="Q32" s="62" cm="1">
        <f t="array" ref="Q32">MAX(ABS(H13:H16))</f>
        <v>143.23249999999999</v>
      </c>
      <c r="V32" s="65"/>
    </row>
    <row r="33" spans="1:22" x14ac:dyDescent="0.25">
      <c r="A33" s="369">
        <v>6</v>
      </c>
      <c r="B33" s="370">
        <v>-2.9514999999999998</v>
      </c>
      <c r="C33" s="370">
        <v>1.9116</v>
      </c>
      <c r="D33" s="370">
        <v>-2.7254</v>
      </c>
      <c r="E33" s="370">
        <v>4.8064999999999998</v>
      </c>
      <c r="F33" s="370">
        <v>-4.6935000000000002</v>
      </c>
      <c r="G33" s="62">
        <v>0.88739999999999997</v>
      </c>
      <c r="H33" s="62">
        <v>0.88739999999999997</v>
      </c>
      <c r="K33" s="62" t="s">
        <v>19</v>
      </c>
      <c r="L33" s="62">
        <f>MIN(B28:B36)</f>
        <v>-2.9514999999999998</v>
      </c>
      <c r="M33" s="62">
        <f>MAX(C28:C36)</f>
        <v>2.1614</v>
      </c>
      <c r="O33" s="62" t="s">
        <v>16</v>
      </c>
      <c r="V33" s="65"/>
    </row>
    <row r="34" spans="1:22" x14ac:dyDescent="0.25">
      <c r="A34" s="363">
        <v>7</v>
      </c>
      <c r="B34" s="108">
        <v>-2.2450000000000001</v>
      </c>
      <c r="C34" s="108">
        <v>2.1614</v>
      </c>
      <c r="D34" s="108">
        <v>-2.9321000000000002</v>
      </c>
      <c r="E34" s="108">
        <v>4.5781999999999998</v>
      </c>
      <c r="F34" s="108">
        <v>-4.9218000000000002</v>
      </c>
      <c r="G34" s="62">
        <v>-1.2728999999999999</v>
      </c>
      <c r="H34" s="62">
        <v>-1.2728999999999999</v>
      </c>
      <c r="K34" s="62" t="s">
        <v>20</v>
      </c>
      <c r="L34" s="62" cm="1">
        <f t="array" ref="L34">MAX(ABS(E28:F36))</f>
        <v>4.9218000000000002</v>
      </c>
      <c r="P34" s="62" t="s">
        <v>19</v>
      </c>
      <c r="Q34" s="62">
        <f>MIN(B28:B30)</f>
        <v>-0.45479999999999998</v>
      </c>
      <c r="R34" s="62">
        <f>MAX(C28:C30)</f>
        <v>0</v>
      </c>
      <c r="V34" s="65"/>
    </row>
    <row r="35" spans="1:22" x14ac:dyDescent="0.25">
      <c r="A35" s="363">
        <v>8</v>
      </c>
      <c r="B35" s="108">
        <v>-1.5041</v>
      </c>
      <c r="C35" s="108">
        <v>0</v>
      </c>
      <c r="D35" s="108">
        <v>-1.5041</v>
      </c>
      <c r="E35" s="108">
        <v>1.9</v>
      </c>
      <c r="F35" s="108">
        <v>-1.9</v>
      </c>
      <c r="G35" s="62">
        <v>-0.44529999999999997</v>
      </c>
      <c r="H35" s="62">
        <v>-0.44529999999999997</v>
      </c>
      <c r="K35" s="62" t="s">
        <v>147</v>
      </c>
      <c r="L35" s="62" cm="1">
        <f t="array" ref="L35">MAX(ABS(H37:H48))</f>
        <v>15.436199999999999</v>
      </c>
      <c r="P35" s="62" t="s">
        <v>20</v>
      </c>
      <c r="Q35" s="62" cm="1">
        <f t="array" ref="Q35">MAX(ABS(E28:F30))</f>
        <v>1.9</v>
      </c>
      <c r="V35" s="65"/>
    </row>
    <row r="36" spans="1:22" x14ac:dyDescent="0.25">
      <c r="A36" s="363">
        <v>9</v>
      </c>
      <c r="B36" s="108">
        <v>-2.9321000000000002</v>
      </c>
      <c r="C36" s="108">
        <v>2.1614</v>
      </c>
      <c r="D36" s="108">
        <v>-2.2450000000000001</v>
      </c>
      <c r="E36" s="108">
        <v>4.9218000000000002</v>
      </c>
      <c r="F36" s="108">
        <v>-4.5781999999999998</v>
      </c>
      <c r="G36" s="62">
        <v>-1.2728999999999999</v>
      </c>
      <c r="H36" s="62">
        <v>-1.2728999999999999</v>
      </c>
      <c r="J36" s="62" t="s">
        <v>17</v>
      </c>
      <c r="P36" s="62" t="s">
        <v>147</v>
      </c>
      <c r="Q36" s="62" cm="1">
        <f t="array" ref="Q36">MAX(ABS(H37:H40))</f>
        <v>15.436199999999999</v>
      </c>
      <c r="V36" s="65"/>
    </row>
    <row r="37" spans="1:22" x14ac:dyDescent="0.25">
      <c r="A37" s="63">
        <v>10</v>
      </c>
      <c r="B37" s="62">
        <v>-0.1129</v>
      </c>
      <c r="C37" s="62">
        <v>0.2767</v>
      </c>
      <c r="D37" s="62">
        <v>0.2767</v>
      </c>
      <c r="E37" s="62">
        <v>0.25979999999999998</v>
      </c>
      <c r="F37" s="62">
        <v>0.25979999999999998</v>
      </c>
      <c r="G37" s="301">
        <v>-9.2637999999999998</v>
      </c>
      <c r="H37" s="301">
        <v>-9.2637999999999998</v>
      </c>
      <c r="K37" s="62" t="s">
        <v>19</v>
      </c>
      <c r="L37" s="62">
        <f>MIN(K4:K12)</f>
        <v>-30.380700000000001</v>
      </c>
      <c r="M37" s="62">
        <f>MAX(L4:L12)</f>
        <v>21.994499999999999</v>
      </c>
      <c r="O37" s="62" t="s">
        <v>472</v>
      </c>
      <c r="V37" s="65"/>
    </row>
    <row r="38" spans="1:22" x14ac:dyDescent="0.25">
      <c r="A38" s="63">
        <v>11</v>
      </c>
      <c r="B38" s="62">
        <v>0.23730000000000001</v>
      </c>
      <c r="C38" s="62">
        <v>0.23730000000000001</v>
      </c>
      <c r="D38" s="62">
        <v>-0.47539999999999999</v>
      </c>
      <c r="E38" s="62">
        <v>-0.47520000000000001</v>
      </c>
      <c r="F38" s="62">
        <v>-0.47520000000000001</v>
      </c>
      <c r="G38" s="301">
        <v>-15.436199999999999</v>
      </c>
      <c r="H38" s="301">
        <v>-15.436199999999999</v>
      </c>
      <c r="K38" s="62" t="s">
        <v>20</v>
      </c>
      <c r="L38" s="62" cm="1">
        <f t="array" ref="L38">MAX(ABS(N4:O12))</f>
        <v>50.341299999999997</v>
      </c>
      <c r="O38" s="62" t="s">
        <v>471</v>
      </c>
      <c r="P38" s="62" t="s">
        <v>18</v>
      </c>
      <c r="Q38" s="62" t="s">
        <v>13</v>
      </c>
      <c r="R38" s="62" t="s">
        <v>14</v>
      </c>
      <c r="V38" s="65"/>
    </row>
    <row r="39" spans="1:22" x14ac:dyDescent="0.25">
      <c r="A39" s="63">
        <v>12</v>
      </c>
      <c r="B39" s="62">
        <v>-0.23730000000000001</v>
      </c>
      <c r="C39" s="62">
        <v>0.47539999999999999</v>
      </c>
      <c r="D39" s="62">
        <v>0.47539999999999999</v>
      </c>
      <c r="E39" s="62">
        <v>0.47520000000000001</v>
      </c>
      <c r="F39" s="62">
        <v>0.47520000000000001</v>
      </c>
      <c r="G39" s="301">
        <v>-15.436199999999999</v>
      </c>
      <c r="H39" s="301">
        <v>-15.436199999999999</v>
      </c>
      <c r="K39" s="62" t="s">
        <v>147</v>
      </c>
      <c r="L39" s="62" cm="1">
        <f t="array" ref="L39">MAX(ABS(Q13:Q24))</f>
        <v>196.57689999999999</v>
      </c>
      <c r="O39" s="62" t="s">
        <v>15</v>
      </c>
      <c r="V39" s="65"/>
    </row>
    <row r="40" spans="1:22" x14ac:dyDescent="0.25">
      <c r="A40" s="63">
        <v>13</v>
      </c>
      <c r="B40" s="62">
        <v>0.1129</v>
      </c>
      <c r="C40" s="62">
        <v>0.1129</v>
      </c>
      <c r="D40" s="62">
        <v>-0.2767</v>
      </c>
      <c r="E40" s="62">
        <v>-0.25979999999999998</v>
      </c>
      <c r="F40" s="62">
        <v>-0.25979999999999998</v>
      </c>
      <c r="G40" s="301">
        <v>-9.2637999999999998</v>
      </c>
      <c r="H40" s="301">
        <v>-9.2637999999999998</v>
      </c>
      <c r="P40" s="62" t="s">
        <v>19</v>
      </c>
      <c r="Q40" s="62">
        <f>MIN(B7:B12)</f>
        <v>-21.381900000000002</v>
      </c>
      <c r="R40" s="62">
        <f>MAX(C7:C12)</f>
        <v>15.446899999999999</v>
      </c>
      <c r="V40" s="65"/>
    </row>
    <row r="41" spans="1:22" x14ac:dyDescent="0.25">
      <c r="A41" s="63">
        <v>14</v>
      </c>
      <c r="B41" s="62">
        <v>0.33629999999999999</v>
      </c>
      <c r="C41" s="62">
        <v>0.33629999999999999</v>
      </c>
      <c r="D41" s="62">
        <v>-0.8972</v>
      </c>
      <c r="E41" s="62">
        <v>-0.38550000000000001</v>
      </c>
      <c r="F41" s="62">
        <v>-0.38550000000000001</v>
      </c>
      <c r="G41" s="370">
        <v>-9.2716999999999992</v>
      </c>
      <c r="H41" s="370">
        <v>-9.2716999999999992</v>
      </c>
      <c r="J41" s="92" t="s">
        <v>476</v>
      </c>
      <c r="P41" s="62" t="s">
        <v>20</v>
      </c>
      <c r="Q41" s="62" cm="1">
        <f t="array" ref="Q41">MAX(ABS(E7:F12))</f>
        <v>35.3887</v>
      </c>
      <c r="V41" s="65"/>
    </row>
    <row r="42" spans="1:22" x14ac:dyDescent="0.25">
      <c r="A42" s="63">
        <v>15</v>
      </c>
      <c r="B42" s="62">
        <v>-0.1118</v>
      </c>
      <c r="C42" s="62">
        <v>0.55979999999999996</v>
      </c>
      <c r="D42" s="62">
        <v>0.55979999999999996</v>
      </c>
      <c r="E42" s="62">
        <v>0.2099</v>
      </c>
      <c r="F42" s="62">
        <v>0.2099</v>
      </c>
      <c r="G42" s="370">
        <v>-13.5283</v>
      </c>
      <c r="H42" s="370">
        <v>-13.5283</v>
      </c>
      <c r="J42" s="62" t="s">
        <v>474</v>
      </c>
      <c r="K42" s="62" t="s">
        <v>149</v>
      </c>
      <c r="L42" s="62" t="s">
        <v>150</v>
      </c>
      <c r="P42" s="62" t="s">
        <v>147</v>
      </c>
      <c r="Q42" s="62" cm="1">
        <f t="array" ref="Q42">MAX(ABS(H17:I24))</f>
        <v>105.9969</v>
      </c>
      <c r="V42" s="65"/>
    </row>
    <row r="43" spans="1:22" x14ac:dyDescent="0.25">
      <c r="A43" s="63">
        <v>16</v>
      </c>
      <c r="B43" s="62">
        <v>0.1118</v>
      </c>
      <c r="C43" s="62">
        <v>0.1118</v>
      </c>
      <c r="D43" s="62">
        <v>-0.55979999999999996</v>
      </c>
      <c r="E43" s="62">
        <v>-0.2099</v>
      </c>
      <c r="F43" s="62">
        <v>-0.2099</v>
      </c>
      <c r="G43" s="370">
        <v>-13.5283</v>
      </c>
      <c r="H43" s="370">
        <v>-13.5283</v>
      </c>
      <c r="J43" s="62" t="s">
        <v>478</v>
      </c>
      <c r="K43" s="62" cm="1">
        <f t="array" ref="K43">MAX(ABS(Q18:Q19))</f>
        <v>148.8416</v>
      </c>
      <c r="L43" s="62">
        <f>MAX(ABS(Q17), ABS(Q20))</f>
        <v>94.535300000000007</v>
      </c>
      <c r="O43" s="62" t="s">
        <v>16</v>
      </c>
      <c r="V43" s="65"/>
    </row>
    <row r="44" spans="1:22" x14ac:dyDescent="0.25">
      <c r="A44" s="63">
        <v>17</v>
      </c>
      <c r="B44" s="62">
        <v>-0.33629999999999999</v>
      </c>
      <c r="C44" s="62">
        <v>0.8972</v>
      </c>
      <c r="D44" s="62">
        <v>0.8972</v>
      </c>
      <c r="E44" s="62">
        <v>0.38550000000000001</v>
      </c>
      <c r="F44" s="62">
        <v>0.38550000000000001</v>
      </c>
      <c r="G44" s="370">
        <v>-9.2716999999999992</v>
      </c>
      <c r="H44" s="370">
        <v>-9.2716999999999992</v>
      </c>
      <c r="J44" s="62" t="s">
        <v>479</v>
      </c>
      <c r="K44" s="62" cm="1">
        <f t="array" ref="K44">MAX(ABS(Q22:Q23))</f>
        <v>75.104900000000001</v>
      </c>
      <c r="L44" s="62">
        <f>MAX(ABS(Q21), ABS(Q24))</f>
        <v>46.583500000000001</v>
      </c>
      <c r="P44" s="62" t="s">
        <v>19</v>
      </c>
      <c r="Q44" s="62">
        <f>MIN(B31:B36)</f>
        <v>-2.9514999999999998</v>
      </c>
      <c r="R44" s="62">
        <f>MAX(C31:C36)</f>
        <v>2.1614</v>
      </c>
      <c r="U44" s="301"/>
      <c r="V44" s="65" t="s">
        <v>369</v>
      </c>
    </row>
    <row r="45" spans="1:22" x14ac:dyDescent="0.25">
      <c r="A45" s="63">
        <v>18</v>
      </c>
      <c r="B45" s="62">
        <v>1.8282</v>
      </c>
      <c r="C45" s="62">
        <v>1.8282</v>
      </c>
      <c r="D45" s="62">
        <v>-2.2450000000000001</v>
      </c>
      <c r="E45" s="62">
        <v>-1.2728999999999999</v>
      </c>
      <c r="F45" s="62">
        <v>-1.2728999999999999</v>
      </c>
      <c r="G45" s="108">
        <v>-4.5781999999999998</v>
      </c>
      <c r="H45" s="108">
        <v>-4.5781999999999998</v>
      </c>
      <c r="J45" s="92" t="s">
        <v>477</v>
      </c>
      <c r="P45" s="62" t="s">
        <v>20</v>
      </c>
      <c r="Q45" s="62" cm="1">
        <f t="array" ref="Q45">MAX(ABS(E31:F36))</f>
        <v>4.9218000000000002</v>
      </c>
      <c r="U45" s="361"/>
      <c r="V45" s="65" t="s">
        <v>358</v>
      </c>
    </row>
    <row r="46" spans="1:22" x14ac:dyDescent="0.25">
      <c r="A46" s="63">
        <v>19</v>
      </c>
      <c r="B46" s="62">
        <v>-1.2201</v>
      </c>
      <c r="C46" s="62">
        <v>1.4279999999999999</v>
      </c>
      <c r="D46" s="62">
        <v>1.4279999999999999</v>
      </c>
      <c r="E46" s="62">
        <v>0.82750000000000001</v>
      </c>
      <c r="F46" s="62">
        <v>0.82750000000000001</v>
      </c>
      <c r="G46" s="108">
        <v>-6.8217999999999996</v>
      </c>
      <c r="H46" s="108">
        <v>-6.8217999999999996</v>
      </c>
      <c r="J46" s="62" t="s">
        <v>474</v>
      </c>
      <c r="K46" s="62" t="s">
        <v>149</v>
      </c>
      <c r="L46" s="62" t="s">
        <v>150</v>
      </c>
      <c r="P46" s="62" t="s">
        <v>147</v>
      </c>
      <c r="Q46" s="62" cm="1">
        <f t="array" ref="Q46">MAX(ABS(H41:H48))</f>
        <v>13.5283</v>
      </c>
      <c r="U46" s="108"/>
      <c r="V46" s="65" t="s">
        <v>363</v>
      </c>
    </row>
    <row r="47" spans="1:22" x14ac:dyDescent="0.25">
      <c r="A47" s="63">
        <v>20</v>
      </c>
      <c r="B47" s="62">
        <v>1.2201</v>
      </c>
      <c r="C47" s="62">
        <v>1.2201</v>
      </c>
      <c r="D47" s="62">
        <v>-1.4279999999999999</v>
      </c>
      <c r="E47" s="62">
        <v>-0.82750000000000001</v>
      </c>
      <c r="F47" s="62">
        <v>-0.82750000000000001</v>
      </c>
      <c r="G47" s="108">
        <v>-6.8217999999999996</v>
      </c>
      <c r="H47" s="108">
        <v>-6.8217999999999996</v>
      </c>
      <c r="J47" s="62" t="s">
        <v>478</v>
      </c>
      <c r="K47" s="62" cm="1">
        <f t="array" ref="K47">MAX(ABS(H14:H15))</f>
        <v>143.23249999999999</v>
      </c>
      <c r="L47" s="62">
        <f>MAX(ABS(H13), ABS(H16))</f>
        <v>84.916499999999999</v>
      </c>
      <c r="V47" s="65"/>
    </row>
    <row r="48" spans="1:22" ht="14.4" thickBot="1" x14ac:dyDescent="0.3">
      <c r="A48" s="76">
        <v>21</v>
      </c>
      <c r="B48" s="78">
        <v>-1.8282</v>
      </c>
      <c r="C48" s="78">
        <v>2.2450000000000001</v>
      </c>
      <c r="D48" s="78">
        <v>2.2450000000000001</v>
      </c>
      <c r="E48" s="78">
        <v>1.2728999999999999</v>
      </c>
      <c r="F48" s="78">
        <v>1.2728999999999999</v>
      </c>
      <c r="G48" s="371">
        <v>-4.5781999999999998</v>
      </c>
      <c r="H48" s="371">
        <v>-4.5781999999999998</v>
      </c>
      <c r="I48" s="78"/>
      <c r="J48" s="78" t="s">
        <v>479</v>
      </c>
      <c r="K48" s="78" cm="1">
        <f t="array" ref="K48">MAX(ABS(H18:H19),(H22:H23))</f>
        <v>105.9969</v>
      </c>
      <c r="L48" s="78">
        <f>MAX(ABS(H17), ABS(H20),ABS(H21),ABS(H24))</f>
        <v>66.417100000000005</v>
      </c>
      <c r="M48" s="78"/>
      <c r="N48" s="78"/>
      <c r="O48" s="78"/>
      <c r="P48" s="78"/>
      <c r="Q48" s="78"/>
      <c r="R48" s="78"/>
      <c r="S48" s="78"/>
      <c r="T48" s="78"/>
      <c r="U48" s="78"/>
      <c r="V48" s="79"/>
    </row>
    <row r="50" spans="1:24" ht="14.4" thickBot="1" x14ac:dyDescent="0.3"/>
    <row r="51" spans="1:24" ht="19.95" customHeight="1" x14ac:dyDescent="0.25">
      <c r="A51" s="428" t="s">
        <v>21</v>
      </c>
      <c r="B51" s="429"/>
      <c r="C51" s="429"/>
      <c r="D51" s="429"/>
      <c r="E51" s="429"/>
      <c r="F51" s="429"/>
      <c r="G51" s="429"/>
      <c r="H51" s="429"/>
      <c r="I51" s="429"/>
      <c r="J51" s="429"/>
      <c r="K51" s="429"/>
      <c r="L51" s="429"/>
      <c r="M51" s="429"/>
      <c r="N51" s="429"/>
      <c r="O51" s="429"/>
      <c r="P51" s="429"/>
      <c r="Q51" s="429"/>
      <c r="R51" s="429"/>
      <c r="S51" s="429"/>
      <c r="T51" s="429"/>
      <c r="U51" s="429"/>
      <c r="V51" s="430"/>
    </row>
    <row r="52" spans="1:24" x14ac:dyDescent="0.25">
      <c r="A52" s="112" t="s">
        <v>9</v>
      </c>
      <c r="J52" s="92" t="s">
        <v>11</v>
      </c>
      <c r="V52" s="65"/>
      <c r="W52" s="92"/>
    </row>
    <row r="53" spans="1:24" x14ac:dyDescent="0.25">
      <c r="A53" s="63" t="s">
        <v>0</v>
      </c>
      <c r="B53" s="62" t="s">
        <v>1</v>
      </c>
      <c r="C53" s="62" t="s">
        <v>2</v>
      </c>
      <c r="D53" s="62" t="s">
        <v>3</v>
      </c>
      <c r="E53" s="62" t="s">
        <v>4</v>
      </c>
      <c r="F53" s="62" t="s">
        <v>5</v>
      </c>
      <c r="G53" s="62" t="s">
        <v>6</v>
      </c>
      <c r="H53" s="62" t="s">
        <v>7</v>
      </c>
      <c r="J53" s="62" t="s">
        <v>0</v>
      </c>
      <c r="K53" s="62" t="s">
        <v>1</v>
      </c>
      <c r="L53" s="62" t="s">
        <v>2</v>
      </c>
      <c r="M53" s="62" t="s">
        <v>3</v>
      </c>
      <c r="N53" s="62" t="s">
        <v>4</v>
      </c>
      <c r="O53" s="62" t="s">
        <v>5</v>
      </c>
      <c r="P53" s="62" t="s">
        <v>6</v>
      </c>
      <c r="Q53" s="62" t="s">
        <v>7</v>
      </c>
      <c r="V53" s="65"/>
    </row>
    <row r="54" spans="1:24" x14ac:dyDescent="0.25">
      <c r="A54" s="300">
        <v>1</v>
      </c>
      <c r="B54" s="301">
        <v>-0.57450000000000001</v>
      </c>
      <c r="C54" s="301">
        <v>0</v>
      </c>
      <c r="D54" s="301">
        <v>-7.0300000000000001E-2</v>
      </c>
      <c r="E54" s="301">
        <v>0.12609999999999999</v>
      </c>
      <c r="F54" s="301">
        <v>0.12609999999999999</v>
      </c>
      <c r="G54" s="62">
        <v>4.2394999999999996</v>
      </c>
      <c r="H54" s="62">
        <v>4.2394999999999996</v>
      </c>
      <c r="J54" s="301">
        <v>1</v>
      </c>
      <c r="K54" s="301">
        <v>-0.91190000000000004</v>
      </c>
      <c r="L54" s="301">
        <v>0</v>
      </c>
      <c r="M54" s="301">
        <v>-0.21920000000000001</v>
      </c>
      <c r="N54" s="301">
        <v>0.17319999999999999</v>
      </c>
      <c r="O54" s="301">
        <v>0.17319999999999999</v>
      </c>
      <c r="P54" s="62">
        <v>7.1139000000000001</v>
      </c>
      <c r="Q54" s="62">
        <v>7.1139000000000001</v>
      </c>
      <c r="V54" s="65"/>
    </row>
    <row r="55" spans="1:24" x14ac:dyDescent="0.25">
      <c r="A55" s="300">
        <v>2</v>
      </c>
      <c r="B55" s="301">
        <v>7.8399999999999997E-2</v>
      </c>
      <c r="C55" s="301">
        <v>1.0846</v>
      </c>
      <c r="D55" s="301">
        <v>1.0846</v>
      </c>
      <c r="E55" s="301">
        <v>0.50309999999999999</v>
      </c>
      <c r="F55" s="301">
        <v>0.50309999999999999</v>
      </c>
      <c r="G55" s="62">
        <v>1.1594</v>
      </c>
      <c r="H55" s="62">
        <v>1.1594</v>
      </c>
      <c r="J55" s="301">
        <v>2</v>
      </c>
      <c r="K55" s="301">
        <v>-0.18909999999999999</v>
      </c>
      <c r="L55" s="301">
        <v>1.2697000000000001</v>
      </c>
      <c r="M55" s="301">
        <v>1.2084999999999999</v>
      </c>
      <c r="N55" s="301">
        <v>2.9788000000000001</v>
      </c>
      <c r="O55" s="301">
        <v>-6.1199999999999997E-2</v>
      </c>
      <c r="P55" s="62">
        <v>1.6371</v>
      </c>
      <c r="Q55" s="62">
        <v>1.6371</v>
      </c>
      <c r="V55" s="65"/>
    </row>
    <row r="56" spans="1:24" x14ac:dyDescent="0.25">
      <c r="A56" s="300">
        <v>3</v>
      </c>
      <c r="B56" s="301">
        <v>-1.35E-2</v>
      </c>
      <c r="C56" s="301">
        <v>0</v>
      </c>
      <c r="D56" s="301">
        <v>-0.87119999999999997</v>
      </c>
      <c r="E56" s="301">
        <v>-0.21440000000000001</v>
      </c>
      <c r="F56" s="301">
        <v>-0.21440000000000001</v>
      </c>
      <c r="G56" s="62">
        <v>6.0449999999999999</v>
      </c>
      <c r="H56" s="62">
        <v>6.0449999999999999</v>
      </c>
      <c r="J56" s="301">
        <v>3</v>
      </c>
      <c r="K56" s="301">
        <v>-8.2000000000000003E-2</v>
      </c>
      <c r="L56" s="301">
        <v>0</v>
      </c>
      <c r="M56" s="301">
        <v>-1.3163</v>
      </c>
      <c r="N56" s="301">
        <v>-0.30859999999999999</v>
      </c>
      <c r="O56" s="301">
        <v>-0.30859999999999999</v>
      </c>
      <c r="P56" s="62">
        <v>9.2438000000000002</v>
      </c>
      <c r="Q56" s="62">
        <v>9.2438000000000002</v>
      </c>
      <c r="V56" s="65"/>
      <c r="W56" s="92" t="s">
        <v>576</v>
      </c>
      <c r="X56" s="62" cm="1">
        <f t="array" ref="X56">MAX(ABS(N54:O56))</f>
        <v>2.9788000000000001</v>
      </c>
    </row>
    <row r="57" spans="1:24" x14ac:dyDescent="0.25">
      <c r="A57" s="369">
        <v>4</v>
      </c>
      <c r="B57" s="370">
        <v>-17.579999999999998</v>
      </c>
      <c r="C57" s="370">
        <v>12.3218</v>
      </c>
      <c r="D57" s="370">
        <v>-18.720400000000001</v>
      </c>
      <c r="E57" s="370">
        <v>30.186900000000001</v>
      </c>
      <c r="F57" s="370">
        <v>-30.757100000000001</v>
      </c>
      <c r="G57" s="62">
        <v>5.6241000000000003</v>
      </c>
      <c r="H57" s="62">
        <v>5.6241000000000003</v>
      </c>
      <c r="J57" s="370">
        <v>4</v>
      </c>
      <c r="K57" s="370">
        <v>-29.7822</v>
      </c>
      <c r="L57" s="370">
        <v>20.9312</v>
      </c>
      <c r="M57" s="370">
        <v>-31.888200000000001</v>
      </c>
      <c r="N57" s="370">
        <v>51.239899999999999</v>
      </c>
      <c r="O57" s="370">
        <v>-52.292900000000003</v>
      </c>
      <c r="P57" s="62">
        <v>9.6158999999999999</v>
      </c>
      <c r="Q57" s="62">
        <v>9.6158999999999999</v>
      </c>
      <c r="V57" s="65"/>
    </row>
    <row r="58" spans="1:24" x14ac:dyDescent="0.25">
      <c r="A58" s="369">
        <v>5</v>
      </c>
      <c r="B58" s="370">
        <v>-6.0174000000000003</v>
      </c>
      <c r="C58" s="370">
        <v>0</v>
      </c>
      <c r="D58" s="370">
        <v>-9.1425999999999998</v>
      </c>
      <c r="E58" s="370">
        <v>7.1323999999999996</v>
      </c>
      <c r="F58" s="370">
        <v>-10.2576</v>
      </c>
      <c r="G58" s="62">
        <v>1.6002000000000001</v>
      </c>
      <c r="H58" s="62">
        <v>1.6002000000000001</v>
      </c>
      <c r="J58" s="370">
        <v>5</v>
      </c>
      <c r="K58" s="370">
        <v>-10.1279</v>
      </c>
      <c r="L58" s="370">
        <v>0</v>
      </c>
      <c r="M58" s="370">
        <v>-13.825900000000001</v>
      </c>
      <c r="N58" s="370">
        <v>11.625</v>
      </c>
      <c r="O58" s="370">
        <v>-15.323</v>
      </c>
      <c r="P58" s="62">
        <v>2.6591999999999998</v>
      </c>
      <c r="Q58" s="62">
        <v>2.6591999999999998</v>
      </c>
      <c r="V58" s="65"/>
    </row>
    <row r="59" spans="1:24" x14ac:dyDescent="0.25">
      <c r="A59" s="369">
        <v>6</v>
      </c>
      <c r="B59" s="370">
        <v>-26.8796</v>
      </c>
      <c r="C59" s="370">
        <v>17.7089</v>
      </c>
      <c r="D59" s="370">
        <v>-23.734500000000001</v>
      </c>
      <c r="E59" s="370">
        <v>43.802300000000002</v>
      </c>
      <c r="F59" s="370">
        <v>-42.229700000000001</v>
      </c>
      <c r="G59" s="62">
        <v>5.5266000000000002</v>
      </c>
      <c r="H59" s="62">
        <v>5.5266000000000002</v>
      </c>
      <c r="J59" s="370">
        <v>6</v>
      </c>
      <c r="K59" s="370">
        <v>-41.650199999999998</v>
      </c>
      <c r="L59" s="370">
        <v>27.3995</v>
      </c>
      <c r="M59" s="370">
        <v>-37.189100000000003</v>
      </c>
      <c r="N59" s="370">
        <v>67.9345</v>
      </c>
      <c r="O59" s="370">
        <v>-65.703900000000004</v>
      </c>
      <c r="P59" s="62">
        <v>9.4777000000000005</v>
      </c>
      <c r="Q59" s="62">
        <v>9.4777000000000005</v>
      </c>
      <c r="V59" s="65"/>
    </row>
    <row r="60" spans="1:24" x14ac:dyDescent="0.25">
      <c r="A60" s="363">
        <v>7</v>
      </c>
      <c r="B60" s="108">
        <v>-14.465</v>
      </c>
      <c r="C60" s="108">
        <v>14.022600000000001</v>
      </c>
      <c r="D60" s="108">
        <v>-18.433800000000002</v>
      </c>
      <c r="E60" s="108">
        <v>29.479800000000001</v>
      </c>
      <c r="F60" s="108">
        <v>-31.464200000000002</v>
      </c>
      <c r="G60" s="62">
        <v>-8.1862999999999992</v>
      </c>
      <c r="H60" s="62">
        <v>-8.1862999999999992</v>
      </c>
      <c r="J60" s="108">
        <v>7</v>
      </c>
      <c r="K60" s="108">
        <v>-24.584099999999999</v>
      </c>
      <c r="L60" s="108">
        <v>23.882899999999999</v>
      </c>
      <c r="M60" s="108">
        <v>-31.1829</v>
      </c>
      <c r="N60" s="108">
        <v>50.116700000000002</v>
      </c>
      <c r="O60" s="108">
        <v>-53.4161</v>
      </c>
      <c r="P60" s="62">
        <v>-13.9107</v>
      </c>
      <c r="Q60" s="62">
        <v>-13.9107</v>
      </c>
      <c r="V60" s="65"/>
    </row>
    <row r="61" spans="1:24" x14ac:dyDescent="0.25">
      <c r="A61" s="363">
        <v>8</v>
      </c>
      <c r="B61" s="108">
        <v>-8.4041999999999994</v>
      </c>
      <c r="C61" s="108">
        <v>0</v>
      </c>
      <c r="D61" s="108">
        <v>-6.8579999999999997</v>
      </c>
      <c r="E61" s="108">
        <v>2.9468999999999999</v>
      </c>
      <c r="F61" s="108">
        <v>-5.7481</v>
      </c>
      <c r="G61" s="62">
        <v>-2.3921999999999999</v>
      </c>
      <c r="H61" s="62">
        <v>-2.3921999999999999</v>
      </c>
      <c r="J61" s="108">
        <v>8</v>
      </c>
      <c r="K61" s="108">
        <v>-13.854100000000001</v>
      </c>
      <c r="L61" s="108">
        <v>0</v>
      </c>
      <c r="M61" s="108">
        <v>-12.0428</v>
      </c>
      <c r="N61" s="108">
        <v>4.2740999999999998</v>
      </c>
      <c r="O61" s="108">
        <v>-9.1998999999999995</v>
      </c>
      <c r="P61" s="62">
        <v>-3.9319000000000002</v>
      </c>
      <c r="Q61" s="62">
        <v>-3.9319000000000002</v>
      </c>
      <c r="V61" s="65"/>
    </row>
    <row r="62" spans="1:24" x14ac:dyDescent="0.25">
      <c r="A62" s="363">
        <v>9</v>
      </c>
      <c r="B62" s="108">
        <v>-18.170300000000001</v>
      </c>
      <c r="C62" s="108">
        <v>13.8155</v>
      </c>
      <c r="D62" s="108">
        <v>-15.1427</v>
      </c>
      <c r="E62" s="108">
        <v>31.228899999999999</v>
      </c>
      <c r="F62" s="108">
        <v>-29.7151</v>
      </c>
      <c r="G62" s="62">
        <v>-9.3508999999999993</v>
      </c>
      <c r="H62" s="62">
        <v>-9.3508999999999993</v>
      </c>
      <c r="J62" s="108">
        <v>9</v>
      </c>
      <c r="K62" s="108">
        <v>-30.8858</v>
      </c>
      <c r="L62" s="108">
        <v>23.6267</v>
      </c>
      <c r="M62" s="108">
        <v>-25.393599999999999</v>
      </c>
      <c r="N62" s="108">
        <v>53.139499999999998</v>
      </c>
      <c r="O62" s="108">
        <v>-50.393300000000004</v>
      </c>
      <c r="P62" s="62">
        <v>-15.303599999999999</v>
      </c>
      <c r="Q62" s="62">
        <v>-15.303599999999999</v>
      </c>
      <c r="V62" s="65"/>
    </row>
    <row r="63" spans="1:24" x14ac:dyDescent="0.25">
      <c r="A63" s="63">
        <v>10</v>
      </c>
      <c r="B63" s="62">
        <v>-0.74009999999999998</v>
      </c>
      <c r="C63" s="62">
        <v>1.7757000000000001</v>
      </c>
      <c r="D63" s="62">
        <v>1.7757000000000001</v>
      </c>
      <c r="E63" s="62">
        <v>1.6772</v>
      </c>
      <c r="F63" s="62">
        <v>1.6772</v>
      </c>
      <c r="G63" s="301">
        <v>-59.7928</v>
      </c>
      <c r="H63" s="301">
        <v>-59.7928</v>
      </c>
      <c r="J63" s="62">
        <v>10</v>
      </c>
      <c r="K63" s="62">
        <v>-1.2492000000000001</v>
      </c>
      <c r="L63" s="62">
        <v>2.9794999999999998</v>
      </c>
      <c r="M63" s="62">
        <v>2.9794999999999998</v>
      </c>
      <c r="N63" s="62">
        <v>2.8191000000000002</v>
      </c>
      <c r="O63" s="62">
        <v>2.8191000000000002</v>
      </c>
      <c r="P63" s="301">
        <v>-101.52979999999999</v>
      </c>
      <c r="Q63" s="301">
        <v>-101.52979999999999</v>
      </c>
      <c r="V63" s="65"/>
    </row>
    <row r="64" spans="1:24" x14ac:dyDescent="0.25">
      <c r="A64" s="63">
        <v>11</v>
      </c>
      <c r="B64" s="62">
        <v>0.64029999999999998</v>
      </c>
      <c r="C64" s="62">
        <v>0.64029999999999998</v>
      </c>
      <c r="D64" s="62">
        <v>-1.3244</v>
      </c>
      <c r="E64" s="62">
        <v>-1.3098000000000001</v>
      </c>
      <c r="F64" s="62">
        <v>-1.3098000000000001</v>
      </c>
      <c r="G64" s="301">
        <v>-72.677700000000002</v>
      </c>
      <c r="H64" s="301">
        <v>-72.677700000000002</v>
      </c>
      <c r="J64" s="62">
        <v>11</v>
      </c>
      <c r="K64" s="62">
        <v>1.198</v>
      </c>
      <c r="L64" s="62">
        <v>1.198</v>
      </c>
      <c r="M64" s="62">
        <v>-2.484</v>
      </c>
      <c r="N64" s="62">
        <v>-2.4546999999999999</v>
      </c>
      <c r="O64" s="62">
        <v>-2.4546999999999999</v>
      </c>
      <c r="P64" s="301">
        <v>-124.41379999999999</v>
      </c>
      <c r="Q64" s="301">
        <v>-124.41379999999999</v>
      </c>
      <c r="V64" s="65"/>
    </row>
    <row r="65" spans="1:23" x14ac:dyDescent="0.25">
      <c r="A65" s="63">
        <v>12</v>
      </c>
      <c r="B65" s="62">
        <v>-0.95669999999999999</v>
      </c>
      <c r="C65" s="62">
        <v>1.8232999999999999</v>
      </c>
      <c r="D65" s="62">
        <v>1.8232999999999999</v>
      </c>
      <c r="E65" s="62">
        <v>1.8532999999999999</v>
      </c>
      <c r="F65" s="62">
        <v>1.8532999999999999</v>
      </c>
      <c r="G65" s="301">
        <v>-90.319299999999998</v>
      </c>
      <c r="H65" s="301">
        <v>-90.319299999999998</v>
      </c>
      <c r="J65" s="62">
        <v>12</v>
      </c>
      <c r="K65" s="62">
        <v>-1.5779000000000001</v>
      </c>
      <c r="L65" s="62">
        <v>3.0022000000000002</v>
      </c>
      <c r="M65" s="62">
        <v>3.0022000000000002</v>
      </c>
      <c r="N65" s="62">
        <v>3.0535000000000001</v>
      </c>
      <c r="O65" s="62">
        <v>3.0535000000000001</v>
      </c>
      <c r="P65" s="301">
        <v>-145.3494</v>
      </c>
      <c r="Q65" s="301">
        <v>-145.3494</v>
      </c>
      <c r="V65" s="65"/>
      <c r="W65" s="92"/>
    </row>
    <row r="66" spans="1:23" x14ac:dyDescent="0.25">
      <c r="A66" s="63">
        <v>13</v>
      </c>
      <c r="B66" s="62">
        <v>0.91910000000000003</v>
      </c>
      <c r="C66" s="62">
        <v>0.91910000000000003</v>
      </c>
      <c r="D66" s="62">
        <v>-2.4119000000000002</v>
      </c>
      <c r="E66" s="62">
        <v>-2.2206999999999999</v>
      </c>
      <c r="F66" s="62">
        <v>-2.2206999999999999</v>
      </c>
      <c r="G66" s="301">
        <v>-72.159300000000002</v>
      </c>
      <c r="H66" s="301">
        <v>-72.159300000000002</v>
      </c>
      <c r="J66" s="62">
        <v>13</v>
      </c>
      <c r="K66" s="62">
        <v>1.4112</v>
      </c>
      <c r="L66" s="62">
        <v>1.4112</v>
      </c>
      <c r="M66" s="62">
        <v>-3.7155999999999998</v>
      </c>
      <c r="N66" s="62">
        <v>-3.4178999999999999</v>
      </c>
      <c r="O66" s="62">
        <v>-3.4178999999999999</v>
      </c>
      <c r="P66" s="301">
        <v>-116.4058</v>
      </c>
      <c r="Q66" s="301">
        <v>-116.4058</v>
      </c>
      <c r="V66" s="65"/>
    </row>
    <row r="67" spans="1:23" x14ac:dyDescent="0.25">
      <c r="A67" s="63">
        <v>14</v>
      </c>
      <c r="B67" s="62">
        <v>2.3502999999999998</v>
      </c>
      <c r="C67" s="62">
        <v>2.3502999999999998</v>
      </c>
      <c r="D67" s="62">
        <v>-5.8489000000000004</v>
      </c>
      <c r="E67" s="62">
        <v>-2.5621999999999998</v>
      </c>
      <c r="F67" s="62">
        <v>-2.5621999999999998</v>
      </c>
      <c r="G67" s="370">
        <v>-59.666699999999999</v>
      </c>
      <c r="H67" s="370">
        <v>-59.666699999999999</v>
      </c>
      <c r="J67" s="62">
        <v>14</v>
      </c>
      <c r="K67" s="62">
        <v>3.8914</v>
      </c>
      <c r="L67" s="62">
        <v>3.8914</v>
      </c>
      <c r="M67" s="62">
        <v>-9.8520000000000003</v>
      </c>
      <c r="N67" s="62">
        <v>-4.2948000000000004</v>
      </c>
      <c r="O67" s="62">
        <v>-4.2948000000000004</v>
      </c>
      <c r="P67" s="370">
        <v>-101.3566</v>
      </c>
      <c r="Q67" s="370">
        <v>-101.3566</v>
      </c>
      <c r="V67" s="65"/>
    </row>
    <row r="68" spans="1:23" x14ac:dyDescent="0.25">
      <c r="A68" s="63">
        <v>15</v>
      </c>
      <c r="B68" s="62">
        <v>-1.4730000000000001</v>
      </c>
      <c r="C68" s="62">
        <v>4.1916000000000002</v>
      </c>
      <c r="D68" s="62">
        <v>4.1916000000000002</v>
      </c>
      <c r="E68" s="62">
        <v>1.7702</v>
      </c>
      <c r="F68" s="62">
        <v>1.7702</v>
      </c>
      <c r="G68" s="370">
        <v>-72.300600000000003</v>
      </c>
      <c r="H68" s="370">
        <v>-72.300600000000003</v>
      </c>
      <c r="J68" s="62">
        <v>15</v>
      </c>
      <c r="K68" s="62">
        <v>-2.5142000000000002</v>
      </c>
      <c r="L68" s="62">
        <v>7.1567999999999996</v>
      </c>
      <c r="M68" s="62">
        <v>7.1567999999999996</v>
      </c>
      <c r="N68" s="62">
        <v>3.0222000000000002</v>
      </c>
      <c r="O68" s="62">
        <v>3.0222000000000002</v>
      </c>
      <c r="P68" s="370">
        <v>-121.6082</v>
      </c>
      <c r="Q68" s="370">
        <v>-121.6082</v>
      </c>
      <c r="V68" s="65"/>
    </row>
    <row r="69" spans="1:23" x14ac:dyDescent="0.25">
      <c r="A69" s="63">
        <v>16</v>
      </c>
      <c r="B69" s="62">
        <v>2.9214000000000002</v>
      </c>
      <c r="C69" s="62">
        <v>2.9214000000000002</v>
      </c>
      <c r="D69" s="62">
        <v>-6.7817999999999996</v>
      </c>
      <c r="E69" s="62">
        <v>-3.0323000000000002</v>
      </c>
      <c r="F69" s="62">
        <v>-3.0323000000000002</v>
      </c>
      <c r="G69" s="370">
        <v>-91.036900000000003</v>
      </c>
      <c r="H69" s="370">
        <v>-91.036900000000003</v>
      </c>
      <c r="J69" s="62">
        <v>16</v>
      </c>
      <c r="K69" s="62">
        <v>4.2927999999999997</v>
      </c>
      <c r="L69" s="62">
        <v>4.2927999999999997</v>
      </c>
      <c r="M69" s="62">
        <v>-10.2776</v>
      </c>
      <c r="N69" s="62">
        <v>-4.5533000000000001</v>
      </c>
      <c r="O69" s="62">
        <v>-4.5533000000000001</v>
      </c>
      <c r="P69" s="370">
        <v>-145.5968</v>
      </c>
      <c r="Q69" s="370">
        <v>-145.5968</v>
      </c>
      <c r="V69" s="65"/>
    </row>
    <row r="70" spans="1:23" x14ac:dyDescent="0.25">
      <c r="A70" s="63">
        <v>17</v>
      </c>
      <c r="B70" s="62">
        <v>-3.2831999999999999</v>
      </c>
      <c r="C70" s="62">
        <v>8.9544999999999995</v>
      </c>
      <c r="D70" s="62">
        <v>8.9544999999999995</v>
      </c>
      <c r="E70" s="62">
        <v>3.8243</v>
      </c>
      <c r="F70" s="62">
        <v>3.8243</v>
      </c>
      <c r="G70" s="370">
        <v>-71.944800000000001</v>
      </c>
      <c r="H70" s="370">
        <v>-71.944800000000001</v>
      </c>
      <c r="J70" s="62">
        <v>17</v>
      </c>
      <c r="K70" s="62">
        <v>-5.0319000000000003</v>
      </c>
      <c r="L70" s="62">
        <v>13.611000000000001</v>
      </c>
      <c r="M70" s="62">
        <v>13.611000000000001</v>
      </c>
      <c r="N70" s="62">
        <v>5.8258999999999999</v>
      </c>
      <c r="O70" s="62">
        <v>5.8258999999999999</v>
      </c>
      <c r="P70" s="370">
        <v>-116.0973</v>
      </c>
      <c r="Q70" s="370">
        <v>-116.0973</v>
      </c>
      <c r="V70" s="65"/>
    </row>
    <row r="71" spans="1:23" x14ac:dyDescent="0.25">
      <c r="A71" s="63">
        <v>18</v>
      </c>
      <c r="B71" s="62">
        <v>11.731199999999999</v>
      </c>
      <c r="C71" s="62">
        <v>11.731199999999999</v>
      </c>
      <c r="D71" s="62">
        <v>-14.465</v>
      </c>
      <c r="E71" s="62">
        <v>-8.1862999999999992</v>
      </c>
      <c r="F71" s="62">
        <v>-8.1862999999999992</v>
      </c>
      <c r="G71" s="108">
        <v>-29.479800000000001</v>
      </c>
      <c r="H71" s="108">
        <v>-29.479800000000001</v>
      </c>
      <c r="J71" s="62">
        <v>18</v>
      </c>
      <c r="K71" s="62">
        <v>19.930099999999999</v>
      </c>
      <c r="L71" s="62">
        <v>19.930099999999999</v>
      </c>
      <c r="M71" s="62">
        <v>-24.584099999999999</v>
      </c>
      <c r="N71" s="62">
        <v>-13.9107</v>
      </c>
      <c r="O71" s="62">
        <v>-13.9107</v>
      </c>
      <c r="P71" s="108">
        <v>-50.116700000000002</v>
      </c>
      <c r="Q71" s="108">
        <v>-50.116700000000002</v>
      </c>
      <c r="V71" s="65"/>
    </row>
    <row r="72" spans="1:23" x14ac:dyDescent="0.25">
      <c r="A72" s="63">
        <v>19</v>
      </c>
      <c r="B72" s="62">
        <v>-8.5114000000000001</v>
      </c>
      <c r="C72" s="62">
        <v>10.0296</v>
      </c>
      <c r="D72" s="62">
        <v>10.0296</v>
      </c>
      <c r="E72" s="62">
        <v>5.7941000000000003</v>
      </c>
      <c r="F72" s="62">
        <v>5.7941000000000003</v>
      </c>
      <c r="G72" s="108">
        <v>-34.411099999999998</v>
      </c>
      <c r="H72" s="108">
        <v>-34.411099999999998</v>
      </c>
      <c r="J72" s="62">
        <v>19</v>
      </c>
      <c r="K72" s="62">
        <v>-14.6036</v>
      </c>
      <c r="L72" s="62">
        <v>17.328800000000001</v>
      </c>
      <c r="M72" s="62">
        <v>17.328800000000001</v>
      </c>
      <c r="N72" s="62">
        <v>9.9788999999999994</v>
      </c>
      <c r="O72" s="62">
        <v>9.9788999999999994</v>
      </c>
      <c r="P72" s="108">
        <v>-57.690199999999997</v>
      </c>
      <c r="Q72" s="108">
        <v>-57.690199999999997</v>
      </c>
      <c r="V72" s="65"/>
    </row>
    <row r="73" spans="1:23" x14ac:dyDescent="0.25">
      <c r="A73" s="63">
        <v>20</v>
      </c>
      <c r="B73" s="62">
        <v>10.9552</v>
      </c>
      <c r="C73" s="62">
        <v>10.9552</v>
      </c>
      <c r="D73" s="62">
        <v>-11.3123</v>
      </c>
      <c r="E73" s="62">
        <v>-6.9585999999999997</v>
      </c>
      <c r="F73" s="62">
        <v>-6.9585999999999997</v>
      </c>
      <c r="G73" s="108">
        <v>-36.976999999999997</v>
      </c>
      <c r="H73" s="108">
        <v>-36.976999999999997</v>
      </c>
      <c r="J73" s="62">
        <v>20</v>
      </c>
      <c r="K73" s="62">
        <v>17.546700000000001</v>
      </c>
      <c r="L73" s="62">
        <v>17.546700000000001</v>
      </c>
      <c r="M73" s="62">
        <v>-18.843</v>
      </c>
      <c r="N73" s="62">
        <v>-11.3718</v>
      </c>
      <c r="O73" s="62">
        <v>-11.3718</v>
      </c>
      <c r="P73" s="108">
        <v>-62.339300000000001</v>
      </c>
      <c r="Q73" s="108">
        <v>-62.339300000000001</v>
      </c>
      <c r="V73" s="65"/>
    </row>
    <row r="74" spans="1:23" x14ac:dyDescent="0.25">
      <c r="A74" s="63">
        <v>21</v>
      </c>
      <c r="B74" s="62">
        <v>-14.78</v>
      </c>
      <c r="C74" s="62">
        <v>15.1427</v>
      </c>
      <c r="D74" s="62">
        <v>15.1427</v>
      </c>
      <c r="E74" s="62">
        <v>9.3508999999999993</v>
      </c>
      <c r="F74" s="62">
        <v>9.3508999999999993</v>
      </c>
      <c r="G74" s="108">
        <v>-29.7151</v>
      </c>
      <c r="H74" s="108">
        <v>-29.7151</v>
      </c>
      <c r="J74" s="62">
        <v>21</v>
      </c>
      <c r="K74" s="62">
        <v>-23.578099999999999</v>
      </c>
      <c r="L74" s="62">
        <v>25.393599999999999</v>
      </c>
      <c r="M74" s="62">
        <v>25.393599999999999</v>
      </c>
      <c r="N74" s="62">
        <v>15.303599999999999</v>
      </c>
      <c r="O74" s="62">
        <v>15.303599999999999</v>
      </c>
      <c r="P74" s="108">
        <v>-50.393300000000004</v>
      </c>
      <c r="Q74" s="108">
        <v>-50.393300000000004</v>
      </c>
      <c r="V74" s="65"/>
    </row>
    <row r="75" spans="1:23" x14ac:dyDescent="0.25">
      <c r="A75" s="63"/>
      <c r="V75" s="65"/>
    </row>
    <row r="76" spans="1:23" x14ac:dyDescent="0.25">
      <c r="A76" s="112" t="s">
        <v>10</v>
      </c>
      <c r="J76" s="92" t="s">
        <v>475</v>
      </c>
      <c r="K76" s="92"/>
      <c r="O76" s="92" t="s">
        <v>470</v>
      </c>
      <c r="V76" s="65"/>
    </row>
    <row r="77" spans="1:23" x14ac:dyDescent="0.25">
      <c r="A77" s="63" t="s">
        <v>0</v>
      </c>
      <c r="B77" s="62" t="s">
        <v>1</v>
      </c>
      <c r="C77" s="62" t="s">
        <v>2</v>
      </c>
      <c r="D77" s="62" t="s">
        <v>3</v>
      </c>
      <c r="E77" s="62" t="s">
        <v>4</v>
      </c>
      <c r="F77" s="62" t="s">
        <v>5</v>
      </c>
      <c r="G77" s="62" t="s">
        <v>6</v>
      </c>
      <c r="H77" s="62" t="s">
        <v>7</v>
      </c>
      <c r="J77" s="62" t="s">
        <v>473</v>
      </c>
      <c r="K77" s="62" t="s">
        <v>18</v>
      </c>
      <c r="L77" s="62" t="s">
        <v>13</v>
      </c>
      <c r="M77" s="62" t="s">
        <v>14</v>
      </c>
      <c r="O77" s="62" t="s">
        <v>292</v>
      </c>
      <c r="V77" s="65"/>
    </row>
    <row r="78" spans="1:23" x14ac:dyDescent="0.25">
      <c r="A78" s="300">
        <v>1</v>
      </c>
      <c r="B78" s="301">
        <v>-0.13900000000000001</v>
      </c>
      <c r="C78" s="301">
        <v>0</v>
      </c>
      <c r="D78" s="301">
        <v>-8.43E-2</v>
      </c>
      <c r="E78" s="301">
        <v>1.37E-2</v>
      </c>
      <c r="F78" s="301">
        <v>1.37E-2</v>
      </c>
      <c r="G78" s="62">
        <v>1.2665999999999999</v>
      </c>
      <c r="H78" s="62">
        <v>1.2665999999999999</v>
      </c>
      <c r="J78" s="62" t="s">
        <v>15</v>
      </c>
      <c r="O78" s="62" t="s">
        <v>471</v>
      </c>
      <c r="P78" s="62" t="s">
        <v>18</v>
      </c>
      <c r="Q78" s="62" t="s">
        <v>13</v>
      </c>
      <c r="R78" s="62" t="s">
        <v>14</v>
      </c>
      <c r="V78" s="65"/>
    </row>
    <row r="79" spans="1:23" x14ac:dyDescent="0.25">
      <c r="A79" s="300">
        <v>2</v>
      </c>
      <c r="B79" s="301">
        <v>-0.1769</v>
      </c>
      <c r="C79" s="301">
        <v>0.40260000000000001</v>
      </c>
      <c r="D79" s="301">
        <v>-5.8099999999999999E-2</v>
      </c>
      <c r="E79" s="301">
        <v>1.4843999999999999</v>
      </c>
      <c r="F79" s="301">
        <v>-0.41560000000000002</v>
      </c>
      <c r="G79" s="62">
        <v>0.15359999999999999</v>
      </c>
      <c r="H79" s="62">
        <v>0.15359999999999999</v>
      </c>
      <c r="K79" s="62" t="s">
        <v>19</v>
      </c>
      <c r="L79" s="62">
        <f>MIN(B54:B62)</f>
        <v>-26.8796</v>
      </c>
      <c r="M79" s="62">
        <f>MAX(C54:C62)</f>
        <v>17.7089</v>
      </c>
      <c r="O79" s="62" t="s">
        <v>15</v>
      </c>
      <c r="V79" s="65"/>
    </row>
    <row r="80" spans="1:23" x14ac:dyDescent="0.25">
      <c r="A80" s="300">
        <v>3</v>
      </c>
      <c r="B80" s="301">
        <v>-4.1099999999999998E-2</v>
      </c>
      <c r="C80" s="301">
        <v>0</v>
      </c>
      <c r="D80" s="301">
        <v>-0.16919999999999999</v>
      </c>
      <c r="E80" s="301">
        <v>-3.2000000000000001E-2</v>
      </c>
      <c r="F80" s="301">
        <v>-3.2000000000000001E-2</v>
      </c>
      <c r="G80" s="62">
        <v>1.2436</v>
      </c>
      <c r="H80" s="62">
        <v>1.2436</v>
      </c>
      <c r="K80" s="62" t="s">
        <v>20</v>
      </c>
      <c r="L80" s="62" cm="1">
        <f t="array" ref="L80">MAX(ABS(E54:F62))</f>
        <v>43.802300000000002</v>
      </c>
      <c r="P80" s="62" t="s">
        <v>19</v>
      </c>
      <c r="Q80" s="62">
        <f>MIN(B54:B56)</f>
        <v>-0.57450000000000001</v>
      </c>
      <c r="R80" s="62">
        <f>MAX(C54:C56)</f>
        <v>1.0846</v>
      </c>
      <c r="V80" s="65"/>
    </row>
    <row r="81" spans="1:22" x14ac:dyDescent="0.25">
      <c r="A81" s="369">
        <v>4</v>
      </c>
      <c r="B81" s="370">
        <v>-5.4287999999999998</v>
      </c>
      <c r="C81" s="370">
        <v>3.8407</v>
      </c>
      <c r="D81" s="370">
        <v>-5.8898000000000001</v>
      </c>
      <c r="E81" s="370">
        <v>9.3847000000000005</v>
      </c>
      <c r="F81" s="370">
        <v>-9.6152999999999995</v>
      </c>
      <c r="G81" s="62">
        <v>1.7919</v>
      </c>
      <c r="H81" s="62">
        <v>1.7919</v>
      </c>
      <c r="K81" s="62" t="s">
        <v>147</v>
      </c>
      <c r="L81" s="62" cm="1">
        <f t="array" ref="L81">MAX(ABS(H63:H74))</f>
        <v>91.036900000000003</v>
      </c>
      <c r="P81" s="62" t="s">
        <v>20</v>
      </c>
      <c r="Q81" s="62" cm="1">
        <f t="array" ref="Q81">MAX(ABS(E54:F56))</f>
        <v>0.50309999999999999</v>
      </c>
      <c r="V81" s="65"/>
    </row>
    <row r="82" spans="1:22" x14ac:dyDescent="0.25">
      <c r="A82" s="369">
        <v>5</v>
      </c>
      <c r="B82" s="370">
        <v>-1.8169</v>
      </c>
      <c r="C82" s="370">
        <v>0</v>
      </c>
      <c r="D82" s="370">
        <v>-1.7842</v>
      </c>
      <c r="E82" s="370">
        <v>1.9162999999999999</v>
      </c>
      <c r="F82" s="370">
        <v>-1.8836999999999999</v>
      </c>
      <c r="G82" s="62">
        <v>0.46179999999999999</v>
      </c>
      <c r="H82" s="62">
        <v>0.46179999999999999</v>
      </c>
      <c r="J82" s="62" t="s">
        <v>16</v>
      </c>
      <c r="P82" s="62" t="s">
        <v>147</v>
      </c>
      <c r="Q82" s="62" cm="1">
        <f t="array" ref="Q82">MAX(ABS(H63:H66))</f>
        <v>90.319299999999998</v>
      </c>
      <c r="V82" s="65"/>
    </row>
    <row r="83" spans="1:22" x14ac:dyDescent="0.25">
      <c r="A83" s="369">
        <v>6</v>
      </c>
      <c r="B83" s="370">
        <v>-5.8716999999999997</v>
      </c>
      <c r="C83" s="370">
        <v>3.843</v>
      </c>
      <c r="D83" s="370">
        <v>-5.4423000000000004</v>
      </c>
      <c r="E83" s="370">
        <v>9.6074000000000002</v>
      </c>
      <c r="F83" s="370">
        <v>-9.3925999999999998</v>
      </c>
      <c r="G83" s="62">
        <v>1.7786999999999999</v>
      </c>
      <c r="H83" s="62">
        <v>1.7786999999999999</v>
      </c>
      <c r="K83" s="62" t="s">
        <v>19</v>
      </c>
      <c r="L83" s="62">
        <f>MIN(B78:B86)</f>
        <v>-5.8716999999999997</v>
      </c>
      <c r="M83" s="62">
        <f>MAX(C78:C86)</f>
        <v>4.4099000000000004</v>
      </c>
      <c r="O83" s="62" t="s">
        <v>16</v>
      </c>
      <c r="V83" s="65"/>
    </row>
    <row r="84" spans="1:22" x14ac:dyDescent="0.25">
      <c r="A84" s="363">
        <v>7</v>
      </c>
      <c r="B84" s="108">
        <v>-4.5164</v>
      </c>
      <c r="C84" s="108">
        <v>4.4099000000000004</v>
      </c>
      <c r="D84" s="108">
        <v>-5.6638999999999999</v>
      </c>
      <c r="E84" s="108">
        <v>9.2131000000000007</v>
      </c>
      <c r="F84" s="108">
        <v>-9.7868999999999993</v>
      </c>
      <c r="G84" s="62">
        <v>-2.5545</v>
      </c>
      <c r="H84" s="62">
        <v>-2.5545</v>
      </c>
      <c r="K84" s="62" t="s">
        <v>20</v>
      </c>
      <c r="L84" s="62" cm="1">
        <f t="array" ref="L84">MAX(ABS(E78:F86))</f>
        <v>9.7904999999999998</v>
      </c>
      <c r="P84" s="62" t="s">
        <v>19</v>
      </c>
      <c r="Q84" s="62">
        <f>MIN(B78:B80)</f>
        <v>-0.1769</v>
      </c>
      <c r="R84" s="62">
        <f>MAX(C78:C80)</f>
        <v>0.40260000000000001</v>
      </c>
      <c r="V84" s="65"/>
    </row>
    <row r="85" spans="1:22" x14ac:dyDescent="0.25">
      <c r="A85" s="363">
        <v>8</v>
      </c>
      <c r="B85" s="108">
        <v>-2.3555999999999999</v>
      </c>
      <c r="C85" s="108">
        <v>0</v>
      </c>
      <c r="D85" s="108">
        <v>-2.3833000000000002</v>
      </c>
      <c r="E85" s="108">
        <v>0.4612</v>
      </c>
      <c r="F85" s="108">
        <v>-1.4388000000000001</v>
      </c>
      <c r="G85" s="62">
        <v>-0.66320000000000001</v>
      </c>
      <c r="H85" s="62">
        <v>-0.66320000000000001</v>
      </c>
      <c r="K85" s="62" t="s">
        <v>147</v>
      </c>
      <c r="L85" s="62" cm="1">
        <f t="array" ref="L85">MAX(ABS(H87:H98))</f>
        <v>23.250399999999999</v>
      </c>
      <c r="P85" s="62" t="s">
        <v>20</v>
      </c>
      <c r="Q85" s="62" cm="1">
        <f t="array" ref="Q85">MAX(ABS(E78:F80))</f>
        <v>1.4843999999999999</v>
      </c>
      <c r="V85" s="65"/>
    </row>
    <row r="86" spans="1:22" x14ac:dyDescent="0.25">
      <c r="A86" s="363">
        <v>9</v>
      </c>
      <c r="B86" s="108">
        <v>-5.6759000000000004</v>
      </c>
      <c r="C86" s="108">
        <v>4.4050000000000002</v>
      </c>
      <c r="D86" s="108">
        <v>-4.5140000000000002</v>
      </c>
      <c r="E86" s="108">
        <v>9.7904999999999998</v>
      </c>
      <c r="F86" s="108">
        <v>-9.2095000000000002</v>
      </c>
      <c r="G86" s="62">
        <v>-2.5516000000000001</v>
      </c>
      <c r="H86" s="62">
        <v>-2.5516000000000001</v>
      </c>
      <c r="J86" s="62" t="s">
        <v>17</v>
      </c>
      <c r="P86" s="62" t="s">
        <v>147</v>
      </c>
      <c r="Q86" s="62" cm="1">
        <f t="array" ref="Q86">MAX(ABS(H87:H90))</f>
        <v>23.250399999999999</v>
      </c>
      <c r="V86" s="65"/>
    </row>
    <row r="87" spans="1:22" x14ac:dyDescent="0.25">
      <c r="A87" s="63">
        <v>10</v>
      </c>
      <c r="B87" s="62">
        <v>-0.22570000000000001</v>
      </c>
      <c r="C87" s="62">
        <v>0.53039999999999998</v>
      </c>
      <c r="D87" s="62">
        <v>0.53039999999999998</v>
      </c>
      <c r="E87" s="62">
        <v>0.504</v>
      </c>
      <c r="F87" s="62">
        <v>0.504</v>
      </c>
      <c r="G87" s="301">
        <v>-18.611599999999999</v>
      </c>
      <c r="H87" s="301">
        <v>-18.611599999999999</v>
      </c>
      <c r="K87" s="62" t="s">
        <v>19</v>
      </c>
      <c r="L87" s="62">
        <f>MIN(K54:K62)</f>
        <v>-41.650199999999998</v>
      </c>
      <c r="M87" s="62">
        <f>MAX(L54:L62)</f>
        <v>27.3995</v>
      </c>
      <c r="O87" s="62" t="s">
        <v>472</v>
      </c>
      <c r="V87" s="65"/>
    </row>
    <row r="88" spans="1:22" x14ac:dyDescent="0.25">
      <c r="A88" s="63">
        <v>11</v>
      </c>
      <c r="B88" s="62">
        <v>0.26850000000000002</v>
      </c>
      <c r="C88" s="62">
        <v>0.26850000000000002</v>
      </c>
      <c r="D88" s="62">
        <v>-0.55930000000000002</v>
      </c>
      <c r="E88" s="62">
        <v>-0.55179999999999996</v>
      </c>
      <c r="F88" s="62">
        <v>-0.55179999999999996</v>
      </c>
      <c r="G88" s="301">
        <v>-23.250399999999999</v>
      </c>
      <c r="H88" s="301">
        <v>-23.250399999999999</v>
      </c>
      <c r="K88" s="62" t="s">
        <v>20</v>
      </c>
      <c r="L88" s="62" cm="1">
        <f t="array" ref="L88">MAX(ABS(N54:O62))</f>
        <v>67.9345</v>
      </c>
      <c r="O88" s="62" t="s">
        <v>471</v>
      </c>
      <c r="P88" s="62" t="s">
        <v>18</v>
      </c>
      <c r="Q88" s="62" t="s">
        <v>13</v>
      </c>
      <c r="R88" s="62" t="s">
        <v>14</v>
      </c>
      <c r="V88" s="65"/>
    </row>
    <row r="89" spans="1:22" x14ac:dyDescent="0.25">
      <c r="A89" s="63">
        <v>12</v>
      </c>
      <c r="B89" s="62">
        <v>-0.26869999999999999</v>
      </c>
      <c r="C89" s="62">
        <v>0.50890000000000002</v>
      </c>
      <c r="D89" s="62">
        <v>0.50890000000000002</v>
      </c>
      <c r="E89" s="62">
        <v>0.51839999999999997</v>
      </c>
      <c r="F89" s="62">
        <v>0.51839999999999997</v>
      </c>
      <c r="G89" s="301">
        <v>-23.103899999999999</v>
      </c>
      <c r="H89" s="301">
        <v>-23.103899999999999</v>
      </c>
      <c r="K89" s="62" t="s">
        <v>147</v>
      </c>
      <c r="L89" s="62" cm="1">
        <f t="array" ref="L89">MAX(ABS(Q63:Q74))</f>
        <v>145.5968</v>
      </c>
      <c r="O89" s="62" t="s">
        <v>15</v>
      </c>
      <c r="V89" s="65"/>
    </row>
    <row r="90" spans="1:22" x14ac:dyDescent="0.25">
      <c r="A90" s="63">
        <v>13</v>
      </c>
      <c r="B90" s="62">
        <v>0.19270000000000001</v>
      </c>
      <c r="C90" s="62">
        <v>0.19270000000000001</v>
      </c>
      <c r="D90" s="62">
        <v>-0.51329999999999998</v>
      </c>
      <c r="E90" s="62">
        <v>-0.47060000000000002</v>
      </c>
      <c r="F90" s="62">
        <v>-0.47060000000000002</v>
      </c>
      <c r="G90" s="301">
        <v>-18.6342</v>
      </c>
      <c r="H90" s="301">
        <v>-18.6342</v>
      </c>
      <c r="P90" s="62" t="s">
        <v>19</v>
      </c>
      <c r="Q90" s="62">
        <f>MIN(B57:B62)</f>
        <v>-26.8796</v>
      </c>
      <c r="R90" s="62">
        <f>MAX(C57:C62)</f>
        <v>17.7089</v>
      </c>
      <c r="V90" s="65"/>
    </row>
    <row r="91" spans="1:22" x14ac:dyDescent="0.25">
      <c r="A91" s="63">
        <v>14</v>
      </c>
      <c r="B91" s="62">
        <v>0.6694</v>
      </c>
      <c r="C91" s="62">
        <v>0.6694</v>
      </c>
      <c r="D91" s="62">
        <v>-1.7708999999999999</v>
      </c>
      <c r="E91" s="62">
        <v>-0.76259999999999994</v>
      </c>
      <c r="F91" s="62">
        <v>-0.76259999999999994</v>
      </c>
      <c r="G91" s="370">
        <v>-18.597899999999999</v>
      </c>
      <c r="H91" s="370">
        <v>-18.597899999999999</v>
      </c>
      <c r="J91" s="92" t="s">
        <v>476</v>
      </c>
      <c r="P91" s="62" t="s">
        <v>20</v>
      </c>
      <c r="Q91" s="62" cm="1">
        <f t="array" ref="Q91">MAX(ABS(E57:F62))</f>
        <v>43.802300000000002</v>
      </c>
      <c r="V91" s="65"/>
    </row>
    <row r="92" spans="1:22" x14ac:dyDescent="0.25">
      <c r="A92" s="63">
        <v>15</v>
      </c>
      <c r="B92" s="62">
        <v>-0.46660000000000001</v>
      </c>
      <c r="C92" s="62">
        <v>1.3292999999999999</v>
      </c>
      <c r="D92" s="62">
        <v>1.3292999999999999</v>
      </c>
      <c r="E92" s="62">
        <v>0.56120000000000003</v>
      </c>
      <c r="F92" s="62">
        <v>0.56120000000000003</v>
      </c>
      <c r="G92" s="370">
        <v>-21.779599999999999</v>
      </c>
      <c r="H92" s="370">
        <v>-21.779599999999999</v>
      </c>
      <c r="J92" s="62" t="s">
        <v>474</v>
      </c>
      <c r="K92" s="62" t="s">
        <v>149</v>
      </c>
      <c r="L92" s="62" t="s">
        <v>150</v>
      </c>
      <c r="P92" s="62" t="s">
        <v>147</v>
      </c>
      <c r="Q92" s="62" cm="1">
        <f t="array" ref="Q92">MAX(ABS(H67:I74))</f>
        <v>91.036900000000003</v>
      </c>
      <c r="V92" s="65"/>
    </row>
    <row r="93" spans="1:22" x14ac:dyDescent="0.25">
      <c r="A93" s="63">
        <v>16</v>
      </c>
      <c r="B93" s="62">
        <v>0.4919</v>
      </c>
      <c r="C93" s="62">
        <v>0.4919</v>
      </c>
      <c r="D93" s="62">
        <v>-1.3371999999999999</v>
      </c>
      <c r="E93" s="62">
        <v>-0.5716</v>
      </c>
      <c r="F93" s="62">
        <v>-0.5716</v>
      </c>
      <c r="G93" s="370">
        <v>-22.720300000000002</v>
      </c>
      <c r="H93" s="370">
        <v>-22.720300000000002</v>
      </c>
      <c r="J93" s="62" t="s">
        <v>478</v>
      </c>
      <c r="K93" s="62" cm="1">
        <f t="array" ref="K93">MAX(ABS(Q68:Q69))</f>
        <v>145.5968</v>
      </c>
      <c r="L93" s="62">
        <f>MAX(ABS(Q67), ABS(Q70))</f>
        <v>116.0973</v>
      </c>
      <c r="O93" s="62" t="s">
        <v>16</v>
      </c>
      <c r="V93" s="65"/>
    </row>
    <row r="94" spans="1:22" x14ac:dyDescent="0.25">
      <c r="A94" s="63">
        <v>17</v>
      </c>
      <c r="B94" s="62">
        <v>-0.6825</v>
      </c>
      <c r="C94" s="62">
        <v>1.7909999999999999</v>
      </c>
      <c r="D94" s="62">
        <v>1.7909999999999999</v>
      </c>
      <c r="E94" s="62">
        <v>0.77300000000000002</v>
      </c>
      <c r="F94" s="62">
        <v>0.77300000000000002</v>
      </c>
      <c r="G94" s="370">
        <v>-18.6022</v>
      </c>
      <c r="H94" s="370">
        <v>-18.6022</v>
      </c>
      <c r="J94" s="62" t="s">
        <v>479</v>
      </c>
      <c r="K94" s="62" cm="1">
        <f t="array" ref="K94">MAX(ABS(Q72:Q73))</f>
        <v>62.339300000000001</v>
      </c>
      <c r="L94" s="62">
        <f>MAX(ABS(Q71), ABS(Q74))</f>
        <v>50.393300000000004</v>
      </c>
      <c r="P94" s="62" t="s">
        <v>19</v>
      </c>
      <c r="Q94" s="62">
        <f>MIN(B81:B86)</f>
        <v>-5.8716999999999997</v>
      </c>
      <c r="R94" s="62">
        <f>MAX(C81:C86)</f>
        <v>4.4099000000000004</v>
      </c>
      <c r="U94" s="301"/>
      <c r="V94" s="65" t="s">
        <v>369</v>
      </c>
    </row>
    <row r="95" spans="1:22" x14ac:dyDescent="0.25">
      <c r="A95" s="63">
        <v>18</v>
      </c>
      <c r="B95" s="62">
        <v>3.6579000000000002</v>
      </c>
      <c r="C95" s="62">
        <v>3.6579000000000002</v>
      </c>
      <c r="D95" s="62">
        <v>-4.5164</v>
      </c>
      <c r="E95" s="62">
        <v>-2.5545</v>
      </c>
      <c r="F95" s="62">
        <v>-2.5545</v>
      </c>
      <c r="G95" s="108">
        <v>-9.2131000000000007</v>
      </c>
      <c r="H95" s="108">
        <v>-9.2131000000000007</v>
      </c>
      <c r="J95" s="92" t="s">
        <v>477</v>
      </c>
      <c r="P95" s="62" t="s">
        <v>20</v>
      </c>
      <c r="Q95" s="62" cm="1">
        <f t="array" ref="Q95">MAX(ABS(E81:F86))</f>
        <v>9.7904999999999998</v>
      </c>
      <c r="U95" s="361"/>
      <c r="V95" s="65" t="s">
        <v>358</v>
      </c>
    </row>
    <row r="96" spans="1:22" x14ac:dyDescent="0.25">
      <c r="A96" s="63">
        <v>19</v>
      </c>
      <c r="B96" s="62">
        <v>-2.7437</v>
      </c>
      <c r="C96" s="62">
        <v>3.3083</v>
      </c>
      <c r="D96" s="62">
        <v>3.3083</v>
      </c>
      <c r="E96" s="62">
        <v>1.8912</v>
      </c>
      <c r="F96" s="62">
        <v>1.8912</v>
      </c>
      <c r="G96" s="108">
        <v>-10.248100000000001</v>
      </c>
      <c r="H96" s="108">
        <v>-10.248100000000001</v>
      </c>
      <c r="J96" s="62" t="s">
        <v>474</v>
      </c>
      <c r="K96" s="62" t="s">
        <v>149</v>
      </c>
      <c r="L96" s="62" t="s">
        <v>150</v>
      </c>
      <c r="P96" s="62" t="s">
        <v>147</v>
      </c>
      <c r="Q96" s="62" cm="1">
        <f t="array" ref="Q96">MAX(ABS(H91:H98))</f>
        <v>22.720300000000002</v>
      </c>
      <c r="U96" s="108"/>
      <c r="V96" s="65" t="s">
        <v>363</v>
      </c>
    </row>
    <row r="97" spans="1:24" x14ac:dyDescent="0.25">
      <c r="A97" s="63">
        <v>20</v>
      </c>
      <c r="B97" s="62">
        <v>2.7503000000000002</v>
      </c>
      <c r="C97" s="62">
        <v>2.7503000000000002</v>
      </c>
      <c r="D97" s="62">
        <v>-3.2926000000000002</v>
      </c>
      <c r="E97" s="62">
        <v>-1.8884000000000001</v>
      </c>
      <c r="F97" s="62">
        <v>-1.8884000000000001</v>
      </c>
      <c r="G97" s="108">
        <v>-11.2293</v>
      </c>
      <c r="H97" s="108">
        <v>-11.2293</v>
      </c>
      <c r="J97" s="62" t="s">
        <v>478</v>
      </c>
      <c r="K97" s="62" cm="1">
        <f t="array" ref="K97">MAX(ABS(H64:H65))</f>
        <v>90.319299999999998</v>
      </c>
      <c r="L97" s="62">
        <f>MAX(ABS(H63), ABS(H66))</f>
        <v>72.159300000000002</v>
      </c>
      <c r="V97" s="65"/>
    </row>
    <row r="98" spans="1:24" ht="14.4" thickBot="1" x14ac:dyDescent="0.3">
      <c r="A98" s="76">
        <v>21</v>
      </c>
      <c r="B98" s="78">
        <v>-3.6513</v>
      </c>
      <c r="C98" s="78">
        <v>4.5140000000000002</v>
      </c>
      <c r="D98" s="78">
        <v>4.5140000000000002</v>
      </c>
      <c r="E98" s="78">
        <v>2.5516000000000001</v>
      </c>
      <c r="F98" s="78">
        <v>2.5516000000000001</v>
      </c>
      <c r="G98" s="371">
        <v>-9.2095000000000002</v>
      </c>
      <c r="H98" s="371">
        <v>-9.2095000000000002</v>
      </c>
      <c r="I98" s="78"/>
      <c r="J98" s="78" t="s">
        <v>479</v>
      </c>
      <c r="K98" s="78" cm="1">
        <f t="array" ref="K98">MAX(ABS(H68:H69),(H72:H73))</f>
        <v>91.036900000000003</v>
      </c>
      <c r="L98" s="78">
        <f>MAX(ABS(H67), ABS(H70),ABS(H71),ABS(H74))</f>
        <v>71.944800000000001</v>
      </c>
      <c r="M98" s="78"/>
      <c r="N98" s="78"/>
      <c r="O98" s="78"/>
      <c r="P98" s="78"/>
      <c r="Q98" s="78"/>
      <c r="R98" s="78"/>
      <c r="S98" s="78"/>
      <c r="T98" s="78"/>
      <c r="U98" s="78"/>
      <c r="V98" s="79"/>
    </row>
    <row r="100" spans="1:24" ht="14.4" thickBot="1" x14ac:dyDescent="0.3"/>
    <row r="101" spans="1:24" ht="19.95" customHeight="1" x14ac:dyDescent="0.3">
      <c r="A101" s="432" t="s">
        <v>22</v>
      </c>
      <c r="B101" s="433"/>
      <c r="C101" s="433"/>
      <c r="D101" s="433"/>
      <c r="E101" s="433"/>
      <c r="F101" s="433"/>
      <c r="G101" s="433"/>
      <c r="H101" s="433"/>
      <c r="I101" s="433"/>
      <c r="J101" s="433"/>
      <c r="K101" s="433"/>
      <c r="L101" s="433"/>
      <c r="M101" s="433"/>
      <c r="N101" s="433"/>
      <c r="O101" s="433"/>
      <c r="P101" s="433"/>
      <c r="Q101" s="433"/>
      <c r="R101" s="433"/>
      <c r="S101" s="433"/>
      <c r="T101" s="433"/>
      <c r="U101" s="433"/>
      <c r="V101" s="434"/>
    </row>
    <row r="102" spans="1:24" x14ac:dyDescent="0.25">
      <c r="A102" s="112" t="s">
        <v>9</v>
      </c>
      <c r="J102" s="92" t="s">
        <v>11</v>
      </c>
      <c r="V102" s="65"/>
      <c r="W102" s="92" t="s">
        <v>576</v>
      </c>
      <c r="X102" s="62" cm="1">
        <f t="array" ref="X102">MAX(ABS(N104:O106))</f>
        <v>22.666599999999999</v>
      </c>
    </row>
    <row r="103" spans="1:24" x14ac:dyDescent="0.25">
      <c r="A103" s="63" t="s">
        <v>0</v>
      </c>
      <c r="B103" s="62" t="s">
        <v>1</v>
      </c>
      <c r="C103" s="62" t="s">
        <v>2</v>
      </c>
      <c r="D103" s="62" t="s">
        <v>3</v>
      </c>
      <c r="E103" s="62" t="s">
        <v>4</v>
      </c>
      <c r="F103" s="62" t="s">
        <v>5</v>
      </c>
      <c r="G103" s="62" t="s">
        <v>6</v>
      </c>
      <c r="H103" s="62" t="s">
        <v>7</v>
      </c>
      <c r="J103" s="62" t="s">
        <v>0</v>
      </c>
      <c r="K103" s="62" t="s">
        <v>1</v>
      </c>
      <c r="L103" s="62" t="s">
        <v>2</v>
      </c>
      <c r="M103" s="62" t="s">
        <v>3</v>
      </c>
      <c r="N103" s="62" t="s">
        <v>4</v>
      </c>
      <c r="O103" s="62" t="s">
        <v>5</v>
      </c>
      <c r="P103" s="62" t="s">
        <v>6</v>
      </c>
      <c r="Q103" s="62" t="s">
        <v>7</v>
      </c>
      <c r="V103" s="65"/>
    </row>
    <row r="104" spans="1:24" x14ac:dyDescent="0.25">
      <c r="A104" s="300">
        <v>1</v>
      </c>
      <c r="B104" s="301">
        <v>-11.5837</v>
      </c>
      <c r="C104" s="301">
        <v>6.9770000000000003</v>
      </c>
      <c r="D104" s="301">
        <v>-12.0943</v>
      </c>
      <c r="E104" s="301">
        <v>18.688300000000002</v>
      </c>
      <c r="F104" s="301">
        <v>-18.9437</v>
      </c>
      <c r="G104" s="62">
        <v>0.95589999999999997</v>
      </c>
      <c r="H104" s="62">
        <v>0.95589999999999997</v>
      </c>
      <c r="J104" s="301">
        <v>1</v>
      </c>
      <c r="K104" s="301">
        <v>-14.1889</v>
      </c>
      <c r="L104" s="301">
        <v>8.2155000000000005</v>
      </c>
      <c r="M104" s="301">
        <v>-14.538399999999999</v>
      </c>
      <c r="N104" s="301">
        <v>22.491800000000001</v>
      </c>
      <c r="O104" s="301">
        <v>-22.666599999999999</v>
      </c>
      <c r="P104" s="62">
        <v>3.2646999999999999</v>
      </c>
      <c r="Q104" s="62">
        <v>3.2646999999999999</v>
      </c>
      <c r="V104" s="65"/>
    </row>
    <row r="105" spans="1:24" x14ac:dyDescent="0.25">
      <c r="A105" s="300">
        <v>2</v>
      </c>
      <c r="B105" s="301">
        <v>-4.2690999999999999</v>
      </c>
      <c r="C105" s="301">
        <v>0.43490000000000001</v>
      </c>
      <c r="D105" s="301">
        <v>-4.2690999999999999</v>
      </c>
      <c r="E105" s="301">
        <v>9.4079999999999995</v>
      </c>
      <c r="F105" s="301">
        <v>-9.4079999999999995</v>
      </c>
      <c r="G105" s="62">
        <v>0.13020000000000001</v>
      </c>
      <c r="H105" s="62">
        <v>0.13020000000000001</v>
      </c>
      <c r="J105" s="301">
        <v>2</v>
      </c>
      <c r="K105" s="301">
        <v>-4.8867000000000003</v>
      </c>
      <c r="L105" s="301">
        <v>0.7581</v>
      </c>
      <c r="M105" s="301">
        <v>-4.8867000000000003</v>
      </c>
      <c r="N105" s="301">
        <v>11.2896</v>
      </c>
      <c r="O105" s="301">
        <v>-11.2896</v>
      </c>
      <c r="P105" s="62">
        <v>0.64790000000000003</v>
      </c>
      <c r="Q105" s="62">
        <v>0.64790000000000003</v>
      </c>
      <c r="V105" s="65"/>
    </row>
    <row r="106" spans="1:24" x14ac:dyDescent="0.25">
      <c r="A106" s="300">
        <v>3</v>
      </c>
      <c r="B106" s="301">
        <v>-12.0943</v>
      </c>
      <c r="C106" s="301">
        <v>6.9770000000000003</v>
      </c>
      <c r="D106" s="301">
        <v>-11.5837</v>
      </c>
      <c r="E106" s="301">
        <v>18.9437</v>
      </c>
      <c r="F106" s="301">
        <v>-18.688300000000002</v>
      </c>
      <c r="G106" s="62">
        <v>0.95589999999999997</v>
      </c>
      <c r="H106" s="62">
        <v>0.95589999999999997</v>
      </c>
      <c r="J106" s="301">
        <v>3</v>
      </c>
      <c r="K106" s="301">
        <v>-14.538399999999999</v>
      </c>
      <c r="L106" s="301">
        <v>8.2155000000000005</v>
      </c>
      <c r="M106" s="301">
        <v>-14.1889</v>
      </c>
      <c r="N106" s="301">
        <v>22.666599999999999</v>
      </c>
      <c r="O106" s="301">
        <v>-22.491800000000001</v>
      </c>
      <c r="P106" s="62">
        <v>3.2646999999999999</v>
      </c>
      <c r="Q106" s="62">
        <v>3.2646999999999999</v>
      </c>
      <c r="V106" s="65"/>
    </row>
    <row r="107" spans="1:24" x14ac:dyDescent="0.25">
      <c r="A107" s="369">
        <v>4</v>
      </c>
      <c r="B107" s="370">
        <v>-26.228400000000001</v>
      </c>
      <c r="C107" s="370">
        <v>18.703800000000001</v>
      </c>
      <c r="D107" s="370">
        <v>-28.844000000000001</v>
      </c>
      <c r="E107" s="370">
        <v>45.586100000000002</v>
      </c>
      <c r="F107" s="370">
        <v>-46.893900000000002</v>
      </c>
      <c r="G107" s="62">
        <v>4.4779999999999998</v>
      </c>
      <c r="H107" s="62">
        <v>4.4779999999999998</v>
      </c>
      <c r="J107" s="370">
        <v>4</v>
      </c>
      <c r="K107" s="370">
        <v>-38.950899999999997</v>
      </c>
      <c r="L107" s="370">
        <v>28.145199999999999</v>
      </c>
      <c r="M107" s="370">
        <v>-43.094700000000003</v>
      </c>
      <c r="N107" s="370">
        <v>68.132099999999994</v>
      </c>
      <c r="O107" s="370">
        <v>-70.203999999999994</v>
      </c>
      <c r="P107" s="62">
        <v>6.6782000000000004</v>
      </c>
      <c r="Q107" s="62">
        <v>6.6782000000000004</v>
      </c>
      <c r="V107" s="65"/>
    </row>
    <row r="108" spans="1:24" x14ac:dyDescent="0.25">
      <c r="A108" s="369">
        <v>5</v>
      </c>
      <c r="B108" s="370">
        <v>-10.6004</v>
      </c>
      <c r="C108" s="370">
        <v>0</v>
      </c>
      <c r="D108" s="370">
        <v>-10.6004</v>
      </c>
      <c r="E108" s="370">
        <v>15.502000000000001</v>
      </c>
      <c r="F108" s="370">
        <v>-15.502000000000001</v>
      </c>
      <c r="G108" s="62">
        <v>1.4335</v>
      </c>
      <c r="H108" s="62">
        <v>1.4335</v>
      </c>
      <c r="J108" s="370">
        <v>5</v>
      </c>
      <c r="K108" s="370">
        <v>-15.646699999999999</v>
      </c>
      <c r="L108" s="370">
        <v>0</v>
      </c>
      <c r="M108" s="370">
        <v>-15.646699999999999</v>
      </c>
      <c r="N108" s="370">
        <v>21.642399999999999</v>
      </c>
      <c r="O108" s="370">
        <v>-21.642399999999999</v>
      </c>
      <c r="P108" s="62">
        <v>2.0255000000000001</v>
      </c>
      <c r="Q108" s="62">
        <v>2.0255000000000001</v>
      </c>
      <c r="V108" s="65"/>
    </row>
    <row r="109" spans="1:24" x14ac:dyDescent="0.25">
      <c r="A109" s="369">
        <v>6</v>
      </c>
      <c r="B109" s="370">
        <v>-28.844000000000001</v>
      </c>
      <c r="C109" s="370">
        <v>18.703800000000001</v>
      </c>
      <c r="D109" s="370">
        <v>-26.228400000000001</v>
      </c>
      <c r="E109" s="370">
        <v>46.893900000000002</v>
      </c>
      <c r="F109" s="370">
        <v>-45.586100000000002</v>
      </c>
      <c r="G109" s="62">
        <v>4.4779999999999998</v>
      </c>
      <c r="H109" s="62">
        <v>4.4779999999999998</v>
      </c>
      <c r="J109" s="370">
        <v>6</v>
      </c>
      <c r="K109" s="370">
        <v>-43.094700000000003</v>
      </c>
      <c r="L109" s="370">
        <v>28.145199999999999</v>
      </c>
      <c r="M109" s="370">
        <v>-38.950899999999997</v>
      </c>
      <c r="N109" s="370">
        <v>70.203999999999994</v>
      </c>
      <c r="O109" s="370">
        <v>-68.132099999999994</v>
      </c>
      <c r="P109" s="62">
        <v>6.6782000000000004</v>
      </c>
      <c r="Q109" s="62">
        <v>6.6782000000000004</v>
      </c>
      <c r="V109" s="65"/>
    </row>
    <row r="110" spans="1:24" x14ac:dyDescent="0.25">
      <c r="A110" s="363">
        <v>7</v>
      </c>
      <c r="B110" s="108">
        <v>-16.674099999999999</v>
      </c>
      <c r="C110" s="108">
        <v>15.3498</v>
      </c>
      <c r="D110" s="108">
        <v>-20.7302</v>
      </c>
      <c r="E110" s="108">
        <v>33.037999999999997</v>
      </c>
      <c r="F110" s="108">
        <v>-35.066000000000003</v>
      </c>
      <c r="G110" s="62">
        <v>-10.0373</v>
      </c>
      <c r="H110" s="62">
        <v>-10.0373</v>
      </c>
      <c r="J110" s="108">
        <v>7</v>
      </c>
      <c r="K110" s="108">
        <v>-23.9634</v>
      </c>
      <c r="L110" s="108">
        <v>21.793900000000001</v>
      </c>
      <c r="M110" s="108">
        <v>-29.373699999999999</v>
      </c>
      <c r="N110" s="108">
        <v>47.1098</v>
      </c>
      <c r="O110" s="108">
        <v>-49.814999999999998</v>
      </c>
      <c r="P110" s="62">
        <v>-14.6632</v>
      </c>
      <c r="Q110" s="62">
        <v>-14.6632</v>
      </c>
      <c r="V110" s="65"/>
    </row>
    <row r="111" spans="1:24" x14ac:dyDescent="0.25">
      <c r="A111" s="363">
        <v>8</v>
      </c>
      <c r="B111" s="108">
        <v>-9.4375</v>
      </c>
      <c r="C111" s="108">
        <v>0</v>
      </c>
      <c r="D111" s="108">
        <v>-9.4375</v>
      </c>
      <c r="E111" s="108">
        <v>9.4079999999999995</v>
      </c>
      <c r="F111" s="108">
        <v>-9.4079999999999995</v>
      </c>
      <c r="G111" s="62">
        <v>-3.149</v>
      </c>
      <c r="H111" s="62">
        <v>-3.149</v>
      </c>
      <c r="J111" s="108">
        <v>8</v>
      </c>
      <c r="K111" s="108">
        <v>-12.790699999999999</v>
      </c>
      <c r="L111" s="108">
        <v>0</v>
      </c>
      <c r="M111" s="108">
        <v>-12.790699999999999</v>
      </c>
      <c r="N111" s="108">
        <v>11.2896</v>
      </c>
      <c r="O111" s="108">
        <v>-11.2896</v>
      </c>
      <c r="P111" s="62">
        <v>-4.415</v>
      </c>
      <c r="Q111" s="62">
        <v>-4.415</v>
      </c>
      <c r="V111" s="65"/>
    </row>
    <row r="112" spans="1:24" x14ac:dyDescent="0.25">
      <c r="A112" s="363">
        <v>9</v>
      </c>
      <c r="B112" s="108">
        <v>-20.7302</v>
      </c>
      <c r="C112" s="108">
        <v>15.3498</v>
      </c>
      <c r="D112" s="108">
        <v>-16.674099999999999</v>
      </c>
      <c r="E112" s="108">
        <v>35.066000000000003</v>
      </c>
      <c r="F112" s="108">
        <v>-33.037999999999997</v>
      </c>
      <c r="G112" s="62">
        <v>-10.0373</v>
      </c>
      <c r="H112" s="62">
        <v>-10.0373</v>
      </c>
      <c r="J112" s="108">
        <v>9</v>
      </c>
      <c r="K112" s="108">
        <v>-29.373699999999999</v>
      </c>
      <c r="L112" s="108">
        <v>21.793900000000001</v>
      </c>
      <c r="M112" s="108">
        <v>-23.9634</v>
      </c>
      <c r="N112" s="108">
        <v>49.814999999999998</v>
      </c>
      <c r="O112" s="108">
        <v>-47.1098</v>
      </c>
      <c r="P112" s="62">
        <v>-14.6632</v>
      </c>
      <c r="Q112" s="62">
        <v>-14.6632</v>
      </c>
      <c r="V112" s="65"/>
    </row>
    <row r="113" spans="1:23" x14ac:dyDescent="0.25">
      <c r="A113" s="63">
        <v>10</v>
      </c>
      <c r="B113" s="62">
        <v>2.3281000000000001</v>
      </c>
      <c r="C113" s="62">
        <v>2.3281000000000001</v>
      </c>
      <c r="D113" s="62">
        <v>-4.5770999999999997</v>
      </c>
      <c r="E113" s="62">
        <v>-4.6033999999999997</v>
      </c>
      <c r="F113" s="62">
        <v>-4.6033999999999997</v>
      </c>
      <c r="G113" s="301">
        <v>-97.312399999999997</v>
      </c>
      <c r="H113" s="301">
        <v>-97.312399999999997</v>
      </c>
      <c r="J113" s="62">
        <v>10</v>
      </c>
      <c r="K113" s="62">
        <v>2.4514999999999998</v>
      </c>
      <c r="L113" s="62">
        <v>2.4514999999999998</v>
      </c>
      <c r="M113" s="62">
        <v>-4.6288999999999998</v>
      </c>
      <c r="N113" s="62">
        <v>-4.7202999999999999</v>
      </c>
      <c r="O113" s="62">
        <v>-4.7202999999999999</v>
      </c>
      <c r="P113" s="301">
        <v>-137.7337</v>
      </c>
      <c r="Q113" s="301">
        <v>-137.7337</v>
      </c>
      <c r="V113" s="65"/>
    </row>
    <row r="114" spans="1:23" x14ac:dyDescent="0.25">
      <c r="A114" s="63">
        <v>11</v>
      </c>
      <c r="B114" s="62">
        <v>-1.5082</v>
      </c>
      <c r="C114" s="62">
        <v>3.0190000000000001</v>
      </c>
      <c r="D114" s="62">
        <v>3.0190000000000001</v>
      </c>
      <c r="E114" s="62">
        <v>3.0181</v>
      </c>
      <c r="F114" s="62">
        <v>3.0181</v>
      </c>
      <c r="G114" s="301">
        <v>-135.2216</v>
      </c>
      <c r="H114" s="301">
        <v>-135.2216</v>
      </c>
      <c r="J114" s="62">
        <v>11</v>
      </c>
      <c r="K114" s="62">
        <v>-1.4850000000000001</v>
      </c>
      <c r="L114" s="62">
        <v>2.9830000000000001</v>
      </c>
      <c r="M114" s="62">
        <v>2.9830000000000001</v>
      </c>
      <c r="N114" s="62">
        <v>2.9786999999999999</v>
      </c>
      <c r="O114" s="62">
        <v>2.9786999999999999</v>
      </c>
      <c r="P114" s="301">
        <v>-186.90710000000001</v>
      </c>
      <c r="Q114" s="301">
        <v>-186.90710000000001</v>
      </c>
      <c r="V114" s="65"/>
    </row>
    <row r="115" spans="1:23" x14ac:dyDescent="0.25">
      <c r="A115" s="63">
        <v>12</v>
      </c>
      <c r="B115" s="62">
        <v>1.5082</v>
      </c>
      <c r="C115" s="62">
        <v>1.5082</v>
      </c>
      <c r="D115" s="62">
        <v>-3.0190000000000001</v>
      </c>
      <c r="E115" s="62">
        <v>-3.0181</v>
      </c>
      <c r="F115" s="62">
        <v>-3.0181</v>
      </c>
      <c r="G115" s="301">
        <v>-135.2216</v>
      </c>
      <c r="H115" s="301">
        <v>-135.2216</v>
      </c>
      <c r="J115" s="62">
        <v>12</v>
      </c>
      <c r="K115" s="62">
        <v>1.4850000000000001</v>
      </c>
      <c r="L115" s="62">
        <v>1.4850000000000001</v>
      </c>
      <c r="M115" s="62">
        <v>-2.9830000000000001</v>
      </c>
      <c r="N115" s="62">
        <v>-2.9786999999999999</v>
      </c>
      <c r="O115" s="62">
        <v>-2.9786999999999999</v>
      </c>
      <c r="P115" s="301">
        <v>-186.90710000000001</v>
      </c>
      <c r="Q115" s="301">
        <v>-186.90710000000001</v>
      </c>
      <c r="V115" s="65"/>
      <c r="W115" s="92"/>
    </row>
    <row r="116" spans="1:23" x14ac:dyDescent="0.25">
      <c r="A116" s="63">
        <v>13</v>
      </c>
      <c r="B116" s="62">
        <v>-2.3281000000000001</v>
      </c>
      <c r="C116" s="62">
        <v>4.5770999999999997</v>
      </c>
      <c r="D116" s="62">
        <v>4.5770999999999997</v>
      </c>
      <c r="E116" s="62">
        <v>4.6033999999999997</v>
      </c>
      <c r="F116" s="62">
        <v>4.6033999999999997</v>
      </c>
      <c r="G116" s="301">
        <v>-97.312399999999997</v>
      </c>
      <c r="H116" s="301">
        <v>-97.312399999999997</v>
      </c>
      <c r="J116" s="62">
        <v>13</v>
      </c>
      <c r="K116" s="62">
        <v>-2.4514999999999998</v>
      </c>
      <c r="L116" s="62">
        <v>4.6288999999999998</v>
      </c>
      <c r="M116" s="62">
        <v>4.6288999999999998</v>
      </c>
      <c r="N116" s="62">
        <v>4.7202999999999999</v>
      </c>
      <c r="O116" s="62">
        <v>4.7202999999999999</v>
      </c>
      <c r="P116" s="301">
        <v>-137.7337</v>
      </c>
      <c r="Q116" s="301">
        <v>-137.7337</v>
      </c>
      <c r="V116" s="65"/>
    </row>
    <row r="117" spans="1:23" x14ac:dyDescent="0.25">
      <c r="A117" s="63">
        <v>14</v>
      </c>
      <c r="B117" s="62">
        <v>7.0067000000000004</v>
      </c>
      <c r="C117" s="62">
        <v>7.0067000000000004</v>
      </c>
      <c r="D117" s="62">
        <v>-10.783099999999999</v>
      </c>
      <c r="E117" s="62">
        <v>-5.5593000000000004</v>
      </c>
      <c r="F117" s="62">
        <v>-5.5593000000000004</v>
      </c>
      <c r="G117" s="370">
        <v>-78.624099999999999</v>
      </c>
      <c r="H117" s="370">
        <v>-78.624099999999999</v>
      </c>
      <c r="J117" s="62">
        <v>14</v>
      </c>
      <c r="K117" s="62">
        <v>9.56</v>
      </c>
      <c r="L117" s="62">
        <v>9.56</v>
      </c>
      <c r="M117" s="62">
        <v>-15.992000000000001</v>
      </c>
      <c r="N117" s="62">
        <v>-7.9850000000000003</v>
      </c>
      <c r="O117" s="62">
        <v>-7.9850000000000003</v>
      </c>
      <c r="P117" s="370">
        <v>-115.2419</v>
      </c>
      <c r="Q117" s="370">
        <v>-115.2419</v>
      </c>
      <c r="V117" s="65"/>
    </row>
    <row r="118" spans="1:23" x14ac:dyDescent="0.25">
      <c r="A118" s="63">
        <v>15</v>
      </c>
      <c r="B118" s="62">
        <v>-4.8063000000000002</v>
      </c>
      <c r="C118" s="62">
        <v>7.4936999999999996</v>
      </c>
      <c r="D118" s="62">
        <v>7.4936999999999996</v>
      </c>
      <c r="E118" s="62">
        <v>3.8437999999999999</v>
      </c>
      <c r="F118" s="62">
        <v>3.8437999999999999</v>
      </c>
      <c r="G118" s="370">
        <v>-106.8699</v>
      </c>
      <c r="H118" s="370">
        <v>-106.8699</v>
      </c>
      <c r="J118" s="62">
        <v>15</v>
      </c>
      <c r="K118" s="62">
        <v>-6.6687000000000003</v>
      </c>
      <c r="L118" s="62">
        <v>11.236800000000001</v>
      </c>
      <c r="M118" s="62">
        <v>11.236800000000001</v>
      </c>
      <c r="N118" s="62">
        <v>5.5955000000000004</v>
      </c>
      <c r="O118" s="62">
        <v>5.5955000000000004</v>
      </c>
      <c r="P118" s="370">
        <v>-152.95089999999999</v>
      </c>
      <c r="Q118" s="370">
        <v>-152.95089999999999</v>
      </c>
      <c r="V118" s="65"/>
    </row>
    <row r="119" spans="1:23" x14ac:dyDescent="0.25">
      <c r="A119" s="63">
        <v>16</v>
      </c>
      <c r="B119" s="62">
        <v>4.8063000000000002</v>
      </c>
      <c r="C119" s="62">
        <v>4.8063000000000002</v>
      </c>
      <c r="D119" s="62">
        <v>-7.4936999999999996</v>
      </c>
      <c r="E119" s="62">
        <v>-3.8437999999999999</v>
      </c>
      <c r="F119" s="62">
        <v>-3.8437999999999999</v>
      </c>
      <c r="G119" s="370">
        <v>-106.8699</v>
      </c>
      <c r="H119" s="370">
        <v>-106.8699</v>
      </c>
      <c r="J119" s="62">
        <v>16</v>
      </c>
      <c r="K119" s="62">
        <v>6.6687000000000003</v>
      </c>
      <c r="L119" s="62">
        <v>6.6687000000000003</v>
      </c>
      <c r="M119" s="62">
        <v>-11.236800000000001</v>
      </c>
      <c r="N119" s="62">
        <v>-5.5955000000000004</v>
      </c>
      <c r="O119" s="62">
        <v>-5.5955000000000004</v>
      </c>
      <c r="P119" s="370">
        <v>-152.95089999999999</v>
      </c>
      <c r="Q119" s="370">
        <v>-152.95089999999999</v>
      </c>
      <c r="V119" s="65"/>
    </row>
    <row r="120" spans="1:23" x14ac:dyDescent="0.25">
      <c r="A120" s="63">
        <v>17</v>
      </c>
      <c r="B120" s="62">
        <v>-7.0067000000000004</v>
      </c>
      <c r="C120" s="62">
        <v>10.783099999999999</v>
      </c>
      <c r="D120" s="62">
        <v>10.783099999999999</v>
      </c>
      <c r="E120" s="62">
        <v>5.5593000000000004</v>
      </c>
      <c r="F120" s="62">
        <v>5.5593000000000004</v>
      </c>
      <c r="G120" s="370">
        <v>-78.624099999999999</v>
      </c>
      <c r="H120" s="370">
        <v>-78.624099999999999</v>
      </c>
      <c r="J120" s="62">
        <v>17</v>
      </c>
      <c r="K120" s="62">
        <v>-9.56</v>
      </c>
      <c r="L120" s="62">
        <v>15.992000000000001</v>
      </c>
      <c r="M120" s="62">
        <v>15.992000000000001</v>
      </c>
      <c r="N120" s="62">
        <v>7.9850000000000003</v>
      </c>
      <c r="O120" s="62">
        <v>7.9850000000000003</v>
      </c>
      <c r="P120" s="370">
        <v>-115.2419</v>
      </c>
      <c r="Q120" s="370">
        <v>-115.2419</v>
      </c>
      <c r="V120" s="65"/>
    </row>
    <row r="121" spans="1:23" x14ac:dyDescent="0.25">
      <c r="A121" s="63">
        <v>18</v>
      </c>
      <c r="B121" s="62">
        <v>15.4453</v>
      </c>
      <c r="C121" s="62">
        <v>15.4453</v>
      </c>
      <c r="D121" s="62">
        <v>-16.674099999999999</v>
      </c>
      <c r="E121" s="62">
        <v>-10.0373</v>
      </c>
      <c r="F121" s="62">
        <v>-10.0373</v>
      </c>
      <c r="G121" s="108">
        <v>-33.037999999999997</v>
      </c>
      <c r="H121" s="108">
        <v>-33.037999999999997</v>
      </c>
      <c r="J121" s="62">
        <v>18</v>
      </c>
      <c r="K121" s="62">
        <v>22.9589</v>
      </c>
      <c r="L121" s="62">
        <v>22.9589</v>
      </c>
      <c r="M121" s="62">
        <v>-23.9634</v>
      </c>
      <c r="N121" s="62">
        <v>-14.6632</v>
      </c>
      <c r="O121" s="62">
        <v>-14.6632</v>
      </c>
      <c r="P121" s="108">
        <v>-47.1098</v>
      </c>
      <c r="Q121" s="108">
        <v>-47.1098</v>
      </c>
      <c r="V121" s="65"/>
    </row>
    <row r="122" spans="1:23" x14ac:dyDescent="0.25">
      <c r="A122" s="63">
        <v>19</v>
      </c>
      <c r="B122" s="62">
        <v>-10.7499</v>
      </c>
      <c r="C122" s="62">
        <v>11.2927</v>
      </c>
      <c r="D122" s="62">
        <v>11.2927</v>
      </c>
      <c r="E122" s="62">
        <v>6.8883000000000001</v>
      </c>
      <c r="F122" s="62">
        <v>6.8883000000000001</v>
      </c>
      <c r="G122" s="108">
        <v>-44.473999999999997</v>
      </c>
      <c r="H122" s="108">
        <v>-44.473999999999997</v>
      </c>
      <c r="J122" s="62">
        <v>19</v>
      </c>
      <c r="K122" s="62">
        <v>-16.211200000000002</v>
      </c>
      <c r="L122" s="62">
        <v>16.582999999999998</v>
      </c>
      <c r="M122" s="62">
        <v>16.582999999999998</v>
      </c>
      <c r="N122" s="62">
        <v>10.248200000000001</v>
      </c>
      <c r="O122" s="62">
        <v>10.248200000000001</v>
      </c>
      <c r="P122" s="108">
        <v>-61.104599999999998</v>
      </c>
      <c r="Q122" s="108">
        <v>-61.104599999999998</v>
      </c>
      <c r="V122" s="65"/>
    </row>
    <row r="123" spans="1:23" x14ac:dyDescent="0.25">
      <c r="A123" s="63">
        <v>20</v>
      </c>
      <c r="B123" s="62">
        <v>10.7499</v>
      </c>
      <c r="C123" s="62">
        <v>10.7499</v>
      </c>
      <c r="D123" s="62">
        <v>-11.2927</v>
      </c>
      <c r="E123" s="62">
        <v>-6.8883000000000001</v>
      </c>
      <c r="F123" s="62">
        <v>-6.8883000000000001</v>
      </c>
      <c r="G123" s="108">
        <v>-44.473999999999997</v>
      </c>
      <c r="H123" s="108">
        <v>-44.473999999999997</v>
      </c>
      <c r="J123" s="62">
        <v>20</v>
      </c>
      <c r="K123" s="62">
        <v>16.211200000000002</v>
      </c>
      <c r="L123" s="62">
        <v>16.211200000000002</v>
      </c>
      <c r="M123" s="62">
        <v>-16.582999999999998</v>
      </c>
      <c r="N123" s="62">
        <v>-10.248200000000001</v>
      </c>
      <c r="O123" s="62">
        <v>-10.248200000000001</v>
      </c>
      <c r="P123" s="108">
        <v>-61.104599999999998</v>
      </c>
      <c r="Q123" s="108">
        <v>-61.104599999999998</v>
      </c>
      <c r="V123" s="65"/>
    </row>
    <row r="124" spans="1:23" x14ac:dyDescent="0.25">
      <c r="A124" s="63">
        <v>21</v>
      </c>
      <c r="B124" s="62">
        <v>-15.4453</v>
      </c>
      <c r="C124" s="62">
        <v>16.674099999999999</v>
      </c>
      <c r="D124" s="62">
        <v>16.674099999999999</v>
      </c>
      <c r="E124" s="62">
        <v>10.0373</v>
      </c>
      <c r="F124" s="62">
        <v>10.0373</v>
      </c>
      <c r="G124" s="108">
        <v>-33.037999999999997</v>
      </c>
      <c r="H124" s="108">
        <v>-33.037999999999997</v>
      </c>
      <c r="J124" s="62">
        <v>21</v>
      </c>
      <c r="K124" s="62">
        <v>-22.9589</v>
      </c>
      <c r="L124" s="62">
        <v>23.9634</v>
      </c>
      <c r="M124" s="62">
        <v>23.9634</v>
      </c>
      <c r="N124" s="62">
        <v>14.6632</v>
      </c>
      <c r="O124" s="62">
        <v>14.6632</v>
      </c>
      <c r="P124" s="108">
        <v>-47.1098</v>
      </c>
      <c r="Q124" s="108">
        <v>-47.1098</v>
      </c>
      <c r="V124" s="65"/>
    </row>
    <row r="125" spans="1:23" x14ac:dyDescent="0.25">
      <c r="A125" s="63"/>
      <c r="V125" s="65"/>
    </row>
    <row r="126" spans="1:23" x14ac:dyDescent="0.25">
      <c r="A126" s="112" t="s">
        <v>10</v>
      </c>
      <c r="J126" s="92" t="s">
        <v>475</v>
      </c>
      <c r="K126" s="92"/>
      <c r="O126" s="92" t="s">
        <v>470</v>
      </c>
      <c r="V126" s="65"/>
    </row>
    <row r="127" spans="1:23" x14ac:dyDescent="0.25">
      <c r="A127" s="63" t="s">
        <v>0</v>
      </c>
      <c r="B127" s="62" t="s">
        <v>1</v>
      </c>
      <c r="C127" s="62" t="s">
        <v>2</v>
      </c>
      <c r="D127" s="62" t="s">
        <v>3</v>
      </c>
      <c r="E127" s="62" t="s">
        <v>4</v>
      </c>
      <c r="F127" s="62" t="s">
        <v>5</v>
      </c>
      <c r="G127" s="62" t="s">
        <v>6</v>
      </c>
      <c r="H127" s="62" t="s">
        <v>7</v>
      </c>
      <c r="J127" s="62" t="s">
        <v>473</v>
      </c>
      <c r="K127" s="62" t="s">
        <v>18</v>
      </c>
      <c r="L127" s="62" t="s">
        <v>13</v>
      </c>
      <c r="M127" s="62" t="s">
        <v>14</v>
      </c>
      <c r="O127" s="62" t="s">
        <v>292</v>
      </c>
      <c r="V127" s="65"/>
    </row>
    <row r="128" spans="1:23" x14ac:dyDescent="0.25">
      <c r="A128" s="300">
        <v>1</v>
      </c>
      <c r="B128" s="301">
        <v>-0.18029999999999999</v>
      </c>
      <c r="C128" s="301">
        <v>0</v>
      </c>
      <c r="D128" s="301">
        <v>-1.5699999999999999E-2</v>
      </c>
      <c r="E128" s="301">
        <v>4.1099999999999998E-2</v>
      </c>
      <c r="F128" s="301">
        <v>4.1099999999999998E-2</v>
      </c>
      <c r="G128" s="62">
        <v>1.3234999999999999</v>
      </c>
      <c r="H128" s="62">
        <v>1.3234999999999999</v>
      </c>
      <c r="J128" s="62" t="s">
        <v>15</v>
      </c>
      <c r="O128" s="62" t="s">
        <v>471</v>
      </c>
      <c r="P128" s="62" t="s">
        <v>18</v>
      </c>
      <c r="Q128" s="62" t="s">
        <v>13</v>
      </c>
      <c r="R128" s="62" t="s">
        <v>14</v>
      </c>
      <c r="V128" s="65"/>
    </row>
    <row r="129" spans="1:22" x14ac:dyDescent="0.25">
      <c r="A129" s="300">
        <v>2</v>
      </c>
      <c r="B129" s="301">
        <v>0.14760000000000001</v>
      </c>
      <c r="C129" s="301">
        <v>0.14760000000000001</v>
      </c>
      <c r="D129" s="301">
        <v>0.14760000000000001</v>
      </c>
      <c r="E129" s="303">
        <v>1.1941300000000001E-9</v>
      </c>
      <c r="F129" s="303">
        <v>1.1941300000000001E-9</v>
      </c>
      <c r="G129" s="62">
        <v>0.30730000000000002</v>
      </c>
      <c r="H129" s="62">
        <v>0.30730000000000002</v>
      </c>
      <c r="K129" s="62" t="s">
        <v>19</v>
      </c>
      <c r="L129" s="62">
        <f>MIN(B104:B112)</f>
        <v>-28.844000000000001</v>
      </c>
      <c r="M129" s="62">
        <f>MAX(C104:C112)</f>
        <v>18.703800000000001</v>
      </c>
      <c r="O129" s="62" t="s">
        <v>15</v>
      </c>
      <c r="V129" s="65"/>
    </row>
    <row r="130" spans="1:22" x14ac:dyDescent="0.25">
      <c r="A130" s="300">
        <v>3</v>
      </c>
      <c r="B130" s="301">
        <v>-1.5699999999999999E-2</v>
      </c>
      <c r="C130" s="301">
        <v>0</v>
      </c>
      <c r="D130" s="301">
        <v>-0.18029999999999999</v>
      </c>
      <c r="E130" s="301">
        <v>-4.1099999999999998E-2</v>
      </c>
      <c r="F130" s="301">
        <v>-4.1099999999999998E-2</v>
      </c>
      <c r="G130" s="62">
        <v>1.3234999999999999</v>
      </c>
      <c r="H130" s="62">
        <v>1.3234999999999999</v>
      </c>
      <c r="K130" s="62" t="s">
        <v>20</v>
      </c>
      <c r="L130" s="62" cm="1">
        <f t="array" ref="L130">MAX(ABS(E104:F112))</f>
        <v>46.893900000000002</v>
      </c>
      <c r="P130" s="62" t="s">
        <v>19</v>
      </c>
      <c r="Q130" s="62">
        <f>MIN(B104:B106)</f>
        <v>-12.0943</v>
      </c>
      <c r="R130" s="62">
        <f>MAX(C104:C106)</f>
        <v>6.9770000000000003</v>
      </c>
      <c r="V130" s="65"/>
    </row>
    <row r="131" spans="1:22" x14ac:dyDescent="0.25">
      <c r="A131" s="369">
        <v>4</v>
      </c>
      <c r="B131" s="370">
        <v>-4.673</v>
      </c>
      <c r="C131" s="370">
        <v>3.5629</v>
      </c>
      <c r="D131" s="370">
        <v>-5.3011999999999997</v>
      </c>
      <c r="E131" s="370">
        <v>8.3930000000000007</v>
      </c>
      <c r="F131" s="370">
        <v>-8.7070000000000007</v>
      </c>
      <c r="G131" s="62">
        <v>0.81540000000000001</v>
      </c>
      <c r="H131" s="62">
        <v>0.81540000000000001</v>
      </c>
      <c r="K131" s="62" t="s">
        <v>147</v>
      </c>
      <c r="L131" s="62" cm="1">
        <f t="array" ref="L131">MAX(ABS(H113:H124))</f>
        <v>135.2216</v>
      </c>
      <c r="P131" s="62" t="s">
        <v>20</v>
      </c>
      <c r="Q131" s="62" cm="1">
        <f t="array" ref="Q131">MAX(ABS(E104:F106))</f>
        <v>18.9437</v>
      </c>
      <c r="V131" s="65"/>
    </row>
    <row r="132" spans="1:22" x14ac:dyDescent="0.25">
      <c r="A132" s="369">
        <v>5</v>
      </c>
      <c r="B132" s="370">
        <v>-1.8289</v>
      </c>
      <c r="C132" s="370">
        <v>0</v>
      </c>
      <c r="D132" s="370">
        <v>-1.8289</v>
      </c>
      <c r="E132" s="370">
        <v>1.9</v>
      </c>
      <c r="F132" s="370">
        <v>-1.9</v>
      </c>
      <c r="G132" s="62">
        <v>0.1908</v>
      </c>
      <c r="H132" s="62">
        <v>0.1908</v>
      </c>
      <c r="J132" s="62" t="s">
        <v>16</v>
      </c>
      <c r="P132" s="62" t="s">
        <v>147</v>
      </c>
      <c r="Q132" s="62" cm="1">
        <f t="array" ref="Q132">MAX(ABS(H113:H116))</f>
        <v>135.2216</v>
      </c>
      <c r="V132" s="65"/>
    </row>
    <row r="133" spans="1:22" x14ac:dyDescent="0.25">
      <c r="A133" s="369">
        <v>6</v>
      </c>
      <c r="B133" s="370">
        <v>-5.3011999999999997</v>
      </c>
      <c r="C133" s="370">
        <v>3.5629</v>
      </c>
      <c r="D133" s="370">
        <v>-4.673</v>
      </c>
      <c r="E133" s="370">
        <v>8.7070000000000007</v>
      </c>
      <c r="F133" s="370">
        <v>-8.3930000000000007</v>
      </c>
      <c r="G133" s="62">
        <v>0.81540000000000001</v>
      </c>
      <c r="H133" s="62">
        <v>0.81540000000000001</v>
      </c>
      <c r="K133" s="62" t="s">
        <v>19</v>
      </c>
      <c r="L133" s="62">
        <f>MIN(B128:B136)</f>
        <v>-5.3011999999999997</v>
      </c>
      <c r="M133" s="62">
        <f>MAX(C128:C136)</f>
        <v>3.5629</v>
      </c>
      <c r="O133" s="62" t="s">
        <v>16</v>
      </c>
      <c r="V133" s="65"/>
    </row>
    <row r="134" spans="1:22" x14ac:dyDescent="0.25">
      <c r="A134" s="363">
        <v>7</v>
      </c>
      <c r="B134" s="108">
        <v>-2.4714999999999998</v>
      </c>
      <c r="C134" s="108">
        <v>2.1088</v>
      </c>
      <c r="D134" s="108">
        <v>-2.8109000000000002</v>
      </c>
      <c r="E134" s="108">
        <v>4.6651999999999996</v>
      </c>
      <c r="F134" s="108">
        <v>-4.8348000000000004</v>
      </c>
      <c r="G134" s="62">
        <v>-1.6365000000000001</v>
      </c>
      <c r="H134" s="62">
        <v>-1.6365000000000001</v>
      </c>
      <c r="K134" s="62" t="s">
        <v>20</v>
      </c>
      <c r="L134" s="62" cm="1">
        <f t="array" ref="L134">MAX(ABS(E128:F136))</f>
        <v>8.7070000000000007</v>
      </c>
      <c r="P134" s="62" t="s">
        <v>19</v>
      </c>
      <c r="Q134" s="62">
        <f>MIN(B128:B130)</f>
        <v>-0.18029999999999999</v>
      </c>
      <c r="R134" s="62">
        <f>MAX(C128:C130)</f>
        <v>0.14760000000000001</v>
      </c>
      <c r="V134" s="65"/>
    </row>
    <row r="135" spans="1:22" x14ac:dyDescent="0.25">
      <c r="A135" s="363">
        <v>8</v>
      </c>
      <c r="B135" s="108">
        <v>-0.91600000000000004</v>
      </c>
      <c r="C135" s="108">
        <v>0</v>
      </c>
      <c r="D135" s="108">
        <v>-0.91600000000000004</v>
      </c>
      <c r="E135" s="372">
        <v>7.0521699999999996E-9</v>
      </c>
      <c r="F135" s="372">
        <v>7.0521699999999996E-9</v>
      </c>
      <c r="G135" s="62">
        <v>-0.39760000000000001</v>
      </c>
      <c r="H135" s="62">
        <v>-0.39760000000000001</v>
      </c>
      <c r="K135" s="62" t="s">
        <v>147</v>
      </c>
      <c r="L135" s="62" cm="1">
        <f t="array" ref="L135">MAX(ABS(H137:H148))</f>
        <v>15.4419</v>
      </c>
      <c r="P135" s="62" t="s">
        <v>20</v>
      </c>
      <c r="Q135" s="62" cm="1">
        <f t="array" ref="Q135">MAX(ABS(E128:F130))</f>
        <v>4.1099999999999998E-2</v>
      </c>
      <c r="V135" s="65"/>
    </row>
    <row r="136" spans="1:22" x14ac:dyDescent="0.25">
      <c r="A136" s="363">
        <v>9</v>
      </c>
      <c r="B136" s="108">
        <v>-2.8109000000000002</v>
      </c>
      <c r="C136" s="108">
        <v>2.1088</v>
      </c>
      <c r="D136" s="108">
        <v>-2.4714999999999998</v>
      </c>
      <c r="E136" s="108">
        <v>4.8348000000000004</v>
      </c>
      <c r="F136" s="108">
        <v>-4.6651999999999996</v>
      </c>
      <c r="G136" s="62">
        <v>-1.6365000000000001</v>
      </c>
      <c r="H136" s="62">
        <v>-1.6365000000000001</v>
      </c>
      <c r="J136" s="62" t="s">
        <v>17</v>
      </c>
      <c r="P136" s="62" t="s">
        <v>147</v>
      </c>
      <c r="Q136" s="62" cm="1">
        <f t="array" ref="Q136">MAX(ABS(H137:H140))</f>
        <v>15.400700000000001</v>
      </c>
      <c r="V136" s="65"/>
    </row>
    <row r="137" spans="1:22" x14ac:dyDescent="0.25">
      <c r="A137" s="63">
        <v>10</v>
      </c>
      <c r="B137" s="62">
        <v>-0.21379999999999999</v>
      </c>
      <c r="C137" s="62">
        <v>0.53969999999999996</v>
      </c>
      <c r="D137" s="62">
        <v>0.53969999999999996</v>
      </c>
      <c r="E137" s="62">
        <v>0.50239999999999996</v>
      </c>
      <c r="F137" s="62">
        <v>0.50239999999999996</v>
      </c>
      <c r="G137" s="301">
        <v>-13.099299999999999</v>
      </c>
      <c r="H137" s="301">
        <v>-13.099299999999999</v>
      </c>
      <c r="K137" s="62" t="s">
        <v>19</v>
      </c>
      <c r="L137" s="62">
        <f>MIN(K104:K112)</f>
        <v>-43.094700000000003</v>
      </c>
      <c r="M137" s="62">
        <f>MAX(L104:L112)</f>
        <v>28.145199999999999</v>
      </c>
      <c r="O137" s="62" t="s">
        <v>472</v>
      </c>
      <c r="V137" s="65"/>
    </row>
    <row r="138" spans="1:22" x14ac:dyDescent="0.25">
      <c r="A138" s="63">
        <v>11</v>
      </c>
      <c r="B138" s="62">
        <v>0.20300000000000001</v>
      </c>
      <c r="C138" s="62">
        <v>0.20300000000000001</v>
      </c>
      <c r="D138" s="62">
        <v>-0.39979999999999999</v>
      </c>
      <c r="E138" s="62">
        <v>-0.40189999999999998</v>
      </c>
      <c r="F138" s="62">
        <v>-0.40189999999999998</v>
      </c>
      <c r="G138" s="301">
        <v>-15.400700000000001</v>
      </c>
      <c r="H138" s="301">
        <v>-15.400700000000001</v>
      </c>
      <c r="K138" s="62" t="s">
        <v>20</v>
      </c>
      <c r="L138" s="62" cm="1">
        <f t="array" ref="L138">MAX(ABS(N104:O112))</f>
        <v>70.203999999999994</v>
      </c>
      <c r="O138" s="62" t="s">
        <v>471</v>
      </c>
      <c r="P138" s="62" t="s">
        <v>18</v>
      </c>
      <c r="Q138" s="62" t="s">
        <v>13</v>
      </c>
      <c r="R138" s="62" t="s">
        <v>14</v>
      </c>
      <c r="V138" s="65"/>
    </row>
    <row r="139" spans="1:22" x14ac:dyDescent="0.25">
      <c r="A139" s="63">
        <v>12</v>
      </c>
      <c r="B139" s="62">
        <v>-0.20300000000000001</v>
      </c>
      <c r="C139" s="62">
        <v>0.39979999999999999</v>
      </c>
      <c r="D139" s="62">
        <v>0.39979999999999999</v>
      </c>
      <c r="E139" s="62">
        <v>0.40189999999999998</v>
      </c>
      <c r="F139" s="62">
        <v>0.40189999999999998</v>
      </c>
      <c r="G139" s="301">
        <v>-15.400700000000001</v>
      </c>
      <c r="H139" s="301">
        <v>-15.400700000000001</v>
      </c>
      <c r="K139" s="62" t="s">
        <v>147</v>
      </c>
      <c r="L139" s="62" cm="1">
        <f t="array" ref="L139">MAX(ABS(Q113:Q124))</f>
        <v>186.90710000000001</v>
      </c>
      <c r="O139" s="62" t="s">
        <v>15</v>
      </c>
      <c r="V139" s="65"/>
    </row>
    <row r="140" spans="1:22" x14ac:dyDescent="0.25">
      <c r="A140" s="63">
        <v>13</v>
      </c>
      <c r="B140" s="62">
        <v>0.21379999999999999</v>
      </c>
      <c r="C140" s="62">
        <v>0.21379999999999999</v>
      </c>
      <c r="D140" s="62">
        <v>-0.53969999999999996</v>
      </c>
      <c r="E140" s="62">
        <v>-0.50239999999999996</v>
      </c>
      <c r="F140" s="62">
        <v>-0.50239999999999996</v>
      </c>
      <c r="G140" s="301">
        <v>-13.099299999999999</v>
      </c>
      <c r="H140" s="301">
        <v>-13.099299999999999</v>
      </c>
      <c r="P140" s="62" t="s">
        <v>19</v>
      </c>
      <c r="Q140" s="62">
        <f>MIN(B107:B112)</f>
        <v>-28.844000000000001</v>
      </c>
      <c r="R140" s="62">
        <f>MAX(C107:C112)</f>
        <v>18.703800000000001</v>
      </c>
      <c r="V140" s="65"/>
    </row>
    <row r="141" spans="1:22" x14ac:dyDescent="0.25">
      <c r="A141" s="63">
        <v>14</v>
      </c>
      <c r="B141" s="62">
        <v>0.72</v>
      </c>
      <c r="C141" s="62">
        <v>0.72</v>
      </c>
      <c r="D141" s="62">
        <v>-1.9077</v>
      </c>
      <c r="E141" s="62">
        <v>-0.82120000000000004</v>
      </c>
      <c r="F141" s="62">
        <v>-0.82120000000000004</v>
      </c>
      <c r="G141" s="370">
        <v>-13.0581</v>
      </c>
      <c r="H141" s="370">
        <v>-13.0581</v>
      </c>
      <c r="J141" s="92" t="s">
        <v>476</v>
      </c>
      <c r="P141" s="62" t="s">
        <v>20</v>
      </c>
      <c r="Q141" s="62" cm="1">
        <f t="array" ref="Q141">MAX(ABS(E107:F112))</f>
        <v>46.893900000000002</v>
      </c>
      <c r="V141" s="65"/>
    </row>
    <row r="142" spans="1:22" x14ac:dyDescent="0.25">
      <c r="A142" s="63">
        <v>15</v>
      </c>
      <c r="B142" s="62">
        <v>-0.56320000000000003</v>
      </c>
      <c r="C142" s="62">
        <v>1.4027000000000001</v>
      </c>
      <c r="D142" s="62">
        <v>1.4027000000000001</v>
      </c>
      <c r="E142" s="62">
        <v>0.61439999999999995</v>
      </c>
      <c r="F142" s="62">
        <v>0.61439999999999995</v>
      </c>
      <c r="G142" s="370">
        <v>-15.4419</v>
      </c>
      <c r="H142" s="370">
        <v>-15.4419</v>
      </c>
      <c r="J142" s="62" t="s">
        <v>474</v>
      </c>
      <c r="K142" s="62" t="s">
        <v>149</v>
      </c>
      <c r="L142" s="62" t="s">
        <v>150</v>
      </c>
      <c r="P142" s="62" t="s">
        <v>147</v>
      </c>
      <c r="Q142" s="62" cm="1">
        <f t="array" ref="Q142">MAX(ABS(H117:I124))</f>
        <v>106.8699</v>
      </c>
      <c r="V142" s="65"/>
    </row>
    <row r="143" spans="1:22" x14ac:dyDescent="0.25">
      <c r="A143" s="63">
        <v>16</v>
      </c>
      <c r="B143" s="62">
        <v>0.56320000000000003</v>
      </c>
      <c r="C143" s="62">
        <v>0.56320000000000003</v>
      </c>
      <c r="D143" s="62">
        <v>-1.4027000000000001</v>
      </c>
      <c r="E143" s="62">
        <v>-0.61439999999999995</v>
      </c>
      <c r="F143" s="62">
        <v>-0.61439999999999995</v>
      </c>
      <c r="G143" s="370">
        <v>-15.4419</v>
      </c>
      <c r="H143" s="370">
        <v>-15.4419</v>
      </c>
      <c r="J143" s="62" t="s">
        <v>478</v>
      </c>
      <c r="K143" s="62" cm="1">
        <f t="array" ref="K143">MAX(ABS(Q118:Q119))</f>
        <v>152.95089999999999</v>
      </c>
      <c r="L143" s="62">
        <f>MAX(ABS(Q117), ABS(Q120))</f>
        <v>115.2419</v>
      </c>
      <c r="O143" s="62" t="s">
        <v>16</v>
      </c>
      <c r="V143" s="65"/>
    </row>
    <row r="144" spans="1:22" x14ac:dyDescent="0.25">
      <c r="A144" s="63">
        <v>17</v>
      </c>
      <c r="B144" s="62">
        <v>-0.72</v>
      </c>
      <c r="C144" s="62">
        <v>1.9077</v>
      </c>
      <c r="D144" s="62">
        <v>1.9077</v>
      </c>
      <c r="E144" s="62">
        <v>0.82120000000000004</v>
      </c>
      <c r="F144" s="62">
        <v>0.82120000000000004</v>
      </c>
      <c r="G144" s="370">
        <v>-13.0581</v>
      </c>
      <c r="H144" s="370">
        <v>-13.0581</v>
      </c>
      <c r="J144" s="62" t="s">
        <v>479</v>
      </c>
      <c r="K144" s="62" cm="1">
        <f t="array" ref="K144">MAX(ABS(Q122:Q123))</f>
        <v>61.104599999999998</v>
      </c>
      <c r="L144" s="62">
        <f>MAX(ABS(Q121), ABS(Q124))</f>
        <v>47.1098</v>
      </c>
      <c r="P144" s="62" t="s">
        <v>19</v>
      </c>
      <c r="Q144" s="62">
        <f>MIN(B131:B136)</f>
        <v>-5.3011999999999997</v>
      </c>
      <c r="R144" s="62">
        <f>MAX(C131:C136)</f>
        <v>3.5629</v>
      </c>
      <c r="U144" s="301"/>
      <c r="V144" s="65" t="s">
        <v>369</v>
      </c>
    </row>
    <row r="145" spans="1:22" x14ac:dyDescent="0.25">
      <c r="A145" s="63">
        <v>18</v>
      </c>
      <c r="B145" s="62">
        <v>2.7652999999999999</v>
      </c>
      <c r="C145" s="62">
        <v>2.7652999999999999</v>
      </c>
      <c r="D145" s="62">
        <v>-2.4714999999999998</v>
      </c>
      <c r="E145" s="62">
        <v>-1.6365000000000001</v>
      </c>
      <c r="F145" s="62">
        <v>-1.6365000000000001</v>
      </c>
      <c r="G145" s="108">
        <v>-4.6651999999999996</v>
      </c>
      <c r="H145" s="108">
        <v>-4.6651999999999996</v>
      </c>
      <c r="J145" s="92" t="s">
        <v>477</v>
      </c>
      <c r="P145" s="62" t="s">
        <v>20</v>
      </c>
      <c r="Q145" s="62" cm="1">
        <f t="array" ref="Q145">MAX(ABS(E131:F136))</f>
        <v>8.7070000000000007</v>
      </c>
      <c r="U145" s="361"/>
      <c r="V145" s="65" t="s">
        <v>358</v>
      </c>
    </row>
    <row r="146" spans="1:22" x14ac:dyDescent="0.25">
      <c r="A146" s="63">
        <v>19</v>
      </c>
      <c r="B146" s="62">
        <v>-2.0695999999999999</v>
      </c>
      <c r="C146" s="62">
        <v>1.8949</v>
      </c>
      <c r="D146" s="62">
        <v>1.8949</v>
      </c>
      <c r="E146" s="62">
        <v>1.2388999999999999</v>
      </c>
      <c r="F146" s="62">
        <v>1.2388999999999999</v>
      </c>
      <c r="G146" s="108">
        <v>-4.8348000000000004</v>
      </c>
      <c r="H146" s="108">
        <v>-4.8348000000000004</v>
      </c>
      <c r="J146" s="62" t="s">
        <v>474</v>
      </c>
      <c r="K146" s="62" t="s">
        <v>149</v>
      </c>
      <c r="L146" s="62" t="s">
        <v>150</v>
      </c>
      <c r="P146" s="62" t="s">
        <v>147</v>
      </c>
      <c r="Q146" s="62" cm="1">
        <f t="array" ref="Q146">MAX(ABS(H141:H148))</f>
        <v>15.4419</v>
      </c>
      <c r="U146" s="108"/>
      <c r="V146" s="65" t="s">
        <v>363</v>
      </c>
    </row>
    <row r="147" spans="1:22" x14ac:dyDescent="0.25">
      <c r="A147" s="63">
        <v>20</v>
      </c>
      <c r="B147" s="62">
        <v>2.0695999999999999</v>
      </c>
      <c r="C147" s="62">
        <v>2.0695999999999999</v>
      </c>
      <c r="D147" s="62">
        <v>-1.8949</v>
      </c>
      <c r="E147" s="62">
        <v>-1.2388999999999999</v>
      </c>
      <c r="F147" s="62">
        <v>-1.2388999999999999</v>
      </c>
      <c r="G147" s="108">
        <v>-4.8348000000000004</v>
      </c>
      <c r="H147" s="108">
        <v>-4.8348000000000004</v>
      </c>
      <c r="J147" s="62" t="s">
        <v>478</v>
      </c>
      <c r="K147" s="62" cm="1">
        <f t="array" ref="K147">MAX(ABS(H114:H115))</f>
        <v>135.2216</v>
      </c>
      <c r="L147" s="62">
        <f>MAX(ABS(H113), ABS(H116))</f>
        <v>97.312399999999997</v>
      </c>
      <c r="V147" s="65"/>
    </row>
    <row r="148" spans="1:22" ht="14.4" thickBot="1" x14ac:dyDescent="0.3">
      <c r="A148" s="76">
        <v>21</v>
      </c>
      <c r="B148" s="78">
        <v>-2.7652999999999999</v>
      </c>
      <c r="C148" s="78">
        <v>2.4714999999999998</v>
      </c>
      <c r="D148" s="78">
        <v>2.4714999999999998</v>
      </c>
      <c r="E148" s="78">
        <v>1.6365000000000001</v>
      </c>
      <c r="F148" s="78">
        <v>1.6365000000000001</v>
      </c>
      <c r="G148" s="371">
        <v>-4.6651999999999996</v>
      </c>
      <c r="H148" s="371">
        <v>-4.6651999999999996</v>
      </c>
      <c r="I148" s="78"/>
      <c r="J148" s="78" t="s">
        <v>479</v>
      </c>
      <c r="K148" s="78" cm="1">
        <f t="array" ref="K148">MAX(ABS(H118:H119),(H122:H123))</f>
        <v>106.8699</v>
      </c>
      <c r="L148" s="78">
        <f>MAX(ABS(H117), ABS(H120),ABS(H121),ABS(H124))</f>
        <v>78.624099999999999</v>
      </c>
      <c r="M148" s="78"/>
      <c r="N148" s="78"/>
      <c r="O148" s="78"/>
      <c r="P148" s="78"/>
      <c r="Q148" s="78"/>
      <c r="R148" s="78"/>
      <c r="S148" s="78"/>
      <c r="T148" s="78"/>
      <c r="U148" s="78"/>
      <c r="V148" s="79"/>
    </row>
    <row r="151" spans="1:22" x14ac:dyDescent="0.25">
      <c r="B151" s="62" t="s">
        <v>515</v>
      </c>
    </row>
    <row r="152" spans="1:22" x14ac:dyDescent="0.25">
      <c r="B152" s="62" t="s">
        <v>511</v>
      </c>
      <c r="C152" s="62" t="s">
        <v>512</v>
      </c>
      <c r="D152" s="62" t="s">
        <v>513</v>
      </c>
    </row>
    <row r="153" spans="1:22" x14ac:dyDescent="0.25">
      <c r="B153" s="62">
        <v>1</v>
      </c>
      <c r="C153" s="62">
        <f>MIN(H113:H114,H64:H65,H14:H15)</f>
        <v>-143.23249999999999</v>
      </c>
      <c r="D153" s="62">
        <f>MIN(H113,H116,H63,H66,H13,H16)</f>
        <v>-97.312399999999997</v>
      </c>
    </row>
    <row r="154" spans="1:22" x14ac:dyDescent="0.25">
      <c r="B154" s="62">
        <v>2</v>
      </c>
      <c r="C154" s="62">
        <f>MIN(H118:H119,H65:H66,H15:H16)</f>
        <v>-143.23249999999999</v>
      </c>
      <c r="D154" s="62">
        <f>MIN(H117,H120,H67,H70,H17,H20)</f>
        <v>-78.624099999999999</v>
      </c>
    </row>
    <row r="155" spans="1:22" x14ac:dyDescent="0.25">
      <c r="B155" s="62">
        <v>3</v>
      </c>
      <c r="C155" s="62">
        <f>MIN(H122:H123,H72:H73,H22:H23)</f>
        <v>-53.491700000000002</v>
      </c>
      <c r="D155" s="62">
        <f>MIN(H121,H124,H71,H74,H21,H24)</f>
        <v>-33.037999999999997</v>
      </c>
    </row>
    <row r="158" spans="1:22" x14ac:dyDescent="0.25">
      <c r="B158" s="62" t="s">
        <v>516</v>
      </c>
    </row>
    <row r="159" spans="1:22" x14ac:dyDescent="0.25">
      <c r="B159" s="62" t="s">
        <v>511</v>
      </c>
      <c r="C159" s="62" t="s">
        <v>512</v>
      </c>
      <c r="D159" s="62" t="s">
        <v>513</v>
      </c>
    </row>
    <row r="160" spans="1:22" x14ac:dyDescent="0.25">
      <c r="B160" s="62">
        <v>1</v>
      </c>
      <c r="C160" s="62">
        <f>MIN(H138:H139,H88:H89,H38:H39)</f>
        <v>-23.250399999999999</v>
      </c>
      <c r="D160" s="62">
        <f>MIN(H137,H140,H87,H90,H37,H40)</f>
        <v>-18.6342</v>
      </c>
    </row>
    <row r="161" spans="2:4" x14ac:dyDescent="0.25">
      <c r="B161" s="62">
        <v>2</v>
      </c>
      <c r="C161" s="62">
        <f>MIN(H142:H143,H92:H93,H42:H43)</f>
        <v>-22.720300000000002</v>
      </c>
      <c r="D161" s="62">
        <f>MIN(H141,H144,H91,H94,H41,H44)</f>
        <v>-18.6022</v>
      </c>
    </row>
    <row r="162" spans="2:4" x14ac:dyDescent="0.25">
      <c r="B162" s="62">
        <v>3</v>
      </c>
      <c r="C162" s="62">
        <f>MIN(H146:H147,H96:H97,H46:H47)</f>
        <v>-11.2293</v>
      </c>
      <c r="D162" s="62">
        <f>MIN(H145,H148,H95,H98,H45,H48)</f>
        <v>-9.2131000000000007</v>
      </c>
    </row>
  </sheetData>
  <mergeCells count="3">
    <mergeCell ref="A1:V1"/>
    <mergeCell ref="A51:V51"/>
    <mergeCell ref="A101:V101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58" orientation="landscape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/>
  </sheetPr>
  <dimension ref="A1:L12"/>
  <sheetViews>
    <sheetView showGridLines="0" zoomScale="152" zoomScaleNormal="130" workbookViewId="0">
      <selection activeCell="G11" sqref="G11"/>
    </sheetView>
  </sheetViews>
  <sheetFormatPr defaultColWidth="8.88671875" defaultRowHeight="13.8" x14ac:dyDescent="0.25"/>
  <cols>
    <col min="1" max="1" width="28.33203125" style="605" bestFit="1" customWidth="1"/>
    <col min="2" max="3" width="8.88671875" style="605"/>
    <col min="4" max="4" width="27.88671875" style="605" bestFit="1" customWidth="1"/>
    <col min="5" max="16384" width="8.88671875" style="605"/>
  </cols>
  <sheetData>
    <row r="1" spans="1:12" ht="46.8" x14ac:dyDescent="0.8">
      <c r="A1" s="635" t="s">
        <v>717</v>
      </c>
      <c r="B1" s="636"/>
      <c r="C1" s="636"/>
      <c r="D1" s="636"/>
      <c r="E1" s="636"/>
      <c r="F1" s="636"/>
      <c r="G1" s="636"/>
      <c r="H1" s="636"/>
      <c r="I1" s="636"/>
      <c r="J1" s="636"/>
      <c r="K1" s="636"/>
      <c r="L1" s="636"/>
    </row>
    <row r="2" spans="1:12" ht="15" x14ac:dyDescent="0.25">
      <c r="A2" s="633"/>
      <c r="B2" s="633"/>
      <c r="C2" s="634"/>
      <c r="D2" s="684" t="s">
        <v>707</v>
      </c>
      <c r="E2" s="634"/>
      <c r="F2" s="634"/>
      <c r="G2" s="634"/>
    </row>
    <row r="3" spans="1:12" ht="15" x14ac:dyDescent="0.25">
      <c r="B3" s="634"/>
      <c r="C3" s="634"/>
    </row>
    <row r="4" spans="1:12" x14ac:dyDescent="0.25">
      <c r="D4" s="604" t="s">
        <v>726</v>
      </c>
    </row>
    <row r="5" spans="1:12" x14ac:dyDescent="0.25">
      <c r="D5" s="605" t="s">
        <v>719</v>
      </c>
    </row>
    <row r="6" spans="1:12" x14ac:dyDescent="0.25">
      <c r="D6" s="605" t="s">
        <v>720</v>
      </c>
    </row>
    <row r="7" spans="1:12" x14ac:dyDescent="0.25">
      <c r="D7" s="605" t="s">
        <v>721</v>
      </c>
    </row>
    <row r="8" spans="1:12" x14ac:dyDescent="0.25">
      <c r="D8" s="604" t="s">
        <v>725</v>
      </c>
    </row>
    <row r="10" spans="1:12" x14ac:dyDescent="0.25">
      <c r="D10" s="604" t="s">
        <v>724</v>
      </c>
    </row>
    <row r="11" spans="1:12" x14ac:dyDescent="0.25">
      <c r="D11" s="605" t="s">
        <v>722</v>
      </c>
    </row>
    <row r="12" spans="1:12" x14ac:dyDescent="0.25">
      <c r="D12" s="605" t="s">
        <v>723</v>
      </c>
    </row>
  </sheetData>
  <mergeCells count="2">
    <mergeCell ref="A1:L1"/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T42"/>
  <sheetViews>
    <sheetView showGridLines="0" view="pageBreakPreview" zoomScale="90" zoomScaleNormal="85" zoomScaleSheetLayoutView="130" zoomScalePageLayoutView="25" workbookViewId="0">
      <selection activeCell="Z20" sqref="Z20"/>
    </sheetView>
  </sheetViews>
  <sheetFormatPr defaultRowHeight="14.4" x14ac:dyDescent="0.3"/>
  <cols>
    <col min="1" max="1" width="14.44140625" customWidth="1"/>
    <col min="5" max="5" width="10.33203125" bestFit="1" customWidth="1"/>
    <col min="6" max="6" width="14.88671875" customWidth="1"/>
    <col min="10" max="10" width="10.33203125" bestFit="1" customWidth="1"/>
    <col min="11" max="11" width="15.109375" customWidth="1"/>
    <col min="15" max="15" width="10.33203125" customWidth="1"/>
    <col min="16" max="16" width="14.88671875" customWidth="1"/>
    <col min="20" max="20" width="10.33203125" bestFit="1" customWidth="1"/>
  </cols>
  <sheetData>
    <row r="1" spans="1:20" s="297" customFormat="1" ht="19.95" customHeight="1" x14ac:dyDescent="0.3">
      <c r="A1" s="428" t="s">
        <v>372</v>
      </c>
      <c r="B1" s="429"/>
      <c r="C1" s="429"/>
      <c r="D1" s="429"/>
      <c r="E1" s="430"/>
      <c r="F1" s="428" t="s">
        <v>373</v>
      </c>
      <c r="G1" s="429"/>
      <c r="H1" s="429"/>
      <c r="I1" s="429"/>
      <c r="J1" s="430"/>
      <c r="K1" s="428" t="s">
        <v>374</v>
      </c>
      <c r="L1" s="429"/>
      <c r="M1" s="429"/>
      <c r="N1" s="429"/>
      <c r="O1" s="430"/>
      <c r="P1" s="428" t="s">
        <v>375</v>
      </c>
      <c r="Q1" s="429"/>
      <c r="R1" s="429"/>
      <c r="S1" s="429"/>
      <c r="T1" s="430"/>
    </row>
    <row r="2" spans="1:20" x14ac:dyDescent="0.3">
      <c r="A2" s="449" t="s">
        <v>376</v>
      </c>
      <c r="B2" s="438"/>
      <c r="C2" s="438"/>
      <c r="D2" s="69">
        <v>23.544</v>
      </c>
      <c r="E2" s="169" t="s">
        <v>377</v>
      </c>
      <c r="F2" s="449" t="s">
        <v>376</v>
      </c>
      <c r="G2" s="438"/>
      <c r="H2" s="438"/>
      <c r="I2" s="69">
        <v>23.544</v>
      </c>
      <c r="J2" s="169" t="s">
        <v>377</v>
      </c>
      <c r="K2" s="449" t="s">
        <v>376</v>
      </c>
      <c r="L2" s="438"/>
      <c r="M2" s="438"/>
      <c r="N2" s="69">
        <v>23.544</v>
      </c>
      <c r="O2" s="169" t="s">
        <v>377</v>
      </c>
      <c r="P2" s="449" t="s">
        <v>376</v>
      </c>
      <c r="Q2" s="438"/>
      <c r="R2" s="438"/>
      <c r="S2" s="69">
        <v>23.544</v>
      </c>
      <c r="T2" s="169" t="s">
        <v>377</v>
      </c>
    </row>
    <row r="3" spans="1:20" x14ac:dyDescent="0.3">
      <c r="A3" s="449" t="s">
        <v>378</v>
      </c>
      <c r="B3" s="438"/>
      <c r="C3" s="438"/>
      <c r="D3" s="69">
        <v>19.600000000000001</v>
      </c>
      <c r="E3" s="169" t="s">
        <v>377</v>
      </c>
      <c r="F3" s="449" t="s">
        <v>378</v>
      </c>
      <c r="G3" s="438"/>
      <c r="H3" s="438"/>
      <c r="I3" s="69">
        <v>19.600000000000001</v>
      </c>
      <c r="J3" s="169" t="s">
        <v>377</v>
      </c>
      <c r="K3" s="449" t="s">
        <v>378</v>
      </c>
      <c r="L3" s="438"/>
      <c r="M3" s="438"/>
      <c r="N3" s="69">
        <v>19.600000000000001</v>
      </c>
      <c r="O3" s="169" t="s">
        <v>377</v>
      </c>
      <c r="P3" s="449" t="s">
        <v>378</v>
      </c>
      <c r="Q3" s="438"/>
      <c r="R3" s="438"/>
      <c r="S3" s="69">
        <v>19.600000000000001</v>
      </c>
      <c r="T3" s="169" t="s">
        <v>377</v>
      </c>
    </row>
    <row r="4" spans="1:20" x14ac:dyDescent="0.3">
      <c r="A4" s="440" t="s">
        <v>379</v>
      </c>
      <c r="B4" s="438"/>
      <c r="C4" s="438"/>
      <c r="D4" s="69">
        <v>1.9</v>
      </c>
      <c r="E4" s="169" t="s">
        <v>380</v>
      </c>
      <c r="F4" s="440" t="s">
        <v>379</v>
      </c>
      <c r="G4" s="438"/>
      <c r="H4" s="438"/>
      <c r="I4" s="69">
        <v>1.9</v>
      </c>
      <c r="J4" s="169" t="s">
        <v>380</v>
      </c>
      <c r="K4" s="440" t="s">
        <v>381</v>
      </c>
      <c r="L4" s="438"/>
      <c r="M4" s="438"/>
      <c r="N4" s="69">
        <v>1.9</v>
      </c>
      <c r="O4" s="169" t="s">
        <v>380</v>
      </c>
      <c r="P4" s="440" t="s">
        <v>379</v>
      </c>
      <c r="Q4" s="438"/>
      <c r="R4" s="438"/>
      <c r="S4" s="69">
        <v>1.9</v>
      </c>
      <c r="T4" s="169" t="s">
        <v>380</v>
      </c>
    </row>
    <row r="5" spans="1:20" x14ac:dyDescent="0.3">
      <c r="A5" s="171"/>
      <c r="B5" s="69"/>
      <c r="C5" s="69"/>
      <c r="D5" s="69"/>
      <c r="E5" s="169"/>
      <c r="F5" s="171"/>
      <c r="G5" s="69"/>
      <c r="H5" s="69"/>
      <c r="I5" s="69"/>
      <c r="J5" s="169"/>
      <c r="K5" s="171" t="s">
        <v>382</v>
      </c>
      <c r="L5" s="69"/>
      <c r="M5" s="69"/>
      <c r="N5" s="69">
        <v>2.9</v>
      </c>
      <c r="O5" s="169"/>
      <c r="P5" s="171"/>
      <c r="Q5" s="69"/>
      <c r="R5" s="69"/>
      <c r="S5" s="69"/>
      <c r="T5" s="169"/>
    </row>
    <row r="6" spans="1:20" x14ac:dyDescent="0.3">
      <c r="A6" s="440" t="s">
        <v>383</v>
      </c>
      <c r="B6" s="438"/>
      <c r="C6" s="438"/>
      <c r="D6" s="69"/>
      <c r="E6" s="169"/>
      <c r="F6" s="440" t="s">
        <v>383</v>
      </c>
      <c r="G6" s="438"/>
      <c r="H6" s="438"/>
      <c r="I6" s="69"/>
      <c r="J6" s="169"/>
      <c r="K6" s="440" t="s">
        <v>383</v>
      </c>
      <c r="L6" s="438"/>
      <c r="M6" s="438"/>
      <c r="N6" s="69"/>
      <c r="O6" s="169"/>
      <c r="P6" s="440" t="s">
        <v>383</v>
      </c>
      <c r="Q6" s="438"/>
      <c r="R6" s="438"/>
      <c r="S6" s="69"/>
      <c r="T6" s="169"/>
    </row>
    <row r="7" spans="1:20" x14ac:dyDescent="0.3">
      <c r="A7" s="449" t="s">
        <v>384</v>
      </c>
      <c r="B7" s="438"/>
      <c r="C7" s="438"/>
      <c r="D7" s="69">
        <v>1.5</v>
      </c>
      <c r="E7" s="298" t="s">
        <v>380</v>
      </c>
      <c r="F7" s="449" t="s">
        <v>384</v>
      </c>
      <c r="G7" s="438"/>
      <c r="H7" s="438"/>
      <c r="I7" s="69">
        <v>1.5</v>
      </c>
      <c r="J7" s="298" t="s">
        <v>380</v>
      </c>
      <c r="K7" s="449" t="s">
        <v>384</v>
      </c>
      <c r="L7" s="438"/>
      <c r="M7" s="438"/>
      <c r="N7" s="69">
        <v>1.5</v>
      </c>
      <c r="O7" s="298" t="s">
        <v>380</v>
      </c>
      <c r="P7" s="449" t="s">
        <v>384</v>
      </c>
      <c r="Q7" s="438"/>
      <c r="R7" s="438"/>
      <c r="S7" s="69">
        <v>1.5</v>
      </c>
      <c r="T7" s="298" t="s">
        <v>380</v>
      </c>
    </row>
    <row r="8" spans="1:20" x14ac:dyDescent="0.3">
      <c r="A8" s="449" t="s">
        <v>385</v>
      </c>
      <c r="B8" s="438"/>
      <c r="C8" s="438"/>
      <c r="D8" s="69">
        <v>0.5</v>
      </c>
      <c r="E8" s="298" t="s">
        <v>380</v>
      </c>
      <c r="F8" s="449" t="s">
        <v>385</v>
      </c>
      <c r="G8" s="438"/>
      <c r="H8" s="438"/>
      <c r="I8" s="69">
        <v>0.5</v>
      </c>
      <c r="J8" s="298" t="s">
        <v>380</v>
      </c>
      <c r="K8" s="449" t="s">
        <v>385</v>
      </c>
      <c r="L8" s="438"/>
      <c r="M8" s="438"/>
      <c r="N8" s="69">
        <v>0.5</v>
      </c>
      <c r="O8" s="298" t="s">
        <v>380</v>
      </c>
      <c r="P8" s="449" t="s">
        <v>385</v>
      </c>
      <c r="Q8" s="438"/>
      <c r="R8" s="438"/>
      <c r="S8" s="69">
        <v>0.5</v>
      </c>
      <c r="T8" s="298" t="s">
        <v>380</v>
      </c>
    </row>
    <row r="9" spans="1:20" x14ac:dyDescent="0.3">
      <c r="A9" s="449" t="s">
        <v>84</v>
      </c>
      <c r="B9" s="438"/>
      <c r="C9" s="438"/>
      <c r="D9" s="69">
        <v>0.24</v>
      </c>
      <c r="E9" s="298" t="s">
        <v>380</v>
      </c>
      <c r="F9" s="449" t="s">
        <v>84</v>
      </c>
      <c r="G9" s="438"/>
      <c r="H9" s="438"/>
      <c r="I9" s="69">
        <v>0.24</v>
      </c>
      <c r="J9" s="298" t="s">
        <v>380</v>
      </c>
      <c r="K9" s="449" t="s">
        <v>84</v>
      </c>
      <c r="L9" s="438"/>
      <c r="M9" s="438"/>
      <c r="N9" s="69">
        <v>0.24</v>
      </c>
      <c r="O9" s="298" t="s">
        <v>380</v>
      </c>
      <c r="P9" s="449" t="s">
        <v>84</v>
      </c>
      <c r="Q9" s="438"/>
      <c r="R9" s="438"/>
      <c r="S9" s="69">
        <v>0.24</v>
      </c>
      <c r="T9" s="298" t="s">
        <v>380</v>
      </c>
    </row>
    <row r="10" spans="1:20" x14ac:dyDescent="0.3">
      <c r="A10" s="445" t="s">
        <v>386</v>
      </c>
      <c r="B10" s="446"/>
      <c r="C10" s="446"/>
      <c r="D10" s="69">
        <v>1.5</v>
      </c>
      <c r="E10" s="298" t="s">
        <v>380</v>
      </c>
      <c r="F10" s="445" t="s">
        <v>386</v>
      </c>
      <c r="G10" s="446"/>
      <c r="H10" s="446"/>
      <c r="I10" s="69">
        <v>1.5</v>
      </c>
      <c r="J10" s="298" t="s">
        <v>380</v>
      </c>
      <c r="K10" s="445" t="s">
        <v>386</v>
      </c>
      <c r="L10" s="446"/>
      <c r="M10" s="446"/>
      <c r="N10" s="69">
        <v>1.5</v>
      </c>
      <c r="O10" s="298" t="s">
        <v>380</v>
      </c>
      <c r="P10" s="445" t="s">
        <v>386</v>
      </c>
      <c r="Q10" s="446"/>
      <c r="R10" s="446"/>
      <c r="S10" s="69">
        <v>1.5</v>
      </c>
      <c r="T10" s="298" t="s">
        <v>380</v>
      </c>
    </row>
    <row r="11" spans="1:20" x14ac:dyDescent="0.3">
      <c r="A11" s="445"/>
      <c r="B11" s="446"/>
      <c r="C11" s="446"/>
      <c r="D11" s="69"/>
      <c r="E11" s="169"/>
      <c r="F11" s="445"/>
      <c r="G11" s="446"/>
      <c r="H11" s="446"/>
      <c r="I11" s="69"/>
      <c r="J11" s="169"/>
      <c r="K11" s="445"/>
      <c r="L11" s="446"/>
      <c r="M11" s="446"/>
      <c r="N11" s="69"/>
      <c r="O11" s="169"/>
      <c r="P11" s="445"/>
      <c r="Q11" s="446"/>
      <c r="R11" s="446"/>
      <c r="S11" s="69"/>
      <c r="T11" s="169"/>
    </row>
    <row r="12" spans="1:20" x14ac:dyDescent="0.3">
      <c r="A12" s="447" t="s">
        <v>387</v>
      </c>
      <c r="B12" s="448"/>
      <c r="C12" s="69"/>
      <c r="D12" s="69">
        <f>SUM(D7:D10)</f>
        <v>3.74</v>
      </c>
      <c r="E12" s="298" t="s">
        <v>380</v>
      </c>
      <c r="F12" s="447" t="s">
        <v>387</v>
      </c>
      <c r="G12" s="448"/>
      <c r="H12" s="69"/>
      <c r="I12" s="69">
        <f>SUM(I7:I10)</f>
        <v>3.74</v>
      </c>
      <c r="J12" s="298" t="s">
        <v>380</v>
      </c>
      <c r="K12" s="447" t="s">
        <v>387</v>
      </c>
      <c r="L12" s="448"/>
      <c r="M12" s="69"/>
      <c r="N12" s="69">
        <f>SUM(N7:N10)</f>
        <v>3.74</v>
      </c>
      <c r="O12" s="298" t="s">
        <v>380</v>
      </c>
      <c r="P12" s="447" t="s">
        <v>387</v>
      </c>
      <c r="Q12" s="448"/>
      <c r="R12" s="69"/>
      <c r="S12" s="69">
        <f>SUM(S7:S10)</f>
        <v>3.74</v>
      </c>
      <c r="T12" s="298" t="s">
        <v>380</v>
      </c>
    </row>
    <row r="13" spans="1:20" x14ac:dyDescent="0.3">
      <c r="A13" s="68"/>
      <c r="B13" s="69"/>
      <c r="C13" s="69"/>
      <c r="D13" s="69"/>
      <c r="E13" s="169"/>
      <c r="F13" s="68"/>
      <c r="G13" s="69"/>
      <c r="H13" s="69"/>
      <c r="I13" s="69"/>
      <c r="J13" s="169"/>
      <c r="K13" s="68"/>
      <c r="L13" s="69"/>
      <c r="M13" s="69"/>
      <c r="N13" s="69"/>
      <c r="O13" s="169"/>
      <c r="P13" s="68"/>
      <c r="Q13" s="69"/>
      <c r="R13" s="69"/>
      <c r="S13" s="69"/>
      <c r="T13" s="169"/>
    </row>
    <row r="14" spans="1:20" x14ac:dyDescent="0.3">
      <c r="A14" s="68" t="s">
        <v>388</v>
      </c>
      <c r="B14" s="69">
        <v>4</v>
      </c>
      <c r="C14" s="69" t="s">
        <v>74</v>
      </c>
      <c r="D14" s="69"/>
      <c r="E14" s="169"/>
      <c r="F14" s="68" t="s">
        <v>388</v>
      </c>
      <c r="G14" s="69">
        <v>4</v>
      </c>
      <c r="H14" s="69" t="s">
        <v>74</v>
      </c>
      <c r="I14" s="69"/>
      <c r="J14" s="169"/>
      <c r="K14" s="68" t="s">
        <v>388</v>
      </c>
      <c r="L14" s="69">
        <v>4</v>
      </c>
      <c r="M14" s="69" t="s">
        <v>74</v>
      </c>
      <c r="N14" s="69"/>
      <c r="O14" s="169"/>
      <c r="P14" s="68" t="s">
        <v>388</v>
      </c>
      <c r="Q14" s="69">
        <v>4</v>
      </c>
      <c r="R14" s="69" t="s">
        <v>74</v>
      </c>
      <c r="S14" s="69"/>
      <c r="T14" s="169"/>
    </row>
    <row r="15" spans="1:20" x14ac:dyDescent="0.3">
      <c r="A15" s="68" t="s">
        <v>389</v>
      </c>
      <c r="B15" s="69">
        <v>0</v>
      </c>
      <c r="C15" s="69"/>
      <c r="D15" s="69"/>
      <c r="E15" s="169"/>
      <c r="F15" s="68" t="s">
        <v>389</v>
      </c>
      <c r="G15" s="69">
        <v>2</v>
      </c>
      <c r="H15" s="69"/>
      <c r="I15" s="69"/>
      <c r="J15" s="169"/>
      <c r="K15" s="68" t="s">
        <v>389</v>
      </c>
      <c r="L15" s="69">
        <v>1</v>
      </c>
      <c r="M15" s="69"/>
      <c r="N15" s="69"/>
      <c r="O15" s="169"/>
      <c r="P15" s="68" t="s">
        <v>389</v>
      </c>
      <c r="Q15" s="69">
        <v>0</v>
      </c>
      <c r="R15" s="69"/>
      <c r="S15" s="69"/>
      <c r="T15" s="169"/>
    </row>
    <row r="16" spans="1:20" x14ac:dyDescent="0.3">
      <c r="A16" s="68" t="s">
        <v>390</v>
      </c>
      <c r="B16" s="69">
        <v>3.2</v>
      </c>
      <c r="C16" s="69" t="s">
        <v>74</v>
      </c>
      <c r="D16" s="69"/>
      <c r="E16" s="169"/>
      <c r="F16" s="68" t="s">
        <v>390</v>
      </c>
      <c r="G16" s="69">
        <v>3.2</v>
      </c>
      <c r="H16" s="69" t="s">
        <v>74</v>
      </c>
      <c r="I16" s="69"/>
      <c r="J16" s="169"/>
      <c r="K16" s="68" t="s">
        <v>390</v>
      </c>
      <c r="L16" s="69">
        <v>3.2</v>
      </c>
      <c r="M16" s="69" t="s">
        <v>74</v>
      </c>
      <c r="N16" s="69"/>
      <c r="O16" s="169"/>
      <c r="P16" s="68" t="s">
        <v>390</v>
      </c>
      <c r="Q16" s="69">
        <v>1.5</v>
      </c>
      <c r="R16" s="69" t="s">
        <v>74</v>
      </c>
      <c r="S16" s="69"/>
      <c r="T16" s="169"/>
    </row>
    <row r="17" spans="1:20" x14ac:dyDescent="0.3">
      <c r="A17" s="68" t="s">
        <v>391</v>
      </c>
      <c r="B17" s="69">
        <v>0.15</v>
      </c>
      <c r="C17" s="69" t="s">
        <v>74</v>
      </c>
      <c r="D17" s="69"/>
      <c r="E17" s="169"/>
      <c r="F17" s="68" t="s">
        <v>391</v>
      </c>
      <c r="G17" s="69">
        <v>0.1</v>
      </c>
      <c r="H17" s="69" t="s">
        <v>74</v>
      </c>
      <c r="I17" s="69"/>
      <c r="J17" s="169"/>
      <c r="K17" s="68" t="s">
        <v>391</v>
      </c>
      <c r="L17" s="69">
        <v>0.15</v>
      </c>
      <c r="M17" s="69" t="s">
        <v>74</v>
      </c>
      <c r="N17" s="69"/>
      <c r="O17" s="169"/>
      <c r="P17" s="68" t="s">
        <v>391</v>
      </c>
      <c r="Q17" s="69">
        <v>0.15</v>
      </c>
      <c r="R17" s="69" t="s">
        <v>74</v>
      </c>
      <c r="S17" s="69"/>
      <c r="T17" s="169"/>
    </row>
    <row r="18" spans="1:20" x14ac:dyDescent="0.3">
      <c r="A18" s="68" t="s">
        <v>392</v>
      </c>
      <c r="B18" s="69">
        <v>0.1</v>
      </c>
      <c r="C18" s="69" t="s">
        <v>74</v>
      </c>
      <c r="D18" s="69"/>
      <c r="E18" s="169"/>
      <c r="F18" s="68" t="s">
        <v>392</v>
      </c>
      <c r="G18" s="69">
        <v>0.1</v>
      </c>
      <c r="H18" s="69" t="s">
        <v>74</v>
      </c>
      <c r="I18" s="69"/>
      <c r="J18" s="169"/>
      <c r="K18" s="68" t="s">
        <v>392</v>
      </c>
      <c r="L18" s="69">
        <v>0.1</v>
      </c>
      <c r="M18" s="69" t="s">
        <v>74</v>
      </c>
      <c r="N18" s="69"/>
      <c r="O18" s="169"/>
      <c r="P18" s="68" t="s">
        <v>392</v>
      </c>
      <c r="Q18" s="69">
        <v>0.1</v>
      </c>
      <c r="R18" s="69" t="s">
        <v>74</v>
      </c>
      <c r="S18" s="69"/>
      <c r="T18" s="169"/>
    </row>
    <row r="19" spans="1:20" x14ac:dyDescent="0.3">
      <c r="A19" s="68"/>
      <c r="B19" s="69"/>
      <c r="C19" s="69"/>
      <c r="D19" s="69"/>
      <c r="E19" s="169"/>
      <c r="F19" s="68"/>
      <c r="G19" s="69"/>
      <c r="H19" s="69"/>
      <c r="I19" s="69"/>
      <c r="J19" s="169"/>
      <c r="K19" s="68"/>
      <c r="L19" s="69"/>
      <c r="M19" s="69"/>
      <c r="N19" s="69"/>
      <c r="O19" s="169"/>
      <c r="P19" s="68"/>
      <c r="Q19" s="69"/>
      <c r="R19" s="69"/>
      <c r="S19" s="69"/>
      <c r="T19" s="169"/>
    </row>
    <row r="20" spans="1:20" x14ac:dyDescent="0.3">
      <c r="A20" s="443" t="s">
        <v>393</v>
      </c>
      <c r="B20" s="444"/>
      <c r="C20" s="69"/>
      <c r="D20" s="69"/>
      <c r="E20" s="169"/>
      <c r="F20" s="443" t="s">
        <v>393</v>
      </c>
      <c r="G20" s="444"/>
      <c r="H20" s="69"/>
      <c r="I20" s="69"/>
      <c r="J20" s="169"/>
      <c r="K20" s="443" t="s">
        <v>393</v>
      </c>
      <c r="L20" s="444"/>
      <c r="M20" s="69"/>
      <c r="N20" s="69"/>
      <c r="O20" s="169"/>
      <c r="P20" s="443" t="s">
        <v>393</v>
      </c>
      <c r="Q20" s="444"/>
      <c r="R20" s="69"/>
      <c r="S20" s="69"/>
      <c r="T20" s="169"/>
    </row>
    <row r="21" spans="1:20" x14ac:dyDescent="0.3">
      <c r="A21" s="171" t="s">
        <v>394</v>
      </c>
      <c r="B21" s="438" t="s">
        <v>395</v>
      </c>
      <c r="C21" s="438"/>
      <c r="D21" s="438"/>
      <c r="E21" s="169"/>
      <c r="F21" s="171" t="s">
        <v>394</v>
      </c>
      <c r="G21" s="438" t="s">
        <v>395</v>
      </c>
      <c r="H21" s="438"/>
      <c r="I21" s="438"/>
      <c r="J21" s="169"/>
      <c r="K21" s="171" t="s">
        <v>394</v>
      </c>
      <c r="L21" s="438" t="s">
        <v>395</v>
      </c>
      <c r="M21" s="438"/>
      <c r="N21" s="438"/>
      <c r="O21" s="169"/>
      <c r="P21" s="171" t="s">
        <v>394</v>
      </c>
      <c r="Q21" s="438" t="s">
        <v>395</v>
      </c>
      <c r="R21" s="438"/>
      <c r="S21" s="438"/>
      <c r="T21" s="169"/>
    </row>
    <row r="22" spans="1:20" x14ac:dyDescent="0.3">
      <c r="A22" s="68" t="s">
        <v>396</v>
      </c>
      <c r="B22" s="69">
        <f>D2*B18</f>
        <v>2.3544</v>
      </c>
      <c r="C22" s="118" t="s">
        <v>380</v>
      </c>
      <c r="D22" s="69"/>
      <c r="E22" s="169"/>
      <c r="F22" s="68" t="s">
        <v>396</v>
      </c>
      <c r="G22" s="69">
        <f>I2*G18</f>
        <v>2.3544</v>
      </c>
      <c r="H22" s="118" t="s">
        <v>380</v>
      </c>
      <c r="I22" s="69"/>
      <c r="J22" s="169"/>
      <c r="K22" s="68" t="s">
        <v>396</v>
      </c>
      <c r="L22" s="69">
        <f>N2*L18</f>
        <v>2.3544</v>
      </c>
      <c r="M22" s="118" t="s">
        <v>380</v>
      </c>
      <c r="N22" s="69"/>
      <c r="O22" s="169"/>
      <c r="P22" s="68" t="s">
        <v>396</v>
      </c>
      <c r="Q22" s="69">
        <f>S2*Q18</f>
        <v>2.3544</v>
      </c>
      <c r="R22" s="118" t="s">
        <v>380</v>
      </c>
      <c r="S22" s="69"/>
      <c r="T22" s="169"/>
    </row>
    <row r="23" spans="1:20" x14ac:dyDescent="0.3">
      <c r="A23" s="443" t="s">
        <v>397</v>
      </c>
      <c r="B23" s="444"/>
      <c r="C23" s="444"/>
      <c r="D23" s="69"/>
      <c r="E23" s="169"/>
      <c r="F23" s="443" t="s">
        <v>397</v>
      </c>
      <c r="G23" s="444"/>
      <c r="H23" s="444"/>
      <c r="I23" s="69"/>
      <c r="J23" s="169"/>
      <c r="K23" s="443" t="s">
        <v>397</v>
      </c>
      <c r="L23" s="444"/>
      <c r="M23" s="444"/>
      <c r="N23" s="69"/>
      <c r="O23" s="169"/>
      <c r="P23" s="443" t="s">
        <v>397</v>
      </c>
      <c r="Q23" s="444"/>
      <c r="R23" s="444"/>
      <c r="S23" s="69"/>
      <c r="T23" s="169"/>
    </row>
    <row r="24" spans="1:20" x14ac:dyDescent="0.3">
      <c r="A24" s="112" t="s">
        <v>398</v>
      </c>
      <c r="B24" s="62" t="s">
        <v>387</v>
      </c>
      <c r="C24" s="62"/>
      <c r="D24" s="62"/>
      <c r="E24" s="65"/>
      <c r="F24" s="112" t="s">
        <v>398</v>
      </c>
      <c r="G24" s="62" t="s">
        <v>387</v>
      </c>
      <c r="H24" s="62"/>
      <c r="I24" s="62"/>
      <c r="J24" s="65"/>
      <c r="K24" s="112" t="s">
        <v>398</v>
      </c>
      <c r="L24" s="62" t="s">
        <v>387</v>
      </c>
      <c r="M24" s="62"/>
      <c r="N24" s="62"/>
      <c r="O24" s="65"/>
      <c r="P24" s="112" t="s">
        <v>398</v>
      </c>
      <c r="Q24" s="62" t="s">
        <v>387</v>
      </c>
      <c r="R24" s="62"/>
      <c r="S24" s="62"/>
      <c r="T24" s="65"/>
    </row>
    <row r="25" spans="1:20" x14ac:dyDescent="0.3">
      <c r="A25" s="63" t="s">
        <v>399</v>
      </c>
      <c r="B25" s="69">
        <f>D12</f>
        <v>3.74</v>
      </c>
      <c r="C25" s="118" t="s">
        <v>380</v>
      </c>
      <c r="D25" s="62"/>
      <c r="E25" s="65"/>
      <c r="F25" s="63" t="s">
        <v>399</v>
      </c>
      <c r="G25" s="69">
        <f>I12</f>
        <v>3.74</v>
      </c>
      <c r="H25" s="118" t="s">
        <v>380</v>
      </c>
      <c r="I25" s="62"/>
      <c r="J25" s="65"/>
      <c r="K25" s="63" t="s">
        <v>399</v>
      </c>
      <c r="L25" s="69">
        <f>N12</f>
        <v>3.74</v>
      </c>
      <c r="M25" s="118" t="s">
        <v>380</v>
      </c>
      <c r="N25" s="62"/>
      <c r="O25" s="65"/>
      <c r="P25" s="63" t="s">
        <v>399</v>
      </c>
      <c r="Q25" s="69">
        <f>S12</f>
        <v>3.74</v>
      </c>
      <c r="R25" s="118" t="s">
        <v>380</v>
      </c>
      <c r="S25" s="62"/>
      <c r="T25" s="65"/>
    </row>
    <row r="26" spans="1:20" x14ac:dyDescent="0.3">
      <c r="A26" s="443" t="s">
        <v>400</v>
      </c>
      <c r="B26" s="444"/>
      <c r="C26" s="444"/>
      <c r="D26" s="62"/>
      <c r="E26" s="65"/>
      <c r="F26" s="443" t="s">
        <v>400</v>
      </c>
      <c r="G26" s="444"/>
      <c r="H26" s="444"/>
      <c r="I26" s="62"/>
      <c r="J26" s="65"/>
      <c r="K26" s="443" t="s">
        <v>400</v>
      </c>
      <c r="L26" s="444"/>
      <c r="M26" s="444"/>
      <c r="N26" s="62"/>
      <c r="O26" s="65"/>
      <c r="P26" s="443" t="s">
        <v>400</v>
      </c>
      <c r="Q26" s="444"/>
      <c r="R26" s="444"/>
      <c r="S26" s="62"/>
      <c r="T26" s="65"/>
    </row>
    <row r="27" spans="1:20" x14ac:dyDescent="0.3">
      <c r="A27" s="112" t="s">
        <v>401</v>
      </c>
      <c r="B27" s="438" t="s">
        <v>402</v>
      </c>
      <c r="C27" s="438"/>
      <c r="D27" s="438"/>
      <c r="E27" s="439"/>
      <c r="F27" s="112" t="s">
        <v>401</v>
      </c>
      <c r="G27" s="438" t="s">
        <v>402</v>
      </c>
      <c r="H27" s="438"/>
      <c r="I27" s="438"/>
      <c r="J27" s="439"/>
      <c r="K27" s="112" t="s">
        <v>401</v>
      </c>
      <c r="L27" s="438" t="s">
        <v>402</v>
      </c>
      <c r="M27" s="438"/>
      <c r="N27" s="438"/>
      <c r="O27" s="439"/>
      <c r="P27" s="112" t="s">
        <v>401</v>
      </c>
      <c r="Q27" s="438" t="s">
        <v>402</v>
      </c>
      <c r="R27" s="438"/>
      <c r="S27" s="438"/>
      <c r="T27" s="439"/>
    </row>
    <row r="28" spans="1:20" x14ac:dyDescent="0.3">
      <c r="A28" s="63" t="s">
        <v>399</v>
      </c>
      <c r="B28" s="69">
        <f>D3*B17*B16</f>
        <v>9.4079999999999995</v>
      </c>
      <c r="C28" s="69" t="s">
        <v>30</v>
      </c>
      <c r="D28" s="62"/>
      <c r="E28" s="65"/>
      <c r="F28" s="63" t="s">
        <v>399</v>
      </c>
      <c r="G28" s="69">
        <f>I3*G17*G16</f>
        <v>6.2720000000000011</v>
      </c>
      <c r="H28" s="69" t="s">
        <v>30</v>
      </c>
      <c r="I28" s="62"/>
      <c r="J28" s="65"/>
      <c r="K28" s="63" t="s">
        <v>399</v>
      </c>
      <c r="L28" s="69">
        <f>N3*L17*L16</f>
        <v>9.4079999999999995</v>
      </c>
      <c r="M28" s="69" t="s">
        <v>30</v>
      </c>
      <c r="N28" s="62"/>
      <c r="O28" s="65"/>
      <c r="P28" s="63" t="s">
        <v>399</v>
      </c>
      <c r="Q28" s="69">
        <f>S3*Q17*Q16</f>
        <v>4.41</v>
      </c>
      <c r="R28" s="69" t="s">
        <v>30</v>
      </c>
      <c r="S28" s="62"/>
      <c r="T28" s="65"/>
    </row>
    <row r="29" spans="1:20" x14ac:dyDescent="0.3">
      <c r="A29" s="440" t="s">
        <v>403</v>
      </c>
      <c r="B29" s="441"/>
      <c r="C29" s="441"/>
      <c r="D29" s="441"/>
      <c r="E29" s="442"/>
      <c r="F29" s="440" t="s">
        <v>403</v>
      </c>
      <c r="G29" s="441"/>
      <c r="H29" s="441"/>
      <c r="I29" s="441"/>
      <c r="J29" s="442"/>
      <c r="K29" s="440" t="s">
        <v>403</v>
      </c>
      <c r="L29" s="441"/>
      <c r="M29" s="441"/>
      <c r="N29" s="441"/>
      <c r="O29" s="442"/>
      <c r="P29" s="440" t="s">
        <v>403</v>
      </c>
      <c r="Q29" s="441"/>
      <c r="R29" s="441"/>
      <c r="S29" s="441"/>
      <c r="T29" s="442"/>
    </row>
    <row r="30" spans="1:20" x14ac:dyDescent="0.3">
      <c r="A30" s="112" t="s">
        <v>404</v>
      </c>
      <c r="B30" s="69">
        <f>B22+B25</f>
        <v>6.0944000000000003</v>
      </c>
      <c r="C30" s="118" t="s">
        <v>380</v>
      </c>
      <c r="D30" s="62"/>
      <c r="E30" s="65"/>
      <c r="F30" s="112" t="s">
        <v>404</v>
      </c>
      <c r="G30" s="69">
        <f>G22+G25</f>
        <v>6.0944000000000003</v>
      </c>
      <c r="H30" s="118" t="s">
        <v>380</v>
      </c>
      <c r="I30" s="62"/>
      <c r="J30" s="65"/>
      <c r="K30" s="112" t="s">
        <v>404</v>
      </c>
      <c r="L30" s="69">
        <f>L22+L25</f>
        <v>6.0944000000000003</v>
      </c>
      <c r="M30" s="118" t="s">
        <v>380</v>
      </c>
      <c r="N30" s="62"/>
      <c r="O30" s="65"/>
      <c r="P30" s="112" t="s">
        <v>404</v>
      </c>
      <c r="Q30" s="69">
        <f>Q22+Q25</f>
        <v>6.0944000000000003</v>
      </c>
      <c r="R30" s="118" t="s">
        <v>380</v>
      </c>
      <c r="S30" s="62"/>
      <c r="T30" s="65"/>
    </row>
    <row r="31" spans="1:20" x14ac:dyDescent="0.3">
      <c r="A31" s="63"/>
      <c r="B31" s="62"/>
      <c r="C31" s="62"/>
      <c r="D31" s="62"/>
      <c r="E31" s="65"/>
      <c r="F31" s="63"/>
      <c r="G31" s="62"/>
      <c r="H31" s="62"/>
      <c r="I31" s="62"/>
      <c r="J31" s="65"/>
      <c r="K31" s="63"/>
      <c r="L31" s="62"/>
      <c r="M31" s="62"/>
      <c r="N31" s="62"/>
      <c r="O31" s="65"/>
      <c r="P31" s="63"/>
      <c r="Q31" s="62"/>
      <c r="R31" s="62"/>
      <c r="S31" s="62"/>
      <c r="T31" s="65"/>
    </row>
    <row r="32" spans="1:20" x14ac:dyDescent="0.3">
      <c r="A32" s="63"/>
      <c r="B32" s="62"/>
      <c r="C32" s="62"/>
      <c r="D32" s="62"/>
      <c r="E32" s="65"/>
      <c r="F32" s="63"/>
      <c r="G32" s="62"/>
      <c r="H32" s="62"/>
      <c r="I32" s="62"/>
      <c r="J32" s="65"/>
      <c r="K32" s="63"/>
      <c r="L32" s="62"/>
      <c r="M32" s="62"/>
      <c r="N32" s="62"/>
      <c r="O32" s="65"/>
      <c r="P32" s="63"/>
      <c r="Q32" s="62"/>
      <c r="R32" s="62"/>
      <c r="S32" s="62"/>
      <c r="T32" s="65"/>
    </row>
    <row r="33" spans="1:20" x14ac:dyDescent="0.3">
      <c r="A33" s="435" t="s">
        <v>405</v>
      </c>
      <c r="B33" s="436"/>
      <c r="C33" s="436"/>
      <c r="D33" s="436"/>
      <c r="E33" s="437"/>
      <c r="F33" s="435" t="s">
        <v>405</v>
      </c>
      <c r="G33" s="436"/>
      <c r="H33" s="436"/>
      <c r="I33" s="436"/>
      <c r="J33" s="437"/>
      <c r="K33" s="435" t="s">
        <v>405</v>
      </c>
      <c r="L33" s="436"/>
      <c r="M33" s="436"/>
      <c r="N33" s="436"/>
      <c r="O33" s="437"/>
      <c r="P33" s="435" t="s">
        <v>405</v>
      </c>
      <c r="Q33" s="436"/>
      <c r="R33" s="436"/>
      <c r="S33" s="436"/>
      <c r="T33" s="437"/>
    </row>
    <row r="34" spans="1:20" x14ac:dyDescent="0.3">
      <c r="A34" s="63"/>
      <c r="B34" s="62"/>
      <c r="C34" s="62"/>
      <c r="D34" s="62"/>
      <c r="E34" s="65"/>
      <c r="F34" s="63"/>
      <c r="G34" s="62"/>
      <c r="H34" s="62"/>
      <c r="I34" s="62"/>
      <c r="J34" s="65"/>
      <c r="K34" s="63"/>
      <c r="L34" s="62"/>
      <c r="M34" s="62"/>
      <c r="N34" s="62"/>
      <c r="O34" s="65"/>
      <c r="P34" s="63"/>
      <c r="Q34" s="62"/>
      <c r="R34" s="62"/>
      <c r="S34" s="62"/>
      <c r="T34" s="65"/>
    </row>
    <row r="35" spans="1:20" x14ac:dyDescent="0.3">
      <c r="A35" s="91" t="s">
        <v>406</v>
      </c>
      <c r="B35" s="87" t="s">
        <v>407</v>
      </c>
      <c r="C35" s="62"/>
      <c r="D35" s="62"/>
      <c r="E35" s="65"/>
      <c r="F35" s="91" t="s">
        <v>406</v>
      </c>
      <c r="G35" s="87" t="s">
        <v>407</v>
      </c>
      <c r="H35" s="62"/>
      <c r="I35" s="62"/>
      <c r="J35" s="65"/>
      <c r="K35" s="91" t="s">
        <v>406</v>
      </c>
      <c r="L35" s="87" t="s">
        <v>407</v>
      </c>
      <c r="M35" s="62"/>
      <c r="N35" s="62"/>
      <c r="O35" s="65"/>
      <c r="P35" s="91" t="s">
        <v>406</v>
      </c>
      <c r="Q35" s="87" t="s">
        <v>407</v>
      </c>
      <c r="R35" s="62"/>
      <c r="S35" s="62"/>
      <c r="T35" s="65"/>
    </row>
    <row r="36" spans="1:20" x14ac:dyDescent="0.3">
      <c r="A36" s="80" t="s">
        <v>32</v>
      </c>
      <c r="B36" s="128">
        <f>(B14/2)+(B15/2)</f>
        <v>2</v>
      </c>
      <c r="C36" s="62"/>
      <c r="D36" s="62"/>
      <c r="E36" s="65"/>
      <c r="F36" s="80" t="s">
        <v>32</v>
      </c>
      <c r="G36" s="128">
        <f>(G14/2)+(G15/2)</f>
        <v>3</v>
      </c>
      <c r="H36" s="62"/>
      <c r="I36" s="62"/>
      <c r="J36" s="65"/>
      <c r="K36" s="80" t="s">
        <v>32</v>
      </c>
      <c r="L36" s="128">
        <f>(L14/2)+(L15)</f>
        <v>3</v>
      </c>
      <c r="M36" s="62"/>
      <c r="N36" s="62"/>
      <c r="O36" s="65"/>
      <c r="P36" s="80" t="s">
        <v>32</v>
      </c>
      <c r="Q36" s="128">
        <f>(Q14/2)+(Q15)</f>
        <v>2</v>
      </c>
      <c r="R36" s="62"/>
      <c r="S36" s="62"/>
      <c r="T36" s="65"/>
    </row>
    <row r="37" spans="1:20" x14ac:dyDescent="0.3">
      <c r="A37" s="63"/>
      <c r="B37" s="62"/>
      <c r="C37" s="62"/>
      <c r="D37" s="62"/>
      <c r="E37" s="65"/>
      <c r="F37" s="63"/>
      <c r="G37" s="62"/>
      <c r="H37" s="62"/>
      <c r="I37" s="62"/>
      <c r="J37" s="65"/>
      <c r="K37" s="63"/>
      <c r="L37" s="62"/>
      <c r="M37" s="62"/>
      <c r="N37" s="62"/>
      <c r="O37" s="65"/>
      <c r="P37" s="63"/>
      <c r="Q37" s="62"/>
      <c r="R37" s="62"/>
      <c r="S37" s="62"/>
      <c r="T37" s="65"/>
    </row>
    <row r="38" spans="1:20" x14ac:dyDescent="0.3">
      <c r="A38" s="304" t="s">
        <v>408</v>
      </c>
      <c r="B38" s="92">
        <f>B28+B30</f>
        <v>15.5024</v>
      </c>
      <c r="C38" s="92" t="s">
        <v>30</v>
      </c>
      <c r="D38" s="62"/>
      <c r="E38" s="65"/>
      <c r="F38" s="304" t="s">
        <v>408</v>
      </c>
      <c r="G38" s="92">
        <f>G28+G30</f>
        <v>12.366400000000002</v>
      </c>
      <c r="H38" s="92" t="s">
        <v>30</v>
      </c>
      <c r="I38" s="62"/>
      <c r="J38" s="65"/>
      <c r="K38" s="304" t="s">
        <v>408</v>
      </c>
      <c r="L38" s="92">
        <f>L28+L30</f>
        <v>15.5024</v>
      </c>
      <c r="M38" s="92" t="s">
        <v>30</v>
      </c>
      <c r="N38" s="62"/>
      <c r="O38" s="65"/>
      <c r="P38" s="304" t="s">
        <v>408</v>
      </c>
      <c r="Q38" s="92">
        <f>Q28+Q30</f>
        <v>10.5044</v>
      </c>
      <c r="R38" s="92" t="s">
        <v>30</v>
      </c>
      <c r="S38" s="62"/>
      <c r="T38" s="65"/>
    </row>
    <row r="39" spans="1:20" x14ac:dyDescent="0.3">
      <c r="A39" s="306" t="s">
        <v>409</v>
      </c>
      <c r="B39" s="92">
        <f>B36*D4</f>
        <v>3.8</v>
      </c>
      <c r="C39" s="92" t="s">
        <v>30</v>
      </c>
      <c r="D39" s="62"/>
      <c r="E39" s="65"/>
      <c r="F39" s="306" t="s">
        <v>409</v>
      </c>
      <c r="G39" s="92">
        <f>G36*I4</f>
        <v>5.6999999999999993</v>
      </c>
      <c r="H39" s="92" t="s">
        <v>30</v>
      </c>
      <c r="I39" s="62"/>
      <c r="J39" s="65"/>
      <c r="K39" s="306" t="s">
        <v>409</v>
      </c>
      <c r="L39" s="92">
        <f>2*N4+(1*N5)</f>
        <v>6.6999999999999993</v>
      </c>
      <c r="M39" s="92" t="s">
        <v>30</v>
      </c>
      <c r="N39" s="62"/>
      <c r="O39" s="65"/>
      <c r="P39" s="306" t="s">
        <v>409</v>
      </c>
      <c r="Q39" s="92">
        <f>Q36*S4</f>
        <v>3.8</v>
      </c>
      <c r="R39" s="92" t="s">
        <v>30</v>
      </c>
      <c r="S39" s="62"/>
      <c r="T39" s="65"/>
    </row>
    <row r="40" spans="1:20" x14ac:dyDescent="0.3">
      <c r="A40" s="63"/>
      <c r="B40" s="62"/>
      <c r="C40" s="62"/>
      <c r="D40" s="62"/>
      <c r="E40" s="65"/>
      <c r="F40" s="63"/>
      <c r="G40" s="62"/>
      <c r="H40" s="62"/>
      <c r="I40" s="62"/>
      <c r="J40" s="65"/>
      <c r="K40" s="63"/>
      <c r="L40" s="62"/>
      <c r="M40" s="62"/>
      <c r="N40" s="62"/>
      <c r="O40" s="65"/>
      <c r="P40" s="63"/>
      <c r="Q40" s="62"/>
      <c r="R40" s="62"/>
      <c r="S40" s="62"/>
      <c r="T40" s="65"/>
    </row>
    <row r="41" spans="1:20" x14ac:dyDescent="0.3">
      <c r="A41" s="63"/>
      <c r="B41" s="62"/>
      <c r="C41" s="62"/>
      <c r="D41" s="62"/>
      <c r="E41" s="65"/>
      <c r="F41" s="112" t="s">
        <v>410</v>
      </c>
      <c r="G41" s="92"/>
      <c r="H41" s="92"/>
      <c r="I41" s="62"/>
      <c r="J41" s="65"/>
      <c r="K41" s="63"/>
      <c r="L41" s="62"/>
      <c r="M41" s="62"/>
      <c r="N41" s="62"/>
      <c r="O41" s="65"/>
      <c r="P41" s="63"/>
      <c r="Q41" s="62"/>
      <c r="R41" s="62"/>
      <c r="S41" s="62"/>
      <c r="T41" s="65"/>
    </row>
    <row r="42" spans="1:20" ht="15" thickBot="1" x14ac:dyDescent="0.35">
      <c r="A42" s="76"/>
      <c r="B42" s="78"/>
      <c r="C42" s="78"/>
      <c r="D42" s="78"/>
      <c r="E42" s="79"/>
      <c r="F42" s="305" t="s">
        <v>408</v>
      </c>
      <c r="G42" s="104">
        <f>G30</f>
        <v>6.0944000000000003</v>
      </c>
      <c r="H42" s="104" t="s">
        <v>30</v>
      </c>
      <c r="I42" s="78"/>
      <c r="J42" s="79"/>
      <c r="K42" s="76"/>
      <c r="L42" s="78"/>
      <c r="M42" s="78"/>
      <c r="N42" s="78"/>
      <c r="O42" s="79"/>
      <c r="P42" s="76"/>
      <c r="Q42" s="78"/>
      <c r="R42" s="78"/>
      <c r="S42" s="78"/>
      <c r="T42" s="79"/>
    </row>
  </sheetData>
  <mergeCells count="68">
    <mergeCell ref="A1:E1"/>
    <mergeCell ref="F1:J1"/>
    <mergeCell ref="K1:O1"/>
    <mergeCell ref="P1:T1"/>
    <mergeCell ref="A2:C2"/>
    <mergeCell ref="F2:H2"/>
    <mergeCell ref="K2:M2"/>
    <mergeCell ref="P2:R2"/>
    <mergeCell ref="A3:C3"/>
    <mergeCell ref="F3:H3"/>
    <mergeCell ref="K3:M3"/>
    <mergeCell ref="P3:R3"/>
    <mergeCell ref="A4:C4"/>
    <mergeCell ref="F4:H4"/>
    <mergeCell ref="K4:M4"/>
    <mergeCell ref="P4:R4"/>
    <mergeCell ref="A6:C6"/>
    <mergeCell ref="F6:H6"/>
    <mergeCell ref="K6:M6"/>
    <mergeCell ref="P6:R6"/>
    <mergeCell ref="A7:C7"/>
    <mergeCell ref="F7:H7"/>
    <mergeCell ref="K7:M7"/>
    <mergeCell ref="P7:R7"/>
    <mergeCell ref="A8:C8"/>
    <mergeCell ref="F8:H8"/>
    <mergeCell ref="K8:M8"/>
    <mergeCell ref="P8:R8"/>
    <mergeCell ref="A9:C9"/>
    <mergeCell ref="F9:H9"/>
    <mergeCell ref="K9:M9"/>
    <mergeCell ref="P9:R9"/>
    <mergeCell ref="A10:C11"/>
    <mergeCell ref="F10:H11"/>
    <mergeCell ref="K10:M11"/>
    <mergeCell ref="P10:R11"/>
    <mergeCell ref="A12:B12"/>
    <mergeCell ref="F12:G12"/>
    <mergeCell ref="K12:L12"/>
    <mergeCell ref="P12:Q12"/>
    <mergeCell ref="A20:B20"/>
    <mergeCell ref="F20:G20"/>
    <mergeCell ref="K20:L20"/>
    <mergeCell ref="P20:Q20"/>
    <mergeCell ref="B21:D21"/>
    <mergeCell ref="G21:I21"/>
    <mergeCell ref="L21:N21"/>
    <mergeCell ref="Q21:S21"/>
    <mergeCell ref="A23:C23"/>
    <mergeCell ref="F23:H23"/>
    <mergeCell ref="K23:M23"/>
    <mergeCell ref="P23:R23"/>
    <mergeCell ref="A26:C26"/>
    <mergeCell ref="F26:H26"/>
    <mergeCell ref="K26:M26"/>
    <mergeCell ref="P26:R26"/>
    <mergeCell ref="A33:E33"/>
    <mergeCell ref="F33:J33"/>
    <mergeCell ref="K33:O33"/>
    <mergeCell ref="P33:T33"/>
    <mergeCell ref="B27:E27"/>
    <mergeCell ref="G27:J27"/>
    <mergeCell ref="L27:O27"/>
    <mergeCell ref="Q27:T27"/>
    <mergeCell ref="A29:E29"/>
    <mergeCell ref="F29:J29"/>
    <mergeCell ref="K29:O29"/>
    <mergeCell ref="P29:T29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65" orientation="landscape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36"/>
  <sheetViews>
    <sheetView workbookViewId="0">
      <selection activeCell="H3" sqref="H3"/>
    </sheetView>
  </sheetViews>
  <sheetFormatPr defaultRowHeight="14.4" x14ac:dyDescent="0.3"/>
  <cols>
    <col min="1" max="1" width="15.6640625" customWidth="1"/>
    <col min="3" max="3" width="15.44140625" customWidth="1"/>
    <col min="4" max="4" width="13.6640625" customWidth="1"/>
    <col min="5" max="5" width="15.109375" customWidth="1"/>
    <col min="6" max="7" width="16.109375" customWidth="1"/>
    <col min="8" max="8" width="13.33203125" customWidth="1"/>
    <col min="9" max="9" width="14" customWidth="1"/>
    <col min="10" max="10" width="18.5546875" customWidth="1"/>
    <col min="12" max="12" width="16.6640625" customWidth="1"/>
    <col min="13" max="13" width="12.33203125" customWidth="1"/>
    <col min="14" max="14" width="15.109375" customWidth="1"/>
  </cols>
  <sheetData>
    <row r="1" spans="1:7" x14ac:dyDescent="0.3">
      <c r="A1" s="632" t="s">
        <v>618</v>
      </c>
      <c r="B1" s="632"/>
      <c r="C1" s="632"/>
      <c r="D1" s="632"/>
      <c r="E1" s="632"/>
      <c r="F1" s="632"/>
      <c r="G1" s="632"/>
    </row>
    <row r="2" spans="1:7" x14ac:dyDescent="0.3">
      <c r="A2" s="389"/>
      <c r="B2" s="389"/>
      <c r="C2" s="389"/>
      <c r="D2" s="389"/>
      <c r="E2" s="389"/>
      <c r="F2" s="389"/>
      <c r="G2" s="389"/>
    </row>
    <row r="3" spans="1:7" x14ac:dyDescent="0.3">
      <c r="A3" s="450" t="s">
        <v>593</v>
      </c>
      <c r="B3" s="451"/>
      <c r="C3" s="451"/>
      <c r="D3" s="451"/>
      <c r="E3" s="452"/>
    </row>
    <row r="4" spans="1:7" x14ac:dyDescent="0.3">
      <c r="A4" s="377" t="s">
        <v>346</v>
      </c>
      <c r="B4" s="377" t="s">
        <v>15</v>
      </c>
      <c r="C4" s="377"/>
      <c r="D4" s="377" t="s">
        <v>591</v>
      </c>
      <c r="E4" s="377"/>
    </row>
    <row r="5" spans="1:7" x14ac:dyDescent="0.3">
      <c r="A5" s="377"/>
      <c r="B5" s="377" t="s">
        <v>13</v>
      </c>
      <c r="C5" s="377" t="s">
        <v>14</v>
      </c>
      <c r="D5" s="377" t="s">
        <v>13</v>
      </c>
      <c r="E5" s="377" t="s">
        <v>14</v>
      </c>
    </row>
    <row r="6" spans="1:7" x14ac:dyDescent="0.3">
      <c r="A6" s="378" t="s">
        <v>363</v>
      </c>
      <c r="B6" s="378">
        <f>'jm grasp 1'!B53</f>
        <v>-8.2542000000000009</v>
      </c>
      <c r="C6" s="378">
        <f>'jm grasp 1'!C52</f>
        <v>5.23</v>
      </c>
      <c r="D6" s="378">
        <f>'jm grasp 1'!K53</f>
        <v>-2.0657999999999999</v>
      </c>
      <c r="E6" s="378">
        <f>'jm grasp 1'!L53</f>
        <v>1.4269000000000001</v>
      </c>
    </row>
    <row r="7" spans="1:7" x14ac:dyDescent="0.3">
      <c r="A7" s="378" t="s">
        <v>590</v>
      </c>
      <c r="B7" s="378">
        <f>'jm grasp 1'!B51</f>
        <v>-7.6352000000000002</v>
      </c>
      <c r="C7" s="378">
        <f>'jm grasp 1'!C51</f>
        <v>4.6097999999999999</v>
      </c>
      <c r="D7" s="378">
        <f>'jm grasp 1'!K50</f>
        <v>-1.7233000000000001</v>
      </c>
      <c r="E7" s="378">
        <f>'jm grasp 1'!L50</f>
        <v>1.43</v>
      </c>
    </row>
    <row r="8" spans="1:7" x14ac:dyDescent="0.3">
      <c r="A8" s="378" t="s">
        <v>292</v>
      </c>
      <c r="B8" s="378">
        <f>'jm grasp 1'!B49</f>
        <v>-4.9466000000000001</v>
      </c>
      <c r="C8" s="378">
        <f>'jm grasp 1'!C49</f>
        <v>2.7726000000000002</v>
      </c>
      <c r="D8" s="378">
        <f>'jm grasp 1'!K49</f>
        <v>-1.6535</v>
      </c>
      <c r="E8" s="378">
        <f>'jm grasp 1'!L49</f>
        <v>1.3363</v>
      </c>
    </row>
    <row r="10" spans="1:7" x14ac:dyDescent="0.3">
      <c r="A10" s="377" t="s">
        <v>353</v>
      </c>
      <c r="B10" s="377" t="s">
        <v>15</v>
      </c>
      <c r="C10" s="377"/>
      <c r="D10" s="377" t="s">
        <v>591</v>
      </c>
      <c r="E10" s="377"/>
    </row>
    <row r="11" spans="1:7" x14ac:dyDescent="0.3">
      <c r="A11" s="377"/>
      <c r="B11" s="377" t="s">
        <v>13</v>
      </c>
      <c r="C11" s="377" t="s">
        <v>14</v>
      </c>
      <c r="D11" s="377" t="s">
        <v>13</v>
      </c>
      <c r="E11" s="377" t="s">
        <v>14</v>
      </c>
    </row>
    <row r="12" spans="1:7" x14ac:dyDescent="0.3">
      <c r="A12" s="378" t="s">
        <v>363</v>
      </c>
      <c r="B12" s="378">
        <f>'jm grasp 1'!B32</f>
        <v>-2.9453</v>
      </c>
      <c r="C12" s="378">
        <f>'jm grasp 1'!C32</f>
        <v>2.0724</v>
      </c>
      <c r="D12" s="378">
        <f>'jm grasp 1'!M31</f>
        <v>-3.4708000000000001</v>
      </c>
      <c r="E12" s="378">
        <f>'jm grasp 1'!L32</f>
        <v>2.1404000000000001</v>
      </c>
    </row>
    <row r="13" spans="1:7" x14ac:dyDescent="0.3">
      <c r="A13" s="378" t="s">
        <v>590</v>
      </c>
      <c r="B13" s="378">
        <f>'jm grasp 1'!B30</f>
        <v>-6.6627999999999998</v>
      </c>
      <c r="C13" s="378">
        <f>'jm grasp 1'!C30</f>
        <v>3.8363999999999998</v>
      </c>
      <c r="D13" s="378">
        <f>'jm grasp 1'!K29</f>
        <v>-2.5849000000000002</v>
      </c>
      <c r="E13" s="378">
        <f>'jm grasp 1'!L29</f>
        <v>2.145</v>
      </c>
    </row>
    <row r="14" spans="1:7" x14ac:dyDescent="0.3">
      <c r="A14" s="378" t="s">
        <v>292</v>
      </c>
      <c r="B14" s="378">
        <f>'jm grasp 1'!B28</f>
        <v>-5.1201999999999996</v>
      </c>
      <c r="C14" s="378">
        <f>'jm grasp 1'!C28</f>
        <v>2.7692999999999999</v>
      </c>
      <c r="D14" s="378">
        <f>'jm grasp 1'!K28</f>
        <v>-2.4803000000000002</v>
      </c>
      <c r="E14" s="378">
        <f>'jm grasp 1'!L28</f>
        <v>2.0044</v>
      </c>
    </row>
    <row r="16" spans="1:7" x14ac:dyDescent="0.3">
      <c r="A16" s="377" t="s">
        <v>354</v>
      </c>
      <c r="B16" s="377" t="s">
        <v>15</v>
      </c>
      <c r="C16" s="377"/>
      <c r="D16" s="377" t="s">
        <v>591</v>
      </c>
      <c r="E16" s="377"/>
    </row>
    <row r="17" spans="1:7" x14ac:dyDescent="0.3">
      <c r="A17" s="377"/>
      <c r="B17" s="377" t="s">
        <v>13</v>
      </c>
      <c r="C17" s="377" t="s">
        <v>14</v>
      </c>
      <c r="D17" s="377" t="s">
        <v>13</v>
      </c>
      <c r="E17" s="377" t="s">
        <v>14</v>
      </c>
    </row>
    <row r="18" spans="1:7" x14ac:dyDescent="0.3">
      <c r="A18" s="378" t="s">
        <v>363</v>
      </c>
      <c r="B18" s="378">
        <f>'jm grasp 1'!B11</f>
        <v>-5.4526000000000003</v>
      </c>
      <c r="C18" s="378">
        <f>'jm grasp 1'!C11</f>
        <v>3.5891000000000002</v>
      </c>
      <c r="D18" s="378">
        <f>'jm grasp 1'!K11</f>
        <v>-3.5341</v>
      </c>
      <c r="E18" s="378">
        <f>'jm grasp 1'!L10</f>
        <v>2.1831</v>
      </c>
    </row>
    <row r="19" spans="1:7" x14ac:dyDescent="0.3">
      <c r="A19" s="378" t="s">
        <v>590</v>
      </c>
      <c r="B19" s="378">
        <f>'jm grasp 1'!B9</f>
        <v>-8.1911000000000005</v>
      </c>
      <c r="C19" s="378">
        <f>'jm grasp 1'!C9</f>
        <v>4.7831999999999999</v>
      </c>
      <c r="D19" s="378">
        <f>'jm grasp 1'!M9</f>
        <v>-2.9239999999999999</v>
      </c>
      <c r="E19" s="378">
        <f>'jm grasp 1'!L9</f>
        <v>2.5072000000000001</v>
      </c>
    </row>
    <row r="20" spans="1:7" x14ac:dyDescent="0.3">
      <c r="A20" s="378" t="s">
        <v>292</v>
      </c>
      <c r="B20" s="378">
        <f>'jm grasp 1'!D6</f>
        <v>-4.9889000000000001</v>
      </c>
      <c r="C20" s="378">
        <f>'jm grasp 1'!C7</f>
        <v>2.7606000000000002</v>
      </c>
      <c r="D20" s="378">
        <f>'jm grasp 1'!K6</f>
        <v>-1.6734</v>
      </c>
      <c r="E20" s="378">
        <f>'jm grasp 1'!L6</f>
        <v>1.3621000000000001</v>
      </c>
    </row>
    <row r="22" spans="1:7" x14ac:dyDescent="0.3">
      <c r="A22" s="453" t="s">
        <v>592</v>
      </c>
      <c r="B22" s="453"/>
      <c r="C22" s="453"/>
      <c r="E22" s="450" t="s">
        <v>594</v>
      </c>
      <c r="F22" s="451"/>
      <c r="G22" s="452"/>
    </row>
    <row r="23" spans="1:7" x14ac:dyDescent="0.3">
      <c r="A23" s="377" t="s">
        <v>346</v>
      </c>
      <c r="B23" s="377" t="s">
        <v>15</v>
      </c>
      <c r="C23" s="377" t="s">
        <v>591</v>
      </c>
      <c r="E23" s="377" t="s">
        <v>346</v>
      </c>
      <c r="F23" s="377" t="s">
        <v>15</v>
      </c>
      <c r="G23" s="377" t="s">
        <v>591</v>
      </c>
    </row>
    <row r="24" spans="1:7" x14ac:dyDescent="0.3">
      <c r="A24" s="378" t="s">
        <v>363</v>
      </c>
      <c r="B24" s="378">
        <f>'jm grasp 1'!$E$32</f>
        <v>7.8266999999999998</v>
      </c>
      <c r="C24" s="378">
        <f>'jm grasp 1'!$N$32</f>
        <v>7.7290000000000001</v>
      </c>
      <c r="E24" s="378"/>
      <c r="F24" s="378">
        <f>'jm grasp 1'!H57</f>
        <v>-102.9038</v>
      </c>
      <c r="G24" s="378">
        <f>'jm grasp 1'!Q57</f>
        <v>-19.853200000000001</v>
      </c>
    </row>
    <row r="25" spans="1:7" x14ac:dyDescent="0.3">
      <c r="A25" s="378" t="s">
        <v>590</v>
      </c>
      <c r="B25" s="378">
        <f>'jm grasp 1'!$E$30</f>
        <v>16.1493</v>
      </c>
      <c r="C25" s="378">
        <f>'jm grasp 1'!$N$29</f>
        <v>7.3464999999999998</v>
      </c>
      <c r="E25" s="377" t="s">
        <v>353</v>
      </c>
      <c r="F25" s="377" t="s">
        <v>15</v>
      </c>
      <c r="G25" s="377" t="s">
        <v>591</v>
      </c>
    </row>
    <row r="26" spans="1:7" x14ac:dyDescent="0.3">
      <c r="A26" s="378" t="s">
        <v>292</v>
      </c>
      <c r="B26" s="378">
        <f>'jm grasp 1'!$E$28</f>
        <v>12.1928</v>
      </c>
      <c r="C26" s="378">
        <f>'jm grasp 1'!$N$28</f>
        <v>7.1502999999999997</v>
      </c>
      <c r="E26" s="378"/>
      <c r="F26" s="378">
        <f>'jm grasp 1'!H36</f>
        <v>-72.337800000000001</v>
      </c>
      <c r="G26" s="378">
        <f>'jm grasp 1'!Q36</f>
        <v>-29.779800000000002</v>
      </c>
    </row>
    <row r="27" spans="1:7" x14ac:dyDescent="0.3">
      <c r="E27" s="377" t="s">
        <v>354</v>
      </c>
      <c r="F27" s="377" t="s">
        <v>15</v>
      </c>
      <c r="G27" s="377" t="s">
        <v>591</v>
      </c>
    </row>
    <row r="28" spans="1:7" x14ac:dyDescent="0.3">
      <c r="A28" s="377" t="s">
        <v>353</v>
      </c>
      <c r="B28" s="377" t="s">
        <v>15</v>
      </c>
      <c r="C28" s="377" t="s">
        <v>591</v>
      </c>
      <c r="E28" s="378"/>
      <c r="F28" s="378">
        <f>'jm grasp 1'!H15</f>
        <v>-91.898300000000006</v>
      </c>
      <c r="G28" s="378">
        <f>'jm grasp 1'!Q15</f>
        <v>-28.8367</v>
      </c>
    </row>
    <row r="29" spans="1:7" x14ac:dyDescent="0.3">
      <c r="A29" s="378" t="s">
        <v>363</v>
      </c>
      <c r="B29" s="378">
        <f>'jm grasp 1'!E32</f>
        <v>7.8266999999999998</v>
      </c>
      <c r="C29" s="378">
        <f>'jm grasp 1'!O31</f>
        <v>-7.8116000000000003</v>
      </c>
    </row>
    <row r="30" spans="1:7" x14ac:dyDescent="0.3">
      <c r="A30" s="378" t="s">
        <v>590</v>
      </c>
      <c r="B30" s="378">
        <f>'jm grasp 1'!E30</f>
        <v>16.1493</v>
      </c>
      <c r="C30" s="378">
        <f>'jm grasp 1'!N29</f>
        <v>7.3464999999999998</v>
      </c>
    </row>
    <row r="31" spans="1:7" x14ac:dyDescent="0.3">
      <c r="A31" s="378" t="s">
        <v>292</v>
      </c>
      <c r="B31" s="378">
        <f>'jm grasp 1'!E28</f>
        <v>12.1928</v>
      </c>
      <c r="C31" s="378">
        <f>'jm grasp 1'!N28</f>
        <v>7.1502999999999997</v>
      </c>
    </row>
    <row r="33" spans="1:3" x14ac:dyDescent="0.3">
      <c r="A33" s="377" t="s">
        <v>354</v>
      </c>
      <c r="B33" s="377" t="s">
        <v>15</v>
      </c>
      <c r="C33" s="377" t="s">
        <v>591</v>
      </c>
    </row>
    <row r="34" spans="1:3" x14ac:dyDescent="0.3">
      <c r="A34" s="378" t="s">
        <v>363</v>
      </c>
      <c r="B34" s="378">
        <f>'jm grasp 1'!E11</f>
        <v>13.801399999999999</v>
      </c>
      <c r="C34" s="378">
        <f>'jm grasp 1'!N11</f>
        <v>7.9347000000000003</v>
      </c>
    </row>
    <row r="35" spans="1:3" x14ac:dyDescent="0.3">
      <c r="A35" s="378" t="s">
        <v>590</v>
      </c>
      <c r="B35" s="378">
        <f>'jm grasp 1'!E9</f>
        <v>20.0669</v>
      </c>
      <c r="C35" s="378">
        <f>'jm grasp 1'!N9</f>
        <v>8.2175999999999991</v>
      </c>
    </row>
    <row r="36" spans="1:3" x14ac:dyDescent="0.3">
      <c r="A36" s="378" t="s">
        <v>292</v>
      </c>
      <c r="B36" s="378">
        <f>'jm grasp 1'!E7</f>
        <v>12.0808</v>
      </c>
      <c r="C36" s="378">
        <f>'jm grasp 1'!N6</f>
        <v>4.8033999999999999</v>
      </c>
    </row>
  </sheetData>
  <mergeCells count="4">
    <mergeCell ref="A1:G1"/>
    <mergeCell ref="A3:E3"/>
    <mergeCell ref="E22:G22"/>
    <mergeCell ref="A22:C22"/>
  </mergeCells>
  <pageMargins left="0.7" right="0.7" top="0.75" bottom="0.75" header="0.3" footer="0.3"/>
  <pageSetup scale="89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S74"/>
  <sheetViews>
    <sheetView showGridLines="0" view="pageBreakPreview" zoomScale="60" zoomScaleNormal="55" zoomScaleSheetLayoutView="85" zoomScalePageLayoutView="55" workbookViewId="0">
      <selection activeCell="G1" sqref="G1:K1"/>
    </sheetView>
  </sheetViews>
  <sheetFormatPr defaultColWidth="8.88671875" defaultRowHeight="13.8" x14ac:dyDescent="0.25"/>
  <cols>
    <col min="1" max="1" width="8.88671875" style="62"/>
    <col min="2" max="2" width="23.6640625" style="62" bestFit="1" customWidth="1"/>
    <col min="3" max="3" width="7" style="62" bestFit="1" customWidth="1"/>
    <col min="4" max="4" width="8.88671875" style="62"/>
    <col min="5" max="5" width="8.88671875" style="62" customWidth="1"/>
    <col min="6" max="6" width="3.5546875" style="62" customWidth="1"/>
    <col min="7" max="7" width="8.88671875" style="62"/>
    <col min="8" max="8" width="23.6640625" style="62" bestFit="1" customWidth="1"/>
    <col min="9" max="9" width="1.33203125" style="62" customWidth="1"/>
    <col min="10" max="11" width="8.88671875" style="62"/>
    <col min="12" max="12" width="4.109375" style="62" customWidth="1"/>
    <col min="13" max="13" width="14.44140625" style="69" bestFit="1" customWidth="1"/>
    <col min="14" max="14" width="9.88671875" style="62" customWidth="1"/>
    <col min="15" max="15" width="6.6640625" style="62" bestFit="1" customWidth="1"/>
    <col min="16" max="16" width="3.44140625" style="62" customWidth="1"/>
    <col min="17" max="17" width="14.33203125" style="62" bestFit="1" customWidth="1"/>
    <col min="18" max="18" width="7.6640625" style="62" bestFit="1" customWidth="1"/>
    <col min="19" max="19" width="6.88671875" style="62" customWidth="1"/>
    <col min="20" max="20" width="4.109375" style="62" customWidth="1"/>
    <col min="21" max="21" width="21" style="62" bestFit="1" customWidth="1"/>
    <col min="22" max="24" width="8.88671875" style="62"/>
    <col min="25" max="25" width="21" style="62" bestFit="1" customWidth="1"/>
    <col min="26" max="28" width="8.88671875" style="62"/>
    <col min="29" max="29" width="21" style="62" bestFit="1" customWidth="1"/>
    <col min="30" max="32" width="8.88671875" style="62"/>
    <col min="33" max="33" width="21.5546875" style="62" bestFit="1" customWidth="1"/>
    <col min="34" max="16384" width="8.88671875" style="62"/>
  </cols>
  <sheetData>
    <row r="1" spans="1:19" ht="19.2" thickBot="1" x14ac:dyDescent="0.35">
      <c r="A1" s="463" t="s">
        <v>565</v>
      </c>
      <c r="B1" s="464"/>
      <c r="C1" s="464"/>
      <c r="D1" s="464"/>
      <c r="E1" s="465"/>
      <c r="G1" s="463" t="s">
        <v>566</v>
      </c>
      <c r="H1" s="464"/>
      <c r="I1" s="464"/>
      <c r="J1" s="464"/>
      <c r="K1" s="465"/>
      <c r="M1" s="454" t="s">
        <v>268</v>
      </c>
      <c r="N1" s="455"/>
      <c r="O1" s="456"/>
      <c r="Q1" s="454" t="s">
        <v>267</v>
      </c>
      <c r="R1" s="455"/>
      <c r="S1" s="456"/>
    </row>
    <row r="2" spans="1:19" ht="14.4" thickBot="1" x14ac:dyDescent="0.3">
      <c r="A2" s="460" t="s">
        <v>169</v>
      </c>
      <c r="B2" s="461"/>
      <c r="C2" s="461"/>
      <c r="D2" s="461"/>
      <c r="E2" s="462"/>
      <c r="G2" s="460" t="s">
        <v>170</v>
      </c>
      <c r="H2" s="461"/>
      <c r="I2" s="461"/>
      <c r="J2" s="461"/>
      <c r="K2" s="462"/>
      <c r="M2" s="308" t="s">
        <v>9</v>
      </c>
      <c r="N2" s="307"/>
      <c r="O2" s="309"/>
      <c r="Q2" s="306" t="s">
        <v>9</v>
      </c>
      <c r="R2" s="307"/>
      <c r="S2" s="309"/>
    </row>
    <row r="3" spans="1:19" x14ac:dyDescent="0.25">
      <c r="A3" s="63" t="s">
        <v>171</v>
      </c>
      <c r="D3" s="64">
        <v>23.544</v>
      </c>
      <c r="E3" s="65" t="s">
        <v>172</v>
      </c>
      <c r="G3" s="63" t="s">
        <v>171</v>
      </c>
      <c r="J3" s="64">
        <v>23.544</v>
      </c>
      <c r="K3" s="65" t="s">
        <v>172</v>
      </c>
      <c r="M3" s="68" t="s">
        <v>189</v>
      </c>
      <c r="N3" s="93">
        <f>D17</f>
        <v>7.6180000000000003</v>
      </c>
      <c r="O3" s="102" t="s">
        <v>180</v>
      </c>
      <c r="Q3" s="63" t="s">
        <v>189</v>
      </c>
      <c r="R3" s="106">
        <f>D59</f>
        <v>7.6180000000000003</v>
      </c>
      <c r="S3" s="65" t="s">
        <v>180</v>
      </c>
    </row>
    <row r="4" spans="1:19" x14ac:dyDescent="0.25">
      <c r="A4" s="63" t="s">
        <v>173</v>
      </c>
      <c r="D4" s="66">
        <v>100</v>
      </c>
      <c r="E4" s="65" t="s">
        <v>43</v>
      </c>
      <c r="G4" s="63" t="s">
        <v>173</v>
      </c>
      <c r="J4" s="66">
        <v>100</v>
      </c>
      <c r="K4" s="65" t="s">
        <v>43</v>
      </c>
      <c r="M4" s="68"/>
      <c r="O4" s="65"/>
      <c r="Q4" s="63"/>
      <c r="S4" s="65"/>
    </row>
    <row r="5" spans="1:19" x14ac:dyDescent="0.25">
      <c r="A5" s="63" t="s">
        <v>174</v>
      </c>
      <c r="D5" s="66">
        <v>4</v>
      </c>
      <c r="E5" s="65" t="s">
        <v>74</v>
      </c>
      <c r="G5" s="63" t="s">
        <v>174</v>
      </c>
      <c r="J5" s="66">
        <v>2.5</v>
      </c>
      <c r="K5" s="65" t="s">
        <v>74</v>
      </c>
      <c r="M5" s="68" t="s">
        <v>193</v>
      </c>
      <c r="N5" s="92">
        <v>8.6950000000000003</v>
      </c>
      <c r="O5" s="102" t="s">
        <v>180</v>
      </c>
      <c r="Q5" s="63" t="s">
        <v>258</v>
      </c>
      <c r="R5" s="92">
        <f>C69</f>
        <v>9.4079999999999995</v>
      </c>
      <c r="S5" s="102" t="s">
        <v>180</v>
      </c>
    </row>
    <row r="6" spans="1:19" x14ac:dyDescent="0.25">
      <c r="A6" s="63" t="s">
        <v>175</v>
      </c>
      <c r="D6" s="66">
        <v>2.5</v>
      </c>
      <c r="E6" s="65" t="s">
        <v>74</v>
      </c>
      <c r="G6" s="63" t="s">
        <v>175</v>
      </c>
      <c r="J6" s="66">
        <v>2</v>
      </c>
      <c r="K6" s="65" t="s">
        <v>74</v>
      </c>
      <c r="M6" s="68"/>
      <c r="O6" s="65"/>
      <c r="Q6" s="63"/>
      <c r="S6" s="65"/>
    </row>
    <row r="7" spans="1:19" x14ac:dyDescent="0.25">
      <c r="A7" s="63"/>
      <c r="D7" s="67"/>
      <c r="E7" s="65"/>
      <c r="G7" s="63"/>
      <c r="J7" s="67"/>
      <c r="K7" s="65"/>
      <c r="M7" s="68" t="s">
        <v>258</v>
      </c>
      <c r="N7" s="92">
        <f>C69</f>
        <v>9.4079999999999995</v>
      </c>
      <c r="O7" s="102" t="s">
        <v>180</v>
      </c>
      <c r="Q7" s="306" t="s">
        <v>10</v>
      </c>
      <c r="R7" s="307"/>
      <c r="S7" s="309"/>
    </row>
    <row r="8" spans="1:19" x14ac:dyDescent="0.25">
      <c r="A8" s="68" t="s">
        <v>81</v>
      </c>
      <c r="B8" s="69"/>
      <c r="C8" s="69"/>
      <c r="D8" s="66">
        <v>1.5</v>
      </c>
      <c r="E8" s="65" t="s">
        <v>91</v>
      </c>
      <c r="G8" s="68" t="s">
        <v>81</v>
      </c>
      <c r="H8" s="69"/>
      <c r="I8" s="69"/>
      <c r="J8" s="66">
        <v>1.5</v>
      </c>
      <c r="K8" s="65" t="s">
        <v>91</v>
      </c>
      <c r="M8" s="68"/>
      <c r="O8" s="65"/>
      <c r="Q8" s="63" t="s">
        <v>189</v>
      </c>
      <c r="R8" s="93">
        <f>D62</f>
        <v>3.625</v>
      </c>
      <c r="S8" s="102" t="s">
        <v>180</v>
      </c>
    </row>
    <row r="9" spans="1:19" x14ac:dyDescent="0.25">
      <c r="A9" s="68" t="s">
        <v>82</v>
      </c>
      <c r="B9" s="69"/>
      <c r="C9" s="69"/>
      <c r="D9" s="66">
        <v>0.5</v>
      </c>
      <c r="E9" s="65" t="s">
        <v>91</v>
      </c>
      <c r="G9" s="68" t="s">
        <v>82</v>
      </c>
      <c r="H9" s="69"/>
      <c r="I9" s="69"/>
      <c r="J9" s="66">
        <v>0.5</v>
      </c>
      <c r="K9" s="65" t="s">
        <v>91</v>
      </c>
      <c r="M9" s="308" t="s">
        <v>10</v>
      </c>
      <c r="N9" s="310"/>
      <c r="O9" s="311"/>
      <c r="Q9" s="63"/>
      <c r="S9" s="65"/>
    </row>
    <row r="10" spans="1:19" x14ac:dyDescent="0.25">
      <c r="A10" s="68" t="s">
        <v>84</v>
      </c>
      <c r="B10" s="69"/>
      <c r="C10" s="69"/>
      <c r="D10" s="66">
        <v>0.24</v>
      </c>
      <c r="E10" s="65" t="s">
        <v>91</v>
      </c>
      <c r="G10" s="68" t="s">
        <v>84</v>
      </c>
      <c r="H10" s="69"/>
      <c r="I10" s="69"/>
      <c r="J10" s="66">
        <v>0.24</v>
      </c>
      <c r="K10" s="65" t="s">
        <v>91</v>
      </c>
      <c r="M10" s="68" t="s">
        <v>189</v>
      </c>
      <c r="N10" s="93">
        <f>D20</f>
        <v>2.375</v>
      </c>
      <c r="O10" s="102" t="s">
        <v>180</v>
      </c>
      <c r="Q10" s="63" t="s">
        <v>193</v>
      </c>
      <c r="R10" s="92">
        <v>1.9</v>
      </c>
      <c r="S10" s="102" t="s">
        <v>180</v>
      </c>
    </row>
    <row r="11" spans="1:19" x14ac:dyDescent="0.25">
      <c r="A11" s="68" t="s">
        <v>176</v>
      </c>
      <c r="B11" s="69"/>
      <c r="C11" s="69"/>
      <c r="D11" s="66">
        <v>1.5</v>
      </c>
      <c r="E11" s="65" t="s">
        <v>91</v>
      </c>
      <c r="G11" s="68" t="s">
        <v>176</v>
      </c>
      <c r="H11" s="69"/>
      <c r="I11" s="69"/>
      <c r="J11" s="66">
        <v>1.5</v>
      </c>
      <c r="K11" s="65" t="s">
        <v>91</v>
      </c>
      <c r="M11" s="68"/>
      <c r="O11" s="65"/>
      <c r="Q11" s="63"/>
      <c r="S11" s="65"/>
    </row>
    <row r="12" spans="1:19" ht="14.4" thickBot="1" x14ac:dyDescent="0.3">
      <c r="A12" s="63"/>
      <c r="D12" s="67"/>
      <c r="E12" s="65"/>
      <c r="G12" s="63"/>
      <c r="J12" s="67"/>
      <c r="K12" s="65"/>
      <c r="M12" s="103" t="s">
        <v>193</v>
      </c>
      <c r="N12" s="104">
        <v>1.9</v>
      </c>
      <c r="O12" s="105" t="s">
        <v>180</v>
      </c>
      <c r="Q12" s="76"/>
      <c r="R12" s="78"/>
      <c r="S12" s="79"/>
    </row>
    <row r="13" spans="1:19" ht="14.4" thickBot="1" x14ac:dyDescent="0.3">
      <c r="A13" s="63" t="s">
        <v>177</v>
      </c>
      <c r="D13" s="66">
        <v>1.9</v>
      </c>
      <c r="E13" s="65" t="s">
        <v>91</v>
      </c>
      <c r="G13" s="63" t="s">
        <v>177</v>
      </c>
      <c r="J13" s="66">
        <v>1.9</v>
      </c>
      <c r="K13" s="65" t="s">
        <v>91</v>
      </c>
    </row>
    <row r="14" spans="1:19" ht="19.2" thickBot="1" x14ac:dyDescent="0.35">
      <c r="A14" s="70" t="s">
        <v>178</v>
      </c>
      <c r="B14" s="71"/>
      <c r="C14" s="71"/>
      <c r="D14" s="72"/>
      <c r="E14" s="73"/>
      <c r="G14" s="70" t="s">
        <v>178</v>
      </c>
      <c r="H14" s="71"/>
      <c r="I14" s="71"/>
      <c r="J14" s="72"/>
      <c r="K14" s="73"/>
      <c r="M14" s="454" t="s">
        <v>269</v>
      </c>
      <c r="N14" s="455"/>
      <c r="O14" s="456"/>
      <c r="Q14" s="454" t="s">
        <v>273</v>
      </c>
      <c r="R14" s="455"/>
      <c r="S14" s="456"/>
    </row>
    <row r="15" spans="1:19" x14ac:dyDescent="0.25">
      <c r="A15" s="63"/>
      <c r="B15" s="62" t="s">
        <v>179</v>
      </c>
      <c r="D15" s="67">
        <f>D3*(D4/1000)*(D6/2)</f>
        <v>2.9430000000000001</v>
      </c>
      <c r="E15" s="65" t="s">
        <v>180</v>
      </c>
      <c r="G15" s="63"/>
      <c r="H15" s="62" t="s">
        <v>179</v>
      </c>
      <c r="J15" s="67">
        <f>J3*(J4/1000)*(J6/2)</f>
        <v>2.3544</v>
      </c>
      <c r="K15" s="65" t="s">
        <v>180</v>
      </c>
      <c r="M15" s="308" t="s">
        <v>9</v>
      </c>
      <c r="N15" s="307"/>
      <c r="O15" s="309"/>
      <c r="Q15" s="306" t="s">
        <v>9</v>
      </c>
      <c r="R15" s="307"/>
      <c r="S15" s="309"/>
    </row>
    <row r="16" spans="1:19" x14ac:dyDescent="0.25">
      <c r="A16" s="63"/>
      <c r="B16" s="62" t="s">
        <v>181</v>
      </c>
      <c r="D16" s="74">
        <f>SUM(D8:D11)*(D6/2)</f>
        <v>4.6750000000000007</v>
      </c>
      <c r="E16" s="65" t="s">
        <v>180</v>
      </c>
      <c r="G16" s="63"/>
      <c r="H16" s="62" t="s">
        <v>181</v>
      </c>
      <c r="J16" s="74">
        <f>SUM(J8:J11)*(J6/2)</f>
        <v>3.74</v>
      </c>
      <c r="K16" s="65" t="s">
        <v>180</v>
      </c>
      <c r="M16" s="68" t="s">
        <v>192</v>
      </c>
      <c r="N16" s="92">
        <f>2*D17</f>
        <v>15.236000000000001</v>
      </c>
      <c r="O16" s="102" t="s">
        <v>180</v>
      </c>
      <c r="Q16" s="63" t="s">
        <v>192</v>
      </c>
      <c r="R16" s="92">
        <f>2*D59</f>
        <v>15.236000000000001</v>
      </c>
      <c r="S16" s="102" t="s">
        <v>180</v>
      </c>
    </row>
    <row r="17" spans="1:19" x14ac:dyDescent="0.25">
      <c r="A17" s="63"/>
      <c r="B17" s="92" t="s">
        <v>182</v>
      </c>
      <c r="C17" s="92"/>
      <c r="D17" s="344">
        <f>SUM(D15:D16)</f>
        <v>7.6180000000000003</v>
      </c>
      <c r="E17" s="102" t="s">
        <v>180</v>
      </c>
      <c r="G17" s="63"/>
      <c r="H17" s="92" t="s">
        <v>182</v>
      </c>
      <c r="I17" s="92"/>
      <c r="J17" s="344">
        <f>SUM(J15:J16)</f>
        <v>6.0944000000000003</v>
      </c>
      <c r="K17" s="102" t="s">
        <v>180</v>
      </c>
      <c r="M17" s="68"/>
      <c r="O17" s="65"/>
      <c r="Q17" s="63"/>
      <c r="S17" s="65"/>
    </row>
    <row r="18" spans="1:19" x14ac:dyDescent="0.25">
      <c r="A18" s="63" t="s">
        <v>183</v>
      </c>
      <c r="D18" s="67"/>
      <c r="E18" s="65"/>
      <c r="G18" s="63" t="s">
        <v>183</v>
      </c>
      <c r="J18" s="67"/>
      <c r="K18" s="65"/>
      <c r="M18" s="68" t="s">
        <v>193</v>
      </c>
      <c r="N18" s="92">
        <v>8.6950000000000003</v>
      </c>
      <c r="O18" s="102" t="s">
        <v>180</v>
      </c>
      <c r="Q18" s="63" t="s">
        <v>193</v>
      </c>
      <c r="R18" s="92">
        <v>8.6950000000000003</v>
      </c>
      <c r="S18" s="102" t="s">
        <v>180</v>
      </c>
    </row>
    <row r="19" spans="1:19" x14ac:dyDescent="0.25">
      <c r="A19" s="63"/>
      <c r="B19" s="62" t="s">
        <v>184</v>
      </c>
      <c r="D19" s="67">
        <f>D13*(D6/2)</f>
        <v>2.375</v>
      </c>
      <c r="E19" s="65" t="s">
        <v>180</v>
      </c>
      <c r="G19" s="63"/>
      <c r="H19" s="62" t="s">
        <v>184</v>
      </c>
      <c r="J19" s="67">
        <f>J13*(J6/2)</f>
        <v>1.9</v>
      </c>
      <c r="K19" s="65" t="s">
        <v>180</v>
      </c>
      <c r="M19" s="68"/>
      <c r="O19" s="65"/>
      <c r="Q19" s="63"/>
      <c r="S19" s="65"/>
    </row>
    <row r="20" spans="1:19" ht="14.4" thickBot="1" x14ac:dyDescent="0.3">
      <c r="A20" s="76"/>
      <c r="B20" s="104" t="s">
        <v>185</v>
      </c>
      <c r="C20" s="104"/>
      <c r="D20" s="345">
        <f>SUM(D19)</f>
        <v>2.375</v>
      </c>
      <c r="E20" s="105" t="s">
        <v>180</v>
      </c>
      <c r="G20" s="76"/>
      <c r="H20" s="104" t="s">
        <v>185</v>
      </c>
      <c r="I20" s="104"/>
      <c r="J20" s="345">
        <f>SUM(J19)</f>
        <v>1.9</v>
      </c>
      <c r="K20" s="105" t="s">
        <v>180</v>
      </c>
      <c r="M20" s="68" t="s">
        <v>272</v>
      </c>
      <c r="N20" s="92">
        <f>C74</f>
        <v>6.272000000000002</v>
      </c>
      <c r="O20" s="102" t="s">
        <v>180</v>
      </c>
      <c r="Q20" s="306" t="s">
        <v>10</v>
      </c>
      <c r="R20" s="307"/>
      <c r="S20" s="309"/>
    </row>
    <row r="21" spans="1:19" ht="14.4" thickBot="1" x14ac:dyDescent="0.3">
      <c r="M21" s="68"/>
      <c r="O21" s="65"/>
      <c r="Q21" s="63" t="s">
        <v>189</v>
      </c>
      <c r="R21" s="93">
        <f>D62</f>
        <v>3.625</v>
      </c>
      <c r="S21" s="102" t="s">
        <v>180</v>
      </c>
    </row>
    <row r="22" spans="1:19" ht="19.2" customHeight="1" thickBot="1" x14ac:dyDescent="0.3">
      <c r="A22" s="463" t="s">
        <v>186</v>
      </c>
      <c r="B22" s="464"/>
      <c r="C22" s="464"/>
      <c r="D22" s="464"/>
      <c r="E22" s="465"/>
      <c r="G22" s="463" t="s">
        <v>186</v>
      </c>
      <c r="H22" s="464"/>
      <c r="I22" s="464"/>
      <c r="J22" s="464"/>
      <c r="K22" s="465"/>
      <c r="M22" s="308" t="s">
        <v>10</v>
      </c>
      <c r="N22" s="307"/>
      <c r="O22" s="309"/>
      <c r="Q22" s="63"/>
      <c r="S22" s="65"/>
    </row>
    <row r="23" spans="1:19" ht="14.4" thickBot="1" x14ac:dyDescent="0.3">
      <c r="A23" s="460" t="s">
        <v>187</v>
      </c>
      <c r="B23" s="461"/>
      <c r="C23" s="461"/>
      <c r="D23" s="461"/>
      <c r="E23" s="462"/>
      <c r="G23" s="460" t="s">
        <v>188</v>
      </c>
      <c r="H23" s="461"/>
      <c r="I23" s="461"/>
      <c r="J23" s="461"/>
      <c r="K23" s="462"/>
      <c r="M23" s="68" t="s">
        <v>189</v>
      </c>
      <c r="N23" s="93">
        <f>D20</f>
        <v>2.375</v>
      </c>
      <c r="O23" s="102" t="s">
        <v>180</v>
      </c>
      <c r="Q23" s="63" t="s">
        <v>193</v>
      </c>
      <c r="R23" s="92">
        <v>1.9</v>
      </c>
      <c r="S23" s="102" t="s">
        <v>180</v>
      </c>
    </row>
    <row r="24" spans="1:19" x14ac:dyDescent="0.25">
      <c r="A24" s="63" t="s">
        <v>171</v>
      </c>
      <c r="D24" s="64">
        <v>23.544</v>
      </c>
      <c r="E24" s="65" t="s">
        <v>172</v>
      </c>
      <c r="G24" s="63" t="s">
        <v>171</v>
      </c>
      <c r="J24" s="64">
        <v>23.544</v>
      </c>
      <c r="K24" s="65" t="s">
        <v>172</v>
      </c>
      <c r="M24" s="68"/>
      <c r="O24" s="65"/>
      <c r="Q24" s="63"/>
      <c r="S24" s="65"/>
    </row>
    <row r="25" spans="1:19" ht="14.4" thickBot="1" x14ac:dyDescent="0.3">
      <c r="A25" s="63" t="s">
        <v>173</v>
      </c>
      <c r="D25" s="66">
        <v>100</v>
      </c>
      <c r="E25" s="65" t="s">
        <v>43</v>
      </c>
      <c r="G25" s="63" t="s">
        <v>173</v>
      </c>
      <c r="J25" s="66">
        <v>100</v>
      </c>
      <c r="K25" s="65" t="s">
        <v>43</v>
      </c>
      <c r="M25" s="103" t="s">
        <v>193</v>
      </c>
      <c r="N25" s="104">
        <v>1.9</v>
      </c>
      <c r="O25" s="105" t="s">
        <v>180</v>
      </c>
      <c r="Q25" s="76"/>
      <c r="R25" s="78"/>
      <c r="S25" s="79"/>
    </row>
    <row r="26" spans="1:19" ht="14.4" thickBot="1" x14ac:dyDescent="0.3">
      <c r="A26" s="63" t="s">
        <v>174</v>
      </c>
      <c r="D26" s="66">
        <v>4</v>
      </c>
      <c r="E26" s="65" t="s">
        <v>74</v>
      </c>
      <c r="G26" s="63" t="s">
        <v>174</v>
      </c>
      <c r="J26" s="66">
        <v>2</v>
      </c>
      <c r="K26" s="65" t="s">
        <v>74</v>
      </c>
    </row>
    <row r="27" spans="1:19" ht="19.2" thickBot="1" x14ac:dyDescent="0.35">
      <c r="A27" s="63" t="s">
        <v>175</v>
      </c>
      <c r="D27" s="66">
        <v>1</v>
      </c>
      <c r="E27" s="65" t="s">
        <v>74</v>
      </c>
      <c r="G27" s="63" t="s">
        <v>175</v>
      </c>
      <c r="J27" s="66">
        <v>1</v>
      </c>
      <c r="K27" s="65" t="s">
        <v>74</v>
      </c>
      <c r="M27" s="454" t="s">
        <v>271</v>
      </c>
      <c r="N27" s="455"/>
      <c r="O27" s="456"/>
      <c r="Q27" s="454" t="s">
        <v>270</v>
      </c>
      <c r="R27" s="455"/>
      <c r="S27" s="456"/>
    </row>
    <row r="28" spans="1:19" x14ac:dyDescent="0.25">
      <c r="A28" s="63"/>
      <c r="D28" s="67"/>
      <c r="E28" s="65"/>
      <c r="G28" s="63"/>
      <c r="J28" s="67"/>
      <c r="K28" s="65"/>
      <c r="M28" s="308" t="s">
        <v>9</v>
      </c>
      <c r="N28" s="307"/>
      <c r="O28" s="309"/>
      <c r="Q28" s="306" t="s">
        <v>9</v>
      </c>
      <c r="R28" s="307"/>
      <c r="S28" s="309"/>
    </row>
    <row r="29" spans="1:19" x14ac:dyDescent="0.25">
      <c r="A29" s="68" t="s">
        <v>81</v>
      </c>
      <c r="B29" s="69"/>
      <c r="C29" s="69"/>
      <c r="D29" s="66">
        <v>1.5</v>
      </c>
      <c r="E29" s="65" t="s">
        <v>91</v>
      </c>
      <c r="G29" s="68" t="s">
        <v>81</v>
      </c>
      <c r="H29" s="69"/>
      <c r="I29" s="69"/>
      <c r="J29" s="66">
        <v>1.5</v>
      </c>
      <c r="K29" s="65" t="s">
        <v>91</v>
      </c>
      <c r="M29" s="68" t="s">
        <v>189</v>
      </c>
      <c r="N29" s="93">
        <f>D17</f>
        <v>7.6180000000000003</v>
      </c>
      <c r="O29" s="102" t="s">
        <v>180</v>
      </c>
      <c r="Q29" s="63" t="s">
        <v>189</v>
      </c>
      <c r="R29" s="93">
        <f>D17</f>
        <v>7.6180000000000003</v>
      </c>
      <c r="S29" s="102" t="s">
        <v>180</v>
      </c>
    </row>
    <row r="30" spans="1:19" x14ac:dyDescent="0.25">
      <c r="A30" s="68" t="s">
        <v>82</v>
      </c>
      <c r="B30" s="69"/>
      <c r="C30" s="69"/>
      <c r="D30" s="66">
        <v>0.5</v>
      </c>
      <c r="E30" s="65" t="s">
        <v>91</v>
      </c>
      <c r="G30" s="68" t="s">
        <v>82</v>
      </c>
      <c r="H30" s="69"/>
      <c r="I30" s="69"/>
      <c r="J30" s="66">
        <v>0.5</v>
      </c>
      <c r="K30" s="65" t="s">
        <v>91</v>
      </c>
      <c r="M30" s="68" t="s">
        <v>190</v>
      </c>
      <c r="N30" s="93">
        <f>D38</f>
        <v>6.0944000000000003</v>
      </c>
      <c r="O30" s="102" t="s">
        <v>180</v>
      </c>
      <c r="Q30" s="63"/>
      <c r="S30" s="65"/>
    </row>
    <row r="31" spans="1:19" x14ac:dyDescent="0.25">
      <c r="A31" s="68" t="s">
        <v>84</v>
      </c>
      <c r="B31" s="69"/>
      <c r="C31" s="69"/>
      <c r="D31" s="66">
        <v>0.24</v>
      </c>
      <c r="E31" s="65" t="s">
        <v>91</v>
      </c>
      <c r="G31" s="68" t="s">
        <v>84</v>
      </c>
      <c r="H31" s="69"/>
      <c r="I31" s="69"/>
      <c r="J31" s="66">
        <v>0.24</v>
      </c>
      <c r="K31" s="65" t="s">
        <v>91</v>
      </c>
      <c r="M31" s="68" t="s">
        <v>191</v>
      </c>
      <c r="N31" s="93">
        <f>J38</f>
        <v>6.0944000000000003</v>
      </c>
      <c r="O31" s="102" t="s">
        <v>180</v>
      </c>
      <c r="Q31" s="63" t="s">
        <v>258</v>
      </c>
      <c r="R31" s="92">
        <f>C69</f>
        <v>9.4079999999999995</v>
      </c>
      <c r="S31" s="102" t="s">
        <v>180</v>
      </c>
    </row>
    <row r="32" spans="1:19" x14ac:dyDescent="0.25">
      <c r="A32" s="68" t="s">
        <v>176</v>
      </c>
      <c r="B32" s="69"/>
      <c r="C32" s="69"/>
      <c r="D32" s="66">
        <v>1.5</v>
      </c>
      <c r="E32" s="65" t="s">
        <v>91</v>
      </c>
      <c r="G32" s="68" t="s">
        <v>176</v>
      </c>
      <c r="H32" s="69"/>
      <c r="I32" s="69"/>
      <c r="J32" s="66">
        <v>1.5</v>
      </c>
      <c r="K32" s="65" t="s">
        <v>91</v>
      </c>
      <c r="M32" s="68"/>
      <c r="O32" s="65"/>
      <c r="Q32" s="63"/>
      <c r="S32" s="65"/>
    </row>
    <row r="33" spans="1:19" x14ac:dyDescent="0.25">
      <c r="A33" s="63"/>
      <c r="D33" s="67"/>
      <c r="E33" s="65"/>
      <c r="G33" s="63"/>
      <c r="J33" s="67"/>
      <c r="K33" s="65"/>
      <c r="M33" s="68" t="s">
        <v>193</v>
      </c>
      <c r="N33" s="92">
        <v>8.6950000000000003</v>
      </c>
      <c r="O33" s="102" t="s">
        <v>180</v>
      </c>
      <c r="Q33" s="306" t="s">
        <v>10</v>
      </c>
      <c r="R33" s="307"/>
      <c r="S33" s="309"/>
    </row>
    <row r="34" spans="1:19" ht="14.4" thickBot="1" x14ac:dyDescent="0.3">
      <c r="A34" s="63" t="s">
        <v>177</v>
      </c>
      <c r="D34" s="66">
        <v>2.9</v>
      </c>
      <c r="E34" s="65" t="s">
        <v>91</v>
      </c>
      <c r="G34" s="63" t="s">
        <v>177</v>
      </c>
      <c r="J34" s="66">
        <v>2.9</v>
      </c>
      <c r="K34" s="65" t="s">
        <v>91</v>
      </c>
      <c r="M34" s="68"/>
      <c r="O34" s="65"/>
      <c r="Q34" s="63" t="s">
        <v>189</v>
      </c>
      <c r="R34" s="93">
        <f>D62</f>
        <v>3.625</v>
      </c>
      <c r="S34" s="102" t="s">
        <v>180</v>
      </c>
    </row>
    <row r="35" spans="1:19" x14ac:dyDescent="0.25">
      <c r="A35" s="70" t="s">
        <v>178</v>
      </c>
      <c r="B35" s="71"/>
      <c r="C35" s="71"/>
      <c r="D35" s="72"/>
      <c r="E35" s="73"/>
      <c r="G35" s="70" t="s">
        <v>178</v>
      </c>
      <c r="H35" s="71"/>
      <c r="I35" s="71"/>
      <c r="J35" s="72"/>
      <c r="K35" s="73"/>
      <c r="M35" s="68" t="s">
        <v>258</v>
      </c>
      <c r="N35" s="92">
        <f>C69</f>
        <v>9.4079999999999995</v>
      </c>
      <c r="O35" s="102" t="s">
        <v>180</v>
      </c>
      <c r="Q35" s="63"/>
      <c r="S35" s="65"/>
    </row>
    <row r="36" spans="1:19" x14ac:dyDescent="0.25">
      <c r="A36" s="63"/>
      <c r="B36" s="62" t="s">
        <v>179</v>
      </c>
      <c r="D36" s="67">
        <f>D24*(D25/1000)*(D27)</f>
        <v>2.3544</v>
      </c>
      <c r="E36" s="65" t="s">
        <v>180</v>
      </c>
      <c r="G36" s="63"/>
      <c r="H36" s="62" t="s">
        <v>179</v>
      </c>
      <c r="J36" s="67">
        <f>J24*(J25/1000)*(J27)</f>
        <v>2.3544</v>
      </c>
      <c r="K36" s="65" t="s">
        <v>180</v>
      </c>
      <c r="M36" s="68"/>
      <c r="O36" s="65"/>
      <c r="Q36" s="63"/>
      <c r="S36" s="65"/>
    </row>
    <row r="37" spans="1:19" x14ac:dyDescent="0.25">
      <c r="A37" s="63"/>
      <c r="B37" s="62" t="s">
        <v>181</v>
      </c>
      <c r="D37" s="74">
        <f>SUM(D29:D32)*(D27)</f>
        <v>3.74</v>
      </c>
      <c r="E37" s="65" t="s">
        <v>180</v>
      </c>
      <c r="G37" s="63"/>
      <c r="H37" s="62" t="s">
        <v>181</v>
      </c>
      <c r="J37" s="74">
        <f>SUM(J29:J32)*(J27)</f>
        <v>3.74</v>
      </c>
      <c r="K37" s="65" t="s">
        <v>180</v>
      </c>
      <c r="M37" s="308" t="s">
        <v>10</v>
      </c>
      <c r="N37" s="307"/>
      <c r="O37" s="309"/>
      <c r="Q37" s="63"/>
      <c r="S37" s="65"/>
    </row>
    <row r="38" spans="1:19" x14ac:dyDescent="0.25">
      <c r="A38" s="63"/>
      <c r="B38" s="92" t="s">
        <v>182</v>
      </c>
      <c r="C38" s="92"/>
      <c r="D38" s="344">
        <f>SUM(D36:D37)</f>
        <v>6.0944000000000003</v>
      </c>
      <c r="E38" s="102" t="s">
        <v>180</v>
      </c>
      <c r="G38" s="63"/>
      <c r="H38" s="92" t="s">
        <v>182</v>
      </c>
      <c r="I38" s="92"/>
      <c r="J38" s="344">
        <f>SUM(J36:J37)</f>
        <v>6.0944000000000003</v>
      </c>
      <c r="K38" s="102" t="s">
        <v>180</v>
      </c>
      <c r="M38" s="101" t="s">
        <v>189</v>
      </c>
      <c r="N38" s="93">
        <f>D20</f>
        <v>2.375</v>
      </c>
      <c r="O38" s="102" t="s">
        <v>180</v>
      </c>
      <c r="Q38" s="63"/>
      <c r="S38" s="65"/>
    </row>
    <row r="39" spans="1:19" x14ac:dyDescent="0.25">
      <c r="A39" s="63" t="s">
        <v>183</v>
      </c>
      <c r="D39" s="67"/>
      <c r="E39" s="65"/>
      <c r="G39" s="63" t="s">
        <v>183</v>
      </c>
      <c r="J39" s="67"/>
      <c r="K39" s="65"/>
      <c r="M39" s="68" t="s">
        <v>190</v>
      </c>
      <c r="N39" s="93">
        <f>D41</f>
        <v>2.9</v>
      </c>
      <c r="O39" s="102" t="s">
        <v>180</v>
      </c>
      <c r="Q39" s="63"/>
      <c r="S39" s="65"/>
    </row>
    <row r="40" spans="1:19" x14ac:dyDescent="0.25">
      <c r="A40" s="63"/>
      <c r="B40" s="62" t="s">
        <v>184</v>
      </c>
      <c r="D40" s="67">
        <f>D34*(D27)</f>
        <v>2.9</v>
      </c>
      <c r="E40" s="65" t="s">
        <v>180</v>
      </c>
      <c r="G40" s="63"/>
      <c r="H40" s="62" t="s">
        <v>184</v>
      </c>
      <c r="J40" s="67">
        <f>J34*(J27)</f>
        <v>2.9</v>
      </c>
      <c r="K40" s="65" t="s">
        <v>180</v>
      </c>
      <c r="M40" s="68" t="s">
        <v>191</v>
      </c>
      <c r="N40" s="93">
        <f>J41</f>
        <v>2.9</v>
      </c>
      <c r="O40" s="102" t="s">
        <v>180</v>
      </c>
      <c r="Q40" s="63"/>
      <c r="S40" s="65"/>
    </row>
    <row r="41" spans="1:19" ht="14.4" thickBot="1" x14ac:dyDescent="0.3">
      <c r="A41" s="76"/>
      <c r="B41" s="104" t="s">
        <v>185</v>
      </c>
      <c r="C41" s="104"/>
      <c r="D41" s="345">
        <f>SUM(D40)</f>
        <v>2.9</v>
      </c>
      <c r="E41" s="105" t="s">
        <v>180</v>
      </c>
      <c r="G41" s="76"/>
      <c r="H41" s="104" t="s">
        <v>185</v>
      </c>
      <c r="I41" s="104"/>
      <c r="J41" s="345">
        <f>SUM(J40)</f>
        <v>2.9</v>
      </c>
      <c r="K41" s="105" t="s">
        <v>180</v>
      </c>
      <c r="M41" s="68"/>
      <c r="O41" s="65"/>
      <c r="Q41" s="63"/>
      <c r="S41" s="65"/>
    </row>
    <row r="42" spans="1:19" ht="14.4" thickBot="1" x14ac:dyDescent="0.3">
      <c r="M42" s="107" t="s">
        <v>193</v>
      </c>
      <c r="N42" s="104">
        <v>1.9</v>
      </c>
      <c r="O42" s="105" t="s">
        <v>180</v>
      </c>
      <c r="Q42" s="76"/>
      <c r="R42" s="78"/>
      <c r="S42" s="79"/>
    </row>
    <row r="43" spans="1:19" ht="19.2" thickBot="1" x14ac:dyDescent="0.3">
      <c r="A43" s="463" t="s">
        <v>567</v>
      </c>
      <c r="B43" s="464"/>
      <c r="C43" s="464"/>
      <c r="D43" s="464"/>
      <c r="E43" s="465"/>
      <c r="G43" s="463" t="s">
        <v>568</v>
      </c>
      <c r="H43" s="464"/>
      <c r="I43" s="464"/>
      <c r="J43" s="464"/>
      <c r="K43" s="465"/>
      <c r="M43" s="62"/>
    </row>
    <row r="44" spans="1:19" ht="14.4" thickBot="1" x14ac:dyDescent="0.3">
      <c r="A44" s="460" t="s">
        <v>169</v>
      </c>
      <c r="B44" s="461"/>
      <c r="C44" s="461"/>
      <c r="D44" s="461"/>
      <c r="E44" s="462"/>
      <c r="G44" s="460" t="s">
        <v>170</v>
      </c>
      <c r="H44" s="461"/>
      <c r="I44" s="461"/>
      <c r="J44" s="461"/>
      <c r="K44" s="462"/>
    </row>
    <row r="45" spans="1:19" x14ac:dyDescent="0.25">
      <c r="A45" s="63" t="s">
        <v>171</v>
      </c>
      <c r="D45" s="64">
        <v>23.544</v>
      </c>
      <c r="E45" s="65" t="s">
        <v>172</v>
      </c>
      <c r="G45" s="63" t="s">
        <v>171</v>
      </c>
      <c r="J45" s="64">
        <v>23.544</v>
      </c>
      <c r="K45" s="65" t="s">
        <v>172</v>
      </c>
    </row>
    <row r="46" spans="1:19" x14ac:dyDescent="0.25">
      <c r="A46" s="63" t="s">
        <v>173</v>
      </c>
      <c r="D46" s="66">
        <v>100</v>
      </c>
      <c r="E46" s="65" t="s">
        <v>43</v>
      </c>
      <c r="G46" s="63" t="s">
        <v>173</v>
      </c>
      <c r="J46" s="66">
        <v>100</v>
      </c>
      <c r="K46" s="65" t="s">
        <v>43</v>
      </c>
    </row>
    <row r="47" spans="1:19" x14ac:dyDescent="0.25">
      <c r="A47" s="63" t="s">
        <v>174</v>
      </c>
      <c r="D47" s="66">
        <v>4</v>
      </c>
      <c r="E47" s="65" t="s">
        <v>74</v>
      </c>
      <c r="G47" s="63" t="s">
        <v>174</v>
      </c>
      <c r="J47" s="66">
        <v>2.5</v>
      </c>
      <c r="K47" s="65" t="s">
        <v>74</v>
      </c>
    </row>
    <row r="48" spans="1:19" x14ac:dyDescent="0.25">
      <c r="A48" s="63" t="s">
        <v>175</v>
      </c>
      <c r="D48" s="66">
        <v>2.5</v>
      </c>
      <c r="E48" s="65" t="s">
        <v>74</v>
      </c>
      <c r="G48" s="63" t="s">
        <v>175</v>
      </c>
      <c r="J48" s="66">
        <v>2</v>
      </c>
      <c r="K48" s="65" t="s">
        <v>74</v>
      </c>
    </row>
    <row r="49" spans="1:11" x14ac:dyDescent="0.25">
      <c r="A49" s="63"/>
      <c r="D49" s="67"/>
      <c r="E49" s="65"/>
      <c r="G49" s="63"/>
      <c r="J49" s="67"/>
      <c r="K49" s="65"/>
    </row>
    <row r="50" spans="1:11" x14ac:dyDescent="0.25">
      <c r="A50" s="68" t="s">
        <v>81</v>
      </c>
      <c r="B50" s="69"/>
      <c r="C50" s="69"/>
      <c r="D50" s="66">
        <v>1.5</v>
      </c>
      <c r="E50" s="65" t="s">
        <v>91</v>
      </c>
      <c r="G50" s="68" t="s">
        <v>81</v>
      </c>
      <c r="H50" s="69"/>
      <c r="I50" s="69"/>
      <c r="J50" s="66">
        <v>1.5</v>
      </c>
      <c r="K50" s="65" t="s">
        <v>91</v>
      </c>
    </row>
    <row r="51" spans="1:11" x14ac:dyDescent="0.25">
      <c r="A51" s="68" t="s">
        <v>82</v>
      </c>
      <c r="B51" s="69"/>
      <c r="C51" s="69"/>
      <c r="D51" s="66">
        <v>0.5</v>
      </c>
      <c r="E51" s="65" t="s">
        <v>91</v>
      </c>
      <c r="G51" s="68" t="s">
        <v>82</v>
      </c>
      <c r="H51" s="69"/>
      <c r="I51" s="69"/>
      <c r="J51" s="66">
        <v>0.5</v>
      </c>
      <c r="K51" s="65" t="s">
        <v>91</v>
      </c>
    </row>
    <row r="52" spans="1:11" x14ac:dyDescent="0.25">
      <c r="A52" s="68" t="s">
        <v>84</v>
      </c>
      <c r="B52" s="69"/>
      <c r="C52" s="69"/>
      <c r="D52" s="66">
        <v>0.24</v>
      </c>
      <c r="E52" s="65" t="s">
        <v>91</v>
      </c>
      <c r="G52" s="68" t="s">
        <v>84</v>
      </c>
      <c r="H52" s="69"/>
      <c r="I52" s="69"/>
      <c r="J52" s="66">
        <v>0.24</v>
      </c>
      <c r="K52" s="65" t="s">
        <v>91</v>
      </c>
    </row>
    <row r="53" spans="1:11" x14ac:dyDescent="0.25">
      <c r="A53" s="68" t="s">
        <v>176</v>
      </c>
      <c r="B53" s="69"/>
      <c r="C53" s="69"/>
      <c r="D53" s="66">
        <v>1.5</v>
      </c>
      <c r="E53" s="65" t="s">
        <v>91</v>
      </c>
      <c r="G53" s="68" t="s">
        <v>176</v>
      </c>
      <c r="H53" s="69"/>
      <c r="I53" s="69"/>
      <c r="J53" s="66">
        <v>1.5</v>
      </c>
      <c r="K53" s="65" t="s">
        <v>91</v>
      </c>
    </row>
    <row r="54" spans="1:11" x14ac:dyDescent="0.25">
      <c r="A54" s="63"/>
      <c r="D54" s="67"/>
      <c r="E54" s="65"/>
      <c r="G54" s="63"/>
      <c r="J54" s="67"/>
      <c r="K54" s="65"/>
    </row>
    <row r="55" spans="1:11" ht="14.4" thickBot="1" x14ac:dyDescent="0.3">
      <c r="A55" s="63" t="s">
        <v>177</v>
      </c>
      <c r="D55" s="66">
        <v>2.9</v>
      </c>
      <c r="E55" s="65" t="s">
        <v>91</v>
      </c>
      <c r="G55" s="63" t="s">
        <v>177</v>
      </c>
      <c r="J55" s="66">
        <v>2.9</v>
      </c>
      <c r="K55" s="65" t="s">
        <v>91</v>
      </c>
    </row>
    <row r="56" spans="1:11" x14ac:dyDescent="0.25">
      <c r="A56" s="70" t="s">
        <v>178</v>
      </c>
      <c r="B56" s="71"/>
      <c r="C56" s="71"/>
      <c r="D56" s="72"/>
      <c r="E56" s="73"/>
      <c r="G56" s="70" t="s">
        <v>178</v>
      </c>
      <c r="H56" s="71"/>
      <c r="I56" s="71"/>
      <c r="J56" s="72"/>
      <c r="K56" s="73"/>
    </row>
    <row r="57" spans="1:11" x14ac:dyDescent="0.25">
      <c r="A57" s="63"/>
      <c r="B57" s="62" t="s">
        <v>179</v>
      </c>
      <c r="D57" s="67">
        <f>D45*(D46/1000)*(D48/2)</f>
        <v>2.9430000000000001</v>
      </c>
      <c r="E57" s="65" t="s">
        <v>180</v>
      </c>
      <c r="G57" s="63"/>
      <c r="H57" s="62" t="s">
        <v>179</v>
      </c>
      <c r="J57" s="67">
        <f>J45*(J46/1000)*(J48/2)</f>
        <v>2.3544</v>
      </c>
      <c r="K57" s="65" t="s">
        <v>180</v>
      </c>
    </row>
    <row r="58" spans="1:11" x14ac:dyDescent="0.25">
      <c r="A58" s="63"/>
      <c r="B58" s="62" t="s">
        <v>181</v>
      </c>
      <c r="D58" s="74">
        <f>SUM(D50:D53)*(D48/2)</f>
        <v>4.6750000000000007</v>
      </c>
      <c r="E58" s="65" t="s">
        <v>180</v>
      </c>
      <c r="G58" s="63"/>
      <c r="H58" s="62" t="s">
        <v>181</v>
      </c>
      <c r="J58" s="74">
        <f>SUM(J50:J53)*(J48/2)</f>
        <v>3.74</v>
      </c>
      <c r="K58" s="65" t="s">
        <v>180</v>
      </c>
    </row>
    <row r="59" spans="1:11" x14ac:dyDescent="0.25">
      <c r="A59" s="63"/>
      <c r="B59" s="92" t="s">
        <v>182</v>
      </c>
      <c r="C59" s="92"/>
      <c r="D59" s="344">
        <f>SUM(D57:D58)</f>
        <v>7.6180000000000003</v>
      </c>
      <c r="E59" s="102" t="s">
        <v>180</v>
      </c>
      <c r="G59" s="63"/>
      <c r="H59" s="92" t="s">
        <v>182</v>
      </c>
      <c r="I59" s="92"/>
      <c r="J59" s="344">
        <f>SUM(J57:J58)</f>
        <v>6.0944000000000003</v>
      </c>
      <c r="K59" s="102" t="s">
        <v>180</v>
      </c>
    </row>
    <row r="60" spans="1:11" x14ac:dyDescent="0.25">
      <c r="A60" s="63" t="s">
        <v>183</v>
      </c>
      <c r="D60" s="67"/>
      <c r="E60" s="65"/>
      <c r="G60" s="63" t="s">
        <v>183</v>
      </c>
      <c r="J60" s="67"/>
      <c r="K60" s="65"/>
    </row>
    <row r="61" spans="1:11" x14ac:dyDescent="0.25">
      <c r="A61" s="63"/>
      <c r="B61" s="62" t="s">
        <v>184</v>
      </c>
      <c r="D61" s="67">
        <f>D55*(D48/2)</f>
        <v>3.625</v>
      </c>
      <c r="E61" s="65" t="s">
        <v>180</v>
      </c>
      <c r="G61" s="63"/>
      <c r="H61" s="62" t="s">
        <v>184</v>
      </c>
      <c r="J61" s="67">
        <f>J55*(J48/2)</f>
        <v>2.9</v>
      </c>
      <c r="K61" s="65" t="s">
        <v>180</v>
      </c>
    </row>
    <row r="62" spans="1:11" ht="14.4" thickBot="1" x14ac:dyDescent="0.3">
      <c r="A62" s="76"/>
      <c r="B62" s="104" t="s">
        <v>185</v>
      </c>
      <c r="C62" s="104"/>
      <c r="D62" s="345">
        <f>SUM(D61)</f>
        <v>3.625</v>
      </c>
      <c r="E62" s="105" t="s">
        <v>180</v>
      </c>
      <c r="G62" s="76"/>
      <c r="H62" s="104" t="s">
        <v>185</v>
      </c>
      <c r="I62" s="104"/>
      <c r="J62" s="345">
        <f>SUM(J61)</f>
        <v>2.9</v>
      </c>
      <c r="K62" s="105" t="s">
        <v>180</v>
      </c>
    </row>
    <row r="63" spans="1:11" ht="14.4" thickBot="1" x14ac:dyDescent="0.3"/>
    <row r="64" spans="1:11" ht="19.2" thickBot="1" x14ac:dyDescent="0.35">
      <c r="A64" s="454" t="s">
        <v>259</v>
      </c>
      <c r="B64" s="455"/>
      <c r="C64" s="455"/>
      <c r="D64" s="455"/>
      <c r="E64" s="456"/>
    </row>
    <row r="65" spans="1:5" x14ac:dyDescent="0.25">
      <c r="A65" s="457" t="s">
        <v>264</v>
      </c>
      <c r="B65" s="458"/>
      <c r="C65" s="458"/>
      <c r="D65" s="458"/>
      <c r="E65" s="459"/>
    </row>
    <row r="66" spans="1:5" x14ac:dyDescent="0.25">
      <c r="A66" s="63" t="s">
        <v>260</v>
      </c>
      <c r="C66" s="77">
        <v>3.2</v>
      </c>
      <c r="D66" s="62" t="s">
        <v>74</v>
      </c>
      <c r="E66" s="65"/>
    </row>
    <row r="67" spans="1:5" x14ac:dyDescent="0.25">
      <c r="A67" s="63" t="s">
        <v>261</v>
      </c>
      <c r="C67" s="77">
        <v>0.15</v>
      </c>
      <c r="D67" s="62" t="s">
        <v>74</v>
      </c>
      <c r="E67" s="65"/>
    </row>
    <row r="68" spans="1:5" x14ac:dyDescent="0.25">
      <c r="A68" s="63" t="s">
        <v>262</v>
      </c>
      <c r="C68" s="77">
        <v>19.600000000000001</v>
      </c>
      <c r="D68" s="62" t="s">
        <v>263</v>
      </c>
      <c r="E68" s="65"/>
    </row>
    <row r="69" spans="1:5" x14ac:dyDescent="0.25">
      <c r="A69" s="112" t="s">
        <v>265</v>
      </c>
      <c r="B69" s="92"/>
      <c r="C69" s="92">
        <f>PRODUCT(C66:C68)</f>
        <v>9.4079999999999995</v>
      </c>
      <c r="D69" s="92" t="s">
        <v>180</v>
      </c>
      <c r="E69" s="65"/>
    </row>
    <row r="70" spans="1:5" x14ac:dyDescent="0.25">
      <c r="A70" s="457" t="s">
        <v>266</v>
      </c>
      <c r="B70" s="458"/>
      <c r="C70" s="458"/>
      <c r="D70" s="458"/>
      <c r="E70" s="459"/>
    </row>
    <row r="71" spans="1:5" x14ac:dyDescent="0.25">
      <c r="A71" s="63" t="s">
        <v>260</v>
      </c>
      <c r="C71" s="77">
        <v>3.2</v>
      </c>
      <c r="D71" s="62" t="s">
        <v>74</v>
      </c>
      <c r="E71" s="65"/>
    </row>
    <row r="72" spans="1:5" x14ac:dyDescent="0.25">
      <c r="A72" s="63" t="s">
        <v>261</v>
      </c>
      <c r="C72" s="77">
        <v>0.1</v>
      </c>
      <c r="D72" s="62" t="s">
        <v>74</v>
      </c>
      <c r="E72" s="65"/>
    </row>
    <row r="73" spans="1:5" x14ac:dyDescent="0.25">
      <c r="A73" s="63" t="s">
        <v>262</v>
      </c>
      <c r="C73" s="77">
        <v>19.600000000000001</v>
      </c>
      <c r="D73" s="62" t="s">
        <v>263</v>
      </c>
      <c r="E73" s="65"/>
    </row>
    <row r="74" spans="1:5" ht="14.4" thickBot="1" x14ac:dyDescent="0.3">
      <c r="A74" s="346" t="s">
        <v>265</v>
      </c>
      <c r="B74" s="104"/>
      <c r="C74" s="104">
        <f>PRODUCT(C71:C73)</f>
        <v>6.272000000000002</v>
      </c>
      <c r="D74" s="104" t="s">
        <v>180</v>
      </c>
      <c r="E74" s="79"/>
    </row>
  </sheetData>
  <mergeCells count="21">
    <mergeCell ref="A65:E65"/>
    <mergeCell ref="A70:E70"/>
    <mergeCell ref="A23:E23"/>
    <mergeCell ref="G23:K23"/>
    <mergeCell ref="M1:O1"/>
    <mergeCell ref="A1:E1"/>
    <mergeCell ref="G1:K1"/>
    <mergeCell ref="A2:E2"/>
    <mergeCell ref="G2:K2"/>
    <mergeCell ref="A22:E22"/>
    <mergeCell ref="G22:K22"/>
    <mergeCell ref="A44:E44"/>
    <mergeCell ref="G44:K44"/>
    <mergeCell ref="A43:E43"/>
    <mergeCell ref="G43:K43"/>
    <mergeCell ref="A64:E64"/>
    <mergeCell ref="Q1:S1"/>
    <mergeCell ref="M14:O14"/>
    <mergeCell ref="Q14:S14"/>
    <mergeCell ref="M27:O27"/>
    <mergeCell ref="Q27:S27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50" orientation="portrait" horizont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I168"/>
  <sheetViews>
    <sheetView showGridLines="0" view="pageBreakPreview" zoomScale="85" zoomScaleNormal="55" zoomScaleSheetLayoutView="85" zoomScalePageLayoutView="25" workbookViewId="0">
      <selection activeCell="B53" sqref="B53"/>
    </sheetView>
  </sheetViews>
  <sheetFormatPr defaultColWidth="8.88671875" defaultRowHeight="13.8" x14ac:dyDescent="0.25"/>
  <cols>
    <col min="1" max="1" width="12" style="62" customWidth="1"/>
    <col min="2" max="2" width="10.6640625" style="62" bestFit="1" customWidth="1"/>
    <col min="3" max="3" width="16" style="62" bestFit="1" customWidth="1"/>
    <col min="4" max="4" width="11.88671875" style="62" customWidth="1"/>
    <col min="5" max="5" width="11.33203125" style="62" bestFit="1" customWidth="1"/>
    <col min="6" max="6" width="10.6640625" style="62" bestFit="1" customWidth="1"/>
    <col min="7" max="8" width="9.6640625" style="62" bestFit="1" customWidth="1"/>
    <col min="9" max="9" width="1.88671875" style="62" customWidth="1"/>
    <col min="10" max="10" width="8.33203125" style="62" customWidth="1"/>
    <col min="11" max="11" width="14.109375" style="62" customWidth="1"/>
    <col min="12" max="12" width="14.6640625" style="62" customWidth="1"/>
    <col min="13" max="13" width="13.44140625" style="62" bestFit="1" customWidth="1"/>
    <col min="14" max="14" width="8.6640625" style="62" bestFit="1" customWidth="1"/>
    <col min="15" max="15" width="11.33203125" style="62" bestFit="1" customWidth="1"/>
    <col min="16" max="16" width="10.5546875" style="62" bestFit="1" customWidth="1"/>
    <col min="17" max="17" width="14.33203125" style="62" bestFit="1" customWidth="1"/>
    <col min="18" max="20" width="8.88671875" style="62"/>
    <col min="21" max="21" width="10.5546875" style="62" bestFit="1" customWidth="1"/>
    <col min="22" max="23" width="12.88671875" style="62" bestFit="1" customWidth="1"/>
    <col min="24" max="24" width="10.5546875" style="62" bestFit="1" customWidth="1"/>
    <col min="25" max="25" width="12.5546875" style="62" bestFit="1" customWidth="1"/>
    <col min="26" max="26" width="13.44140625" style="62" bestFit="1" customWidth="1"/>
    <col min="27" max="27" width="4.6640625" style="62" customWidth="1"/>
    <col min="28" max="31" width="8.88671875" style="62"/>
    <col min="32" max="32" width="23.109375" style="62" bestFit="1" customWidth="1"/>
    <col min="33" max="16384" width="8.88671875" style="62"/>
  </cols>
  <sheetData>
    <row r="1" spans="1:35" ht="19.95" customHeight="1" x14ac:dyDescent="0.25">
      <c r="A1" s="428" t="s">
        <v>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30"/>
    </row>
    <row r="2" spans="1:35" x14ac:dyDescent="0.25">
      <c r="A2" s="112" t="s">
        <v>9</v>
      </c>
      <c r="J2" s="92" t="s">
        <v>11</v>
      </c>
      <c r="V2" s="65"/>
    </row>
    <row r="3" spans="1:35" x14ac:dyDescent="0.25">
      <c r="A3" s="63" t="s">
        <v>0</v>
      </c>
      <c r="B3" s="62" t="s">
        <v>1</v>
      </c>
      <c r="C3" s="62" t="s">
        <v>2</v>
      </c>
      <c r="D3" s="62" t="s">
        <v>3</v>
      </c>
      <c r="E3" s="62" t="s">
        <v>4</v>
      </c>
      <c r="F3" s="62" t="s">
        <v>5</v>
      </c>
      <c r="G3" s="62" t="s">
        <v>6</v>
      </c>
      <c r="H3" s="62" t="s">
        <v>7</v>
      </c>
      <c r="J3" s="62" t="s">
        <v>0</v>
      </c>
      <c r="K3" s="62" t="s">
        <v>1</v>
      </c>
      <c r="L3" s="62" t="s">
        <v>2</v>
      </c>
      <c r="M3" s="62" t="s">
        <v>3</v>
      </c>
      <c r="N3" s="62" t="s">
        <v>4</v>
      </c>
      <c r="O3" s="62" t="s">
        <v>5</v>
      </c>
      <c r="P3" s="62" t="s">
        <v>6</v>
      </c>
      <c r="Q3" s="62" t="s">
        <v>7</v>
      </c>
      <c r="V3" s="65"/>
    </row>
    <row r="4" spans="1:35" x14ac:dyDescent="0.25">
      <c r="A4" s="300">
        <v>1</v>
      </c>
      <c r="B4" s="301">
        <v>-11.1693</v>
      </c>
      <c r="C4" s="301">
        <v>7.0134999999999996</v>
      </c>
      <c r="D4" s="301">
        <v>-12.4358</v>
      </c>
      <c r="E4" s="301">
        <v>18.499400000000001</v>
      </c>
      <c r="F4" s="301">
        <v>-19.1326</v>
      </c>
      <c r="G4" s="62">
        <v>-1.1980999999999999</v>
      </c>
      <c r="H4" s="62">
        <v>-1.1980999999999999</v>
      </c>
      <c r="J4" s="301">
        <v>1</v>
      </c>
      <c r="K4" s="301">
        <v>-13.4536</v>
      </c>
      <c r="L4" s="301">
        <v>8.3031000000000006</v>
      </c>
      <c r="M4" s="301">
        <v>-15.0985</v>
      </c>
      <c r="N4" s="301">
        <v>22.167999999999999</v>
      </c>
      <c r="O4" s="301">
        <v>-22.990400000000001</v>
      </c>
      <c r="P4" s="62">
        <v>-0.59309999999999996</v>
      </c>
      <c r="Q4" s="62">
        <v>-0.59309999999999996</v>
      </c>
      <c r="V4" s="65"/>
    </row>
    <row r="5" spans="1:35" x14ac:dyDescent="0.25">
      <c r="A5" s="300">
        <v>2</v>
      </c>
      <c r="B5" s="301">
        <v>-6.9310999999999998</v>
      </c>
      <c r="C5" s="301">
        <v>2.1204000000000001</v>
      </c>
      <c r="D5" s="301">
        <v>-6.9310999999999998</v>
      </c>
      <c r="E5" s="301">
        <v>18.103000000000002</v>
      </c>
      <c r="F5" s="301">
        <v>-18.103000000000002</v>
      </c>
      <c r="G5" s="62">
        <v>-1.1516</v>
      </c>
      <c r="H5" s="62">
        <v>-1.1516</v>
      </c>
      <c r="J5" s="301">
        <v>2</v>
      </c>
      <c r="K5" s="301">
        <v>-9.0431000000000008</v>
      </c>
      <c r="L5" s="301">
        <v>3.3386999999999998</v>
      </c>
      <c r="M5" s="301">
        <v>-9.0431000000000008</v>
      </c>
      <c r="N5" s="301">
        <v>24.7636</v>
      </c>
      <c r="O5" s="301">
        <v>-24.7636</v>
      </c>
      <c r="P5" s="62">
        <v>-1.6640999999999999</v>
      </c>
      <c r="Q5" s="62">
        <v>-1.6640999999999999</v>
      </c>
      <c r="V5" s="65"/>
    </row>
    <row r="6" spans="1:35" x14ac:dyDescent="0.25">
      <c r="A6" s="300">
        <v>3</v>
      </c>
      <c r="B6" s="301">
        <v>-12.4358</v>
      </c>
      <c r="C6" s="301">
        <v>7.0134999999999996</v>
      </c>
      <c r="D6" s="301">
        <v>-11.1693</v>
      </c>
      <c r="E6" s="301">
        <v>19.1326</v>
      </c>
      <c r="F6" s="301">
        <v>-18.499400000000001</v>
      </c>
      <c r="G6" s="62">
        <v>-1.1980999999999999</v>
      </c>
      <c r="H6" s="62">
        <v>-1.1980999999999999</v>
      </c>
      <c r="J6" s="301">
        <v>3</v>
      </c>
      <c r="K6" s="301">
        <v>-15.0985</v>
      </c>
      <c r="L6" s="301">
        <v>8.3031000000000006</v>
      </c>
      <c r="M6" s="301">
        <v>-13.4536</v>
      </c>
      <c r="N6" s="301">
        <v>22.990400000000001</v>
      </c>
      <c r="O6" s="301">
        <v>-22.167999999999999</v>
      </c>
      <c r="P6" s="62">
        <v>-0.59309999999999996</v>
      </c>
      <c r="Q6" s="62">
        <v>-0.59309999999999996</v>
      </c>
      <c r="V6" s="65"/>
    </row>
    <row r="7" spans="1:35" x14ac:dyDescent="0.25">
      <c r="A7" s="369">
        <v>4</v>
      </c>
      <c r="B7" s="370">
        <v>-19.981100000000001</v>
      </c>
      <c r="C7" s="370">
        <v>13.3705</v>
      </c>
      <c r="D7" s="370">
        <v>-21.381900000000002</v>
      </c>
      <c r="E7" s="370">
        <v>33.701799999999999</v>
      </c>
      <c r="F7" s="370">
        <v>-34.402200000000001</v>
      </c>
      <c r="G7" s="62">
        <v>4.7039999999999997</v>
      </c>
      <c r="H7" s="62">
        <v>4.7039999999999997</v>
      </c>
      <c r="J7" s="370">
        <v>4</v>
      </c>
      <c r="K7" s="370">
        <v>-28.601199999999999</v>
      </c>
      <c r="L7" s="370">
        <v>19.049600000000002</v>
      </c>
      <c r="M7" s="370">
        <v>-30.224499999999999</v>
      </c>
      <c r="N7" s="370">
        <v>48.056600000000003</v>
      </c>
      <c r="O7" s="370">
        <v>-48.868200000000002</v>
      </c>
      <c r="P7" s="62">
        <v>7.8898000000000001</v>
      </c>
      <c r="Q7" s="62">
        <v>7.8898000000000001</v>
      </c>
      <c r="V7" s="65"/>
    </row>
    <row r="8" spans="1:35" x14ac:dyDescent="0.25">
      <c r="A8" s="369">
        <v>5</v>
      </c>
      <c r="B8" s="370">
        <v>-9.2055000000000007</v>
      </c>
      <c r="C8" s="370">
        <v>0</v>
      </c>
      <c r="D8" s="370">
        <v>-9.2055000000000007</v>
      </c>
      <c r="E8" s="370">
        <v>18.103000000000002</v>
      </c>
      <c r="F8" s="370">
        <v>-18.103000000000002</v>
      </c>
      <c r="G8" s="62">
        <v>1.7592000000000001</v>
      </c>
      <c r="H8" s="62">
        <v>1.7592000000000001</v>
      </c>
      <c r="J8" s="370">
        <v>5</v>
      </c>
      <c r="K8" s="370">
        <v>-11.9658</v>
      </c>
      <c r="L8" s="370">
        <v>0</v>
      </c>
      <c r="M8" s="370">
        <v>-11.9658</v>
      </c>
      <c r="N8" s="370">
        <v>21.723600000000001</v>
      </c>
      <c r="O8" s="370">
        <v>-21.723600000000001</v>
      </c>
      <c r="P8" s="62">
        <v>2.7502</v>
      </c>
      <c r="Q8" s="62">
        <v>2.7502</v>
      </c>
      <c r="V8" s="65"/>
    </row>
    <row r="9" spans="1:35" x14ac:dyDescent="0.25">
      <c r="A9" s="369">
        <v>6</v>
      </c>
      <c r="B9" s="370">
        <v>-21.381900000000002</v>
      </c>
      <c r="C9" s="370">
        <v>13.3705</v>
      </c>
      <c r="D9" s="370">
        <v>-19.981100000000001</v>
      </c>
      <c r="E9" s="370">
        <v>34.402200000000001</v>
      </c>
      <c r="F9" s="370">
        <v>-33.701799999999999</v>
      </c>
      <c r="G9" s="62">
        <v>4.7039999999999997</v>
      </c>
      <c r="H9" s="62">
        <v>4.7039999999999997</v>
      </c>
      <c r="J9" s="370">
        <v>6</v>
      </c>
      <c r="K9" s="370">
        <v>-30.224499999999999</v>
      </c>
      <c r="L9" s="370">
        <v>19.049600000000002</v>
      </c>
      <c r="M9" s="370">
        <v>-28.601199999999999</v>
      </c>
      <c r="N9" s="370">
        <v>48.868200000000002</v>
      </c>
      <c r="O9" s="370">
        <v>-48.056600000000003</v>
      </c>
      <c r="P9" s="62">
        <v>7.8898000000000001</v>
      </c>
      <c r="Q9" s="62">
        <v>7.8898000000000001</v>
      </c>
      <c r="V9" s="65"/>
    </row>
    <row r="10" spans="1:35" x14ac:dyDescent="0.25">
      <c r="A10" s="363">
        <v>7</v>
      </c>
      <c r="B10" s="108">
        <v>-15.931699999999999</v>
      </c>
      <c r="C10" s="108">
        <v>15.446899999999999</v>
      </c>
      <c r="D10" s="108">
        <v>-21.278500000000001</v>
      </c>
      <c r="E10" s="108">
        <v>32.715299999999999</v>
      </c>
      <c r="F10" s="108">
        <v>-35.3887</v>
      </c>
      <c r="G10" s="62">
        <v>-8.8650000000000002</v>
      </c>
      <c r="H10" s="62">
        <v>-8.8650000000000002</v>
      </c>
      <c r="J10" s="108">
        <v>7</v>
      </c>
      <c r="K10" s="108">
        <v>-24.375800000000002</v>
      </c>
      <c r="L10" s="108">
        <v>23.962800000000001</v>
      </c>
      <c r="M10" s="108">
        <v>-32.623399999999997</v>
      </c>
      <c r="N10" s="108">
        <v>50.400500000000001</v>
      </c>
      <c r="O10" s="108">
        <v>-54.524299999999997</v>
      </c>
      <c r="P10" s="62">
        <v>-13.3713</v>
      </c>
      <c r="Q10" s="62">
        <v>-13.3713</v>
      </c>
      <c r="V10" s="65"/>
    </row>
    <row r="11" spans="1:35" x14ac:dyDescent="0.25">
      <c r="A11" s="363">
        <v>8</v>
      </c>
      <c r="B11" s="108">
        <v>-11.9183</v>
      </c>
      <c r="C11" s="108">
        <v>0</v>
      </c>
      <c r="D11" s="108">
        <v>-11.9183</v>
      </c>
      <c r="E11" s="108">
        <v>18.103000000000002</v>
      </c>
      <c r="F11" s="108">
        <v>-18.103000000000002</v>
      </c>
      <c r="G11" s="62">
        <v>-3.5447000000000002</v>
      </c>
      <c r="H11" s="62">
        <v>-3.5447000000000002</v>
      </c>
      <c r="J11" s="108">
        <v>8</v>
      </c>
      <c r="K11" s="108">
        <v>-17.7576</v>
      </c>
      <c r="L11" s="108">
        <v>0</v>
      </c>
      <c r="M11" s="108">
        <v>-17.7576</v>
      </c>
      <c r="N11" s="108">
        <v>24.7636</v>
      </c>
      <c r="O11" s="108">
        <v>-24.7636</v>
      </c>
      <c r="P11" s="62">
        <v>-5.0134999999999996</v>
      </c>
      <c r="Q11" s="62">
        <v>-5.0134999999999996</v>
      </c>
      <c r="V11" s="65"/>
    </row>
    <row r="12" spans="1:35" x14ac:dyDescent="0.25">
      <c r="A12" s="363">
        <v>9</v>
      </c>
      <c r="B12" s="108">
        <v>-21.278500000000001</v>
      </c>
      <c r="C12" s="108">
        <v>15.446899999999999</v>
      </c>
      <c r="D12" s="108">
        <v>-15.931699999999999</v>
      </c>
      <c r="E12" s="108">
        <v>35.3887</v>
      </c>
      <c r="F12" s="108">
        <v>-32.715299999999999</v>
      </c>
      <c r="G12" s="62">
        <v>-8.8650000000000002</v>
      </c>
      <c r="H12" s="62">
        <v>-8.8650000000000002</v>
      </c>
      <c r="J12" s="108">
        <v>9</v>
      </c>
      <c r="K12" s="108">
        <v>-32.623399999999997</v>
      </c>
      <c r="L12" s="108">
        <v>23.962800000000001</v>
      </c>
      <c r="M12" s="108">
        <v>-24.375800000000002</v>
      </c>
      <c r="N12" s="108">
        <v>54.524299999999997</v>
      </c>
      <c r="O12" s="108">
        <v>-50.400500000000001</v>
      </c>
      <c r="P12" s="62">
        <v>-13.3713</v>
      </c>
      <c r="Q12" s="62">
        <v>-13.3713</v>
      </c>
      <c r="V12" s="65"/>
      <c r="AF12" s="62" t="s">
        <v>356</v>
      </c>
      <c r="AI12" s="62" t="s">
        <v>357</v>
      </c>
    </row>
    <row r="13" spans="1:35" x14ac:dyDescent="0.25">
      <c r="A13" s="63">
        <v>10</v>
      </c>
      <c r="B13" s="62">
        <v>2.64</v>
      </c>
      <c r="C13" s="62">
        <v>2.64</v>
      </c>
      <c r="D13" s="62">
        <v>-5.3987999999999996</v>
      </c>
      <c r="E13" s="62">
        <v>-5.3592000000000004</v>
      </c>
      <c r="F13" s="62">
        <v>-5.3592000000000004</v>
      </c>
      <c r="G13" s="301">
        <v>-84.916499999999999</v>
      </c>
      <c r="H13" s="301">
        <v>-84.916499999999999</v>
      </c>
      <c r="J13" s="62">
        <v>10</v>
      </c>
      <c r="K13" s="62">
        <v>3.0104000000000002</v>
      </c>
      <c r="L13" s="62">
        <v>3.0104000000000002</v>
      </c>
      <c r="M13" s="62">
        <v>-6.1014999999999997</v>
      </c>
      <c r="N13" s="62">
        <v>-6.0746000000000002</v>
      </c>
      <c r="O13" s="62">
        <v>-6.0746000000000002</v>
      </c>
      <c r="P13" s="301">
        <v>-120.6251</v>
      </c>
      <c r="Q13" s="301">
        <v>-120.6251</v>
      </c>
      <c r="V13" s="65"/>
      <c r="AF13" s="62">
        <f>MIN(L37,Y61,Y111)</f>
        <v>-32.623399999999997</v>
      </c>
      <c r="AI13" s="62">
        <f>MAX(M37,Z61,Z111)</f>
        <v>23.962800000000001</v>
      </c>
    </row>
    <row r="14" spans="1:35" x14ac:dyDescent="0.25">
      <c r="A14" s="63">
        <v>11</v>
      </c>
      <c r="B14" s="62">
        <v>-1.2186999999999999</v>
      </c>
      <c r="C14" s="62">
        <v>2.4144999999999999</v>
      </c>
      <c r="D14" s="62">
        <v>2.4144999999999999</v>
      </c>
      <c r="E14" s="62">
        <v>2.4220999999999999</v>
      </c>
      <c r="F14" s="62">
        <v>2.4220999999999999</v>
      </c>
      <c r="G14" s="301">
        <v>-143.23249999999999</v>
      </c>
      <c r="H14" s="301">
        <v>-143.23249999999999</v>
      </c>
      <c r="J14" s="62">
        <v>11</v>
      </c>
      <c r="K14" s="62">
        <v>-1.0847</v>
      </c>
      <c r="L14" s="62">
        <v>2.1362000000000001</v>
      </c>
      <c r="M14" s="62">
        <v>2.1362000000000001</v>
      </c>
      <c r="N14" s="62">
        <v>2.1473</v>
      </c>
      <c r="O14" s="62">
        <v>2.1473</v>
      </c>
      <c r="P14" s="301">
        <v>-197.6337</v>
      </c>
      <c r="Q14" s="301">
        <v>-197.6337</v>
      </c>
      <c r="V14" s="65"/>
    </row>
    <row r="15" spans="1:35" x14ac:dyDescent="0.25">
      <c r="A15" s="63">
        <v>12</v>
      </c>
      <c r="B15" s="62">
        <v>1.2186999999999999</v>
      </c>
      <c r="C15" s="62">
        <v>1.2186999999999999</v>
      </c>
      <c r="D15" s="62">
        <v>-2.4144999999999999</v>
      </c>
      <c r="E15" s="62">
        <v>-2.4220999999999999</v>
      </c>
      <c r="F15" s="62">
        <v>-2.4220999999999999</v>
      </c>
      <c r="G15" s="301">
        <v>-143.23249999999999</v>
      </c>
      <c r="H15" s="301">
        <v>-143.23249999999999</v>
      </c>
      <c r="J15" s="62">
        <v>12</v>
      </c>
      <c r="K15" s="62">
        <v>1.0847</v>
      </c>
      <c r="L15" s="62">
        <v>1.0847</v>
      </c>
      <c r="M15" s="62">
        <v>-2.1362000000000001</v>
      </c>
      <c r="N15" s="62">
        <v>-2.1473</v>
      </c>
      <c r="O15" s="62">
        <v>-2.1473</v>
      </c>
      <c r="P15" s="301">
        <v>-197.6337</v>
      </c>
      <c r="Q15" s="301">
        <v>-197.6337</v>
      </c>
      <c r="V15" s="65"/>
      <c r="AF15" s="62" t="s">
        <v>355</v>
      </c>
    </row>
    <row r="16" spans="1:35" x14ac:dyDescent="0.25">
      <c r="A16" s="63">
        <v>13</v>
      </c>
      <c r="B16" s="62">
        <v>-2.64</v>
      </c>
      <c r="C16" s="62">
        <v>5.3987999999999996</v>
      </c>
      <c r="D16" s="62">
        <v>5.3987999999999996</v>
      </c>
      <c r="E16" s="62">
        <v>5.3592000000000004</v>
      </c>
      <c r="F16" s="62">
        <v>5.3592000000000004</v>
      </c>
      <c r="G16" s="301">
        <v>-84.916499999999999</v>
      </c>
      <c r="H16" s="301">
        <v>-84.916499999999999</v>
      </c>
      <c r="J16" s="62">
        <v>13</v>
      </c>
      <c r="K16" s="62">
        <v>-3.0104000000000002</v>
      </c>
      <c r="L16" s="62">
        <v>6.1014999999999997</v>
      </c>
      <c r="M16" s="62">
        <v>6.1014999999999997</v>
      </c>
      <c r="N16" s="62">
        <v>6.0746000000000002</v>
      </c>
      <c r="O16" s="62">
        <v>6.0746000000000002</v>
      </c>
      <c r="P16" s="301">
        <v>-120.6251</v>
      </c>
      <c r="Q16" s="301">
        <v>-120.6251</v>
      </c>
      <c r="V16" s="65"/>
      <c r="AF16" s="62">
        <f>MAX(L38,Y62,Y112)</f>
        <v>54.524299999999997</v>
      </c>
    </row>
    <row r="17" spans="1:22" x14ac:dyDescent="0.25">
      <c r="A17" s="63">
        <v>14</v>
      </c>
      <c r="B17" s="62">
        <v>5.7705000000000002</v>
      </c>
      <c r="C17" s="62">
        <v>5.7705000000000002</v>
      </c>
      <c r="D17" s="62">
        <v>-7.5448000000000004</v>
      </c>
      <c r="E17" s="62">
        <v>-4.1609999999999996</v>
      </c>
      <c r="F17" s="62">
        <v>-4.1609999999999996</v>
      </c>
      <c r="G17" s="370">
        <v>-66.417100000000005</v>
      </c>
      <c r="H17" s="370">
        <v>-66.417100000000005</v>
      </c>
      <c r="J17" s="62">
        <v>14</v>
      </c>
      <c r="K17" s="62">
        <v>7.3521000000000001</v>
      </c>
      <c r="L17" s="62">
        <v>7.3521000000000001</v>
      </c>
      <c r="M17" s="62">
        <v>-10.188800000000001</v>
      </c>
      <c r="N17" s="62">
        <v>-5.4814999999999996</v>
      </c>
      <c r="O17" s="62">
        <v>-5.4814999999999996</v>
      </c>
      <c r="P17" s="370">
        <v>-98.457099999999997</v>
      </c>
      <c r="Q17" s="370">
        <v>-98.457099999999997</v>
      </c>
      <c r="V17" s="65"/>
    </row>
    <row r="18" spans="1:22" x14ac:dyDescent="0.25">
      <c r="A18" s="63">
        <v>15</v>
      </c>
      <c r="B18" s="62">
        <v>-3.0901999999999998</v>
      </c>
      <c r="C18" s="62">
        <v>4.5117000000000003</v>
      </c>
      <c r="D18" s="62">
        <v>4.5117000000000003</v>
      </c>
      <c r="E18" s="62">
        <v>2.3755999999999999</v>
      </c>
      <c r="F18" s="62">
        <v>2.3755999999999999</v>
      </c>
      <c r="G18" s="370">
        <v>-105.9969</v>
      </c>
      <c r="H18" s="370">
        <v>-105.9969</v>
      </c>
      <c r="J18" s="62">
        <v>15</v>
      </c>
      <c r="K18" s="62">
        <v>-3.9192</v>
      </c>
      <c r="L18" s="62">
        <v>6.3792999999999997</v>
      </c>
      <c r="M18" s="62">
        <v>6.3792999999999997</v>
      </c>
      <c r="N18" s="62">
        <v>3.2183000000000002</v>
      </c>
      <c r="O18" s="62">
        <v>3.2183000000000002</v>
      </c>
      <c r="P18" s="370">
        <v>-149.87970000000001</v>
      </c>
      <c r="Q18" s="370">
        <v>-149.87970000000001</v>
      </c>
      <c r="V18" s="65"/>
    </row>
    <row r="19" spans="1:22" x14ac:dyDescent="0.25">
      <c r="A19" s="63">
        <v>16</v>
      </c>
      <c r="B19" s="62">
        <v>3.0901999999999998</v>
      </c>
      <c r="C19" s="62">
        <v>3.0901999999999998</v>
      </c>
      <c r="D19" s="62">
        <v>-4.5117000000000003</v>
      </c>
      <c r="E19" s="62">
        <v>-2.3755999999999999</v>
      </c>
      <c r="F19" s="62">
        <v>-2.3755999999999999</v>
      </c>
      <c r="G19" s="370">
        <v>-105.9969</v>
      </c>
      <c r="H19" s="370">
        <v>-105.9969</v>
      </c>
      <c r="J19" s="62">
        <v>16</v>
      </c>
      <c r="K19" s="62">
        <v>3.9192</v>
      </c>
      <c r="L19" s="62">
        <v>3.9192</v>
      </c>
      <c r="M19" s="62">
        <v>-6.3792999999999997</v>
      </c>
      <c r="N19" s="62">
        <v>-3.2183000000000002</v>
      </c>
      <c r="O19" s="62">
        <v>-3.2183000000000002</v>
      </c>
      <c r="P19" s="370">
        <v>-149.87970000000001</v>
      </c>
      <c r="Q19" s="370">
        <v>-149.87970000000001</v>
      </c>
      <c r="V19" s="65"/>
    </row>
    <row r="20" spans="1:22" x14ac:dyDescent="0.25">
      <c r="A20" s="63">
        <v>17</v>
      </c>
      <c r="B20" s="62">
        <v>-5.7705000000000002</v>
      </c>
      <c r="C20" s="62">
        <v>7.5448000000000004</v>
      </c>
      <c r="D20" s="62">
        <v>7.5448000000000004</v>
      </c>
      <c r="E20" s="62">
        <v>4.1609999999999996</v>
      </c>
      <c r="F20" s="62">
        <v>4.1609999999999996</v>
      </c>
      <c r="G20" s="370">
        <v>-66.417100000000005</v>
      </c>
      <c r="H20" s="370">
        <v>-66.417100000000005</v>
      </c>
      <c r="J20" s="62">
        <v>17</v>
      </c>
      <c r="K20" s="62">
        <v>-7.3521000000000001</v>
      </c>
      <c r="L20" s="62">
        <v>10.188800000000001</v>
      </c>
      <c r="M20" s="62">
        <v>10.188800000000001</v>
      </c>
      <c r="N20" s="62">
        <v>5.4814999999999996</v>
      </c>
      <c r="O20" s="62">
        <v>5.4814999999999996</v>
      </c>
      <c r="P20" s="370">
        <v>-98.457099999999997</v>
      </c>
      <c r="Q20" s="370">
        <v>-98.457099999999997</v>
      </c>
      <c r="V20" s="65"/>
    </row>
    <row r="21" spans="1:22" x14ac:dyDescent="0.25">
      <c r="A21" s="63">
        <v>18</v>
      </c>
      <c r="B21" s="62">
        <v>12.436299999999999</v>
      </c>
      <c r="C21" s="62">
        <v>12.436299999999999</v>
      </c>
      <c r="D21" s="62">
        <v>-15.931699999999999</v>
      </c>
      <c r="E21" s="62">
        <v>-8.8650000000000002</v>
      </c>
      <c r="F21" s="62">
        <v>-8.8650000000000002</v>
      </c>
      <c r="G21" s="108">
        <v>-32.715299999999999</v>
      </c>
      <c r="H21" s="108">
        <v>-32.715299999999999</v>
      </c>
      <c r="J21" s="62">
        <v>18</v>
      </c>
      <c r="K21" s="62">
        <v>18.412400000000002</v>
      </c>
      <c r="L21" s="62">
        <v>18.412400000000002</v>
      </c>
      <c r="M21" s="62">
        <v>-24.375800000000002</v>
      </c>
      <c r="N21" s="62">
        <v>-13.3713</v>
      </c>
      <c r="O21" s="62">
        <v>-13.3713</v>
      </c>
      <c r="P21" s="108">
        <v>-50.400500000000001</v>
      </c>
      <c r="Q21" s="108">
        <v>-50.400500000000001</v>
      </c>
      <c r="V21" s="65"/>
    </row>
    <row r="22" spans="1:22" x14ac:dyDescent="0.25">
      <c r="A22" s="63">
        <v>19</v>
      </c>
      <c r="B22" s="62">
        <v>-7.6647999999999996</v>
      </c>
      <c r="C22" s="62">
        <v>9.3602000000000007</v>
      </c>
      <c r="D22" s="62">
        <v>9.3603000000000005</v>
      </c>
      <c r="E22" s="62">
        <v>5.3202999999999996</v>
      </c>
      <c r="F22" s="62">
        <v>5.3202999999999996</v>
      </c>
      <c r="G22" s="108">
        <v>-53.491700000000002</v>
      </c>
      <c r="H22" s="108">
        <v>-53.491700000000002</v>
      </c>
      <c r="J22" s="62">
        <v>19</v>
      </c>
      <c r="K22" s="62">
        <v>-11.879300000000001</v>
      </c>
      <c r="L22" s="62">
        <v>14.8658</v>
      </c>
      <c r="M22" s="62">
        <v>14.8658</v>
      </c>
      <c r="N22" s="62">
        <v>8.3579000000000008</v>
      </c>
      <c r="O22" s="62">
        <v>8.3579000000000008</v>
      </c>
      <c r="P22" s="108">
        <v>-79.287899999999993</v>
      </c>
      <c r="Q22" s="108">
        <v>-79.287899999999993</v>
      </c>
      <c r="V22" s="65"/>
    </row>
    <row r="23" spans="1:22" x14ac:dyDescent="0.25">
      <c r="A23" s="63">
        <v>20</v>
      </c>
      <c r="B23" s="62">
        <v>7.6647999999999996</v>
      </c>
      <c r="C23" s="62">
        <v>7.6647999999999996</v>
      </c>
      <c r="D23" s="62">
        <v>-9.3603000000000005</v>
      </c>
      <c r="E23" s="62">
        <v>-5.3202999999999996</v>
      </c>
      <c r="F23" s="62">
        <v>-5.3202999999999996</v>
      </c>
      <c r="G23" s="108">
        <v>-53.491700000000002</v>
      </c>
      <c r="H23" s="108">
        <v>-53.491700000000002</v>
      </c>
      <c r="J23" s="62">
        <v>20</v>
      </c>
      <c r="K23" s="62">
        <v>11.879300000000001</v>
      </c>
      <c r="L23" s="62">
        <v>11.879300000000001</v>
      </c>
      <c r="M23" s="62">
        <v>-14.8658</v>
      </c>
      <c r="N23" s="62">
        <v>-8.3579000000000008</v>
      </c>
      <c r="O23" s="62">
        <v>-8.3579000000000008</v>
      </c>
      <c r="P23" s="108">
        <v>-79.287899999999993</v>
      </c>
      <c r="Q23" s="108">
        <v>-79.287899999999993</v>
      </c>
      <c r="V23" s="65"/>
    </row>
    <row r="24" spans="1:22" x14ac:dyDescent="0.25">
      <c r="A24" s="63">
        <v>21</v>
      </c>
      <c r="B24" s="62">
        <v>-12.436299999999999</v>
      </c>
      <c r="C24" s="62">
        <v>15.931699999999999</v>
      </c>
      <c r="D24" s="62">
        <v>15.931699999999999</v>
      </c>
      <c r="E24" s="62">
        <v>8.8650000000000002</v>
      </c>
      <c r="F24" s="62">
        <v>8.8650000000000002</v>
      </c>
      <c r="G24" s="108">
        <v>-32.715299999999999</v>
      </c>
      <c r="H24" s="108">
        <v>-32.715299999999999</v>
      </c>
      <c r="J24" s="62">
        <v>21</v>
      </c>
      <c r="K24" s="62">
        <v>-18.412400000000002</v>
      </c>
      <c r="L24" s="62">
        <v>24.375800000000002</v>
      </c>
      <c r="M24" s="62">
        <v>24.375800000000002</v>
      </c>
      <c r="N24" s="62">
        <v>13.3713</v>
      </c>
      <c r="O24" s="62">
        <v>13.3713</v>
      </c>
      <c r="P24" s="108">
        <v>-50.400500000000001</v>
      </c>
      <c r="Q24" s="108">
        <v>-50.400500000000001</v>
      </c>
      <c r="V24" s="65"/>
    </row>
    <row r="25" spans="1:22" x14ac:dyDescent="0.25">
      <c r="A25" s="63"/>
      <c r="V25" s="65"/>
    </row>
    <row r="26" spans="1:22" x14ac:dyDescent="0.25">
      <c r="A26" s="112" t="s">
        <v>10</v>
      </c>
      <c r="J26" s="92" t="s">
        <v>475</v>
      </c>
      <c r="K26" s="92"/>
      <c r="O26" s="92" t="s">
        <v>470</v>
      </c>
      <c r="V26" s="65"/>
    </row>
    <row r="27" spans="1:22" x14ac:dyDescent="0.25">
      <c r="A27" s="62" t="s">
        <v>0</v>
      </c>
      <c r="B27" s="62" t="s">
        <v>1</v>
      </c>
      <c r="C27" s="62" t="s">
        <v>2</v>
      </c>
      <c r="D27" s="62" t="s">
        <v>3</v>
      </c>
      <c r="E27" s="62" t="s">
        <v>4</v>
      </c>
      <c r="F27" s="62" t="s">
        <v>5</v>
      </c>
      <c r="G27" s="62" t="s">
        <v>6</v>
      </c>
      <c r="H27" s="62" t="s">
        <v>7</v>
      </c>
      <c r="J27" s="62" t="s">
        <v>473</v>
      </c>
      <c r="K27" s="62" t="s">
        <v>18</v>
      </c>
      <c r="L27" s="62" t="s">
        <v>13</v>
      </c>
      <c r="M27" s="62" t="s">
        <v>14</v>
      </c>
      <c r="O27" s="62" t="s">
        <v>292</v>
      </c>
      <c r="V27" s="65"/>
    </row>
    <row r="28" spans="1:22" x14ac:dyDescent="0.25">
      <c r="A28" s="301">
        <v>1</v>
      </c>
      <c r="B28" s="301">
        <v>-3.1600000000000003E-2</v>
      </c>
      <c r="C28" s="301">
        <v>0</v>
      </c>
      <c r="D28" s="301">
        <v>-0.10979999999999999</v>
      </c>
      <c r="E28" s="301">
        <v>-1.9599999999999999E-2</v>
      </c>
      <c r="F28" s="301">
        <v>-1.9599999999999999E-2</v>
      </c>
      <c r="G28" s="62">
        <v>0.52790000000000004</v>
      </c>
      <c r="H28" s="62">
        <v>0.52790000000000004</v>
      </c>
      <c r="J28" s="62" t="s">
        <v>15</v>
      </c>
      <c r="O28" s="62" t="s">
        <v>471</v>
      </c>
      <c r="P28" s="62" t="s">
        <v>18</v>
      </c>
      <c r="Q28" s="62" t="s">
        <v>13</v>
      </c>
      <c r="R28" s="62" t="s">
        <v>14</v>
      </c>
      <c r="V28" s="65"/>
    </row>
    <row r="29" spans="1:22" x14ac:dyDescent="0.25">
      <c r="A29" s="301">
        <v>2</v>
      </c>
      <c r="B29" s="301">
        <v>-0.4536</v>
      </c>
      <c r="C29" s="301">
        <v>0.49640000000000001</v>
      </c>
      <c r="D29" s="301">
        <v>-0.4536</v>
      </c>
      <c r="E29" s="301">
        <v>1.9</v>
      </c>
      <c r="F29" s="301">
        <v>-1.9</v>
      </c>
      <c r="G29" s="62">
        <v>-0.1764</v>
      </c>
      <c r="H29" s="62">
        <v>-0.1764</v>
      </c>
      <c r="K29" s="62" t="s">
        <v>19</v>
      </c>
      <c r="L29" s="62">
        <f>MIN(B4:B12)</f>
        <v>-21.381900000000002</v>
      </c>
      <c r="M29" s="62">
        <f>MAX(C4:C12)</f>
        <v>15.446899999999999</v>
      </c>
      <c r="O29" s="62" t="s">
        <v>15</v>
      </c>
      <c r="V29" s="65"/>
    </row>
    <row r="30" spans="1:22" x14ac:dyDescent="0.25">
      <c r="A30" s="301">
        <v>3</v>
      </c>
      <c r="B30" s="301">
        <v>-0.10979999999999999</v>
      </c>
      <c r="C30" s="301">
        <v>0</v>
      </c>
      <c r="D30" s="301">
        <v>-3.1600000000000003E-2</v>
      </c>
      <c r="E30" s="301">
        <v>1.9599999999999999E-2</v>
      </c>
      <c r="F30" s="301">
        <v>1.9599999999999999E-2</v>
      </c>
      <c r="G30" s="62">
        <v>0.52790000000000004</v>
      </c>
      <c r="H30" s="62">
        <v>0.52790000000000004</v>
      </c>
      <c r="K30" s="62" t="s">
        <v>20</v>
      </c>
      <c r="L30" s="62" cm="1">
        <f t="array" ref="L30">MAX(ABS(E4:F12))</f>
        <v>35.3887</v>
      </c>
      <c r="P30" s="62" t="s">
        <v>19</v>
      </c>
      <c r="Q30" s="62">
        <f>MIN(B4:B6)</f>
        <v>-12.4358</v>
      </c>
      <c r="R30" s="62">
        <f>MAX(C4:C6)</f>
        <v>7.0134999999999996</v>
      </c>
      <c r="V30" s="65"/>
    </row>
    <row r="31" spans="1:22" x14ac:dyDescent="0.25">
      <c r="A31" s="370">
        <v>4</v>
      </c>
      <c r="B31" s="370">
        <v>-2.8898999999999999</v>
      </c>
      <c r="C31" s="370">
        <v>1.8781000000000001</v>
      </c>
      <c r="D31" s="370">
        <v>-2.8538000000000001</v>
      </c>
      <c r="E31" s="370">
        <v>4.7590000000000003</v>
      </c>
      <c r="F31" s="370">
        <v>-4.7409999999999997</v>
      </c>
      <c r="G31" s="62">
        <v>1.4031</v>
      </c>
      <c r="H31" s="62">
        <v>1.4031</v>
      </c>
      <c r="K31" s="62" t="s">
        <v>147</v>
      </c>
      <c r="L31" s="62" cm="1">
        <f t="array" ref="L31">MAX(ABS(H13:H24))</f>
        <v>143.23249999999999</v>
      </c>
      <c r="P31" s="62" t="s">
        <v>20</v>
      </c>
      <c r="Q31" s="62" cm="1">
        <f t="array" ref="Q31">MAX(ABS(E4:F6))</f>
        <v>19.1326</v>
      </c>
      <c r="V31" s="65"/>
    </row>
    <row r="32" spans="1:22" x14ac:dyDescent="0.25">
      <c r="A32" s="370">
        <v>5</v>
      </c>
      <c r="B32" s="370">
        <v>-0.57450000000000001</v>
      </c>
      <c r="C32" s="370">
        <v>0</v>
      </c>
      <c r="D32" s="370">
        <v>-0.57450000000000001</v>
      </c>
      <c r="E32" s="374">
        <v>4.2194900000000002E-16</v>
      </c>
      <c r="F32" s="374">
        <v>4.2194900000000002E-16</v>
      </c>
      <c r="G32" s="62">
        <v>0.39950000000000002</v>
      </c>
      <c r="H32" s="62">
        <v>0.39950000000000002</v>
      </c>
      <c r="J32" s="62" t="s">
        <v>16</v>
      </c>
      <c r="P32" s="62" t="s">
        <v>147</v>
      </c>
      <c r="Q32" s="62" cm="1">
        <f t="array" ref="Q32">MAX(ABS(H13:H16))</f>
        <v>143.23249999999999</v>
      </c>
      <c r="V32" s="65"/>
    </row>
    <row r="33" spans="1:22" x14ac:dyDescent="0.25">
      <c r="A33" s="370">
        <v>6</v>
      </c>
      <c r="B33" s="370">
        <v>-2.8538000000000001</v>
      </c>
      <c r="C33" s="370">
        <v>1.8781000000000001</v>
      </c>
      <c r="D33" s="370">
        <v>-2.8898999999999999</v>
      </c>
      <c r="E33" s="370">
        <v>4.7409999999999997</v>
      </c>
      <c r="F33" s="370">
        <v>-4.7590000000000003</v>
      </c>
      <c r="G33" s="62">
        <v>1.4031</v>
      </c>
      <c r="H33" s="62">
        <v>1.4031</v>
      </c>
      <c r="K33" s="62" t="s">
        <v>19</v>
      </c>
      <c r="L33" s="62">
        <f>MIN(B28:B36)</f>
        <v>-4.4306999999999999</v>
      </c>
      <c r="M33" s="62">
        <f>MAX(C28:C36)</f>
        <v>3.3915999999999999</v>
      </c>
      <c r="O33" s="62" t="s">
        <v>16</v>
      </c>
      <c r="V33" s="65"/>
    </row>
    <row r="34" spans="1:22" x14ac:dyDescent="0.25">
      <c r="A34" s="108">
        <v>7</v>
      </c>
      <c r="B34" s="108">
        <v>-3.2860999999999998</v>
      </c>
      <c r="C34" s="108">
        <v>3.3915999999999999</v>
      </c>
      <c r="D34" s="108">
        <v>-4.4306999999999999</v>
      </c>
      <c r="E34" s="108">
        <v>6.9638</v>
      </c>
      <c r="F34" s="108">
        <v>-7.5362</v>
      </c>
      <c r="G34" s="62">
        <v>-1.7082999999999999</v>
      </c>
      <c r="H34" s="62">
        <v>-1.7082999999999999</v>
      </c>
      <c r="K34" s="62" t="s">
        <v>20</v>
      </c>
      <c r="L34" s="62" cm="1">
        <f t="array" ref="L34">MAX(ABS(E28:F36))</f>
        <v>7.5362</v>
      </c>
      <c r="P34" s="62" t="s">
        <v>19</v>
      </c>
      <c r="Q34" s="62">
        <f>MIN(B28:B30)</f>
        <v>-0.4536</v>
      </c>
      <c r="R34" s="62">
        <f>MAX(C28:C30)</f>
        <v>0.49640000000000001</v>
      </c>
      <c r="V34" s="65"/>
    </row>
    <row r="35" spans="1:22" x14ac:dyDescent="0.25">
      <c r="A35" s="108">
        <v>8</v>
      </c>
      <c r="B35" s="108">
        <v>-2.1598000000000002</v>
      </c>
      <c r="C35" s="108">
        <v>0</v>
      </c>
      <c r="D35" s="108">
        <v>-2.1598000000000002</v>
      </c>
      <c r="E35" s="108">
        <v>1.9</v>
      </c>
      <c r="F35" s="108">
        <v>-1.9</v>
      </c>
      <c r="G35" s="62">
        <v>-0.47489999999999999</v>
      </c>
      <c r="H35" s="62">
        <v>-0.47489999999999999</v>
      </c>
      <c r="K35" s="62" t="s">
        <v>147</v>
      </c>
      <c r="L35" s="62" cm="1">
        <f t="array" ref="L35">MAX(ABS(H37:H48))</f>
        <v>16.096699999999998</v>
      </c>
      <c r="P35" s="62" t="s">
        <v>20</v>
      </c>
      <c r="Q35" s="62" cm="1">
        <f t="array" ref="Q35">MAX(ABS(E28:F30))</f>
        <v>1.9</v>
      </c>
      <c r="V35" s="65"/>
    </row>
    <row r="36" spans="1:22" x14ac:dyDescent="0.25">
      <c r="A36" s="108">
        <v>9</v>
      </c>
      <c r="B36" s="108">
        <v>-4.4306999999999999</v>
      </c>
      <c r="C36" s="108">
        <v>3.3915999999999999</v>
      </c>
      <c r="D36" s="108">
        <v>-3.2860999999999998</v>
      </c>
      <c r="E36" s="108">
        <v>7.5362</v>
      </c>
      <c r="F36" s="108">
        <v>-6.9638</v>
      </c>
      <c r="G36" s="62">
        <v>-1.7082999999999999</v>
      </c>
      <c r="H36" s="62">
        <v>-1.7082999999999999</v>
      </c>
      <c r="J36" s="62" t="s">
        <v>17</v>
      </c>
      <c r="P36" s="62" t="s">
        <v>147</v>
      </c>
      <c r="Q36" s="62" cm="1">
        <f t="array" ref="Q36">MAX(ABS(H37:H40))</f>
        <v>16.096699999999998</v>
      </c>
      <c r="V36" s="65"/>
    </row>
    <row r="37" spans="1:22" x14ac:dyDescent="0.25">
      <c r="A37" s="62">
        <v>10</v>
      </c>
      <c r="B37" s="62">
        <v>-9.8500000000000004E-2</v>
      </c>
      <c r="C37" s="62">
        <v>0.2356</v>
      </c>
      <c r="D37" s="62">
        <v>0.2356</v>
      </c>
      <c r="E37" s="62">
        <v>0.22270000000000001</v>
      </c>
      <c r="F37" s="62">
        <v>0.22270000000000001</v>
      </c>
      <c r="G37" s="301">
        <v>-11.7033</v>
      </c>
      <c r="H37" s="301">
        <v>-11.7033</v>
      </c>
      <c r="K37" s="62" t="s">
        <v>19</v>
      </c>
      <c r="L37" s="62">
        <f>MIN(K4:K12)</f>
        <v>-32.623399999999997</v>
      </c>
      <c r="M37" s="62">
        <f>MAX(L4:L12)</f>
        <v>23.962800000000001</v>
      </c>
      <c r="O37" s="62" t="s">
        <v>472</v>
      </c>
      <c r="V37" s="65"/>
    </row>
    <row r="38" spans="1:22" x14ac:dyDescent="0.25">
      <c r="A38" s="62">
        <v>11</v>
      </c>
      <c r="B38" s="62">
        <v>0.2361</v>
      </c>
      <c r="C38" s="62">
        <v>0.2361</v>
      </c>
      <c r="D38" s="62">
        <v>-0.47570000000000001</v>
      </c>
      <c r="E38" s="62">
        <v>-0.47460000000000002</v>
      </c>
      <c r="F38" s="62">
        <v>-0.47460000000000002</v>
      </c>
      <c r="G38" s="301">
        <v>-16.096699999999998</v>
      </c>
      <c r="H38" s="301">
        <v>-16.096699999999998</v>
      </c>
      <c r="K38" s="62" t="s">
        <v>20</v>
      </c>
      <c r="L38" s="62" cm="1">
        <f t="array" ref="L38">MAX(ABS(N4:O12))</f>
        <v>54.524299999999997</v>
      </c>
      <c r="O38" s="62" t="s">
        <v>471</v>
      </c>
      <c r="P38" s="62" t="s">
        <v>18</v>
      </c>
      <c r="Q38" s="62" t="s">
        <v>13</v>
      </c>
      <c r="R38" s="62" t="s">
        <v>14</v>
      </c>
      <c r="V38" s="65"/>
    </row>
    <row r="39" spans="1:22" x14ac:dyDescent="0.25">
      <c r="A39" s="62">
        <v>12</v>
      </c>
      <c r="B39" s="62">
        <v>-0.2361</v>
      </c>
      <c r="C39" s="62">
        <v>0.47570000000000001</v>
      </c>
      <c r="D39" s="62">
        <v>0.47570000000000001</v>
      </c>
      <c r="E39" s="62">
        <v>0.47460000000000002</v>
      </c>
      <c r="F39" s="62">
        <v>0.47460000000000002</v>
      </c>
      <c r="G39" s="301">
        <v>-16.096699999999998</v>
      </c>
      <c r="H39" s="301">
        <v>-16.096699999999998</v>
      </c>
      <c r="K39" s="62" t="s">
        <v>147</v>
      </c>
      <c r="L39" s="62" cm="1">
        <f t="array" ref="L39">MAX(ABS(Q13:Q24))</f>
        <v>197.6337</v>
      </c>
      <c r="O39" s="62" t="s">
        <v>15</v>
      </c>
      <c r="V39" s="65"/>
    </row>
    <row r="40" spans="1:22" x14ac:dyDescent="0.25">
      <c r="A40" s="62">
        <v>13</v>
      </c>
      <c r="B40" s="62">
        <v>9.8500000000000004E-2</v>
      </c>
      <c r="C40" s="62">
        <v>9.8500000000000004E-2</v>
      </c>
      <c r="D40" s="62">
        <v>-0.2356</v>
      </c>
      <c r="E40" s="62">
        <v>-0.22270000000000001</v>
      </c>
      <c r="F40" s="62">
        <v>-0.22270000000000001</v>
      </c>
      <c r="G40" s="301">
        <v>-11.7033</v>
      </c>
      <c r="H40" s="301">
        <v>-11.7033</v>
      </c>
      <c r="P40" s="62" t="s">
        <v>19</v>
      </c>
      <c r="Q40" s="62">
        <f>MIN(B7:B12)</f>
        <v>-21.381900000000002</v>
      </c>
      <c r="R40" s="62">
        <f>MAX(C7:C12)</f>
        <v>15.446899999999999</v>
      </c>
      <c r="V40" s="65"/>
    </row>
    <row r="41" spans="1:22" x14ac:dyDescent="0.25">
      <c r="A41" s="62">
        <v>14</v>
      </c>
      <c r="B41" s="62">
        <v>0.26719999999999999</v>
      </c>
      <c r="C41" s="62">
        <v>0.26719999999999999</v>
      </c>
      <c r="D41" s="62">
        <v>-0.70940000000000003</v>
      </c>
      <c r="E41" s="62">
        <v>-0.30520000000000003</v>
      </c>
      <c r="F41" s="62">
        <v>-0.30520000000000003</v>
      </c>
      <c r="G41" s="370">
        <v>-11.722899999999999</v>
      </c>
      <c r="H41" s="370">
        <v>-11.722899999999999</v>
      </c>
      <c r="J41" s="92" t="s">
        <v>476</v>
      </c>
      <c r="P41" s="62" t="s">
        <v>20</v>
      </c>
      <c r="Q41" s="62" cm="1">
        <f t="array" ref="Q41">MAX(ABS(E7:F12))</f>
        <v>35.3887</v>
      </c>
      <c r="V41" s="65"/>
    </row>
    <row r="42" spans="1:22" x14ac:dyDescent="0.25">
      <c r="A42" s="62">
        <v>15</v>
      </c>
      <c r="B42" s="62">
        <v>-0.13189999999999999</v>
      </c>
      <c r="C42" s="62">
        <v>0.60329999999999995</v>
      </c>
      <c r="D42" s="62">
        <v>0.60329999999999995</v>
      </c>
      <c r="E42" s="62">
        <v>0.22969999999999999</v>
      </c>
      <c r="F42" s="62">
        <v>0.22969999999999999</v>
      </c>
      <c r="G42" s="370">
        <v>-14.177099999999999</v>
      </c>
      <c r="H42" s="370">
        <v>-14.177099999999999</v>
      </c>
      <c r="J42" s="62" t="s">
        <v>474</v>
      </c>
      <c r="K42" s="62" t="s">
        <v>149</v>
      </c>
      <c r="L42" s="62" t="s">
        <v>150</v>
      </c>
      <c r="P42" s="62" t="s">
        <v>147</v>
      </c>
      <c r="Q42" s="62" cm="1">
        <f t="array" ref="Q42">MAX(ABS(H17:I24))</f>
        <v>105.9969</v>
      </c>
      <c r="V42" s="65"/>
    </row>
    <row r="43" spans="1:22" x14ac:dyDescent="0.25">
      <c r="A43" s="62">
        <v>16</v>
      </c>
      <c r="B43" s="62">
        <v>0.13189999999999999</v>
      </c>
      <c r="C43" s="62">
        <v>0.13189999999999999</v>
      </c>
      <c r="D43" s="62">
        <v>-0.60329999999999995</v>
      </c>
      <c r="E43" s="62">
        <v>-0.22969999999999999</v>
      </c>
      <c r="F43" s="62">
        <v>-0.22969999999999999</v>
      </c>
      <c r="G43" s="370">
        <v>-14.177099999999999</v>
      </c>
      <c r="H43" s="370">
        <v>-14.177099999999999</v>
      </c>
      <c r="J43" s="62" t="s">
        <v>478</v>
      </c>
      <c r="K43" s="62" cm="1">
        <f t="array" ref="K43">MAX(ABS(Q18:Q19))</f>
        <v>149.87970000000001</v>
      </c>
      <c r="L43" s="62">
        <f>MAX(ABS(Q17), ABS(Q20))</f>
        <v>98.457099999999997</v>
      </c>
      <c r="O43" s="62" t="s">
        <v>16</v>
      </c>
      <c r="V43" s="65"/>
    </row>
    <row r="44" spans="1:22" x14ac:dyDescent="0.25">
      <c r="A44" s="62">
        <v>17</v>
      </c>
      <c r="B44" s="62">
        <v>-0.26719999999999999</v>
      </c>
      <c r="C44" s="62">
        <v>0.70940000000000003</v>
      </c>
      <c r="D44" s="62">
        <v>0.70940000000000003</v>
      </c>
      <c r="E44" s="62">
        <v>0.30520000000000003</v>
      </c>
      <c r="F44" s="62">
        <v>0.30520000000000003</v>
      </c>
      <c r="G44" s="370">
        <v>-11.722899999999999</v>
      </c>
      <c r="H44" s="370">
        <v>-11.722899999999999</v>
      </c>
      <c r="J44" s="62" t="s">
        <v>479</v>
      </c>
      <c r="K44" s="62" cm="1">
        <f t="array" ref="K44">MAX(ABS(Q22:Q23))</f>
        <v>79.287899999999993</v>
      </c>
      <c r="L44" s="62">
        <f>MAX(ABS(Q21), ABS(Q24))</f>
        <v>50.400500000000001</v>
      </c>
      <c r="P44" s="62" t="s">
        <v>19</v>
      </c>
      <c r="Q44" s="62">
        <f>MIN(B31:B36)</f>
        <v>-4.4306999999999999</v>
      </c>
      <c r="R44" s="62">
        <f>MAX(C31:C36)</f>
        <v>3.3915999999999999</v>
      </c>
      <c r="U44" s="301"/>
      <c r="V44" s="65" t="s">
        <v>369</v>
      </c>
    </row>
    <row r="45" spans="1:22" x14ac:dyDescent="0.25">
      <c r="A45" s="62">
        <v>18</v>
      </c>
      <c r="B45" s="62">
        <v>2.1806000000000001</v>
      </c>
      <c r="C45" s="62">
        <v>2.1806000000000001</v>
      </c>
      <c r="D45" s="62">
        <v>-3.2860999999999998</v>
      </c>
      <c r="E45" s="62">
        <v>-1.7082999999999999</v>
      </c>
      <c r="F45" s="62">
        <v>-1.7082999999999999</v>
      </c>
      <c r="G45" s="108">
        <v>-6.9638</v>
      </c>
      <c r="H45" s="108">
        <v>-6.9638</v>
      </c>
      <c r="J45" s="92" t="s">
        <v>477</v>
      </c>
      <c r="P45" s="62" t="s">
        <v>20</v>
      </c>
      <c r="Q45" s="62" cm="1">
        <f t="array" ref="Q45">MAX(ABS(E31:F36))</f>
        <v>7.5362</v>
      </c>
      <c r="U45" s="361"/>
      <c r="V45" s="65" t="s">
        <v>358</v>
      </c>
    </row>
    <row r="46" spans="1:22" x14ac:dyDescent="0.25">
      <c r="A46" s="62">
        <v>19</v>
      </c>
      <c r="B46" s="62">
        <v>-1.6759999999999999</v>
      </c>
      <c r="C46" s="62">
        <v>2.2709999999999999</v>
      </c>
      <c r="D46" s="62">
        <v>2.2709999999999999</v>
      </c>
      <c r="E46" s="62">
        <v>1.2334000000000001</v>
      </c>
      <c r="F46" s="62">
        <v>1.2334000000000001</v>
      </c>
      <c r="G46" s="108">
        <v>-9.4361999999999995</v>
      </c>
      <c r="H46" s="108">
        <v>-9.4361999999999995</v>
      </c>
      <c r="J46" s="62" t="s">
        <v>474</v>
      </c>
      <c r="K46" s="62" t="s">
        <v>149</v>
      </c>
      <c r="L46" s="62" t="s">
        <v>150</v>
      </c>
      <c r="M46" s="62" t="s">
        <v>149</v>
      </c>
      <c r="N46" s="62" t="s">
        <v>150</v>
      </c>
      <c r="P46" s="62" t="s">
        <v>147</v>
      </c>
      <c r="Q46" s="62" cm="1">
        <f t="array" ref="Q46">MAX(ABS(H41:H48))</f>
        <v>14.177099999999999</v>
      </c>
      <c r="U46" s="108"/>
      <c r="V46" s="65" t="s">
        <v>363</v>
      </c>
    </row>
    <row r="47" spans="1:22" x14ac:dyDescent="0.25">
      <c r="A47" s="62">
        <v>20</v>
      </c>
      <c r="B47" s="62">
        <v>1.6759999999999999</v>
      </c>
      <c r="C47" s="62">
        <v>1.6759999999999999</v>
      </c>
      <c r="D47" s="62">
        <v>-2.2709999999999999</v>
      </c>
      <c r="E47" s="62">
        <v>-1.2334000000000001</v>
      </c>
      <c r="F47" s="62">
        <v>-1.2334000000000001</v>
      </c>
      <c r="G47" s="108">
        <v>-9.4361999999999995</v>
      </c>
      <c r="H47" s="108">
        <v>-9.4361999999999995</v>
      </c>
      <c r="J47" s="62" t="s">
        <v>478</v>
      </c>
      <c r="K47" s="62" cm="1">
        <f t="array" ref="K47">MAX(ABS(H14:H15))</f>
        <v>143.23249999999999</v>
      </c>
      <c r="L47" s="62">
        <f>MAX(ABS(H13), ABS(H16))</f>
        <v>84.916499999999999</v>
      </c>
      <c r="M47" s="62" cm="1">
        <f t="array" ref="M47">MAX(ABS(H38:H39))</f>
        <v>16.096699999999998</v>
      </c>
      <c r="N47" s="62">
        <f>MAX(ABS(H37), ABS(H40))</f>
        <v>11.7033</v>
      </c>
      <c r="V47" s="65"/>
    </row>
    <row r="48" spans="1:22" ht="14.4" thickBot="1" x14ac:dyDescent="0.3">
      <c r="A48" s="62">
        <v>21</v>
      </c>
      <c r="B48" s="62">
        <v>-2.1806000000000001</v>
      </c>
      <c r="C48" s="62">
        <v>3.2860999999999998</v>
      </c>
      <c r="D48" s="62">
        <v>3.2860999999999998</v>
      </c>
      <c r="E48" s="62">
        <v>1.7082999999999999</v>
      </c>
      <c r="F48" s="62">
        <v>1.7082999999999999</v>
      </c>
      <c r="G48" s="108">
        <v>-6.9638</v>
      </c>
      <c r="H48" s="108">
        <v>-6.9638</v>
      </c>
      <c r="I48" s="78"/>
      <c r="J48" s="78" t="s">
        <v>479</v>
      </c>
      <c r="K48" s="78" cm="1">
        <f t="array" ref="K48">MAX(ABS(H18:H19),(H22:H23))</f>
        <v>105.9969</v>
      </c>
      <c r="L48" s="78">
        <f>MAX(ABS(H17), ABS(H20),ABS(H21),ABS(H24))</f>
        <v>66.417100000000005</v>
      </c>
      <c r="M48" s="78" cm="1">
        <f t="array" ref="M48">MAX(ABS(H42:H43),(H46:H47))</f>
        <v>14.177099999999999</v>
      </c>
      <c r="N48" s="78">
        <f>MAX(ABS(H41), ABS(H44),ABS(H45),ABS(H48))</f>
        <v>11.722899999999999</v>
      </c>
      <c r="O48" s="78"/>
      <c r="P48" s="78"/>
      <c r="Q48" s="78"/>
      <c r="R48" s="78"/>
      <c r="S48" s="78"/>
      <c r="T48" s="78"/>
      <c r="U48" s="78"/>
      <c r="V48" s="79"/>
    </row>
    <row r="50" spans="1:23" ht="14.4" thickBot="1" x14ac:dyDescent="0.3"/>
    <row r="51" spans="1:23" ht="19.95" customHeight="1" x14ac:dyDescent="0.25">
      <c r="A51" s="428" t="s">
        <v>21</v>
      </c>
      <c r="B51" s="429"/>
      <c r="C51" s="429"/>
      <c r="D51" s="429"/>
      <c r="E51" s="429"/>
      <c r="F51" s="429"/>
      <c r="G51" s="429"/>
      <c r="H51" s="429"/>
      <c r="I51" s="429"/>
      <c r="J51" s="429"/>
      <c r="K51" s="429"/>
      <c r="L51" s="429"/>
      <c r="M51" s="429"/>
      <c r="N51" s="429"/>
      <c r="O51" s="429"/>
      <c r="P51" s="429"/>
      <c r="Q51" s="429"/>
      <c r="R51" s="429"/>
      <c r="S51" s="429"/>
      <c r="T51" s="429"/>
      <c r="U51" s="429"/>
      <c r="V51" s="430"/>
    </row>
    <row r="52" spans="1:23" x14ac:dyDescent="0.25">
      <c r="A52" s="112" t="s">
        <v>9</v>
      </c>
      <c r="J52" s="92" t="s">
        <v>11</v>
      </c>
      <c r="V52" s="65"/>
      <c r="W52" s="92"/>
    </row>
    <row r="53" spans="1:23" x14ac:dyDescent="0.25">
      <c r="A53" s="62" t="s">
        <v>0</v>
      </c>
      <c r="B53" s="62" t="s">
        <v>1</v>
      </c>
      <c r="C53" s="62" t="s">
        <v>2</v>
      </c>
      <c r="D53" s="62" t="s">
        <v>3</v>
      </c>
      <c r="E53" s="62" t="s">
        <v>4</v>
      </c>
      <c r="F53" s="62" t="s">
        <v>5</v>
      </c>
      <c r="G53" s="62" t="s">
        <v>6</v>
      </c>
      <c r="H53" s="62" t="s">
        <v>7</v>
      </c>
      <c r="J53" s="62" t="s">
        <v>0</v>
      </c>
      <c r="K53" s="62" t="s">
        <v>1</v>
      </c>
      <c r="L53" s="62" t="s">
        <v>2</v>
      </c>
      <c r="M53" s="62" t="s">
        <v>3</v>
      </c>
      <c r="N53" s="62" t="s">
        <v>4</v>
      </c>
      <c r="O53" s="62" t="s">
        <v>5</v>
      </c>
      <c r="P53" s="62" t="s">
        <v>6</v>
      </c>
      <c r="Q53" s="62" t="s">
        <v>7</v>
      </c>
      <c r="V53" s="65"/>
    </row>
    <row r="54" spans="1:23" x14ac:dyDescent="0.25">
      <c r="A54" s="62">
        <v>1</v>
      </c>
      <c r="B54" s="301">
        <v>-0.57450000000000001</v>
      </c>
      <c r="C54" s="301">
        <v>0</v>
      </c>
      <c r="D54" s="301">
        <v>-7.0300000000000001E-2</v>
      </c>
      <c r="E54" s="301">
        <v>0.12609999999999999</v>
      </c>
      <c r="F54" s="301">
        <v>0.12609999999999999</v>
      </c>
      <c r="G54" s="62">
        <v>4.2394999999999996</v>
      </c>
      <c r="H54" s="62">
        <v>4.2394999999999996</v>
      </c>
      <c r="J54" s="301">
        <v>1</v>
      </c>
      <c r="K54" s="301">
        <v>-0.8387</v>
      </c>
      <c r="L54" s="301">
        <v>0</v>
      </c>
      <c r="M54" s="301">
        <v>-0.2452</v>
      </c>
      <c r="N54" s="301">
        <v>0.1484</v>
      </c>
      <c r="O54" s="301">
        <v>0.1484</v>
      </c>
      <c r="P54" s="62">
        <v>6.7011000000000003</v>
      </c>
      <c r="Q54" s="62">
        <v>6.7011000000000003</v>
      </c>
      <c r="V54" s="65"/>
    </row>
    <row r="55" spans="1:23" x14ac:dyDescent="0.25">
      <c r="A55" s="62">
        <v>2</v>
      </c>
      <c r="B55" s="301">
        <v>7.8399999999999997E-2</v>
      </c>
      <c r="C55" s="301">
        <v>1.0846</v>
      </c>
      <c r="D55" s="301">
        <v>1.0846</v>
      </c>
      <c r="E55" s="301">
        <v>0.50309999999999999</v>
      </c>
      <c r="F55" s="301">
        <v>0.50309999999999999</v>
      </c>
      <c r="G55" s="62">
        <v>1.1594</v>
      </c>
      <c r="H55" s="62">
        <v>1.1594</v>
      </c>
      <c r="J55" s="301">
        <v>2</v>
      </c>
      <c r="K55" s="301">
        <v>-0.21049999999999999</v>
      </c>
      <c r="L55" s="301">
        <v>1.2483</v>
      </c>
      <c r="M55" s="301">
        <v>1.1871</v>
      </c>
      <c r="N55" s="301">
        <v>2.9788000000000001</v>
      </c>
      <c r="O55" s="301">
        <v>-6.1199999999999997E-2</v>
      </c>
      <c r="P55" s="62">
        <v>1.3551</v>
      </c>
      <c r="Q55" s="62">
        <v>1.3551</v>
      </c>
      <c r="V55" s="65"/>
    </row>
    <row r="56" spans="1:23" x14ac:dyDescent="0.25">
      <c r="A56" s="62">
        <v>3</v>
      </c>
      <c r="B56" s="301">
        <v>-1.35E-2</v>
      </c>
      <c r="C56" s="301">
        <v>0</v>
      </c>
      <c r="D56" s="301">
        <v>-0.87119999999999997</v>
      </c>
      <c r="E56" s="301">
        <v>-0.21440000000000001</v>
      </c>
      <c r="F56" s="301">
        <v>-0.21440000000000001</v>
      </c>
      <c r="G56" s="62">
        <v>6.0449999999999999</v>
      </c>
      <c r="H56" s="62">
        <v>6.0449999999999999</v>
      </c>
      <c r="J56" s="301">
        <v>3</v>
      </c>
      <c r="K56" s="301">
        <v>-0.108</v>
      </c>
      <c r="L56" s="301">
        <v>0</v>
      </c>
      <c r="M56" s="301">
        <v>-1.2431000000000001</v>
      </c>
      <c r="N56" s="301">
        <v>-0.2838</v>
      </c>
      <c r="O56" s="301">
        <v>-0.2838</v>
      </c>
      <c r="P56" s="62">
        <v>8.8309999999999995</v>
      </c>
      <c r="Q56" s="62">
        <v>8.8309999999999995</v>
      </c>
      <c r="V56" s="65"/>
    </row>
    <row r="57" spans="1:23" x14ac:dyDescent="0.25">
      <c r="A57" s="62">
        <v>4</v>
      </c>
      <c r="B57" s="370">
        <v>-17.579999999999998</v>
      </c>
      <c r="C57" s="370">
        <v>12.3218</v>
      </c>
      <c r="D57" s="370">
        <v>-18.720400000000001</v>
      </c>
      <c r="E57" s="370">
        <v>30.186900000000001</v>
      </c>
      <c r="F57" s="370">
        <v>-30.757100000000001</v>
      </c>
      <c r="G57" s="62">
        <v>5.6241000000000003</v>
      </c>
      <c r="H57" s="62">
        <v>5.6241000000000003</v>
      </c>
      <c r="J57" s="370">
        <v>4</v>
      </c>
      <c r="K57" s="370">
        <v>-30.2576</v>
      </c>
      <c r="L57" s="370">
        <v>20.7545</v>
      </c>
      <c r="M57" s="370">
        <v>-31.766100000000002</v>
      </c>
      <c r="N57" s="370">
        <v>51.389299999999999</v>
      </c>
      <c r="O57" s="370">
        <v>-52.143500000000003</v>
      </c>
      <c r="P57" s="62">
        <v>11.2813</v>
      </c>
      <c r="Q57" s="62">
        <v>11.2813</v>
      </c>
      <c r="V57" s="65"/>
    </row>
    <row r="58" spans="1:23" x14ac:dyDescent="0.25">
      <c r="A58" s="62">
        <v>5</v>
      </c>
      <c r="B58" s="370">
        <v>-6.0174000000000003</v>
      </c>
      <c r="C58" s="370">
        <v>0</v>
      </c>
      <c r="D58" s="370">
        <v>-9.1425999999999998</v>
      </c>
      <c r="E58" s="370">
        <v>7.1323999999999996</v>
      </c>
      <c r="F58" s="370">
        <v>-10.2576</v>
      </c>
      <c r="G58" s="62">
        <v>1.6002000000000001</v>
      </c>
      <c r="H58" s="62">
        <v>1.6002000000000001</v>
      </c>
      <c r="J58" s="370">
        <v>5</v>
      </c>
      <c r="K58" s="370">
        <v>-8.9835999999999991</v>
      </c>
      <c r="L58" s="370">
        <v>0</v>
      </c>
      <c r="M58" s="370">
        <v>-12.6816</v>
      </c>
      <c r="N58" s="370">
        <v>8.5850000000000009</v>
      </c>
      <c r="O58" s="370">
        <v>-12.282999999999999</v>
      </c>
      <c r="P58" s="62">
        <v>3.0804999999999998</v>
      </c>
      <c r="Q58" s="62">
        <v>3.0804999999999998</v>
      </c>
      <c r="V58" s="65"/>
    </row>
    <row r="59" spans="1:23" x14ac:dyDescent="0.25">
      <c r="A59" s="62">
        <v>6</v>
      </c>
      <c r="B59" s="370">
        <v>-26.8796</v>
      </c>
      <c r="C59" s="370">
        <v>17.7089</v>
      </c>
      <c r="D59" s="370">
        <v>-23.734500000000001</v>
      </c>
      <c r="E59" s="370">
        <v>43.802300000000002</v>
      </c>
      <c r="F59" s="370">
        <v>-42.229700000000001</v>
      </c>
      <c r="G59" s="62">
        <v>5.5266000000000002</v>
      </c>
      <c r="H59" s="62">
        <v>5.5266000000000002</v>
      </c>
      <c r="J59" s="370">
        <v>6</v>
      </c>
      <c r="K59" s="370">
        <v>-41.528100000000002</v>
      </c>
      <c r="L59" s="370">
        <v>27.222899999999999</v>
      </c>
      <c r="M59" s="370">
        <v>-37.664499999999997</v>
      </c>
      <c r="N59" s="370">
        <v>67.7851</v>
      </c>
      <c r="O59" s="370">
        <v>-65.853300000000004</v>
      </c>
      <c r="P59" s="62">
        <v>11.1432</v>
      </c>
      <c r="Q59" s="62">
        <v>11.1432</v>
      </c>
      <c r="V59" s="65"/>
    </row>
    <row r="60" spans="1:23" x14ac:dyDescent="0.25">
      <c r="A60" s="62">
        <v>7</v>
      </c>
      <c r="B60" s="108">
        <v>-14.465</v>
      </c>
      <c r="C60" s="108">
        <v>14.022600000000001</v>
      </c>
      <c r="D60" s="108">
        <v>-18.433800000000002</v>
      </c>
      <c r="E60" s="108">
        <v>29.479800000000001</v>
      </c>
      <c r="F60" s="108">
        <v>-31.464200000000002</v>
      </c>
      <c r="G60" s="62">
        <v>-8.1862999999999992</v>
      </c>
      <c r="H60" s="62">
        <v>-8.1862999999999992</v>
      </c>
      <c r="J60" s="108">
        <v>7</v>
      </c>
      <c r="K60" s="108">
        <v>-27.940100000000001</v>
      </c>
      <c r="L60" s="108">
        <v>27.838699999999999</v>
      </c>
      <c r="M60" s="108">
        <v>-35.915399999999998</v>
      </c>
      <c r="N60" s="108">
        <v>57.772599999999997</v>
      </c>
      <c r="O60" s="108">
        <v>-61.760199999999998</v>
      </c>
      <c r="P60" s="62">
        <v>-15.3063</v>
      </c>
      <c r="Q60" s="62">
        <v>-15.3063</v>
      </c>
      <c r="V60" s="65"/>
    </row>
    <row r="61" spans="1:23" x14ac:dyDescent="0.25">
      <c r="A61" s="62">
        <v>8</v>
      </c>
      <c r="B61" s="108">
        <v>-8.4041999999999994</v>
      </c>
      <c r="C61" s="108">
        <v>0</v>
      </c>
      <c r="D61" s="108">
        <v>-6.8579999999999997</v>
      </c>
      <c r="E61" s="108">
        <v>2.9468999999999999</v>
      </c>
      <c r="F61" s="108">
        <v>-5.7481</v>
      </c>
      <c r="G61" s="62">
        <v>-2.3921999999999999</v>
      </c>
      <c r="H61" s="62">
        <v>-2.3921999999999999</v>
      </c>
      <c r="J61" s="108">
        <v>8</v>
      </c>
      <c r="K61" s="108">
        <v>-15.9925</v>
      </c>
      <c r="L61" s="108">
        <v>0</v>
      </c>
      <c r="M61" s="108">
        <v>-14.1813</v>
      </c>
      <c r="N61" s="108">
        <v>4.2740999999999998</v>
      </c>
      <c r="O61" s="108">
        <v>-9.1998999999999995</v>
      </c>
      <c r="P61" s="62">
        <v>-4.1494</v>
      </c>
      <c r="Q61" s="62">
        <v>-4.1494</v>
      </c>
      <c r="V61" s="65"/>
    </row>
    <row r="62" spans="1:23" x14ac:dyDescent="0.25">
      <c r="A62" s="62">
        <v>9</v>
      </c>
      <c r="B62" s="108">
        <v>-18.170300000000001</v>
      </c>
      <c r="C62" s="108">
        <v>13.8155</v>
      </c>
      <c r="D62" s="108">
        <v>-15.1427</v>
      </c>
      <c r="E62" s="108">
        <v>31.228899999999999</v>
      </c>
      <c r="F62" s="108">
        <v>-29.7151</v>
      </c>
      <c r="G62" s="62">
        <v>-9.3508999999999993</v>
      </c>
      <c r="H62" s="62">
        <v>-9.3508999999999993</v>
      </c>
      <c r="J62" s="108">
        <v>9</v>
      </c>
      <c r="K62" s="108">
        <v>-35.618299999999998</v>
      </c>
      <c r="L62" s="108">
        <v>27.5825</v>
      </c>
      <c r="M62" s="108">
        <v>-28.749600000000001</v>
      </c>
      <c r="N62" s="108">
        <v>61.483600000000003</v>
      </c>
      <c r="O62" s="108">
        <v>-58.049199999999999</v>
      </c>
      <c r="P62" s="62">
        <v>-16.699200000000001</v>
      </c>
      <c r="Q62" s="62">
        <v>-16.699200000000001</v>
      </c>
      <c r="V62" s="65"/>
    </row>
    <row r="63" spans="1:23" x14ac:dyDescent="0.25">
      <c r="A63" s="62">
        <v>10</v>
      </c>
      <c r="B63" s="62">
        <v>-0.74009999999999998</v>
      </c>
      <c r="C63" s="62">
        <v>1.7757000000000001</v>
      </c>
      <c r="D63" s="62">
        <v>1.7757000000000001</v>
      </c>
      <c r="E63" s="62">
        <v>1.6772</v>
      </c>
      <c r="F63" s="62">
        <v>1.6772</v>
      </c>
      <c r="G63" s="301">
        <v>-59.7928</v>
      </c>
      <c r="H63" s="301">
        <v>-59.7928</v>
      </c>
      <c r="J63" s="62">
        <v>10</v>
      </c>
      <c r="K63" s="62">
        <v>-1.1906000000000001</v>
      </c>
      <c r="L63" s="62">
        <v>2.8235999999999999</v>
      </c>
      <c r="M63" s="62">
        <v>2.8235999999999999</v>
      </c>
      <c r="N63" s="62">
        <v>2.6762000000000001</v>
      </c>
      <c r="O63" s="62">
        <v>2.6762000000000001</v>
      </c>
      <c r="P63" s="301">
        <v>-109.31019999999999</v>
      </c>
      <c r="Q63" s="301">
        <v>-109.31019999999999</v>
      </c>
      <c r="V63" s="65"/>
    </row>
    <row r="64" spans="1:23" x14ac:dyDescent="0.25">
      <c r="A64" s="62">
        <v>11</v>
      </c>
      <c r="B64" s="62">
        <v>0.64029999999999998</v>
      </c>
      <c r="C64" s="62">
        <v>0.64029999999999998</v>
      </c>
      <c r="D64" s="62">
        <v>-1.3244</v>
      </c>
      <c r="E64" s="62">
        <v>-1.3098000000000001</v>
      </c>
      <c r="F64" s="62">
        <v>-1.3098000000000001</v>
      </c>
      <c r="G64" s="301">
        <v>-72.677700000000002</v>
      </c>
      <c r="H64" s="301">
        <v>-72.677700000000002</v>
      </c>
      <c r="J64" s="62">
        <v>11</v>
      </c>
      <c r="K64" s="62">
        <v>1.1637999999999999</v>
      </c>
      <c r="L64" s="62">
        <v>1.1637999999999999</v>
      </c>
      <c r="M64" s="62">
        <v>-2.4213</v>
      </c>
      <c r="N64" s="62">
        <v>-2.39</v>
      </c>
      <c r="O64" s="62">
        <v>-2.39</v>
      </c>
      <c r="P64" s="301">
        <v>-129.5933</v>
      </c>
      <c r="Q64" s="301">
        <v>-129.5933</v>
      </c>
      <c r="V64" s="65"/>
    </row>
    <row r="65" spans="1:23" x14ac:dyDescent="0.25">
      <c r="A65" s="62">
        <v>12</v>
      </c>
      <c r="B65" s="62">
        <v>-0.95669999999999999</v>
      </c>
      <c r="C65" s="62">
        <v>1.8232999999999999</v>
      </c>
      <c r="D65" s="62">
        <v>1.8232999999999999</v>
      </c>
      <c r="E65" s="62">
        <v>1.8532999999999999</v>
      </c>
      <c r="F65" s="62">
        <v>1.8532999999999999</v>
      </c>
      <c r="G65" s="301">
        <v>-90.319299999999998</v>
      </c>
      <c r="H65" s="301">
        <v>-90.319299999999998</v>
      </c>
      <c r="J65" s="62">
        <v>12</v>
      </c>
      <c r="K65" s="62">
        <v>-1.5437000000000001</v>
      </c>
      <c r="L65" s="62">
        <v>2.9394999999999998</v>
      </c>
      <c r="M65" s="62">
        <v>2.9394999999999998</v>
      </c>
      <c r="N65" s="62">
        <v>2.9887999999999999</v>
      </c>
      <c r="O65" s="62">
        <v>2.9887999999999999</v>
      </c>
      <c r="P65" s="301">
        <v>-150.529</v>
      </c>
      <c r="Q65" s="301">
        <v>-150.529</v>
      </c>
      <c r="V65" s="65"/>
      <c r="W65" s="92"/>
    </row>
    <row r="66" spans="1:23" x14ac:dyDescent="0.25">
      <c r="A66" s="62">
        <v>13</v>
      </c>
      <c r="B66" s="62">
        <v>0.91910000000000003</v>
      </c>
      <c r="C66" s="62">
        <v>0.91910000000000003</v>
      </c>
      <c r="D66" s="62">
        <v>-2.4119000000000002</v>
      </c>
      <c r="E66" s="62">
        <v>-2.2206999999999999</v>
      </c>
      <c r="F66" s="62">
        <v>-2.2206999999999999</v>
      </c>
      <c r="G66" s="301">
        <v>-72.159300000000002</v>
      </c>
      <c r="H66" s="301">
        <v>-72.159300000000002</v>
      </c>
      <c r="J66" s="62">
        <v>13</v>
      </c>
      <c r="K66" s="62">
        <v>1.3527</v>
      </c>
      <c r="L66" s="62">
        <v>1.3527</v>
      </c>
      <c r="M66" s="62">
        <v>-3.5598000000000001</v>
      </c>
      <c r="N66" s="62">
        <v>-3.2749999999999999</v>
      </c>
      <c r="O66" s="62">
        <v>-3.2749999999999999</v>
      </c>
      <c r="P66" s="301">
        <v>-124.1863</v>
      </c>
      <c r="Q66" s="301">
        <v>-124.1863</v>
      </c>
      <c r="V66" s="65"/>
    </row>
    <row r="67" spans="1:23" x14ac:dyDescent="0.25">
      <c r="A67" s="62">
        <v>14</v>
      </c>
      <c r="B67" s="62">
        <v>2.3502999999999998</v>
      </c>
      <c r="C67" s="62">
        <v>2.3502999999999998</v>
      </c>
      <c r="D67" s="62">
        <v>-5.8489000000000004</v>
      </c>
      <c r="E67" s="62">
        <v>-2.5621999999999998</v>
      </c>
      <c r="F67" s="62">
        <v>-2.5621999999999998</v>
      </c>
      <c r="G67" s="370">
        <v>-59.666699999999999</v>
      </c>
      <c r="H67" s="370">
        <v>-59.666699999999999</v>
      </c>
      <c r="J67" s="62">
        <v>14</v>
      </c>
      <c r="K67" s="62">
        <v>3.6623000000000001</v>
      </c>
      <c r="L67" s="62">
        <v>3.6623000000000001</v>
      </c>
      <c r="M67" s="62">
        <v>-9.2174999999999994</v>
      </c>
      <c r="N67" s="62">
        <v>-4.0250000000000004</v>
      </c>
      <c r="O67" s="62">
        <v>-4.0250000000000004</v>
      </c>
      <c r="P67" s="370">
        <v>-109.1619</v>
      </c>
      <c r="Q67" s="370">
        <v>-109.1619</v>
      </c>
      <c r="V67" s="65"/>
    </row>
    <row r="68" spans="1:23" x14ac:dyDescent="0.25">
      <c r="A68" s="62">
        <v>15</v>
      </c>
      <c r="B68" s="62">
        <v>-1.4730000000000001</v>
      </c>
      <c r="C68" s="62">
        <v>4.1916000000000002</v>
      </c>
      <c r="D68" s="62">
        <v>4.1916000000000002</v>
      </c>
      <c r="E68" s="62">
        <v>1.7702</v>
      </c>
      <c r="F68" s="62">
        <v>1.7702</v>
      </c>
      <c r="G68" s="370">
        <v>-72.300600000000003</v>
      </c>
      <c r="H68" s="370">
        <v>-72.300600000000003</v>
      </c>
      <c r="J68" s="62">
        <v>15</v>
      </c>
      <c r="K68" s="62">
        <v>-2.456</v>
      </c>
      <c r="L68" s="62">
        <v>7.0033000000000003</v>
      </c>
      <c r="M68" s="62">
        <v>7.0033000000000003</v>
      </c>
      <c r="N68" s="62">
        <v>2.956</v>
      </c>
      <c r="O68" s="62">
        <v>2.956</v>
      </c>
      <c r="P68" s="370">
        <v>-126.7629</v>
      </c>
      <c r="Q68" s="370">
        <v>-126.7629</v>
      </c>
      <c r="V68" s="65"/>
    </row>
    <row r="69" spans="1:23" x14ac:dyDescent="0.25">
      <c r="A69" s="62">
        <v>16</v>
      </c>
      <c r="B69" s="62">
        <v>2.9214000000000002</v>
      </c>
      <c r="C69" s="62">
        <v>2.9214000000000002</v>
      </c>
      <c r="D69" s="62">
        <v>-6.7817999999999996</v>
      </c>
      <c r="E69" s="62">
        <v>-3.0323000000000002</v>
      </c>
      <c r="F69" s="62">
        <v>-3.0323000000000002</v>
      </c>
      <c r="G69" s="370">
        <v>-91.036900000000003</v>
      </c>
      <c r="H69" s="370">
        <v>-91.036900000000003</v>
      </c>
      <c r="J69" s="62">
        <v>16</v>
      </c>
      <c r="K69" s="62">
        <v>4.2346000000000004</v>
      </c>
      <c r="L69" s="62">
        <v>4.2346000000000004</v>
      </c>
      <c r="M69" s="62">
        <v>-10.1242</v>
      </c>
      <c r="N69" s="62">
        <v>-4.4870999999999999</v>
      </c>
      <c r="O69" s="62">
        <v>-4.4870999999999999</v>
      </c>
      <c r="P69" s="370">
        <v>-150.75149999999999</v>
      </c>
      <c r="Q69" s="370">
        <v>-150.75149999999999</v>
      </c>
      <c r="V69" s="65"/>
    </row>
    <row r="70" spans="1:23" x14ac:dyDescent="0.25">
      <c r="A70" s="62">
        <v>17</v>
      </c>
      <c r="B70" s="62">
        <v>-3.2831999999999999</v>
      </c>
      <c r="C70" s="62">
        <v>8.9544999999999995</v>
      </c>
      <c r="D70" s="62">
        <v>8.9544999999999995</v>
      </c>
      <c r="E70" s="62">
        <v>3.8243</v>
      </c>
      <c r="F70" s="62">
        <v>3.8243</v>
      </c>
      <c r="G70" s="370">
        <v>-71.944800000000001</v>
      </c>
      <c r="H70" s="370">
        <v>-71.944800000000001</v>
      </c>
      <c r="J70" s="62">
        <v>17</v>
      </c>
      <c r="K70" s="62">
        <v>-4.8028000000000004</v>
      </c>
      <c r="L70" s="62">
        <v>12.976599999999999</v>
      </c>
      <c r="M70" s="62">
        <v>12.976599999999999</v>
      </c>
      <c r="N70" s="62">
        <v>5.5560999999999998</v>
      </c>
      <c r="O70" s="62">
        <v>5.5560999999999998</v>
      </c>
      <c r="P70" s="370">
        <v>-123.9025</v>
      </c>
      <c r="Q70" s="370">
        <v>-123.9025</v>
      </c>
      <c r="V70" s="65"/>
    </row>
    <row r="71" spans="1:23" x14ac:dyDescent="0.25">
      <c r="A71" s="62">
        <v>18</v>
      </c>
      <c r="B71" s="62">
        <v>11.731199999999999</v>
      </c>
      <c r="C71" s="62">
        <v>11.731199999999999</v>
      </c>
      <c r="D71" s="62">
        <v>-14.465</v>
      </c>
      <c r="E71" s="62">
        <v>-8.1862999999999992</v>
      </c>
      <c r="F71" s="62">
        <v>-8.1862999999999992</v>
      </c>
      <c r="G71" s="108">
        <v>-29.479800000000001</v>
      </c>
      <c r="H71" s="108">
        <v>-29.479800000000001</v>
      </c>
      <c r="J71" s="62">
        <v>18</v>
      </c>
      <c r="K71" s="62">
        <v>21.040099999999999</v>
      </c>
      <c r="L71" s="62">
        <v>21.040099999999999</v>
      </c>
      <c r="M71" s="62">
        <v>-27.940100000000001</v>
      </c>
      <c r="N71" s="62">
        <v>-15.3063</v>
      </c>
      <c r="O71" s="62">
        <v>-15.3063</v>
      </c>
      <c r="P71" s="108">
        <v>-57.772599999999997</v>
      </c>
      <c r="Q71" s="108">
        <v>-57.772599999999997</v>
      </c>
      <c r="V71" s="65"/>
    </row>
    <row r="72" spans="1:23" x14ac:dyDescent="0.25">
      <c r="A72" s="62">
        <v>19</v>
      </c>
      <c r="B72" s="62">
        <v>-8.5114000000000001</v>
      </c>
      <c r="C72" s="62">
        <v>10.0296</v>
      </c>
      <c r="D72" s="62">
        <v>10.0296</v>
      </c>
      <c r="E72" s="62">
        <v>5.7941000000000003</v>
      </c>
      <c r="F72" s="62">
        <v>5.7941000000000003</v>
      </c>
      <c r="G72" s="108">
        <v>-34.411099999999998</v>
      </c>
      <c r="H72" s="108">
        <v>-34.411099999999998</v>
      </c>
      <c r="J72" s="62">
        <v>19</v>
      </c>
      <c r="K72" s="62">
        <v>-15.779199999999999</v>
      </c>
      <c r="L72" s="62">
        <v>19.922799999999999</v>
      </c>
      <c r="M72" s="62">
        <v>19.922799999999999</v>
      </c>
      <c r="N72" s="62">
        <v>11.1569</v>
      </c>
      <c r="O72" s="62">
        <v>11.1569</v>
      </c>
      <c r="P72" s="108">
        <v>-66.034400000000005</v>
      </c>
      <c r="Q72" s="108">
        <v>-66.034400000000005</v>
      </c>
      <c r="V72" s="65"/>
    </row>
    <row r="73" spans="1:23" x14ac:dyDescent="0.25">
      <c r="A73" s="62">
        <v>20</v>
      </c>
      <c r="B73" s="62">
        <v>10.9552</v>
      </c>
      <c r="C73" s="62">
        <v>10.9552</v>
      </c>
      <c r="D73" s="62">
        <v>-11.3123</v>
      </c>
      <c r="E73" s="62">
        <v>-6.9585999999999997</v>
      </c>
      <c r="F73" s="62">
        <v>-6.9585999999999997</v>
      </c>
      <c r="G73" s="108">
        <v>-36.976999999999997</v>
      </c>
      <c r="H73" s="108">
        <v>-36.976999999999997</v>
      </c>
      <c r="J73" s="62">
        <v>20</v>
      </c>
      <c r="K73" s="62">
        <v>18.7224</v>
      </c>
      <c r="L73" s="62">
        <v>18.7224</v>
      </c>
      <c r="M73" s="62">
        <v>-21.437100000000001</v>
      </c>
      <c r="N73" s="62">
        <v>-12.549799999999999</v>
      </c>
      <c r="O73" s="62">
        <v>-12.549799999999999</v>
      </c>
      <c r="P73" s="108">
        <v>-70.683400000000006</v>
      </c>
      <c r="Q73" s="108">
        <v>-70.683400000000006</v>
      </c>
      <c r="V73" s="65"/>
    </row>
    <row r="74" spans="1:23" x14ac:dyDescent="0.25">
      <c r="A74" s="62">
        <v>21</v>
      </c>
      <c r="B74" s="62">
        <v>-14.78</v>
      </c>
      <c r="C74" s="62">
        <v>15.1427</v>
      </c>
      <c r="D74" s="62">
        <v>15.1427</v>
      </c>
      <c r="E74" s="62">
        <v>9.3508999999999993</v>
      </c>
      <c r="F74" s="62">
        <v>9.3508999999999993</v>
      </c>
      <c r="G74" s="108">
        <v>-29.7151</v>
      </c>
      <c r="H74" s="108">
        <v>-29.7151</v>
      </c>
      <c r="J74" s="62">
        <v>21</v>
      </c>
      <c r="K74" s="62">
        <v>-24.687999999999999</v>
      </c>
      <c r="L74" s="62">
        <v>28.749600000000001</v>
      </c>
      <c r="M74" s="62">
        <v>28.749600000000001</v>
      </c>
      <c r="N74" s="62">
        <v>16.699200000000001</v>
      </c>
      <c r="O74" s="62">
        <v>16.699200000000001</v>
      </c>
      <c r="P74" s="108">
        <v>-58.049199999999999</v>
      </c>
      <c r="Q74" s="108">
        <v>-58.049199999999999</v>
      </c>
      <c r="V74" s="65"/>
    </row>
    <row r="75" spans="1:23" x14ac:dyDescent="0.25">
      <c r="A75" s="63"/>
      <c r="V75" s="65"/>
    </row>
    <row r="76" spans="1:23" x14ac:dyDescent="0.25">
      <c r="A76" s="112" t="s">
        <v>10</v>
      </c>
      <c r="J76" s="92" t="s">
        <v>475</v>
      </c>
      <c r="K76" s="92"/>
      <c r="O76" s="92" t="s">
        <v>470</v>
      </c>
      <c r="V76" s="65"/>
    </row>
    <row r="77" spans="1:23" x14ac:dyDescent="0.25">
      <c r="A77" s="62" t="s">
        <v>0</v>
      </c>
      <c r="B77" s="62" t="s">
        <v>1</v>
      </c>
      <c r="C77" s="62" t="s">
        <v>2</v>
      </c>
      <c r="D77" s="62" t="s">
        <v>3</v>
      </c>
      <c r="E77" s="62" t="s">
        <v>4</v>
      </c>
      <c r="F77" s="62" t="s">
        <v>5</v>
      </c>
      <c r="G77" s="62" t="s">
        <v>6</v>
      </c>
      <c r="H77" s="62" t="s">
        <v>7</v>
      </c>
      <c r="J77" s="62" t="s">
        <v>473</v>
      </c>
      <c r="K77" s="62" t="s">
        <v>18</v>
      </c>
      <c r="L77" s="62" t="s">
        <v>13</v>
      </c>
      <c r="M77" s="62" t="s">
        <v>14</v>
      </c>
      <c r="O77" s="62" t="s">
        <v>292</v>
      </c>
      <c r="V77" s="65"/>
    </row>
    <row r="78" spans="1:23" x14ac:dyDescent="0.25">
      <c r="A78" s="301">
        <v>1</v>
      </c>
      <c r="B78" s="301">
        <v>-9.3299999999999994E-2</v>
      </c>
      <c r="C78" s="301">
        <v>0</v>
      </c>
      <c r="D78" s="301">
        <v>-0.10050000000000001</v>
      </c>
      <c r="E78" s="301">
        <v>-1.8E-3</v>
      </c>
      <c r="F78" s="301">
        <v>-1.8E-3</v>
      </c>
      <c r="G78" s="62">
        <v>1.0085999999999999</v>
      </c>
      <c r="H78" s="62">
        <v>1.0085999999999999</v>
      </c>
      <c r="J78" s="62" t="s">
        <v>15</v>
      </c>
      <c r="O78" s="62" t="s">
        <v>471</v>
      </c>
      <c r="P78" s="62" t="s">
        <v>18</v>
      </c>
      <c r="Q78" s="62" t="s">
        <v>13</v>
      </c>
      <c r="R78" s="62" t="s">
        <v>14</v>
      </c>
      <c r="V78" s="65"/>
    </row>
    <row r="79" spans="1:23" x14ac:dyDescent="0.25">
      <c r="A79" s="301">
        <v>2</v>
      </c>
      <c r="B79" s="301">
        <v>-0.1903</v>
      </c>
      <c r="C79" s="301">
        <v>0.38919999999999999</v>
      </c>
      <c r="D79" s="301">
        <v>-7.1499999999999994E-2</v>
      </c>
      <c r="E79" s="301">
        <v>1.4843999999999999</v>
      </c>
      <c r="F79" s="301">
        <v>-0.41560000000000002</v>
      </c>
      <c r="G79" s="62">
        <v>-2.2700000000000001E-2</v>
      </c>
      <c r="H79" s="62">
        <v>-2.2700000000000001E-2</v>
      </c>
      <c r="K79" s="62" t="s">
        <v>19</v>
      </c>
      <c r="L79" s="62">
        <f>MIN(B54:B62)</f>
        <v>-26.8796</v>
      </c>
      <c r="M79" s="62">
        <f>MAX(C54:C62)</f>
        <v>17.7089</v>
      </c>
      <c r="O79" s="62" t="s">
        <v>15</v>
      </c>
      <c r="V79" s="65"/>
    </row>
    <row r="80" spans="1:23" x14ac:dyDescent="0.25">
      <c r="A80" s="301">
        <v>3</v>
      </c>
      <c r="B80" s="301">
        <v>-5.74E-2</v>
      </c>
      <c r="C80" s="301">
        <v>0</v>
      </c>
      <c r="D80" s="301">
        <v>-0.1235</v>
      </c>
      <c r="E80" s="301">
        <v>-1.6500000000000001E-2</v>
      </c>
      <c r="F80" s="301">
        <v>-1.6500000000000001E-2</v>
      </c>
      <c r="G80" s="62">
        <v>0.98560000000000003</v>
      </c>
      <c r="H80" s="62">
        <v>0.98560000000000003</v>
      </c>
      <c r="K80" s="62" t="s">
        <v>20</v>
      </c>
      <c r="L80" s="62" cm="1">
        <f t="array" ref="L80">MAX(ABS(E54:F62))</f>
        <v>43.802300000000002</v>
      </c>
      <c r="P80" s="62" t="s">
        <v>19</v>
      </c>
      <c r="Q80" s="62">
        <f>MIN(B54:B56)</f>
        <v>-0.57450000000000001</v>
      </c>
      <c r="R80" s="62">
        <f>MAX(C54:C56)</f>
        <v>1.0846</v>
      </c>
      <c r="V80" s="65"/>
    </row>
    <row r="81" spans="1:22" x14ac:dyDescent="0.25">
      <c r="A81" s="370">
        <v>4</v>
      </c>
      <c r="B81" s="370">
        <v>-5.726</v>
      </c>
      <c r="C81" s="370">
        <v>3.7302</v>
      </c>
      <c r="D81" s="370">
        <v>-5.8135000000000003</v>
      </c>
      <c r="E81" s="370">
        <v>9.4780999999999995</v>
      </c>
      <c r="F81" s="370">
        <v>-9.5219000000000005</v>
      </c>
      <c r="G81" s="62">
        <v>2.8328000000000002</v>
      </c>
      <c r="H81" s="62">
        <v>2.8328000000000002</v>
      </c>
      <c r="K81" s="62" t="s">
        <v>147</v>
      </c>
      <c r="L81" s="62" cm="1">
        <f t="array" ref="L81">MAX(ABS(H63:H74))</f>
        <v>91.036900000000003</v>
      </c>
      <c r="P81" s="62" t="s">
        <v>20</v>
      </c>
      <c r="Q81" s="62" cm="1">
        <f t="array" ref="Q81">MAX(ABS(E54:F56))</f>
        <v>0.50309999999999999</v>
      </c>
      <c r="V81" s="65"/>
    </row>
    <row r="82" spans="1:22" x14ac:dyDescent="0.25">
      <c r="A82" s="370">
        <v>5</v>
      </c>
      <c r="B82" s="370">
        <v>-1.1016999999999999</v>
      </c>
      <c r="C82" s="370">
        <v>0</v>
      </c>
      <c r="D82" s="370">
        <v>-1.0690999999999999</v>
      </c>
      <c r="E82" s="374">
        <v>1.6299999999999999E-2</v>
      </c>
      <c r="F82" s="374">
        <v>1.6299999999999999E-2</v>
      </c>
      <c r="G82" s="62">
        <v>0.72519999999999996</v>
      </c>
      <c r="H82" s="62">
        <v>0.72519999999999996</v>
      </c>
      <c r="J82" s="62" t="s">
        <v>16</v>
      </c>
      <c r="P82" s="62" t="s">
        <v>147</v>
      </c>
      <c r="Q82" s="62" cm="1">
        <f t="array" ref="Q82">MAX(ABS(H63:H66))</f>
        <v>90.319299999999998</v>
      </c>
      <c r="V82" s="65"/>
    </row>
    <row r="83" spans="1:22" x14ac:dyDescent="0.25">
      <c r="A83" s="370">
        <v>6</v>
      </c>
      <c r="B83" s="370">
        <v>-5.7953999999999999</v>
      </c>
      <c r="C83" s="370">
        <v>3.7326000000000001</v>
      </c>
      <c r="D83" s="370">
        <v>-5.7393999999999998</v>
      </c>
      <c r="E83" s="370">
        <v>9.5139999999999993</v>
      </c>
      <c r="F83" s="370">
        <v>-9.4860000000000007</v>
      </c>
      <c r="G83" s="62">
        <v>2.8195999999999999</v>
      </c>
      <c r="H83" s="62">
        <v>2.8195999999999999</v>
      </c>
      <c r="K83" s="62" t="s">
        <v>19</v>
      </c>
      <c r="L83" s="62">
        <f>MIN(B78:B86)</f>
        <v>-8.6336999999999993</v>
      </c>
      <c r="M83" s="62">
        <f>MAX(C78:C86)</f>
        <v>6.8822000000000001</v>
      </c>
      <c r="O83" s="62" t="s">
        <v>16</v>
      </c>
      <c r="V83" s="65"/>
    </row>
    <row r="84" spans="1:22" x14ac:dyDescent="0.25">
      <c r="A84" s="108">
        <v>7</v>
      </c>
      <c r="B84" s="108">
        <v>-6.6138000000000003</v>
      </c>
      <c r="C84" s="108">
        <v>6.8822000000000001</v>
      </c>
      <c r="D84" s="108">
        <v>-8.6217000000000006</v>
      </c>
      <c r="E84" s="108">
        <v>13.997999999999999</v>
      </c>
      <c r="F84" s="108">
        <v>-15.002000000000001</v>
      </c>
      <c r="G84" s="62">
        <v>-3.4266999999999999</v>
      </c>
      <c r="H84" s="62">
        <v>-3.4266999999999999</v>
      </c>
      <c r="K84" s="62" t="s">
        <v>20</v>
      </c>
      <c r="L84" s="62" cm="1">
        <f t="array" ref="L84">MAX(ABS(E78:F86))</f>
        <v>15.005599999999999</v>
      </c>
      <c r="P84" s="62" t="s">
        <v>19</v>
      </c>
      <c r="Q84" s="62">
        <f>MIN(B78:B80)</f>
        <v>-0.1903</v>
      </c>
      <c r="R84" s="62">
        <f>MAX(C78:C80)</f>
        <v>0.38919999999999999</v>
      </c>
      <c r="V84" s="65"/>
    </row>
    <row r="85" spans="1:22" x14ac:dyDescent="0.25">
      <c r="A85" s="108">
        <v>8</v>
      </c>
      <c r="B85" s="108">
        <v>-3.6922000000000001</v>
      </c>
      <c r="C85" s="108">
        <v>0</v>
      </c>
      <c r="D85" s="108">
        <v>-3.7198000000000002</v>
      </c>
      <c r="E85" s="108">
        <v>0.4612</v>
      </c>
      <c r="F85" s="108">
        <v>-1.4388000000000001</v>
      </c>
      <c r="G85" s="62">
        <v>-0.79920000000000002</v>
      </c>
      <c r="H85" s="62">
        <v>-0.79920000000000002</v>
      </c>
      <c r="K85" s="62" t="s">
        <v>147</v>
      </c>
      <c r="L85" s="62" cm="1">
        <f t="array" ref="L85">MAX(ABS(H87:H98))</f>
        <v>26.4876</v>
      </c>
      <c r="P85" s="62" t="s">
        <v>20</v>
      </c>
      <c r="Q85" s="62" cm="1">
        <f t="array" ref="Q85">MAX(ABS(E78:F80))</f>
        <v>1.4843999999999999</v>
      </c>
      <c r="V85" s="65"/>
    </row>
    <row r="86" spans="1:22" x14ac:dyDescent="0.25">
      <c r="A86" s="108">
        <v>9</v>
      </c>
      <c r="B86" s="108">
        <v>-8.6336999999999993</v>
      </c>
      <c r="C86" s="108">
        <v>6.8773999999999997</v>
      </c>
      <c r="D86" s="108">
        <v>-6.6115000000000004</v>
      </c>
      <c r="E86" s="108">
        <v>15.005599999999999</v>
      </c>
      <c r="F86" s="108">
        <v>-13.994400000000001</v>
      </c>
      <c r="G86" s="62">
        <v>-3.4239000000000002</v>
      </c>
      <c r="H86" s="62">
        <v>-3.4239000000000002</v>
      </c>
      <c r="J86" s="62" t="s">
        <v>17</v>
      </c>
      <c r="P86" s="62" t="s">
        <v>147</v>
      </c>
      <c r="Q86" s="62" cm="1">
        <f t="array" ref="Q86">MAX(ABS(H87:H90))</f>
        <v>26.4876</v>
      </c>
      <c r="V86" s="65"/>
    </row>
    <row r="87" spans="1:22" x14ac:dyDescent="0.25">
      <c r="A87" s="62">
        <v>10</v>
      </c>
      <c r="B87" s="62">
        <v>-0.18909999999999999</v>
      </c>
      <c r="C87" s="62">
        <v>0.433</v>
      </c>
      <c r="D87" s="62">
        <v>0.433</v>
      </c>
      <c r="E87" s="62">
        <v>0.41470000000000001</v>
      </c>
      <c r="F87" s="62">
        <v>0.41470000000000001</v>
      </c>
      <c r="G87" s="301">
        <v>-23.474299999999999</v>
      </c>
      <c r="H87" s="301">
        <v>-23.474299999999999</v>
      </c>
      <c r="K87" s="62" t="s">
        <v>19</v>
      </c>
      <c r="L87" s="62">
        <f>MIN(K54:K62)</f>
        <v>-41.528100000000002</v>
      </c>
      <c r="M87" s="62">
        <f>MAX(L54:L62)</f>
        <v>27.838699999999999</v>
      </c>
      <c r="O87" s="62" t="s">
        <v>472</v>
      </c>
      <c r="V87" s="65"/>
    </row>
    <row r="88" spans="1:22" x14ac:dyDescent="0.25">
      <c r="A88" s="62">
        <v>11</v>
      </c>
      <c r="B88" s="62">
        <v>0.24709999999999999</v>
      </c>
      <c r="C88" s="62">
        <v>0.24709999999999999</v>
      </c>
      <c r="D88" s="62">
        <v>-0.52</v>
      </c>
      <c r="E88" s="62">
        <v>-0.51139999999999997</v>
      </c>
      <c r="F88" s="62">
        <v>-0.51139999999999997</v>
      </c>
      <c r="G88" s="301">
        <v>-26.4876</v>
      </c>
      <c r="H88" s="301">
        <v>-26.4876</v>
      </c>
      <c r="K88" s="62" t="s">
        <v>20</v>
      </c>
      <c r="L88" s="62" cm="1">
        <f t="array" ref="L88">MAX(ABS(N54:O62))</f>
        <v>67.7851</v>
      </c>
      <c r="O88" s="62" t="s">
        <v>471</v>
      </c>
      <c r="P88" s="62" t="s">
        <v>18</v>
      </c>
      <c r="Q88" s="62" t="s">
        <v>13</v>
      </c>
      <c r="R88" s="62" t="s">
        <v>14</v>
      </c>
      <c r="V88" s="65"/>
    </row>
    <row r="89" spans="1:22" x14ac:dyDescent="0.25">
      <c r="A89" s="62">
        <v>12</v>
      </c>
      <c r="B89" s="62">
        <v>-0.24729999999999999</v>
      </c>
      <c r="C89" s="62">
        <v>0.46970000000000001</v>
      </c>
      <c r="D89" s="62">
        <v>0.46970000000000001</v>
      </c>
      <c r="E89" s="62">
        <v>0.47799999999999998</v>
      </c>
      <c r="F89" s="62">
        <v>0.47799999999999998</v>
      </c>
      <c r="G89" s="301">
        <v>-26.341100000000001</v>
      </c>
      <c r="H89" s="301">
        <v>-26.341100000000001</v>
      </c>
      <c r="K89" s="62" t="s">
        <v>147</v>
      </c>
      <c r="L89" s="62" cm="1">
        <f t="array" ref="L89">MAX(ABS(Q63:Q74))</f>
        <v>150.75149999999999</v>
      </c>
      <c r="O89" s="62" t="s">
        <v>15</v>
      </c>
      <c r="V89" s="65"/>
    </row>
    <row r="90" spans="1:22" x14ac:dyDescent="0.25">
      <c r="A90" s="62">
        <v>13</v>
      </c>
      <c r="B90" s="62">
        <v>0.15609999999999999</v>
      </c>
      <c r="C90" s="62">
        <v>0.15609999999999999</v>
      </c>
      <c r="D90" s="62">
        <v>-0.41589999999999999</v>
      </c>
      <c r="E90" s="62">
        <v>-0.38129999999999997</v>
      </c>
      <c r="F90" s="62">
        <v>-0.38129999999999997</v>
      </c>
      <c r="G90" s="301">
        <v>-23.497</v>
      </c>
      <c r="H90" s="301">
        <v>-23.497</v>
      </c>
      <c r="P90" s="62" t="s">
        <v>19</v>
      </c>
      <c r="Q90" s="62">
        <f>MIN(B57:B62)</f>
        <v>-26.8796</v>
      </c>
      <c r="R90" s="62">
        <f>MAX(C57:C62)</f>
        <v>17.7089</v>
      </c>
      <c r="V90" s="65"/>
    </row>
    <row r="91" spans="1:22" x14ac:dyDescent="0.25">
      <c r="A91" s="62">
        <v>14</v>
      </c>
      <c r="B91" s="62">
        <v>0.52629999999999999</v>
      </c>
      <c r="C91" s="62">
        <v>0.52629999999999999</v>
      </c>
      <c r="D91" s="62">
        <v>-1.3743000000000001</v>
      </c>
      <c r="E91" s="62">
        <v>-0.59389999999999998</v>
      </c>
      <c r="F91" s="62">
        <v>-0.59389999999999998</v>
      </c>
      <c r="G91" s="370">
        <v>-23.476099999999999</v>
      </c>
      <c r="H91" s="370">
        <v>-23.476099999999999</v>
      </c>
      <c r="J91" s="92" t="s">
        <v>476</v>
      </c>
      <c r="P91" s="62" t="s">
        <v>20</v>
      </c>
      <c r="Q91" s="62" cm="1">
        <f t="array" ref="Q91">MAX(ABS(E57:F62))</f>
        <v>43.802300000000002</v>
      </c>
      <c r="V91" s="65"/>
    </row>
    <row r="92" spans="1:22" x14ac:dyDescent="0.25">
      <c r="A92" s="62">
        <v>15</v>
      </c>
      <c r="B92" s="62">
        <v>-0.43020000000000003</v>
      </c>
      <c r="C92" s="62">
        <v>1.2334000000000001</v>
      </c>
      <c r="D92" s="62">
        <v>1.2334000000000001</v>
      </c>
      <c r="E92" s="62">
        <v>0.51990000000000003</v>
      </c>
      <c r="F92" s="62">
        <v>0.51990000000000003</v>
      </c>
      <c r="G92" s="370">
        <v>-25.0014</v>
      </c>
      <c r="H92" s="370">
        <v>-25.0014</v>
      </c>
      <c r="J92" s="62" t="s">
        <v>474</v>
      </c>
      <c r="K92" s="62" t="s">
        <v>149</v>
      </c>
      <c r="L92" s="62" t="s">
        <v>150</v>
      </c>
      <c r="P92" s="62" t="s">
        <v>147</v>
      </c>
      <c r="Q92" s="62" cm="1">
        <f t="array" ref="Q92">MAX(ABS(H67:I74))</f>
        <v>91.036900000000003</v>
      </c>
      <c r="V92" s="65"/>
    </row>
    <row r="93" spans="1:22" x14ac:dyDescent="0.25">
      <c r="A93" s="62">
        <v>16</v>
      </c>
      <c r="B93" s="62">
        <v>0.4556</v>
      </c>
      <c r="C93" s="62">
        <v>0.4556</v>
      </c>
      <c r="D93" s="62">
        <v>-1.2413000000000001</v>
      </c>
      <c r="E93" s="62">
        <v>-0.53029999999999999</v>
      </c>
      <c r="F93" s="62">
        <v>-0.53029999999999999</v>
      </c>
      <c r="G93" s="370">
        <v>-25.9421</v>
      </c>
      <c r="H93" s="370">
        <v>-25.9421</v>
      </c>
      <c r="J93" s="62" t="s">
        <v>478</v>
      </c>
      <c r="K93" s="62" cm="1">
        <f t="array" ref="K93">MAX(ABS(Q68:Q69))</f>
        <v>150.75149999999999</v>
      </c>
      <c r="L93" s="62">
        <f>MAX(ABS(Q67), ABS(Q70))</f>
        <v>123.9025</v>
      </c>
      <c r="O93" s="62" t="s">
        <v>16</v>
      </c>
      <c r="V93" s="65"/>
    </row>
    <row r="94" spans="1:22" x14ac:dyDescent="0.25">
      <c r="A94" s="62">
        <v>17</v>
      </c>
      <c r="B94" s="62">
        <v>-0.53939999999999999</v>
      </c>
      <c r="C94" s="62">
        <v>1.3945000000000001</v>
      </c>
      <c r="D94" s="62">
        <v>1.3945000000000001</v>
      </c>
      <c r="E94" s="62">
        <v>0.60429999999999995</v>
      </c>
      <c r="F94" s="62">
        <v>0.60429999999999995</v>
      </c>
      <c r="G94" s="370">
        <v>-23.480399999999999</v>
      </c>
      <c r="H94" s="370">
        <v>-23.480399999999999</v>
      </c>
      <c r="J94" s="62" t="s">
        <v>479</v>
      </c>
      <c r="K94" s="62" cm="1">
        <f t="array" ref="K94">MAX(ABS(Q72:Q73))</f>
        <v>70.683400000000006</v>
      </c>
      <c r="L94" s="62">
        <f>MAX(ABS(Q71), ABS(Q74))</f>
        <v>58.049199999999999</v>
      </c>
      <c r="P94" s="62" t="s">
        <v>19</v>
      </c>
      <c r="Q94" s="62">
        <f>MIN(B81:B86)</f>
        <v>-8.6336999999999993</v>
      </c>
      <c r="R94" s="62">
        <f>MAX(C81:C86)</f>
        <v>6.8822000000000001</v>
      </c>
      <c r="U94" s="301"/>
      <c r="V94" s="65" t="s">
        <v>369</v>
      </c>
    </row>
    <row r="95" spans="1:22" x14ac:dyDescent="0.25">
      <c r="A95" s="62">
        <v>18</v>
      </c>
      <c r="B95" s="62">
        <v>4.3516000000000004</v>
      </c>
      <c r="C95" s="62">
        <v>4.3516000000000004</v>
      </c>
      <c r="D95" s="62">
        <v>-6.6138000000000003</v>
      </c>
      <c r="E95" s="62">
        <v>-3.4266999999999999</v>
      </c>
      <c r="F95" s="62">
        <v>-3.4266999999999999</v>
      </c>
      <c r="G95" s="108">
        <v>-13.997999999999999</v>
      </c>
      <c r="H95" s="108">
        <v>-13.997999999999999</v>
      </c>
      <c r="J95" s="92" t="s">
        <v>477</v>
      </c>
      <c r="P95" s="62" t="s">
        <v>20</v>
      </c>
      <c r="Q95" s="62" cm="1">
        <f t="array" ref="Q95">MAX(ABS(E81:F86))</f>
        <v>15.005599999999999</v>
      </c>
      <c r="U95" s="361"/>
      <c r="V95" s="65" t="s">
        <v>358</v>
      </c>
    </row>
    <row r="96" spans="1:22" x14ac:dyDescent="0.25">
      <c r="A96" s="62">
        <v>19</v>
      </c>
      <c r="B96" s="62">
        <v>-3.4784999999999999</v>
      </c>
      <c r="C96" s="62">
        <v>4.9295</v>
      </c>
      <c r="D96" s="62">
        <v>4.9295</v>
      </c>
      <c r="E96" s="62">
        <v>2.6274999999999999</v>
      </c>
      <c r="F96" s="62">
        <v>2.6274999999999999</v>
      </c>
      <c r="G96" s="108">
        <v>-15.463200000000001</v>
      </c>
      <c r="H96" s="108">
        <v>-15.463200000000001</v>
      </c>
      <c r="J96" s="62" t="s">
        <v>474</v>
      </c>
      <c r="K96" s="62" t="s">
        <v>149</v>
      </c>
      <c r="L96" s="62" t="s">
        <v>150</v>
      </c>
      <c r="M96" s="62" t="s">
        <v>149</v>
      </c>
      <c r="N96" s="62" t="s">
        <v>150</v>
      </c>
      <c r="P96" s="62" t="s">
        <v>147</v>
      </c>
      <c r="Q96" s="62" cm="1">
        <f t="array" ref="Q96">MAX(ABS(H91:H98))</f>
        <v>25.9421</v>
      </c>
      <c r="U96" s="108"/>
      <c r="V96" s="65" t="s">
        <v>363</v>
      </c>
    </row>
    <row r="97" spans="1:23" x14ac:dyDescent="0.25">
      <c r="A97" s="62">
        <v>20</v>
      </c>
      <c r="B97" s="62">
        <v>3.4849999999999999</v>
      </c>
      <c r="C97" s="62">
        <v>3.4849999999999999</v>
      </c>
      <c r="D97" s="62">
        <v>-4.9138999999999999</v>
      </c>
      <c r="E97" s="62">
        <v>-2.6246999999999998</v>
      </c>
      <c r="F97" s="62">
        <v>-2.6246999999999998</v>
      </c>
      <c r="G97" s="108">
        <v>-16.444400000000002</v>
      </c>
      <c r="H97" s="108">
        <v>-16.444400000000002</v>
      </c>
      <c r="J97" s="62" t="s">
        <v>478</v>
      </c>
      <c r="K97" s="62" cm="1">
        <f t="array" ref="K97">MAX(ABS(H64:H65))</f>
        <v>90.319299999999998</v>
      </c>
      <c r="L97" s="62">
        <f>MAX(ABS(H63), ABS(H66))</f>
        <v>72.159300000000002</v>
      </c>
      <c r="M97" s="62" cm="1">
        <f t="array" ref="M97">MAX(ABS(H88:H89))</f>
        <v>26.4876</v>
      </c>
      <c r="N97" s="62">
        <f>MAX(ABS(H87), ABS(H90))</f>
        <v>23.497</v>
      </c>
      <c r="V97" s="65"/>
    </row>
    <row r="98" spans="1:23" ht="14.4" thickBot="1" x14ac:dyDescent="0.3">
      <c r="A98" s="62">
        <v>21</v>
      </c>
      <c r="B98" s="62">
        <v>-4.3449999999999998</v>
      </c>
      <c r="C98" s="62">
        <v>6.6115000000000004</v>
      </c>
      <c r="D98" s="62">
        <v>6.6115000000000004</v>
      </c>
      <c r="E98" s="62">
        <v>3.4239000000000002</v>
      </c>
      <c r="F98" s="62">
        <v>3.4239000000000002</v>
      </c>
      <c r="G98" s="108">
        <v>-13.994400000000001</v>
      </c>
      <c r="H98" s="108">
        <v>-13.994400000000001</v>
      </c>
      <c r="I98" s="78"/>
      <c r="J98" s="78" t="s">
        <v>479</v>
      </c>
      <c r="K98" s="78" cm="1">
        <f t="array" ref="K98">MAX(ABS(H68:H69),(H72:H73))</f>
        <v>91.036900000000003</v>
      </c>
      <c r="L98" s="78">
        <f>MAX(ABS(H67), ABS(H70),ABS(H71),ABS(H74))</f>
        <v>71.944800000000001</v>
      </c>
      <c r="M98" s="78" cm="1">
        <f t="array" ref="M98">MAX(ABS(H92:H93),(H96:H97))</f>
        <v>25.9421</v>
      </c>
      <c r="N98" s="78">
        <f>MAX(ABS(H91), ABS(H94),ABS(H95),ABS(H98))</f>
        <v>23.480399999999999</v>
      </c>
      <c r="O98" s="78"/>
      <c r="P98" s="78"/>
      <c r="Q98" s="78"/>
      <c r="R98" s="78"/>
      <c r="S98" s="78"/>
      <c r="T98" s="78"/>
      <c r="U98" s="78"/>
      <c r="V98" s="79"/>
    </row>
    <row r="100" spans="1:23" ht="14.4" thickBot="1" x14ac:dyDescent="0.3"/>
    <row r="101" spans="1:23" ht="19.95" customHeight="1" x14ac:dyDescent="0.3">
      <c r="A101" s="432" t="s">
        <v>22</v>
      </c>
      <c r="B101" s="433"/>
      <c r="C101" s="433"/>
      <c r="D101" s="433"/>
      <c r="E101" s="433"/>
      <c r="F101" s="433"/>
      <c r="G101" s="433"/>
      <c r="H101" s="433"/>
      <c r="I101" s="433"/>
      <c r="J101" s="433"/>
      <c r="K101" s="433"/>
      <c r="L101" s="433"/>
      <c r="M101" s="433"/>
      <c r="N101" s="433"/>
      <c r="O101" s="433"/>
      <c r="P101" s="433"/>
      <c r="Q101" s="433"/>
      <c r="R101" s="433"/>
      <c r="S101" s="433"/>
      <c r="T101" s="433"/>
      <c r="U101" s="433"/>
      <c r="V101" s="434"/>
    </row>
    <row r="102" spans="1:23" x14ac:dyDescent="0.25">
      <c r="A102" s="112" t="s">
        <v>9</v>
      </c>
      <c r="J102" s="92" t="s">
        <v>11</v>
      </c>
      <c r="V102" s="65"/>
      <c r="W102" s="92"/>
    </row>
    <row r="103" spans="1:23" x14ac:dyDescent="0.25">
      <c r="A103" s="62" t="s">
        <v>0</v>
      </c>
      <c r="B103" s="62" t="s">
        <v>1</v>
      </c>
      <c r="C103" s="62" t="s">
        <v>2</v>
      </c>
      <c r="D103" s="62" t="s">
        <v>3</v>
      </c>
      <c r="E103" s="62" t="s">
        <v>4</v>
      </c>
      <c r="F103" s="62" t="s">
        <v>5</v>
      </c>
      <c r="G103" s="62" t="s">
        <v>6</v>
      </c>
      <c r="H103" s="62" t="s">
        <v>7</v>
      </c>
      <c r="J103" s="62" t="s">
        <v>0</v>
      </c>
      <c r="K103" s="62" t="s">
        <v>1</v>
      </c>
      <c r="L103" s="62" t="s">
        <v>2</v>
      </c>
      <c r="M103" s="62" t="s">
        <v>3</v>
      </c>
      <c r="N103" s="62" t="s">
        <v>4</v>
      </c>
      <c r="O103" s="62" t="s">
        <v>5</v>
      </c>
      <c r="P103" s="62" t="s">
        <v>6</v>
      </c>
      <c r="Q103" s="62" t="s">
        <v>7</v>
      </c>
      <c r="V103" s="65"/>
    </row>
    <row r="104" spans="1:23" x14ac:dyDescent="0.25">
      <c r="A104" s="62">
        <v>1</v>
      </c>
      <c r="B104" s="301">
        <v>-11.5837</v>
      </c>
      <c r="C104" s="301">
        <v>6.9770000000000003</v>
      </c>
      <c r="D104" s="301">
        <v>-12.0943</v>
      </c>
      <c r="E104" s="301">
        <v>18.688300000000002</v>
      </c>
      <c r="F104" s="301">
        <v>-18.9437</v>
      </c>
      <c r="G104" s="62">
        <v>0.95589999999999997</v>
      </c>
      <c r="H104" s="62">
        <v>0.95589999999999997</v>
      </c>
      <c r="J104" s="301">
        <v>1</v>
      </c>
      <c r="K104" s="301">
        <v>-14.4414</v>
      </c>
      <c r="L104" s="301">
        <v>8.0442999999999998</v>
      </c>
      <c r="M104" s="301">
        <v>-14.628299999999999</v>
      </c>
      <c r="N104" s="301">
        <v>22.532499999999999</v>
      </c>
      <c r="O104" s="301">
        <v>-22.625900000000001</v>
      </c>
      <c r="P104" s="62">
        <v>5.4332000000000003</v>
      </c>
      <c r="Q104" s="62">
        <v>5.4332000000000003</v>
      </c>
      <c r="V104" s="65"/>
    </row>
    <row r="105" spans="1:23" x14ac:dyDescent="0.25">
      <c r="A105" s="62">
        <v>2</v>
      </c>
      <c r="B105" s="301">
        <v>-4.2690999999999999</v>
      </c>
      <c r="C105" s="301">
        <v>0.43490000000000001</v>
      </c>
      <c r="D105" s="301">
        <v>-4.2690999999999999</v>
      </c>
      <c r="E105" s="301">
        <v>9.4079999999999995</v>
      </c>
      <c r="F105" s="301">
        <v>-9.4079999999999995</v>
      </c>
      <c r="G105" s="62">
        <v>0.13020000000000001</v>
      </c>
      <c r="H105" s="62">
        <v>0.13020000000000001</v>
      </c>
      <c r="J105" s="301">
        <v>2</v>
      </c>
      <c r="K105" s="301">
        <v>-4.6062000000000003</v>
      </c>
      <c r="L105" s="301">
        <v>1.0386</v>
      </c>
      <c r="M105" s="301">
        <v>-4.6062000000000003</v>
      </c>
      <c r="N105" s="301">
        <v>11.2896</v>
      </c>
      <c r="O105" s="301">
        <v>-11.2896</v>
      </c>
      <c r="P105" s="62">
        <v>0.84640000000000004</v>
      </c>
      <c r="Q105" s="62">
        <v>0.84640000000000004</v>
      </c>
      <c r="V105" s="65"/>
    </row>
    <row r="106" spans="1:23" x14ac:dyDescent="0.25">
      <c r="A106" s="62">
        <v>3</v>
      </c>
      <c r="B106" s="301">
        <v>-12.0943</v>
      </c>
      <c r="C106" s="301">
        <v>6.9770000000000003</v>
      </c>
      <c r="D106" s="301">
        <v>-11.5837</v>
      </c>
      <c r="E106" s="301">
        <v>18.9437</v>
      </c>
      <c r="F106" s="301">
        <v>-18.688300000000002</v>
      </c>
      <c r="G106" s="62">
        <v>0.95589999999999997</v>
      </c>
      <c r="H106" s="62">
        <v>0.95589999999999997</v>
      </c>
      <c r="J106" s="301">
        <v>3</v>
      </c>
      <c r="K106" s="301">
        <v>-14.628299999999999</v>
      </c>
      <c r="L106" s="301">
        <v>8.0442999999999998</v>
      </c>
      <c r="M106" s="301">
        <v>-14.4414</v>
      </c>
      <c r="N106" s="301">
        <v>22.625900000000001</v>
      </c>
      <c r="O106" s="301">
        <v>-22.532499999999999</v>
      </c>
      <c r="P106" s="62">
        <v>5.4332000000000003</v>
      </c>
      <c r="Q106" s="62">
        <v>5.4332000000000003</v>
      </c>
      <c r="V106" s="65"/>
    </row>
    <row r="107" spans="1:23" x14ac:dyDescent="0.25">
      <c r="A107" s="62">
        <v>4</v>
      </c>
      <c r="B107" s="370">
        <v>-26.228400000000001</v>
      </c>
      <c r="C107" s="370">
        <v>18.703800000000001</v>
      </c>
      <c r="D107" s="370">
        <v>-28.844000000000001</v>
      </c>
      <c r="E107" s="370">
        <v>45.586100000000002</v>
      </c>
      <c r="F107" s="370">
        <v>-46.893900000000002</v>
      </c>
      <c r="G107" s="62">
        <v>4.4779999999999998</v>
      </c>
      <c r="H107" s="62">
        <v>4.4779999999999998</v>
      </c>
      <c r="J107" s="370">
        <v>4</v>
      </c>
      <c r="K107" s="370">
        <v>-45.713799999999999</v>
      </c>
      <c r="L107" s="370">
        <v>33.569299999999998</v>
      </c>
      <c r="M107" s="370">
        <v>-50.443600000000004</v>
      </c>
      <c r="N107" s="370">
        <v>80.465599999999995</v>
      </c>
      <c r="O107" s="370">
        <v>-82.830399999999997</v>
      </c>
      <c r="P107" s="62">
        <v>7.2232000000000003</v>
      </c>
      <c r="Q107" s="62">
        <v>7.2232000000000003</v>
      </c>
      <c r="V107" s="65"/>
    </row>
    <row r="108" spans="1:23" x14ac:dyDescent="0.25">
      <c r="A108" s="62">
        <v>5</v>
      </c>
      <c r="B108" s="370">
        <v>-10.6004</v>
      </c>
      <c r="C108" s="370">
        <v>0</v>
      </c>
      <c r="D108" s="370">
        <v>-10.6004</v>
      </c>
      <c r="E108" s="370">
        <v>15.502000000000001</v>
      </c>
      <c r="F108" s="370">
        <v>-15.502000000000001</v>
      </c>
      <c r="G108" s="62">
        <v>1.4335</v>
      </c>
      <c r="H108" s="62">
        <v>1.4335</v>
      </c>
      <c r="J108" s="370">
        <v>5</v>
      </c>
      <c r="K108" s="370">
        <v>-16.989799999999999</v>
      </c>
      <c r="L108" s="370">
        <v>0</v>
      </c>
      <c r="M108" s="370">
        <v>-16.989799999999999</v>
      </c>
      <c r="N108" s="370">
        <v>18.602399999999999</v>
      </c>
      <c r="O108" s="370">
        <v>-18.602399999999999</v>
      </c>
      <c r="P108" s="62">
        <v>2.1354000000000002</v>
      </c>
      <c r="Q108" s="62">
        <v>2.1354000000000002</v>
      </c>
      <c r="V108" s="65"/>
    </row>
    <row r="109" spans="1:23" x14ac:dyDescent="0.25">
      <c r="A109" s="62">
        <v>6</v>
      </c>
      <c r="B109" s="370">
        <v>-28.844000000000001</v>
      </c>
      <c r="C109" s="370">
        <v>18.703800000000001</v>
      </c>
      <c r="D109" s="370">
        <v>-26.228400000000001</v>
      </c>
      <c r="E109" s="370">
        <v>46.893900000000002</v>
      </c>
      <c r="F109" s="370">
        <v>-45.586100000000002</v>
      </c>
      <c r="G109" s="62">
        <v>4.4779999999999998</v>
      </c>
      <c r="H109" s="62">
        <v>4.4779999999999998</v>
      </c>
      <c r="J109" s="370">
        <v>6</v>
      </c>
      <c r="K109" s="370">
        <v>-50.443600000000004</v>
      </c>
      <c r="L109" s="370">
        <v>33.569299999999998</v>
      </c>
      <c r="M109" s="370">
        <v>-45.713799999999999</v>
      </c>
      <c r="N109" s="370">
        <v>82.830399999999997</v>
      </c>
      <c r="O109" s="370">
        <v>-80.465599999999995</v>
      </c>
      <c r="P109" s="62">
        <v>7.2232000000000003</v>
      </c>
      <c r="Q109" s="62">
        <v>7.2232000000000003</v>
      </c>
      <c r="V109" s="65"/>
    </row>
    <row r="110" spans="1:23" x14ac:dyDescent="0.25">
      <c r="A110" s="62">
        <v>7</v>
      </c>
      <c r="B110" s="108">
        <v>-16.674099999999999</v>
      </c>
      <c r="C110" s="108">
        <v>15.3498</v>
      </c>
      <c r="D110" s="108">
        <v>-20.7302</v>
      </c>
      <c r="E110" s="108">
        <v>33.037999999999997</v>
      </c>
      <c r="F110" s="108">
        <v>-35.066000000000003</v>
      </c>
      <c r="G110" s="62">
        <v>-10.0373</v>
      </c>
      <c r="H110" s="62">
        <v>-10.0373</v>
      </c>
      <c r="J110" s="108">
        <v>7</v>
      </c>
      <c r="K110" s="108">
        <v>-26.284199999999998</v>
      </c>
      <c r="L110" s="108">
        <v>23.3779</v>
      </c>
      <c r="M110" s="108">
        <v>-31.884899999999998</v>
      </c>
      <c r="N110" s="108">
        <v>51.062199999999997</v>
      </c>
      <c r="O110" s="108">
        <v>-53.8626</v>
      </c>
      <c r="P110" s="62">
        <v>-16.5352</v>
      </c>
      <c r="Q110" s="62">
        <v>-16.5352</v>
      </c>
      <c r="V110" s="65"/>
    </row>
    <row r="111" spans="1:23" x14ac:dyDescent="0.25">
      <c r="A111" s="62">
        <v>8</v>
      </c>
      <c r="B111" s="108">
        <v>-9.4375</v>
      </c>
      <c r="C111" s="108">
        <v>0</v>
      </c>
      <c r="D111" s="108">
        <v>-9.4375</v>
      </c>
      <c r="E111" s="108">
        <v>9.4079999999999995</v>
      </c>
      <c r="F111" s="108">
        <v>-9.4079999999999995</v>
      </c>
      <c r="G111" s="62">
        <v>-3.149</v>
      </c>
      <c r="H111" s="62">
        <v>-3.149</v>
      </c>
      <c r="J111" s="108">
        <v>8</v>
      </c>
      <c r="K111" s="108">
        <v>-13.2516</v>
      </c>
      <c r="L111" s="108">
        <v>0</v>
      </c>
      <c r="M111" s="108">
        <v>-13.2516</v>
      </c>
      <c r="N111" s="108">
        <v>11.2896</v>
      </c>
      <c r="O111" s="108">
        <v>-11.2896</v>
      </c>
      <c r="P111" s="62">
        <v>-4.6353</v>
      </c>
      <c r="Q111" s="62">
        <v>-4.6353</v>
      </c>
      <c r="V111" s="65"/>
    </row>
    <row r="112" spans="1:23" x14ac:dyDescent="0.25">
      <c r="A112" s="62">
        <v>9</v>
      </c>
      <c r="B112" s="108">
        <v>-20.7302</v>
      </c>
      <c r="C112" s="108">
        <v>15.3498</v>
      </c>
      <c r="D112" s="108">
        <v>-16.674099999999999</v>
      </c>
      <c r="E112" s="108">
        <v>35.066000000000003</v>
      </c>
      <c r="F112" s="108">
        <v>-33.037999999999997</v>
      </c>
      <c r="G112" s="62">
        <v>-10.0373</v>
      </c>
      <c r="H112" s="62">
        <v>-10.0373</v>
      </c>
      <c r="J112" s="108">
        <v>9</v>
      </c>
      <c r="K112" s="108">
        <v>-31.884899999999998</v>
      </c>
      <c r="L112" s="108">
        <v>23.3779</v>
      </c>
      <c r="M112" s="108">
        <v>-26.284199999999998</v>
      </c>
      <c r="N112" s="108">
        <v>53.8626</v>
      </c>
      <c r="O112" s="108">
        <v>-51.062199999999997</v>
      </c>
      <c r="P112" s="62">
        <v>-16.5352</v>
      </c>
      <c r="Q112" s="62">
        <v>-16.5352</v>
      </c>
      <c r="V112" s="65"/>
    </row>
    <row r="113" spans="1:23" x14ac:dyDescent="0.25">
      <c r="A113" s="62">
        <v>10</v>
      </c>
      <c r="B113" s="62">
        <v>2.3281000000000001</v>
      </c>
      <c r="C113" s="62">
        <v>2.3281000000000001</v>
      </c>
      <c r="D113" s="62">
        <v>-4.5770999999999997</v>
      </c>
      <c r="E113" s="62">
        <v>-4.6033999999999997</v>
      </c>
      <c r="F113" s="62">
        <v>-4.6033999999999997</v>
      </c>
      <c r="G113" s="301">
        <v>-97.312399999999997</v>
      </c>
      <c r="H113" s="301">
        <v>-97.312399999999997</v>
      </c>
      <c r="J113" s="62">
        <v>10</v>
      </c>
      <c r="K113" s="62">
        <v>2.0899000000000001</v>
      </c>
      <c r="L113" s="62">
        <v>2.0899000000000001</v>
      </c>
      <c r="M113" s="62">
        <v>-3.7282999999999999</v>
      </c>
      <c r="N113" s="62">
        <v>-3.8788</v>
      </c>
      <c r="O113" s="62">
        <v>-3.8788</v>
      </c>
      <c r="P113" s="301">
        <v>-154.06030000000001</v>
      </c>
      <c r="Q113" s="301">
        <v>-154.06030000000001</v>
      </c>
      <c r="V113" s="65"/>
    </row>
    <row r="114" spans="1:23" x14ac:dyDescent="0.25">
      <c r="A114" s="62">
        <v>11</v>
      </c>
      <c r="B114" s="62">
        <v>-1.5082</v>
      </c>
      <c r="C114" s="62">
        <v>3.0190000000000001</v>
      </c>
      <c r="D114" s="62">
        <v>3.0190000000000001</v>
      </c>
      <c r="E114" s="62">
        <v>3.0181</v>
      </c>
      <c r="F114" s="62">
        <v>3.0181</v>
      </c>
      <c r="G114" s="301">
        <v>-135.2216</v>
      </c>
      <c r="H114" s="301">
        <v>-135.2216</v>
      </c>
      <c r="J114" s="62">
        <v>11</v>
      </c>
      <c r="K114" s="62">
        <v>-1.107</v>
      </c>
      <c r="L114" s="62">
        <v>2.2309999999999999</v>
      </c>
      <c r="M114" s="62">
        <v>2.2309999999999999</v>
      </c>
      <c r="N114" s="62">
        <v>2.2252999999999998</v>
      </c>
      <c r="O114" s="62">
        <v>2.2252999999999998</v>
      </c>
      <c r="P114" s="301">
        <v>-200.50059999999999</v>
      </c>
      <c r="Q114" s="301">
        <v>-200.50059999999999</v>
      </c>
      <c r="V114" s="65"/>
    </row>
    <row r="115" spans="1:23" x14ac:dyDescent="0.25">
      <c r="A115" s="62">
        <v>12</v>
      </c>
      <c r="B115" s="62">
        <v>1.5082</v>
      </c>
      <c r="C115" s="62">
        <v>1.5082</v>
      </c>
      <c r="D115" s="62">
        <v>-3.0190000000000001</v>
      </c>
      <c r="E115" s="62">
        <v>-3.0181</v>
      </c>
      <c r="F115" s="62">
        <v>-3.0181</v>
      </c>
      <c r="G115" s="301">
        <v>-135.2216</v>
      </c>
      <c r="H115" s="301">
        <v>-135.2216</v>
      </c>
      <c r="J115" s="62">
        <v>12</v>
      </c>
      <c r="K115" s="62">
        <v>1.107</v>
      </c>
      <c r="L115" s="62">
        <v>1.107</v>
      </c>
      <c r="M115" s="62">
        <v>-2.2309999999999999</v>
      </c>
      <c r="N115" s="62">
        <v>-2.2252999999999998</v>
      </c>
      <c r="O115" s="62">
        <v>-2.2252999999999998</v>
      </c>
      <c r="P115" s="301">
        <v>-200.50059999999999</v>
      </c>
      <c r="Q115" s="301">
        <v>-200.50059999999999</v>
      </c>
      <c r="V115" s="65"/>
      <c r="W115" s="92"/>
    </row>
    <row r="116" spans="1:23" x14ac:dyDescent="0.25">
      <c r="A116" s="62">
        <v>13</v>
      </c>
      <c r="B116" s="62">
        <v>-2.3281000000000001</v>
      </c>
      <c r="C116" s="62">
        <v>4.5770999999999997</v>
      </c>
      <c r="D116" s="62">
        <v>4.5770999999999997</v>
      </c>
      <c r="E116" s="62">
        <v>4.6033999999999997</v>
      </c>
      <c r="F116" s="62">
        <v>4.6033999999999997</v>
      </c>
      <c r="G116" s="301">
        <v>-97.312399999999997</v>
      </c>
      <c r="H116" s="301">
        <v>-97.312399999999997</v>
      </c>
      <c r="J116" s="62">
        <v>13</v>
      </c>
      <c r="K116" s="62">
        <v>-2.0899000000000001</v>
      </c>
      <c r="L116" s="62">
        <v>3.7282999999999999</v>
      </c>
      <c r="M116" s="62">
        <v>3.7282999999999999</v>
      </c>
      <c r="N116" s="62">
        <v>3.8788</v>
      </c>
      <c r="O116" s="62">
        <v>3.8788</v>
      </c>
      <c r="P116" s="301">
        <v>-154.06030000000001</v>
      </c>
      <c r="Q116" s="301">
        <v>-154.06030000000001</v>
      </c>
      <c r="V116" s="65"/>
    </row>
    <row r="117" spans="1:23" x14ac:dyDescent="0.25">
      <c r="A117" s="62">
        <v>14</v>
      </c>
      <c r="B117" s="62">
        <v>7.0067000000000004</v>
      </c>
      <c r="C117" s="62">
        <v>7.0067000000000004</v>
      </c>
      <c r="D117" s="62">
        <v>-10.783099999999999</v>
      </c>
      <c r="E117" s="62">
        <v>-5.5593000000000004</v>
      </c>
      <c r="F117" s="62">
        <v>-5.5593000000000004</v>
      </c>
      <c r="G117" s="370">
        <v>-78.624099999999999</v>
      </c>
      <c r="H117" s="370">
        <v>-78.624099999999999</v>
      </c>
      <c r="J117" s="62">
        <v>14</v>
      </c>
      <c r="K117" s="62">
        <v>10.713200000000001</v>
      </c>
      <c r="L117" s="62">
        <v>10.713200000000001</v>
      </c>
      <c r="M117" s="62">
        <v>-19.0853</v>
      </c>
      <c r="N117" s="62">
        <v>-9.3119999999999994</v>
      </c>
      <c r="O117" s="62">
        <v>-9.3119999999999994</v>
      </c>
      <c r="P117" s="370">
        <v>-131.52780000000001</v>
      </c>
      <c r="Q117" s="370">
        <v>-131.52780000000001</v>
      </c>
      <c r="V117" s="65"/>
    </row>
    <row r="118" spans="1:23" x14ac:dyDescent="0.25">
      <c r="A118" s="62">
        <v>15</v>
      </c>
      <c r="B118" s="62">
        <v>-4.8063000000000002</v>
      </c>
      <c r="C118" s="62">
        <v>7.4936999999999996</v>
      </c>
      <c r="D118" s="62">
        <v>7.4936999999999996</v>
      </c>
      <c r="E118" s="62">
        <v>3.8437999999999999</v>
      </c>
      <c r="F118" s="62">
        <v>3.8437999999999999</v>
      </c>
      <c r="G118" s="370">
        <v>-106.8699</v>
      </c>
      <c r="H118" s="370">
        <v>-106.8699</v>
      </c>
      <c r="J118" s="62">
        <v>15</v>
      </c>
      <c r="K118" s="62">
        <v>-7.7911999999999999</v>
      </c>
      <c r="L118" s="62">
        <v>14.0075</v>
      </c>
      <c r="M118" s="62">
        <v>14.0075</v>
      </c>
      <c r="N118" s="62">
        <v>6.8121</v>
      </c>
      <c r="O118" s="62">
        <v>6.8121</v>
      </c>
      <c r="P118" s="370">
        <v>-166.58500000000001</v>
      </c>
      <c r="Q118" s="370">
        <v>-166.58500000000001</v>
      </c>
      <c r="V118" s="65"/>
    </row>
    <row r="119" spans="1:23" x14ac:dyDescent="0.25">
      <c r="A119" s="62">
        <v>16</v>
      </c>
      <c r="B119" s="62">
        <v>4.8063000000000002</v>
      </c>
      <c r="C119" s="62">
        <v>4.8063000000000002</v>
      </c>
      <c r="D119" s="62">
        <v>-7.4936999999999996</v>
      </c>
      <c r="E119" s="62">
        <v>-3.8437999999999999</v>
      </c>
      <c r="F119" s="62">
        <v>-3.8437999999999999</v>
      </c>
      <c r="G119" s="370">
        <v>-106.8699</v>
      </c>
      <c r="H119" s="370">
        <v>-106.8699</v>
      </c>
      <c r="J119" s="62">
        <v>16</v>
      </c>
      <c r="K119" s="62">
        <v>7.7911999999999999</v>
      </c>
      <c r="L119" s="62">
        <v>7.7911999999999999</v>
      </c>
      <c r="M119" s="62">
        <v>-14.0075</v>
      </c>
      <c r="N119" s="62">
        <v>-6.8121</v>
      </c>
      <c r="O119" s="62">
        <v>-6.8121</v>
      </c>
      <c r="P119" s="370">
        <v>-166.58500000000001</v>
      </c>
      <c r="Q119" s="370">
        <v>-166.58500000000001</v>
      </c>
      <c r="V119" s="65"/>
    </row>
    <row r="120" spans="1:23" x14ac:dyDescent="0.25">
      <c r="A120" s="62">
        <v>17</v>
      </c>
      <c r="B120" s="62">
        <v>-7.0067000000000004</v>
      </c>
      <c r="C120" s="62">
        <v>10.783099999999999</v>
      </c>
      <c r="D120" s="62">
        <v>10.783099999999999</v>
      </c>
      <c r="E120" s="62">
        <v>5.5593000000000004</v>
      </c>
      <c r="F120" s="62">
        <v>5.5593000000000004</v>
      </c>
      <c r="G120" s="370">
        <v>-78.624099999999999</v>
      </c>
      <c r="H120" s="370">
        <v>-78.624099999999999</v>
      </c>
      <c r="J120" s="62">
        <v>17</v>
      </c>
      <c r="K120" s="62">
        <v>-10.713200000000001</v>
      </c>
      <c r="L120" s="62">
        <v>19.0853</v>
      </c>
      <c r="M120" s="62">
        <v>19.0853</v>
      </c>
      <c r="N120" s="62">
        <v>9.3119999999999994</v>
      </c>
      <c r="O120" s="62">
        <v>9.3119999999999994</v>
      </c>
      <c r="P120" s="370">
        <v>-131.52780000000001</v>
      </c>
      <c r="Q120" s="370">
        <v>-131.52780000000001</v>
      </c>
      <c r="V120" s="65"/>
    </row>
    <row r="121" spans="1:23" x14ac:dyDescent="0.25">
      <c r="A121" s="62">
        <v>18</v>
      </c>
      <c r="B121" s="62">
        <v>15.4453</v>
      </c>
      <c r="C121" s="62">
        <v>15.4453</v>
      </c>
      <c r="D121" s="62">
        <v>-16.674099999999999</v>
      </c>
      <c r="E121" s="62">
        <v>-10.0373</v>
      </c>
      <c r="F121" s="62">
        <v>-10.0373</v>
      </c>
      <c r="G121" s="108">
        <v>-33.037999999999997</v>
      </c>
      <c r="H121" s="108">
        <v>-33.037999999999997</v>
      </c>
      <c r="J121" s="62">
        <v>18</v>
      </c>
      <c r="K121" s="62">
        <v>26.628499999999999</v>
      </c>
      <c r="L121" s="62">
        <v>26.628499999999999</v>
      </c>
      <c r="M121" s="62">
        <v>-26.284199999999998</v>
      </c>
      <c r="N121" s="62">
        <v>-16.5352</v>
      </c>
      <c r="O121" s="62">
        <v>-16.5352</v>
      </c>
      <c r="P121" s="108">
        <v>-51.062199999999997</v>
      </c>
      <c r="Q121" s="108">
        <v>-51.062199999999997</v>
      </c>
      <c r="V121" s="65"/>
    </row>
    <row r="122" spans="1:23" x14ac:dyDescent="0.25">
      <c r="A122" s="62">
        <v>19</v>
      </c>
      <c r="B122" s="62">
        <v>-10.7499</v>
      </c>
      <c r="C122" s="62">
        <v>11.2927</v>
      </c>
      <c r="D122" s="62">
        <v>11.2927</v>
      </c>
      <c r="E122" s="62">
        <v>6.8883000000000001</v>
      </c>
      <c r="F122" s="62">
        <v>6.8883000000000001</v>
      </c>
      <c r="G122" s="108">
        <v>-44.473999999999997</v>
      </c>
      <c r="H122" s="108">
        <v>-44.473999999999997</v>
      </c>
      <c r="J122" s="62">
        <v>19</v>
      </c>
      <c r="K122" s="62">
        <v>-19.446300000000001</v>
      </c>
      <c r="L122" s="62">
        <v>18.633400000000002</v>
      </c>
      <c r="M122" s="62">
        <v>18.633400000000002</v>
      </c>
      <c r="N122" s="62">
        <v>11.899900000000001</v>
      </c>
      <c r="O122" s="62">
        <v>11.899900000000001</v>
      </c>
      <c r="P122" s="108">
        <v>-65.152199999999993</v>
      </c>
      <c r="Q122" s="108">
        <v>-65.152199999999993</v>
      </c>
      <c r="V122" s="65"/>
    </row>
    <row r="123" spans="1:23" x14ac:dyDescent="0.25">
      <c r="A123" s="62">
        <v>20</v>
      </c>
      <c r="B123" s="62">
        <v>10.7499</v>
      </c>
      <c r="C123" s="62">
        <v>10.7499</v>
      </c>
      <c r="D123" s="62">
        <v>-11.2927</v>
      </c>
      <c r="E123" s="62">
        <v>-6.8883000000000001</v>
      </c>
      <c r="F123" s="62">
        <v>-6.8883000000000001</v>
      </c>
      <c r="G123" s="108">
        <v>-44.473999999999997</v>
      </c>
      <c r="H123" s="108">
        <v>-44.473999999999997</v>
      </c>
      <c r="J123" s="62">
        <v>20</v>
      </c>
      <c r="K123" s="62">
        <v>19.446300000000001</v>
      </c>
      <c r="L123" s="62">
        <v>19.446300000000001</v>
      </c>
      <c r="M123" s="62">
        <v>-18.633400000000002</v>
      </c>
      <c r="N123" s="62">
        <v>-11.899900000000001</v>
      </c>
      <c r="O123" s="62">
        <v>-11.899900000000001</v>
      </c>
      <c r="P123" s="108">
        <v>-65.152199999999993</v>
      </c>
      <c r="Q123" s="108">
        <v>-65.152199999999993</v>
      </c>
      <c r="V123" s="65"/>
    </row>
    <row r="124" spans="1:23" x14ac:dyDescent="0.25">
      <c r="A124" s="62">
        <v>21</v>
      </c>
      <c r="B124" s="62">
        <v>-15.4453</v>
      </c>
      <c r="C124" s="62">
        <v>16.674099999999999</v>
      </c>
      <c r="D124" s="62">
        <v>16.674099999999999</v>
      </c>
      <c r="E124" s="62">
        <v>10.0373</v>
      </c>
      <c r="F124" s="62">
        <v>10.0373</v>
      </c>
      <c r="G124" s="108">
        <v>-33.037999999999997</v>
      </c>
      <c r="H124" s="108">
        <v>-33.037999999999997</v>
      </c>
      <c r="J124" s="62">
        <v>21</v>
      </c>
      <c r="K124" s="62">
        <v>-26.628499999999999</v>
      </c>
      <c r="L124" s="62">
        <v>26.284199999999998</v>
      </c>
      <c r="M124" s="62">
        <v>26.284199999999998</v>
      </c>
      <c r="N124" s="62">
        <v>16.5352</v>
      </c>
      <c r="O124" s="62">
        <v>16.5352</v>
      </c>
      <c r="P124" s="108">
        <v>-51.062199999999997</v>
      </c>
      <c r="Q124" s="108">
        <v>-51.062199999999997</v>
      </c>
      <c r="V124" s="65"/>
    </row>
    <row r="125" spans="1:23" x14ac:dyDescent="0.25">
      <c r="A125" s="63"/>
      <c r="V125" s="65"/>
    </row>
    <row r="126" spans="1:23" x14ac:dyDescent="0.25">
      <c r="A126" s="112" t="s">
        <v>10</v>
      </c>
      <c r="J126" s="92" t="s">
        <v>475</v>
      </c>
      <c r="K126" s="92"/>
      <c r="O126" s="92" t="s">
        <v>470</v>
      </c>
      <c r="V126" s="65"/>
    </row>
    <row r="127" spans="1:23" x14ac:dyDescent="0.25">
      <c r="A127" s="62" t="s">
        <v>0</v>
      </c>
      <c r="B127" s="62" t="s">
        <v>1</v>
      </c>
      <c r="C127" s="62" t="s">
        <v>2</v>
      </c>
      <c r="D127" s="62" t="s">
        <v>3</v>
      </c>
      <c r="E127" s="62" t="s">
        <v>4</v>
      </c>
      <c r="F127" s="62" t="s">
        <v>5</v>
      </c>
      <c r="G127" s="62" t="s">
        <v>6</v>
      </c>
      <c r="H127" s="62" t="s">
        <v>7</v>
      </c>
      <c r="J127" s="62" t="s">
        <v>473</v>
      </c>
      <c r="K127" s="62" t="s">
        <v>18</v>
      </c>
      <c r="L127" s="62" t="s">
        <v>13</v>
      </c>
      <c r="M127" s="62" t="s">
        <v>14</v>
      </c>
      <c r="O127" s="62" t="s">
        <v>292</v>
      </c>
      <c r="V127" s="65"/>
    </row>
    <row r="128" spans="1:23" x14ac:dyDescent="0.25">
      <c r="A128" s="301">
        <v>1</v>
      </c>
      <c r="B128" s="301">
        <v>-0.33810000000000001</v>
      </c>
      <c r="C128" s="301">
        <v>0</v>
      </c>
      <c r="D128" s="301">
        <v>-7.1900000000000006E-2</v>
      </c>
      <c r="E128" s="301">
        <v>6.6500000000000004E-2</v>
      </c>
      <c r="F128" s="301">
        <v>6.6500000000000004E-2</v>
      </c>
      <c r="G128" s="62">
        <v>2.6789000000000001</v>
      </c>
      <c r="H128" s="62">
        <v>2.6789000000000001</v>
      </c>
      <c r="J128" s="62" t="s">
        <v>15</v>
      </c>
      <c r="O128" s="62" t="s">
        <v>471</v>
      </c>
      <c r="P128" s="62" t="s">
        <v>18</v>
      </c>
      <c r="Q128" s="62" t="s">
        <v>13</v>
      </c>
      <c r="R128" s="62" t="s">
        <v>14</v>
      </c>
      <c r="V128" s="65"/>
    </row>
    <row r="129" spans="1:22" x14ac:dyDescent="0.25">
      <c r="A129" s="301">
        <v>2</v>
      </c>
      <c r="B129" s="301">
        <v>0.32300000000000001</v>
      </c>
      <c r="C129" s="301">
        <v>0.32300000000000001</v>
      </c>
      <c r="D129" s="301">
        <v>0.32300000000000001</v>
      </c>
      <c r="E129" s="303">
        <v>6.6949299999999999E-17</v>
      </c>
      <c r="F129" s="303">
        <v>6.6949299999999999E-17</v>
      </c>
      <c r="G129" s="62">
        <v>0.43140000000000001</v>
      </c>
      <c r="H129" s="62">
        <v>0.43140000000000001</v>
      </c>
      <c r="K129" s="62" t="s">
        <v>19</v>
      </c>
      <c r="L129" s="62">
        <f>MIN(B104:B112)</f>
        <v>-28.844000000000001</v>
      </c>
      <c r="M129" s="62">
        <f>MAX(C104:C112)</f>
        <v>18.703800000000001</v>
      </c>
      <c r="O129" s="62" t="s">
        <v>15</v>
      </c>
      <c r="V129" s="65"/>
    </row>
    <row r="130" spans="1:22" x14ac:dyDescent="0.25">
      <c r="A130" s="301">
        <v>3</v>
      </c>
      <c r="B130" s="301">
        <v>-7.1900000000000006E-2</v>
      </c>
      <c r="C130" s="301">
        <v>0</v>
      </c>
      <c r="D130" s="301">
        <v>-0.33810000000000001</v>
      </c>
      <c r="E130" s="301">
        <v>-6.6500000000000004E-2</v>
      </c>
      <c r="F130" s="301">
        <v>-6.6500000000000004E-2</v>
      </c>
      <c r="G130" s="62">
        <v>2.6789000000000001</v>
      </c>
      <c r="H130" s="62">
        <v>2.6789000000000001</v>
      </c>
      <c r="K130" s="62" t="s">
        <v>20</v>
      </c>
      <c r="L130" s="62" cm="1">
        <f t="array" ref="L130">MAX(ABS(E104:F112))</f>
        <v>46.893900000000002</v>
      </c>
      <c r="P130" s="62" t="s">
        <v>19</v>
      </c>
      <c r="Q130" s="62">
        <f>MIN(B104:B106)</f>
        <v>-12.0943</v>
      </c>
      <c r="R130" s="62">
        <f>MAX(C104:C106)</f>
        <v>6.9770000000000003</v>
      </c>
      <c r="V130" s="65"/>
    </row>
    <row r="131" spans="1:22" x14ac:dyDescent="0.25">
      <c r="A131" s="370">
        <v>4</v>
      </c>
      <c r="B131" s="370">
        <v>-8.8999000000000006</v>
      </c>
      <c r="C131" s="370">
        <v>6.9528999999999996</v>
      </c>
      <c r="D131" s="370">
        <v>-9.8942999999999994</v>
      </c>
      <c r="E131" s="370">
        <v>16.101400000000002</v>
      </c>
      <c r="F131" s="370">
        <v>-16.598600000000001</v>
      </c>
      <c r="G131" s="62">
        <v>1.1559999999999999</v>
      </c>
      <c r="H131" s="62">
        <v>1.1559999999999999</v>
      </c>
      <c r="K131" s="62" t="s">
        <v>147</v>
      </c>
      <c r="L131" s="62" cm="1">
        <f t="array" ref="L131">MAX(ABS(H113:H124))</f>
        <v>135.2216</v>
      </c>
      <c r="P131" s="62" t="s">
        <v>20</v>
      </c>
      <c r="Q131" s="62" cm="1">
        <f t="array" ref="Q131">MAX(ABS(E104:F106))</f>
        <v>18.9437</v>
      </c>
      <c r="V131" s="65"/>
    </row>
    <row r="132" spans="1:22" x14ac:dyDescent="0.25">
      <c r="A132" s="370">
        <v>5</v>
      </c>
      <c r="B132" s="370">
        <v>-2.6684000000000001</v>
      </c>
      <c r="C132" s="370">
        <v>0</v>
      </c>
      <c r="D132" s="370">
        <v>-2.6684000000000001</v>
      </c>
      <c r="E132" s="374">
        <v>-5.7610199999999997E-16</v>
      </c>
      <c r="F132" s="374">
        <v>-5.7610199999999997E-16</v>
      </c>
      <c r="G132" s="62">
        <v>0.25950000000000001</v>
      </c>
      <c r="H132" s="62">
        <v>0.25950000000000001</v>
      </c>
      <c r="J132" s="62" t="s">
        <v>16</v>
      </c>
      <c r="P132" s="62" t="s">
        <v>147</v>
      </c>
      <c r="Q132" s="62" cm="1">
        <f t="array" ref="Q132">MAX(ABS(H113:H116))</f>
        <v>135.2216</v>
      </c>
      <c r="V132" s="65"/>
    </row>
    <row r="133" spans="1:22" x14ac:dyDescent="0.25">
      <c r="A133" s="370">
        <v>6</v>
      </c>
      <c r="B133" s="370">
        <v>-9.8942999999999994</v>
      </c>
      <c r="C133" s="370">
        <v>6.9528999999999996</v>
      </c>
      <c r="D133" s="370">
        <v>-8.8999000000000006</v>
      </c>
      <c r="E133" s="370">
        <v>16.598600000000001</v>
      </c>
      <c r="F133" s="370">
        <v>-16.101400000000002</v>
      </c>
      <c r="G133" s="62">
        <v>1.1559999999999999</v>
      </c>
      <c r="H133" s="62">
        <v>1.1559999999999999</v>
      </c>
      <c r="K133" s="62" t="s">
        <v>19</v>
      </c>
      <c r="L133" s="62">
        <f>MIN(B128:B136)</f>
        <v>-9.8942999999999994</v>
      </c>
      <c r="M133" s="62">
        <f>MAX(C128:C136)</f>
        <v>6.9528999999999996</v>
      </c>
      <c r="O133" s="62" t="s">
        <v>16</v>
      </c>
      <c r="V133" s="65"/>
    </row>
    <row r="134" spans="1:22" x14ac:dyDescent="0.25">
      <c r="A134" s="108">
        <v>7</v>
      </c>
      <c r="B134" s="108">
        <v>-3.9220000000000002</v>
      </c>
      <c r="C134" s="108">
        <v>3.0988000000000002</v>
      </c>
      <c r="D134" s="108">
        <v>-4.3803999999999998</v>
      </c>
      <c r="E134" s="108">
        <v>7.1353999999999997</v>
      </c>
      <c r="F134" s="108">
        <v>-7.3646000000000003</v>
      </c>
      <c r="G134" s="62">
        <v>-2.8065000000000002</v>
      </c>
      <c r="H134" s="62">
        <v>-2.8065000000000002</v>
      </c>
      <c r="K134" s="62" t="s">
        <v>20</v>
      </c>
      <c r="L134" s="62" cm="1">
        <f t="array" ref="L134">MAX(ABS(E128:F136))</f>
        <v>16.598600000000001</v>
      </c>
      <c r="P134" s="62" t="s">
        <v>19</v>
      </c>
      <c r="Q134" s="62">
        <f>MIN(B128:B130)</f>
        <v>-0.33810000000000001</v>
      </c>
      <c r="R134" s="62">
        <f>MAX(C128:C130)</f>
        <v>0.32300000000000001</v>
      </c>
      <c r="V134" s="65"/>
    </row>
    <row r="135" spans="1:22" x14ac:dyDescent="0.25">
      <c r="A135" s="108">
        <v>8</v>
      </c>
      <c r="B135" s="108">
        <v>-1.2040999999999999</v>
      </c>
      <c r="C135" s="108">
        <v>0</v>
      </c>
      <c r="D135" s="108">
        <v>-1.2040999999999999</v>
      </c>
      <c r="E135" s="372">
        <v>-5.8285300000000005E-16</v>
      </c>
      <c r="F135" s="372">
        <v>-5.8285300000000005E-16</v>
      </c>
      <c r="G135" s="62">
        <v>-0.5353</v>
      </c>
      <c r="H135" s="62">
        <v>-0.5353</v>
      </c>
      <c r="K135" s="62" t="s">
        <v>147</v>
      </c>
      <c r="L135" s="62" cm="1">
        <f t="array" ref="L135">MAX(ABS(H137:H148))</f>
        <v>23.963200000000001</v>
      </c>
      <c r="P135" s="62" t="s">
        <v>20</v>
      </c>
      <c r="Q135" s="62" cm="1">
        <f t="array" ref="Q135">MAX(ABS(E128:F130))</f>
        <v>6.6500000000000004E-2</v>
      </c>
      <c r="V135" s="65"/>
    </row>
    <row r="136" spans="1:22" x14ac:dyDescent="0.25">
      <c r="A136" s="108">
        <v>9</v>
      </c>
      <c r="B136" s="108">
        <v>-4.3803999999999998</v>
      </c>
      <c r="C136" s="108">
        <v>3.0988000000000002</v>
      </c>
      <c r="D136" s="108">
        <v>-3.9220000000000002</v>
      </c>
      <c r="E136" s="108">
        <v>7.3646000000000003</v>
      </c>
      <c r="F136" s="108">
        <v>-7.1353999999999997</v>
      </c>
      <c r="G136" s="62">
        <v>-2.8065000000000002</v>
      </c>
      <c r="H136" s="62">
        <v>-2.8065000000000002</v>
      </c>
      <c r="J136" s="62" t="s">
        <v>17</v>
      </c>
      <c r="P136" s="62" t="s">
        <v>147</v>
      </c>
      <c r="Q136" s="62" cm="1">
        <f t="array" ref="Q136">MAX(ABS(H137:H140))</f>
        <v>23.896599999999999</v>
      </c>
      <c r="V136" s="65"/>
    </row>
    <row r="137" spans="1:22" x14ac:dyDescent="0.25">
      <c r="A137" s="62">
        <v>10</v>
      </c>
      <c r="B137" s="62">
        <v>-0.43980000000000002</v>
      </c>
      <c r="C137" s="62">
        <v>1.1026</v>
      </c>
      <c r="D137" s="62">
        <v>1.1026</v>
      </c>
      <c r="E137" s="62">
        <v>1.0283</v>
      </c>
      <c r="F137" s="62">
        <v>1.0283</v>
      </c>
      <c r="G137" s="301">
        <v>-23.3034</v>
      </c>
      <c r="H137" s="301">
        <v>-23.3034</v>
      </c>
      <c r="K137" s="62" t="s">
        <v>19</v>
      </c>
      <c r="L137" s="62">
        <f>MIN(K104:K112)</f>
        <v>-50.443600000000004</v>
      </c>
      <c r="M137" s="62">
        <f>MAX(L104:L112)</f>
        <v>33.569299999999998</v>
      </c>
      <c r="O137" s="62" t="s">
        <v>472</v>
      </c>
      <c r="V137" s="65"/>
    </row>
    <row r="138" spans="1:22" x14ac:dyDescent="0.25">
      <c r="A138" s="62">
        <v>11</v>
      </c>
      <c r="B138" s="62">
        <v>0.43930000000000002</v>
      </c>
      <c r="C138" s="62">
        <v>0.43930000000000002</v>
      </c>
      <c r="D138" s="62">
        <v>-0.86990000000000001</v>
      </c>
      <c r="E138" s="62">
        <v>-0.87280000000000002</v>
      </c>
      <c r="F138" s="62">
        <v>-0.87280000000000002</v>
      </c>
      <c r="G138" s="301">
        <v>-23.896599999999999</v>
      </c>
      <c r="H138" s="301">
        <v>-23.896599999999999</v>
      </c>
      <c r="K138" s="62" t="s">
        <v>20</v>
      </c>
      <c r="L138" s="62" cm="1">
        <f t="array" ref="L138">MAX(ABS(N104:O112))</f>
        <v>82.830399999999997</v>
      </c>
      <c r="O138" s="62" t="s">
        <v>471</v>
      </c>
      <c r="P138" s="62" t="s">
        <v>18</v>
      </c>
      <c r="Q138" s="62" t="s">
        <v>13</v>
      </c>
      <c r="R138" s="62" t="s">
        <v>14</v>
      </c>
      <c r="V138" s="65"/>
    </row>
    <row r="139" spans="1:22" x14ac:dyDescent="0.25">
      <c r="A139" s="62">
        <v>12</v>
      </c>
      <c r="B139" s="62">
        <v>-0.43930000000000002</v>
      </c>
      <c r="C139" s="62">
        <v>0.86990000000000001</v>
      </c>
      <c r="D139" s="62">
        <v>0.86990000000000001</v>
      </c>
      <c r="E139" s="62">
        <v>0.87280000000000002</v>
      </c>
      <c r="F139" s="62">
        <v>0.87280000000000002</v>
      </c>
      <c r="G139" s="301">
        <v>-23.896599999999999</v>
      </c>
      <c r="H139" s="301">
        <v>-23.896599999999999</v>
      </c>
      <c r="K139" s="62" t="s">
        <v>147</v>
      </c>
      <c r="L139" s="62" cm="1">
        <f t="array" ref="L139">MAX(ABS(Q113:Q124))</f>
        <v>200.50059999999999</v>
      </c>
      <c r="O139" s="62" t="s">
        <v>15</v>
      </c>
      <c r="V139" s="65"/>
    </row>
    <row r="140" spans="1:22" x14ac:dyDescent="0.25">
      <c r="A140" s="62">
        <v>13</v>
      </c>
      <c r="B140" s="62">
        <v>0.43980000000000002</v>
      </c>
      <c r="C140" s="62">
        <v>0.43980000000000002</v>
      </c>
      <c r="D140" s="62">
        <v>-1.1026</v>
      </c>
      <c r="E140" s="62">
        <v>-1.0283</v>
      </c>
      <c r="F140" s="62">
        <v>-1.0283</v>
      </c>
      <c r="G140" s="301">
        <v>-23.3034</v>
      </c>
      <c r="H140" s="301">
        <v>-23.3034</v>
      </c>
      <c r="P140" s="62" t="s">
        <v>19</v>
      </c>
      <c r="Q140" s="62">
        <f>MIN(B107:B112)</f>
        <v>-28.844000000000001</v>
      </c>
      <c r="R140" s="62">
        <f>MAX(C107:C112)</f>
        <v>18.703800000000001</v>
      </c>
      <c r="V140" s="65"/>
    </row>
    <row r="141" spans="1:22" x14ac:dyDescent="0.25">
      <c r="A141" s="62">
        <v>14</v>
      </c>
      <c r="B141" s="62">
        <v>1.4407000000000001</v>
      </c>
      <c r="C141" s="62">
        <v>1.4407000000000001</v>
      </c>
      <c r="D141" s="62">
        <v>-3.8410000000000002</v>
      </c>
      <c r="E141" s="62">
        <v>-1.6505000000000001</v>
      </c>
      <c r="F141" s="62">
        <v>-1.6505000000000001</v>
      </c>
      <c r="G141" s="370">
        <v>-23.236799999999999</v>
      </c>
      <c r="H141" s="370">
        <v>-23.236799999999999</v>
      </c>
      <c r="J141" s="92" t="s">
        <v>476</v>
      </c>
      <c r="P141" s="62" t="s">
        <v>20</v>
      </c>
      <c r="Q141" s="62" cm="1">
        <f t="array" ref="Q141">MAX(ABS(E107:F112))</f>
        <v>46.893900000000002</v>
      </c>
      <c r="V141" s="65"/>
    </row>
    <row r="142" spans="1:22" x14ac:dyDescent="0.25">
      <c r="A142" s="62">
        <v>15</v>
      </c>
      <c r="B142" s="62">
        <v>-1.2647999999999999</v>
      </c>
      <c r="C142" s="62">
        <v>3.1343999999999999</v>
      </c>
      <c r="D142" s="62">
        <v>3.1343999999999999</v>
      </c>
      <c r="E142" s="62">
        <v>1.3747</v>
      </c>
      <c r="F142" s="62">
        <v>1.3747</v>
      </c>
      <c r="G142" s="370">
        <v>-23.963200000000001</v>
      </c>
      <c r="H142" s="370">
        <v>-23.963200000000001</v>
      </c>
      <c r="J142" s="62" t="s">
        <v>474</v>
      </c>
      <c r="K142" s="62" t="s">
        <v>149</v>
      </c>
      <c r="L142" s="62" t="s">
        <v>150</v>
      </c>
      <c r="P142" s="62" t="s">
        <v>147</v>
      </c>
      <c r="Q142" s="62" cm="1">
        <f t="array" ref="Q142">MAX(ABS(H117:I124))</f>
        <v>106.8699</v>
      </c>
      <c r="V142" s="65"/>
    </row>
    <row r="143" spans="1:22" x14ac:dyDescent="0.25">
      <c r="A143" s="62">
        <v>16</v>
      </c>
      <c r="B143" s="62">
        <v>1.2647999999999999</v>
      </c>
      <c r="C143" s="62">
        <v>1.2647999999999999</v>
      </c>
      <c r="D143" s="62">
        <v>-3.1343999999999999</v>
      </c>
      <c r="E143" s="62">
        <v>-1.3747</v>
      </c>
      <c r="F143" s="62">
        <v>-1.3747</v>
      </c>
      <c r="G143" s="370">
        <v>-23.963200000000001</v>
      </c>
      <c r="H143" s="370">
        <v>-23.963200000000001</v>
      </c>
      <c r="J143" s="62" t="s">
        <v>478</v>
      </c>
      <c r="K143" s="62" cm="1">
        <f t="array" ref="K143">MAX(ABS(Q118:Q119))</f>
        <v>166.58500000000001</v>
      </c>
      <c r="L143" s="62">
        <f>MAX(ABS(Q117), ABS(Q120))</f>
        <v>131.52780000000001</v>
      </c>
      <c r="O143" s="62" t="s">
        <v>16</v>
      </c>
      <c r="V143" s="65"/>
    </row>
    <row r="144" spans="1:22" x14ac:dyDescent="0.25">
      <c r="A144" s="62">
        <v>17</v>
      </c>
      <c r="B144" s="62">
        <v>-1.4407000000000001</v>
      </c>
      <c r="C144" s="62">
        <v>3.8410000000000002</v>
      </c>
      <c r="D144" s="62">
        <v>3.8410000000000002</v>
      </c>
      <c r="E144" s="62">
        <v>1.6505000000000001</v>
      </c>
      <c r="F144" s="62">
        <v>1.6505000000000001</v>
      </c>
      <c r="G144" s="370">
        <v>-23.236799999999999</v>
      </c>
      <c r="H144" s="370">
        <v>-23.236799999999999</v>
      </c>
      <c r="J144" s="62" t="s">
        <v>479</v>
      </c>
      <c r="K144" s="62" cm="1">
        <f t="array" ref="K144">MAX(ABS(Q122:Q123))</f>
        <v>65.152199999999993</v>
      </c>
      <c r="L144" s="62">
        <f>MAX(ABS(Q121), ABS(Q124))</f>
        <v>51.062199999999997</v>
      </c>
      <c r="P144" s="62" t="s">
        <v>19</v>
      </c>
      <c r="Q144" s="62">
        <f>MIN(B131:B136)</f>
        <v>-9.8942999999999994</v>
      </c>
      <c r="R144" s="62">
        <f>MAX(C131:C136)</f>
        <v>6.9528999999999996</v>
      </c>
      <c r="U144" s="301"/>
      <c r="V144" s="65" t="s">
        <v>369</v>
      </c>
    </row>
    <row r="145" spans="1:22" x14ac:dyDescent="0.25">
      <c r="A145" s="62">
        <v>18</v>
      </c>
      <c r="B145" s="62">
        <v>5.0587999999999997</v>
      </c>
      <c r="C145" s="62">
        <v>5.0587999999999997</v>
      </c>
      <c r="D145" s="62">
        <v>-3.9220000000000002</v>
      </c>
      <c r="E145" s="62">
        <v>-2.8065000000000002</v>
      </c>
      <c r="F145" s="62">
        <v>-2.8065000000000002</v>
      </c>
      <c r="G145" s="108">
        <v>-7.1353999999999997</v>
      </c>
      <c r="H145" s="108">
        <v>-7.1353999999999997</v>
      </c>
      <c r="J145" s="92" t="s">
        <v>477</v>
      </c>
      <c r="P145" s="62" t="s">
        <v>20</v>
      </c>
      <c r="Q145" s="62" cm="1">
        <f t="array" ref="Q145">MAX(ABS(E131:F136))</f>
        <v>16.598600000000001</v>
      </c>
      <c r="U145" s="361"/>
      <c r="V145" s="65" t="s">
        <v>358</v>
      </c>
    </row>
    <row r="146" spans="1:22" x14ac:dyDescent="0.25">
      <c r="A146" s="62">
        <v>19</v>
      </c>
      <c r="B146" s="62">
        <v>-4.0914999999999999</v>
      </c>
      <c r="C146" s="62">
        <v>3.1762999999999999</v>
      </c>
      <c r="D146" s="62">
        <v>3.1762999999999999</v>
      </c>
      <c r="E146" s="62">
        <v>2.2711999999999999</v>
      </c>
      <c r="F146" s="62">
        <v>2.2711999999999999</v>
      </c>
      <c r="G146" s="108">
        <v>-7.3646000000000003</v>
      </c>
      <c r="H146" s="108">
        <v>-7.3646000000000003</v>
      </c>
      <c r="J146" s="62" t="s">
        <v>474</v>
      </c>
      <c r="K146" s="62" t="s">
        <v>149</v>
      </c>
      <c r="L146" s="62" t="s">
        <v>150</v>
      </c>
      <c r="M146" s="62" t="s">
        <v>149</v>
      </c>
      <c r="N146" s="62" t="s">
        <v>150</v>
      </c>
      <c r="P146" s="62" t="s">
        <v>147</v>
      </c>
      <c r="Q146" s="62" cm="1">
        <f t="array" ref="Q146">MAX(ABS(H141:H148))</f>
        <v>23.963200000000001</v>
      </c>
      <c r="U146" s="108"/>
      <c r="V146" s="65" t="s">
        <v>363</v>
      </c>
    </row>
    <row r="147" spans="1:22" x14ac:dyDescent="0.25">
      <c r="A147" s="62">
        <v>20</v>
      </c>
      <c r="B147" s="62">
        <v>4.0914999999999999</v>
      </c>
      <c r="C147" s="62">
        <v>4.0914999999999999</v>
      </c>
      <c r="D147" s="62">
        <v>-3.1762999999999999</v>
      </c>
      <c r="E147" s="62">
        <v>-2.2711999999999999</v>
      </c>
      <c r="F147" s="62">
        <v>-2.2711999999999999</v>
      </c>
      <c r="G147" s="108">
        <v>-7.3646000000000003</v>
      </c>
      <c r="H147" s="108">
        <v>-7.3646000000000003</v>
      </c>
      <c r="J147" s="62" t="s">
        <v>478</v>
      </c>
      <c r="K147" s="62" cm="1">
        <f t="array" ref="K147">MAX(ABS(H114:H115))</f>
        <v>135.2216</v>
      </c>
      <c r="L147" s="62">
        <f>MAX(ABS(H113), ABS(H116))</f>
        <v>97.312399999999997</v>
      </c>
      <c r="M147" s="62" cm="1">
        <f t="array" ref="M147">MAX(ABS(H138:H139))</f>
        <v>23.896599999999999</v>
      </c>
      <c r="N147" s="62">
        <f>MAX(ABS(H137), ABS(H140))</f>
        <v>23.3034</v>
      </c>
      <c r="V147" s="65"/>
    </row>
    <row r="148" spans="1:22" ht="14.4" thickBot="1" x14ac:dyDescent="0.3">
      <c r="A148" s="62">
        <v>21</v>
      </c>
      <c r="B148" s="62">
        <v>-5.0587999999999997</v>
      </c>
      <c r="C148" s="62">
        <v>3.9220000000000002</v>
      </c>
      <c r="D148" s="62">
        <v>3.9220000000000002</v>
      </c>
      <c r="E148" s="62">
        <v>2.8065000000000002</v>
      </c>
      <c r="F148" s="62">
        <v>2.8065000000000002</v>
      </c>
      <c r="G148" s="108">
        <v>-7.1353999999999997</v>
      </c>
      <c r="H148" s="108">
        <v>-7.1353999999999997</v>
      </c>
      <c r="I148" s="78"/>
      <c r="J148" s="78" t="s">
        <v>479</v>
      </c>
      <c r="K148" s="78" cm="1">
        <f t="array" ref="K148">MAX(ABS(H118:H119),(H122:H123))</f>
        <v>106.8699</v>
      </c>
      <c r="L148" s="78">
        <f>MAX(ABS(H117), ABS(H120),ABS(H121),ABS(H124))</f>
        <v>78.624099999999999</v>
      </c>
      <c r="M148" s="78" cm="1">
        <f t="array" ref="M148">MAX(ABS(H142:H143),(H146:H147))</f>
        <v>23.963200000000001</v>
      </c>
      <c r="N148" s="78">
        <f>MAX(ABS(H141), ABS(H144),ABS(H145),ABS(H148))</f>
        <v>23.236799999999999</v>
      </c>
      <c r="O148" s="78"/>
      <c r="P148" s="78"/>
      <c r="Q148" s="78"/>
      <c r="R148" s="78"/>
      <c r="S148" s="78"/>
      <c r="T148" s="78"/>
      <c r="U148" s="78"/>
      <c r="V148" s="79"/>
    </row>
    <row r="151" spans="1:22" x14ac:dyDescent="0.25">
      <c r="B151" s="62" t="s">
        <v>515</v>
      </c>
    </row>
    <row r="152" spans="1:22" x14ac:dyDescent="0.25">
      <c r="B152" s="62" t="s">
        <v>511</v>
      </c>
      <c r="C152" s="62" t="s">
        <v>512</v>
      </c>
      <c r="D152" s="62" t="s">
        <v>513</v>
      </c>
    </row>
    <row r="153" spans="1:22" x14ac:dyDescent="0.25">
      <c r="B153" s="62">
        <v>1</v>
      </c>
      <c r="C153" s="62">
        <f>MIN(H113:H114,H64:H65,H14:H15)</f>
        <v>-143.23249999999999</v>
      </c>
      <c r="D153" s="62">
        <f>MIN(H113,H116,H63,H66,H13,H16)</f>
        <v>-97.312399999999997</v>
      </c>
    </row>
    <row r="154" spans="1:22" x14ac:dyDescent="0.25">
      <c r="B154" s="62">
        <v>2</v>
      </c>
      <c r="C154" s="62">
        <f>MIN(H118:H119,H65:H66,H15:H16)</f>
        <v>-143.23249999999999</v>
      </c>
      <c r="D154" s="62">
        <f>MIN(H117,H120,H67,H70,H17,H20)</f>
        <v>-78.624099999999999</v>
      </c>
    </row>
    <row r="155" spans="1:22" x14ac:dyDescent="0.25">
      <c r="B155" s="62">
        <v>3</v>
      </c>
      <c r="C155" s="62">
        <f>MIN(H122:H123,H72:H73,H22:H23)</f>
        <v>-53.491700000000002</v>
      </c>
      <c r="D155" s="62">
        <f>MIN(H121,H124,H71,H74,H21,H24)</f>
        <v>-33.037999999999997</v>
      </c>
    </row>
    <row r="158" spans="1:22" x14ac:dyDescent="0.25">
      <c r="B158" s="62" t="s">
        <v>516</v>
      </c>
    </row>
    <row r="159" spans="1:22" x14ac:dyDescent="0.25">
      <c r="B159" s="62" t="s">
        <v>511</v>
      </c>
      <c r="C159" s="62" t="s">
        <v>512</v>
      </c>
      <c r="D159" s="62" t="s">
        <v>513</v>
      </c>
    </row>
    <row r="160" spans="1:22" x14ac:dyDescent="0.25">
      <c r="B160" s="62">
        <v>1</v>
      </c>
      <c r="C160" s="62">
        <f>MIN(H138:H139,H88:H89,H38:H39)</f>
        <v>-26.4876</v>
      </c>
      <c r="D160" s="62">
        <f>MIN(H137,H140,H87,H90,H37,H40)</f>
        <v>-23.497</v>
      </c>
    </row>
    <row r="161" spans="2:4" x14ac:dyDescent="0.25">
      <c r="B161" s="62">
        <v>2</v>
      </c>
      <c r="C161" s="62">
        <f>MIN(H142:H143,H92:H93,H42:H43)</f>
        <v>-25.9421</v>
      </c>
      <c r="D161" s="62">
        <f>MIN(H141,H144,H91,H94,H41,H44)</f>
        <v>-23.480399999999999</v>
      </c>
    </row>
    <row r="162" spans="2:4" x14ac:dyDescent="0.25">
      <c r="B162" s="62">
        <v>3</v>
      </c>
      <c r="C162" s="62">
        <f>MIN(H146:H147,H96:H97,H46:H47)</f>
        <v>-16.444400000000002</v>
      </c>
      <c r="D162" s="62">
        <f>MIN(H145,H148,H95,H98,H45,H48)</f>
        <v>-13.997999999999999</v>
      </c>
    </row>
    <row r="164" spans="2:4" x14ac:dyDescent="0.25">
      <c r="B164" s="62" t="s">
        <v>581</v>
      </c>
    </row>
    <row r="165" spans="2:4" x14ac:dyDescent="0.25">
      <c r="B165" s="62" t="s">
        <v>511</v>
      </c>
      <c r="C165" s="62" t="s">
        <v>512</v>
      </c>
      <c r="D165" s="62" t="s">
        <v>513</v>
      </c>
    </row>
    <row r="166" spans="2:4" x14ac:dyDescent="0.25">
      <c r="B166" s="62">
        <v>1</v>
      </c>
      <c r="C166" s="62">
        <f>MIN(Q114:Q115,Q64:Q65,Q14:Q15)</f>
        <v>-200.50059999999999</v>
      </c>
      <c r="D166" s="62">
        <f>MIN(Q113,Q116,Q63,Q66,Q13,Q16)</f>
        <v>-154.06030000000001</v>
      </c>
    </row>
    <row r="167" spans="2:4" x14ac:dyDescent="0.25">
      <c r="B167" s="62">
        <v>2</v>
      </c>
      <c r="C167" s="62">
        <f>MIN(Q118:Q119,Q68:Q69,Q18:Q19)</f>
        <v>-166.58500000000001</v>
      </c>
      <c r="D167" s="62">
        <f>MIN(Q117,Q120,Q67,Q70,Q17,Q20)</f>
        <v>-131.52780000000001</v>
      </c>
    </row>
    <row r="168" spans="2:4" x14ac:dyDescent="0.25">
      <c r="B168" s="62">
        <v>3</v>
      </c>
      <c r="C168" s="62">
        <f>MIN(Q122:Q123,Q72:Q73,Q22:Q23)</f>
        <v>-79.287899999999993</v>
      </c>
      <c r="D168" s="62">
        <f>MIN(Q121,Q124,Q71,Q74,Q21,Q24)</f>
        <v>-58.049199999999999</v>
      </c>
    </row>
  </sheetData>
  <mergeCells count="3">
    <mergeCell ref="A1:V1"/>
    <mergeCell ref="A51:V51"/>
    <mergeCell ref="A101:V101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57" orientation="landscape" horizont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0EC4-DB6E-4C94-8C68-EDB9BB01D743}">
  <sheetPr>
    <pageSetUpPr fitToPage="1"/>
  </sheetPr>
  <dimension ref="A1:AB162"/>
  <sheetViews>
    <sheetView showGridLines="0" tabSelected="1" view="pageBreakPreview" zoomScale="40" zoomScaleNormal="55" zoomScaleSheetLayoutView="40" zoomScalePageLayoutView="25" workbookViewId="0">
      <selection activeCell="AA51" sqref="AA51"/>
    </sheetView>
  </sheetViews>
  <sheetFormatPr defaultColWidth="8.88671875" defaultRowHeight="13.8" x14ac:dyDescent="0.25"/>
  <cols>
    <col min="1" max="1" width="12" style="62" customWidth="1"/>
    <col min="2" max="2" width="10.6640625" style="62" bestFit="1" customWidth="1"/>
    <col min="3" max="3" width="16" style="62" bestFit="1" customWidth="1"/>
    <col min="4" max="4" width="11.88671875" style="62" customWidth="1"/>
    <col min="5" max="5" width="11.33203125" style="62" bestFit="1" customWidth="1"/>
    <col min="6" max="6" width="10.6640625" style="62" bestFit="1" customWidth="1"/>
    <col min="7" max="8" width="9.6640625" style="62" bestFit="1" customWidth="1"/>
    <col min="9" max="9" width="1.88671875" style="62" customWidth="1"/>
    <col min="10" max="10" width="8.33203125" style="62" customWidth="1"/>
    <col min="11" max="11" width="8.44140625" style="62" customWidth="1"/>
    <col min="12" max="12" width="12.88671875" style="62" customWidth="1"/>
    <col min="13" max="13" width="11" style="62" customWidth="1"/>
    <col min="14" max="14" width="10.109375" style="62" bestFit="1" customWidth="1"/>
    <col min="15" max="15" width="11.33203125" style="62" bestFit="1" customWidth="1"/>
    <col min="16" max="16" width="10.5546875" style="62" bestFit="1" customWidth="1"/>
    <col min="17" max="17" width="14.33203125" style="62" bestFit="1" customWidth="1"/>
    <col min="18" max="20" width="8.88671875" style="62"/>
    <col min="21" max="21" width="10.5546875" style="62" bestFit="1" customWidth="1"/>
    <col min="22" max="23" width="12.88671875" style="62" bestFit="1" customWidth="1"/>
    <col min="24" max="24" width="10.5546875" style="62" bestFit="1" customWidth="1"/>
    <col min="25" max="25" width="12.5546875" style="62" bestFit="1" customWidth="1"/>
    <col min="26" max="26" width="13.44140625" style="62" bestFit="1" customWidth="1"/>
    <col min="27" max="27" width="8.33203125" style="62" bestFit="1" customWidth="1"/>
    <col min="28" max="31" width="8.88671875" style="62"/>
    <col min="32" max="32" width="23.109375" style="62" bestFit="1" customWidth="1"/>
    <col min="33" max="16384" width="8.88671875" style="62"/>
  </cols>
  <sheetData>
    <row r="1" spans="1:22" ht="19.95" customHeight="1" x14ac:dyDescent="0.25">
      <c r="A1" s="428" t="s">
        <v>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30"/>
    </row>
    <row r="2" spans="1:22" x14ac:dyDescent="0.25">
      <c r="A2" s="112" t="s">
        <v>9</v>
      </c>
      <c r="B2" s="609"/>
      <c r="C2" s="609"/>
      <c r="D2" s="609"/>
      <c r="E2" s="609"/>
      <c r="F2" s="609"/>
      <c r="G2" s="609"/>
      <c r="H2" s="609"/>
      <c r="I2" s="609"/>
      <c r="J2" s="614"/>
      <c r="K2" s="609"/>
      <c r="L2" s="614" t="s">
        <v>689</v>
      </c>
      <c r="M2" s="609"/>
      <c r="N2" s="609"/>
      <c r="O2" s="609"/>
      <c r="P2" s="609"/>
      <c r="Q2" s="609"/>
      <c r="R2" s="609"/>
      <c r="S2" s="609"/>
      <c r="T2" s="609"/>
      <c r="U2" s="609"/>
      <c r="V2" s="65"/>
    </row>
    <row r="3" spans="1:22" x14ac:dyDescent="0.25">
      <c r="A3" s="63" t="s">
        <v>0</v>
      </c>
      <c r="B3" s="609" t="s">
        <v>1</v>
      </c>
      <c r="C3" s="609" t="s">
        <v>2</v>
      </c>
      <c r="D3" s="609" t="s">
        <v>3</v>
      </c>
      <c r="E3" s="609" t="s">
        <v>4</v>
      </c>
      <c r="F3" s="609" t="s">
        <v>5</v>
      </c>
      <c r="G3" s="609" t="s">
        <v>6</v>
      </c>
      <c r="H3" s="609" t="s">
        <v>7</v>
      </c>
      <c r="I3" s="609"/>
      <c r="J3" s="609"/>
      <c r="K3" s="609" t="s">
        <v>478</v>
      </c>
      <c r="L3" s="609"/>
      <c r="M3" s="609"/>
      <c r="N3" s="609"/>
      <c r="O3" s="609"/>
      <c r="P3" s="609"/>
      <c r="Q3" s="609"/>
      <c r="R3" s="609"/>
      <c r="S3" s="609"/>
      <c r="T3" s="609"/>
      <c r="U3" s="609"/>
      <c r="V3" s="65"/>
    </row>
    <row r="4" spans="1:22" x14ac:dyDescent="0.25">
      <c r="A4" s="300">
        <v>1</v>
      </c>
      <c r="B4" s="615">
        <v>-11.1693</v>
      </c>
      <c r="C4" s="615">
        <v>7.0134999999999996</v>
      </c>
      <c r="D4" s="615">
        <v>-12.4358</v>
      </c>
      <c r="E4" s="615">
        <v>18.499400000000001</v>
      </c>
      <c r="F4" s="615">
        <v>-19.1326</v>
      </c>
      <c r="G4" s="609">
        <v>-1.1980999999999999</v>
      </c>
      <c r="H4" s="609">
        <v>-1.1980999999999999</v>
      </c>
      <c r="I4" s="609"/>
      <c r="J4" s="606"/>
      <c r="K4" s="613"/>
      <c r="L4" s="608" t="s">
        <v>690</v>
      </c>
      <c r="M4" s="623"/>
      <c r="N4" s="624" t="s">
        <v>691</v>
      </c>
      <c r="O4" s="627" t="s">
        <v>692</v>
      </c>
      <c r="P4" s="609"/>
      <c r="Q4" s="609"/>
      <c r="R4" s="609"/>
      <c r="S4" s="609"/>
      <c r="T4" s="609"/>
      <c r="U4" s="609"/>
      <c r="V4" s="65"/>
    </row>
    <row r="5" spans="1:22" x14ac:dyDescent="0.25">
      <c r="A5" s="300">
        <v>2</v>
      </c>
      <c r="B5" s="615">
        <v>-6.9310999999999998</v>
      </c>
      <c r="C5" s="615">
        <v>2.1204000000000001</v>
      </c>
      <c r="D5" s="615">
        <v>-6.9310999999999998</v>
      </c>
      <c r="E5" s="615">
        <v>18.103000000000002</v>
      </c>
      <c r="F5" s="615">
        <v>-18.103000000000002</v>
      </c>
      <c r="G5" s="609">
        <v>-1.1516</v>
      </c>
      <c r="H5" s="609">
        <v>-1.1516</v>
      </c>
      <c r="I5" s="609"/>
      <c r="J5" s="606"/>
      <c r="K5" s="81"/>
      <c r="L5" s="607" t="s">
        <v>693</v>
      </c>
      <c r="M5" s="608" t="s">
        <v>694</v>
      </c>
      <c r="N5" s="625"/>
      <c r="O5" s="612"/>
      <c r="P5" s="609"/>
      <c r="Q5" s="609"/>
      <c r="R5" s="609"/>
      <c r="S5" s="609"/>
      <c r="T5" s="609"/>
      <c r="U5" s="609"/>
      <c r="V5" s="65"/>
    </row>
    <row r="6" spans="1:22" x14ac:dyDescent="0.25">
      <c r="A6" s="300">
        <v>3</v>
      </c>
      <c r="B6" s="615">
        <v>-12.4358</v>
      </c>
      <c r="C6" s="615">
        <v>7.0134999999999996</v>
      </c>
      <c r="D6" s="615">
        <v>-11.1693</v>
      </c>
      <c r="E6" s="615">
        <v>19.1326</v>
      </c>
      <c r="F6" s="615">
        <v>-18.499400000000001</v>
      </c>
      <c r="G6" s="609">
        <v>-1.1980999999999999</v>
      </c>
      <c r="H6" s="609">
        <v>-1.1980999999999999</v>
      </c>
      <c r="I6" s="609"/>
      <c r="J6" s="606"/>
      <c r="K6" s="77" t="s">
        <v>15</v>
      </c>
      <c r="L6" s="607">
        <f>MIN(B4:B6)</f>
        <v>-12.4358</v>
      </c>
      <c r="M6" s="607">
        <f>MAX(C4:C6)</f>
        <v>7.0134999999999996</v>
      </c>
      <c r="N6" s="607" cm="1">
        <f t="array" ref="N6">MAX(ABS(E4:F6))</f>
        <v>19.1326</v>
      </c>
      <c r="O6" s="77" cm="1">
        <f t="array" ref="O6">MAX(ABS(H13:H16))</f>
        <v>143.23249999999999</v>
      </c>
      <c r="P6" s="609"/>
      <c r="Q6" s="609"/>
      <c r="R6" s="609"/>
      <c r="S6" s="609"/>
      <c r="T6" s="609"/>
      <c r="U6" s="609"/>
      <c r="V6" s="65"/>
    </row>
    <row r="7" spans="1:22" x14ac:dyDescent="0.25">
      <c r="A7" s="369">
        <v>4</v>
      </c>
      <c r="B7" s="616">
        <v>-19.981100000000001</v>
      </c>
      <c r="C7" s="616">
        <v>13.3705</v>
      </c>
      <c r="D7" s="616">
        <v>-21.381900000000002</v>
      </c>
      <c r="E7" s="616">
        <v>33.701799999999999</v>
      </c>
      <c r="F7" s="616">
        <v>-34.402200000000001</v>
      </c>
      <c r="G7" s="609">
        <v>4.7039999999999997</v>
      </c>
      <c r="H7" s="609">
        <v>4.7039999999999997</v>
      </c>
      <c r="I7" s="609"/>
      <c r="J7" s="606"/>
      <c r="K7" s="77" t="s">
        <v>16</v>
      </c>
      <c r="L7" s="607">
        <f>MIN(B28:B30)</f>
        <v>-0.4536</v>
      </c>
      <c r="M7" s="607">
        <f>MAX(C28:C30)</f>
        <v>0.49640000000000001</v>
      </c>
      <c r="N7" s="607" cm="1">
        <f t="array" ref="N7">MAX(ABS(E28:F30))</f>
        <v>1.9</v>
      </c>
      <c r="O7" s="77" cm="1">
        <f t="array" ref="O7">MAX(ABS(H37:H40))</f>
        <v>16.096699999999998</v>
      </c>
      <c r="P7" s="609"/>
      <c r="Q7" s="609"/>
      <c r="R7" s="609"/>
      <c r="S7" s="609"/>
      <c r="T7" s="609"/>
      <c r="U7" s="609"/>
      <c r="V7" s="65"/>
    </row>
    <row r="8" spans="1:22" x14ac:dyDescent="0.25">
      <c r="A8" s="369">
        <v>5</v>
      </c>
      <c r="B8" s="616">
        <v>-9.2055000000000007</v>
      </c>
      <c r="C8" s="616">
        <v>0</v>
      </c>
      <c r="D8" s="616">
        <v>-9.2055000000000007</v>
      </c>
      <c r="E8" s="616">
        <v>18.103000000000002</v>
      </c>
      <c r="F8" s="616">
        <v>-18.103000000000002</v>
      </c>
      <c r="G8" s="609">
        <v>1.7592000000000001</v>
      </c>
      <c r="H8" s="609">
        <v>1.7592000000000001</v>
      </c>
      <c r="I8" s="609"/>
      <c r="J8" s="606"/>
      <c r="K8" s="609" t="s">
        <v>479</v>
      </c>
      <c r="L8" s="626"/>
      <c r="M8" s="626"/>
      <c r="N8" s="626"/>
      <c r="O8" s="609"/>
      <c r="P8" s="609"/>
      <c r="Q8" s="609"/>
      <c r="R8" s="609"/>
      <c r="S8" s="609"/>
      <c r="T8" s="609"/>
      <c r="U8" s="609"/>
      <c r="V8" s="65"/>
    </row>
    <row r="9" spans="1:22" x14ac:dyDescent="0.25">
      <c r="A9" s="369">
        <v>6</v>
      </c>
      <c r="B9" s="616">
        <v>-21.381900000000002</v>
      </c>
      <c r="C9" s="616">
        <v>13.3705</v>
      </c>
      <c r="D9" s="616">
        <v>-19.981100000000001</v>
      </c>
      <c r="E9" s="616">
        <v>34.402200000000001</v>
      </c>
      <c r="F9" s="616">
        <v>-33.701799999999999</v>
      </c>
      <c r="G9" s="609">
        <v>4.7039999999999997</v>
      </c>
      <c r="H9" s="609">
        <v>4.7039999999999997</v>
      </c>
      <c r="I9" s="609"/>
      <c r="J9" s="606"/>
      <c r="K9" s="613"/>
      <c r="L9" s="608" t="s">
        <v>690</v>
      </c>
      <c r="M9" s="623"/>
      <c r="N9" s="624" t="s">
        <v>691</v>
      </c>
      <c r="O9" s="627" t="s">
        <v>692</v>
      </c>
      <c r="P9" s="609"/>
      <c r="Q9" s="609"/>
      <c r="R9" s="609"/>
      <c r="S9" s="609"/>
      <c r="T9" s="609"/>
      <c r="U9" s="609"/>
      <c r="V9" s="65"/>
    </row>
    <row r="10" spans="1:22" x14ac:dyDescent="0.25">
      <c r="A10" s="363">
        <v>7</v>
      </c>
      <c r="B10" s="617">
        <v>-15.931699999999999</v>
      </c>
      <c r="C10" s="617">
        <v>15.446899999999999</v>
      </c>
      <c r="D10" s="617">
        <v>-21.278500000000001</v>
      </c>
      <c r="E10" s="617">
        <v>32.715299999999999</v>
      </c>
      <c r="F10" s="617">
        <v>-35.3887</v>
      </c>
      <c r="G10" s="609">
        <v>-8.8650000000000002</v>
      </c>
      <c r="H10" s="609">
        <v>-8.8650000000000002</v>
      </c>
      <c r="I10" s="609"/>
      <c r="J10" s="606"/>
      <c r="K10" s="81"/>
      <c r="L10" s="607" t="s">
        <v>693</v>
      </c>
      <c r="M10" s="608" t="s">
        <v>694</v>
      </c>
      <c r="N10" s="625"/>
      <c r="O10" s="612"/>
      <c r="P10" s="609"/>
      <c r="Q10" s="609"/>
      <c r="R10" s="609"/>
      <c r="S10" s="609"/>
      <c r="T10" s="609"/>
      <c r="U10" s="609"/>
      <c r="V10" s="65"/>
    </row>
    <row r="11" spans="1:22" x14ac:dyDescent="0.25">
      <c r="A11" s="363">
        <v>8</v>
      </c>
      <c r="B11" s="617">
        <v>-11.9183</v>
      </c>
      <c r="C11" s="617">
        <v>0</v>
      </c>
      <c r="D11" s="617">
        <v>-11.9183</v>
      </c>
      <c r="E11" s="617">
        <v>18.103000000000002</v>
      </c>
      <c r="F11" s="617">
        <v>-18.103000000000002</v>
      </c>
      <c r="G11" s="609">
        <v>-3.5447000000000002</v>
      </c>
      <c r="H11" s="609">
        <v>-3.5447000000000002</v>
      </c>
      <c r="I11" s="609"/>
      <c r="J11" s="606"/>
      <c r="K11" s="77" t="s">
        <v>15</v>
      </c>
      <c r="L11" s="607">
        <f>MIN(B7:B12)</f>
        <v>-21.381900000000002</v>
      </c>
      <c r="M11" s="607">
        <f>MAX(C7:C12)</f>
        <v>15.446899999999999</v>
      </c>
      <c r="N11" s="607" cm="1">
        <f t="array" ref="N11">MAX(ABS(E7:F12))</f>
        <v>35.3887</v>
      </c>
      <c r="O11" s="77" cm="1">
        <f t="array" ref="O11">MAX(ABS(H17:I24))</f>
        <v>105.9969</v>
      </c>
      <c r="P11" s="609"/>
      <c r="Q11" s="609"/>
      <c r="R11" s="609"/>
      <c r="S11" s="609"/>
      <c r="T11" s="609"/>
      <c r="U11" s="609"/>
      <c r="V11" s="65"/>
    </row>
    <row r="12" spans="1:22" x14ac:dyDescent="0.25">
      <c r="A12" s="363">
        <v>9</v>
      </c>
      <c r="B12" s="617">
        <v>-21.278500000000001</v>
      </c>
      <c r="C12" s="617">
        <v>15.446899999999999</v>
      </c>
      <c r="D12" s="617">
        <v>-15.931699999999999</v>
      </c>
      <c r="E12" s="617">
        <v>35.3887</v>
      </c>
      <c r="F12" s="617">
        <v>-32.715299999999999</v>
      </c>
      <c r="G12" s="609">
        <v>-8.8650000000000002</v>
      </c>
      <c r="H12" s="609">
        <v>-8.8650000000000002</v>
      </c>
      <c r="I12" s="609"/>
      <c r="J12" s="606"/>
      <c r="K12" s="77" t="s">
        <v>16</v>
      </c>
      <c r="L12" s="607">
        <f>MIN(B31:B36)</f>
        <v>-4.4306999999999999</v>
      </c>
      <c r="M12" s="607">
        <f>MAX(C31:C36)</f>
        <v>3.3915999999999999</v>
      </c>
      <c r="N12" s="607" cm="1">
        <f t="array" ref="N12">MAX(ABS(E31:F36))</f>
        <v>7.5362</v>
      </c>
      <c r="O12" s="77" cm="1">
        <f t="array" ref="O12">MAX(ABS(H41:H48))</f>
        <v>14.177099999999999</v>
      </c>
      <c r="P12" s="609"/>
      <c r="Q12" s="609"/>
      <c r="R12" s="609"/>
      <c r="S12" s="609"/>
      <c r="T12" s="609"/>
      <c r="U12" s="609"/>
      <c r="V12" s="65"/>
    </row>
    <row r="13" spans="1:22" x14ac:dyDescent="0.25">
      <c r="A13" s="63">
        <v>10</v>
      </c>
      <c r="B13" s="609">
        <v>2.64</v>
      </c>
      <c r="C13" s="609">
        <v>2.64</v>
      </c>
      <c r="D13" s="609">
        <v>-5.3987999999999996</v>
      </c>
      <c r="E13" s="609">
        <v>-5.3592000000000004</v>
      </c>
      <c r="F13" s="609">
        <v>-5.3592000000000004</v>
      </c>
      <c r="G13" s="615">
        <v>-84.916499999999999</v>
      </c>
      <c r="H13" s="615">
        <v>-84.916499999999999</v>
      </c>
      <c r="I13" s="609"/>
      <c r="J13" s="606"/>
      <c r="L13" s="87"/>
      <c r="M13" s="87"/>
      <c r="N13" s="87"/>
      <c r="P13" s="609"/>
      <c r="Q13" s="609"/>
      <c r="R13" s="609"/>
      <c r="S13" s="609"/>
      <c r="T13" s="609"/>
      <c r="U13" s="609"/>
      <c r="V13" s="65"/>
    </row>
    <row r="14" spans="1:22" x14ac:dyDescent="0.25">
      <c r="A14" s="63">
        <v>11</v>
      </c>
      <c r="B14" s="609">
        <v>-1.2186999999999999</v>
      </c>
      <c r="C14" s="609">
        <v>2.4144999999999999</v>
      </c>
      <c r="D14" s="609">
        <v>2.4144999999999999</v>
      </c>
      <c r="E14" s="609">
        <v>2.4220999999999999</v>
      </c>
      <c r="F14" s="609">
        <v>2.4220999999999999</v>
      </c>
      <c r="G14" s="615">
        <v>-143.23249999999999</v>
      </c>
      <c r="H14" s="615">
        <v>-143.23249999999999</v>
      </c>
      <c r="I14" s="609"/>
      <c r="J14" s="606"/>
      <c r="K14" s="609"/>
      <c r="L14" s="630" t="s">
        <v>695</v>
      </c>
      <c r="M14" s="626"/>
      <c r="N14" s="626"/>
      <c r="P14" s="609"/>
      <c r="Q14" s="609"/>
      <c r="R14" s="609"/>
      <c r="S14" s="609"/>
      <c r="T14" s="609"/>
      <c r="U14" s="609"/>
      <c r="V14" s="65"/>
    </row>
    <row r="15" spans="1:22" x14ac:dyDescent="0.25">
      <c r="A15" s="63">
        <v>12</v>
      </c>
      <c r="B15" s="609">
        <v>1.2186999999999999</v>
      </c>
      <c r="C15" s="609">
        <v>1.2186999999999999</v>
      </c>
      <c r="D15" s="609">
        <v>-2.4144999999999999</v>
      </c>
      <c r="E15" s="609">
        <v>-2.4220999999999999</v>
      </c>
      <c r="F15" s="609">
        <v>-2.4220999999999999</v>
      </c>
      <c r="G15" s="615">
        <v>-143.23249999999999</v>
      </c>
      <c r="H15" s="615">
        <v>-143.23249999999999</v>
      </c>
      <c r="I15" s="609"/>
      <c r="J15" s="606"/>
      <c r="K15" s="609" t="s">
        <v>478</v>
      </c>
      <c r="L15" s="626"/>
      <c r="M15" s="626"/>
      <c r="N15" s="626"/>
      <c r="P15" s="609"/>
      <c r="Q15" s="609"/>
      <c r="R15" s="609"/>
      <c r="S15" s="609"/>
      <c r="T15" s="609"/>
      <c r="U15" s="609"/>
      <c r="V15" s="65"/>
    </row>
    <row r="16" spans="1:22" x14ac:dyDescent="0.25">
      <c r="A16" s="63">
        <v>13</v>
      </c>
      <c r="B16" s="609">
        <v>-2.64</v>
      </c>
      <c r="C16" s="609">
        <v>5.3987999999999996</v>
      </c>
      <c r="D16" s="609">
        <v>5.3987999999999996</v>
      </c>
      <c r="E16" s="609">
        <v>5.3592000000000004</v>
      </c>
      <c r="F16" s="609">
        <v>5.3592000000000004</v>
      </c>
      <c r="G16" s="615">
        <v>-84.916499999999999</v>
      </c>
      <c r="H16" s="615">
        <v>-84.916499999999999</v>
      </c>
      <c r="I16" s="609"/>
      <c r="J16" s="606"/>
      <c r="K16" s="610"/>
      <c r="L16" s="624" t="s">
        <v>690</v>
      </c>
      <c r="M16" s="627" t="s">
        <v>691</v>
      </c>
      <c r="N16" s="627" t="s">
        <v>692</v>
      </c>
      <c r="P16" s="609"/>
      <c r="Q16" s="609"/>
      <c r="R16" s="609"/>
      <c r="S16" s="609"/>
      <c r="T16" s="609"/>
      <c r="U16" s="609"/>
      <c r="V16" s="65"/>
    </row>
    <row r="17" spans="1:28" x14ac:dyDescent="0.25">
      <c r="A17" s="63">
        <v>14</v>
      </c>
      <c r="B17" s="609">
        <v>5.7705000000000002</v>
      </c>
      <c r="C17" s="609">
        <v>5.7705000000000002</v>
      </c>
      <c r="D17" s="609">
        <v>-7.5448000000000004</v>
      </c>
      <c r="E17" s="609">
        <v>-4.1609999999999996</v>
      </c>
      <c r="F17" s="609">
        <v>-4.1609999999999996</v>
      </c>
      <c r="G17" s="616">
        <v>-66.417100000000005</v>
      </c>
      <c r="H17" s="616">
        <v>-66.417100000000005</v>
      </c>
      <c r="I17" s="609"/>
      <c r="J17" s="606"/>
      <c r="K17" s="611"/>
      <c r="L17" s="625"/>
      <c r="M17" s="628"/>
      <c r="N17" s="628"/>
      <c r="O17" s="609"/>
      <c r="P17" s="609"/>
      <c r="Q17" s="609"/>
      <c r="R17" s="609"/>
      <c r="S17" s="609"/>
      <c r="T17" s="609"/>
      <c r="U17" s="609"/>
      <c r="V17" s="65"/>
    </row>
    <row r="18" spans="1:28" x14ac:dyDescent="0.25">
      <c r="A18" s="63">
        <v>15</v>
      </c>
      <c r="B18" s="609">
        <v>-3.0901999999999998</v>
      </c>
      <c r="C18" s="609">
        <v>4.5117000000000003</v>
      </c>
      <c r="D18" s="609">
        <v>4.5117000000000003</v>
      </c>
      <c r="E18" s="609">
        <v>2.3755999999999999</v>
      </c>
      <c r="F18" s="609">
        <v>2.3755999999999999</v>
      </c>
      <c r="G18" s="616">
        <v>-105.9969</v>
      </c>
      <c r="H18" s="616">
        <v>-105.9969</v>
      </c>
      <c r="I18" s="609"/>
      <c r="J18" s="606"/>
      <c r="K18" s="77" t="s">
        <v>15</v>
      </c>
      <c r="L18" s="625" cm="1">
        <f t="array" ref="L18">MAX(ABS(B13:C16))</f>
        <v>5.3987999999999996</v>
      </c>
      <c r="M18" s="607" cm="1">
        <f t="array" ref="M18">MAX(ABS(E13:F16))</f>
        <v>5.3592000000000004</v>
      </c>
      <c r="N18" s="607" cm="1">
        <f t="array" ref="N18">MAX(ABS(G13:H16))</f>
        <v>143.23249999999999</v>
      </c>
      <c r="O18" s="609"/>
      <c r="T18" s="609"/>
      <c r="U18" s="609"/>
      <c r="V18" s="65"/>
    </row>
    <row r="19" spans="1:28" x14ac:dyDescent="0.25">
      <c r="A19" s="63">
        <v>16</v>
      </c>
      <c r="B19" s="609">
        <v>3.0901999999999998</v>
      </c>
      <c r="C19" s="609">
        <v>3.0901999999999998</v>
      </c>
      <c r="D19" s="609">
        <v>-4.5117000000000003</v>
      </c>
      <c r="E19" s="609">
        <v>-2.3755999999999999</v>
      </c>
      <c r="F19" s="609">
        <v>-2.3755999999999999</v>
      </c>
      <c r="G19" s="616">
        <v>-105.9969</v>
      </c>
      <c r="H19" s="616">
        <v>-105.9969</v>
      </c>
      <c r="I19" s="609"/>
      <c r="J19" s="606"/>
      <c r="K19" s="77" t="s">
        <v>16</v>
      </c>
      <c r="L19" s="625" cm="1">
        <f t="array" ref="L19">MAX(ABS(B37:C40))</f>
        <v>0.47570000000000001</v>
      </c>
      <c r="M19" s="607" cm="1">
        <f t="array" ref="M19">MAX(ABS(E37:F40))</f>
        <v>0.47460000000000002</v>
      </c>
      <c r="N19" s="607" cm="1">
        <f t="array" ref="N19">MAX(ABS(G37:H40))</f>
        <v>16.096699999999998</v>
      </c>
      <c r="O19" s="609"/>
      <c r="T19" s="609"/>
      <c r="U19" s="609"/>
      <c r="V19" s="65"/>
    </row>
    <row r="20" spans="1:28" x14ac:dyDescent="0.25">
      <c r="A20" s="63">
        <v>17</v>
      </c>
      <c r="B20" s="609">
        <v>-5.7705000000000002</v>
      </c>
      <c r="C20" s="609">
        <v>7.5448000000000004</v>
      </c>
      <c r="D20" s="609">
        <v>7.5448000000000004</v>
      </c>
      <c r="E20" s="609">
        <v>4.1609999999999996</v>
      </c>
      <c r="F20" s="609">
        <v>4.1609999999999996</v>
      </c>
      <c r="G20" s="616">
        <v>-66.417100000000005</v>
      </c>
      <c r="H20" s="616">
        <v>-66.417100000000005</v>
      </c>
      <c r="I20" s="609"/>
      <c r="J20" s="606"/>
      <c r="K20" s="609" t="s">
        <v>479</v>
      </c>
      <c r="L20" s="626"/>
      <c r="M20" s="626"/>
      <c r="N20" s="626"/>
      <c r="O20" s="609"/>
      <c r="T20" s="609"/>
      <c r="U20" s="609"/>
      <c r="V20" s="65"/>
    </row>
    <row r="21" spans="1:28" x14ac:dyDescent="0.25">
      <c r="A21" s="63">
        <v>18</v>
      </c>
      <c r="B21" s="609">
        <v>12.436299999999999</v>
      </c>
      <c r="C21" s="609">
        <v>12.436299999999999</v>
      </c>
      <c r="D21" s="609">
        <v>-15.931699999999999</v>
      </c>
      <c r="E21" s="609">
        <v>-8.8650000000000002</v>
      </c>
      <c r="F21" s="609">
        <v>-8.8650000000000002</v>
      </c>
      <c r="G21" s="617">
        <v>-32.715299999999999</v>
      </c>
      <c r="H21" s="617">
        <v>-32.715299999999999</v>
      </c>
      <c r="I21" s="609"/>
      <c r="J21" s="606"/>
      <c r="K21" s="610"/>
      <c r="L21" s="624" t="s">
        <v>690</v>
      </c>
      <c r="M21" s="627" t="s">
        <v>691</v>
      </c>
      <c r="N21" s="627" t="s">
        <v>692</v>
      </c>
      <c r="O21" s="609"/>
      <c r="T21" s="609"/>
      <c r="U21" s="609"/>
      <c r="V21" s="65"/>
    </row>
    <row r="22" spans="1:28" x14ac:dyDescent="0.25">
      <c r="A22" s="63">
        <v>19</v>
      </c>
      <c r="B22" s="609">
        <v>-7.6647999999999996</v>
      </c>
      <c r="C22" s="609">
        <v>9.3602000000000007</v>
      </c>
      <c r="D22" s="609">
        <v>9.3603000000000005</v>
      </c>
      <c r="E22" s="609">
        <v>5.3202999999999996</v>
      </c>
      <c r="F22" s="609">
        <v>5.3202999999999996</v>
      </c>
      <c r="G22" s="617">
        <v>-53.491700000000002</v>
      </c>
      <c r="H22" s="617">
        <v>-53.491700000000002</v>
      </c>
      <c r="I22" s="609"/>
      <c r="J22" s="606"/>
      <c r="K22" s="611"/>
      <c r="L22" s="625"/>
      <c r="M22" s="628"/>
      <c r="N22" s="628"/>
      <c r="O22" s="609"/>
      <c r="T22" s="609"/>
      <c r="U22" s="609"/>
      <c r="V22" s="65"/>
    </row>
    <row r="23" spans="1:28" x14ac:dyDescent="0.25">
      <c r="A23" s="63">
        <v>20</v>
      </c>
      <c r="B23" s="609">
        <v>7.6647999999999996</v>
      </c>
      <c r="C23" s="609">
        <v>7.6647999999999996</v>
      </c>
      <c r="D23" s="609">
        <v>-9.3603000000000005</v>
      </c>
      <c r="E23" s="609">
        <v>-5.3202999999999996</v>
      </c>
      <c r="F23" s="609">
        <v>-5.3202999999999996</v>
      </c>
      <c r="G23" s="617">
        <v>-53.491700000000002</v>
      </c>
      <c r="H23" s="617">
        <v>-53.491700000000002</v>
      </c>
      <c r="I23" s="609"/>
      <c r="J23" s="606"/>
      <c r="K23" s="77" t="s">
        <v>15</v>
      </c>
      <c r="L23" s="625" cm="1">
        <f t="array" ref="L23">MAX(ABS(B17:C24))</f>
        <v>15.931699999999999</v>
      </c>
      <c r="M23" s="625" cm="1">
        <f t="array" ref="M23">MAX(ABS(E17:F24))</f>
        <v>8.8650000000000002</v>
      </c>
      <c r="N23" s="625" cm="1">
        <f t="array" ref="N23">MAX(ABS(G17:H24))</f>
        <v>105.9969</v>
      </c>
      <c r="O23" s="609"/>
      <c r="T23" s="609"/>
      <c r="U23" s="609"/>
      <c r="V23" s="65"/>
    </row>
    <row r="24" spans="1:28" x14ac:dyDescent="0.25">
      <c r="A24" s="63">
        <v>21</v>
      </c>
      <c r="B24" s="609">
        <v>-12.436299999999999</v>
      </c>
      <c r="C24" s="609">
        <v>15.931699999999999</v>
      </c>
      <c r="D24" s="609">
        <v>15.931699999999999</v>
      </c>
      <c r="E24" s="609">
        <v>8.8650000000000002</v>
      </c>
      <c r="F24" s="609">
        <v>8.8650000000000002</v>
      </c>
      <c r="G24" s="617">
        <v>-32.715299999999999</v>
      </c>
      <c r="H24" s="617">
        <v>-32.715299999999999</v>
      </c>
      <c r="I24" s="609"/>
      <c r="J24" s="606"/>
      <c r="K24" s="77" t="s">
        <v>16</v>
      </c>
      <c r="L24" s="625" cm="1">
        <f t="array" ref="L24">MAX(ABS(B41:C48))</f>
        <v>3.2860999999999998</v>
      </c>
      <c r="M24" s="625" cm="1">
        <f t="array" ref="M24">MAX(ABS(E41:F48))</f>
        <v>1.7082999999999999</v>
      </c>
      <c r="N24" s="625" cm="1">
        <f t="array" ref="N24">MAX(ABS(G41:H48))</f>
        <v>14.177099999999999</v>
      </c>
      <c r="O24" s="609"/>
      <c r="T24" s="609"/>
      <c r="U24" s="609"/>
      <c r="V24" s="65"/>
    </row>
    <row r="25" spans="1:28" x14ac:dyDescent="0.25">
      <c r="A25" s="63"/>
      <c r="B25" s="609"/>
      <c r="C25" s="609"/>
      <c r="D25" s="609"/>
      <c r="E25" s="609"/>
      <c r="F25" s="609"/>
      <c r="G25" s="609"/>
      <c r="H25" s="609"/>
      <c r="I25" s="609"/>
      <c r="J25" s="609"/>
      <c r="L25" s="87"/>
      <c r="M25" s="87"/>
      <c r="N25" s="87"/>
      <c r="O25" s="609"/>
      <c r="T25" s="609"/>
      <c r="U25" s="609"/>
      <c r="V25" s="65"/>
    </row>
    <row r="26" spans="1:28" x14ac:dyDescent="0.25">
      <c r="A26" s="112" t="s">
        <v>10</v>
      </c>
      <c r="B26" s="609"/>
      <c r="C26" s="609"/>
      <c r="D26" s="609"/>
      <c r="E26" s="609"/>
      <c r="F26" s="609"/>
      <c r="G26" s="609"/>
      <c r="H26" s="609"/>
      <c r="I26" s="609"/>
      <c r="J26" s="614"/>
      <c r="K26" s="609"/>
      <c r="L26" s="630" t="s">
        <v>696</v>
      </c>
      <c r="M26" s="626"/>
      <c r="N26" s="626"/>
      <c r="O26" s="609"/>
      <c r="T26" s="609"/>
      <c r="U26" s="609"/>
      <c r="V26" s="65"/>
      <c r="W26" s="609"/>
      <c r="X26" s="609"/>
      <c r="Y26" s="609"/>
      <c r="Z26" s="609"/>
    </row>
    <row r="27" spans="1:28" ht="14.4" thickBot="1" x14ac:dyDescent="0.3">
      <c r="A27" s="63" t="s">
        <v>0</v>
      </c>
      <c r="B27" s="609" t="s">
        <v>1</v>
      </c>
      <c r="C27" s="609" t="s">
        <v>2</v>
      </c>
      <c r="D27" s="609" t="s">
        <v>3</v>
      </c>
      <c r="E27" s="609" t="s">
        <v>4</v>
      </c>
      <c r="F27" s="609" t="s">
        <v>5</v>
      </c>
      <c r="G27" s="609" t="s">
        <v>6</v>
      </c>
      <c r="H27" s="609" t="s">
        <v>7</v>
      </c>
      <c r="I27" s="609"/>
      <c r="J27" s="609"/>
      <c r="K27" s="609" t="s">
        <v>701</v>
      </c>
      <c r="L27" s="626"/>
      <c r="M27" s="626"/>
      <c r="N27" s="626"/>
      <c r="O27" s="609"/>
      <c r="T27" s="609"/>
      <c r="U27" s="609"/>
      <c r="V27" s="65"/>
      <c r="W27" s="609"/>
      <c r="X27" s="609"/>
      <c r="Y27" s="609"/>
      <c r="Z27" s="609"/>
    </row>
    <row r="28" spans="1:28" x14ac:dyDescent="0.25">
      <c r="A28" s="300">
        <v>1</v>
      </c>
      <c r="B28" s="615">
        <v>-3.1600000000000003E-2</v>
      </c>
      <c r="C28" s="615">
        <v>0</v>
      </c>
      <c r="D28" s="615">
        <v>-0.10979999999999999</v>
      </c>
      <c r="E28" s="615">
        <v>-1.9599999999999999E-2</v>
      </c>
      <c r="F28" s="615">
        <v>-1.9599999999999999E-2</v>
      </c>
      <c r="G28" s="609">
        <v>0.52790000000000004</v>
      </c>
      <c r="H28" s="609">
        <v>0.52790000000000004</v>
      </c>
      <c r="I28" s="609"/>
      <c r="J28" s="609"/>
      <c r="K28" s="77"/>
      <c r="L28" s="607" t="s">
        <v>690</v>
      </c>
      <c r="M28" s="607" t="s">
        <v>691</v>
      </c>
      <c r="N28" s="607" t="s">
        <v>692</v>
      </c>
      <c r="O28" s="609"/>
      <c r="T28" s="609"/>
      <c r="U28" s="609"/>
      <c r="V28" s="65"/>
      <c r="W28" s="609"/>
      <c r="X28" s="631" t="s">
        <v>8</v>
      </c>
      <c r="Y28" s="71"/>
      <c r="Z28" s="71"/>
      <c r="AA28" s="71"/>
      <c r="AB28" s="71"/>
    </row>
    <row r="29" spans="1:28" x14ac:dyDescent="0.25">
      <c r="A29" s="300">
        <v>2</v>
      </c>
      <c r="B29" s="615">
        <v>-0.4536</v>
      </c>
      <c r="C29" s="615">
        <v>0.49640000000000001</v>
      </c>
      <c r="D29" s="615">
        <v>-0.4536</v>
      </c>
      <c r="E29" s="615">
        <v>1.9</v>
      </c>
      <c r="F29" s="615">
        <v>-1.9</v>
      </c>
      <c r="G29" s="609">
        <v>-0.1764</v>
      </c>
      <c r="H29" s="609">
        <v>-0.1764</v>
      </c>
      <c r="I29" s="609"/>
      <c r="J29" s="609"/>
      <c r="K29" s="77" t="s">
        <v>15</v>
      </c>
      <c r="L29" s="607">
        <f>MAX(ABS(B13))</f>
        <v>2.64</v>
      </c>
      <c r="M29" s="607" cm="1">
        <f t="array" ref="M29">MAX(ABS(E13:F13))</f>
        <v>5.3592000000000004</v>
      </c>
      <c r="N29" s="607" cm="1">
        <f t="array" ref="N29">MAX(ABS(G13:H13))</f>
        <v>84.916499999999999</v>
      </c>
      <c r="O29" s="609"/>
      <c r="T29" s="609"/>
      <c r="U29" s="609"/>
      <c r="V29" s="65"/>
      <c r="X29" s="112" t="s">
        <v>178</v>
      </c>
    </row>
    <row r="30" spans="1:28" x14ac:dyDescent="0.25">
      <c r="A30" s="300">
        <v>3</v>
      </c>
      <c r="B30" s="615">
        <v>-0.10979999999999999</v>
      </c>
      <c r="C30" s="615">
        <v>0</v>
      </c>
      <c r="D30" s="615">
        <v>-3.1600000000000003E-2</v>
      </c>
      <c r="E30" s="615">
        <v>1.9599999999999999E-2</v>
      </c>
      <c r="F30" s="615">
        <v>1.9599999999999999E-2</v>
      </c>
      <c r="G30" s="609">
        <v>0.52790000000000004</v>
      </c>
      <c r="H30" s="609">
        <v>0.52790000000000004</v>
      </c>
      <c r="I30" s="609"/>
      <c r="J30" s="609"/>
      <c r="K30" s="77" t="s">
        <v>16</v>
      </c>
      <c r="L30" s="607">
        <f>MAX(ABS(B37))</f>
        <v>9.8500000000000004E-2</v>
      </c>
      <c r="M30" s="607" cm="1">
        <f t="array" ref="M30">MAX(ABS(E37:F37))</f>
        <v>0.22270000000000001</v>
      </c>
      <c r="N30" s="607" cm="1">
        <f t="array" ref="N30">MAX(ABS(G37:H37))</f>
        <v>11.7033</v>
      </c>
      <c r="O30" s="609"/>
      <c r="T30" s="609"/>
      <c r="U30" s="609"/>
      <c r="V30" s="65"/>
      <c r="W30" s="609"/>
      <c r="X30" s="63" t="s">
        <v>697</v>
      </c>
      <c r="Y30" s="62" t="s">
        <v>705</v>
      </c>
      <c r="Z30" s="62" t="s">
        <v>706</v>
      </c>
      <c r="AA30" s="62" t="s">
        <v>74</v>
      </c>
    </row>
    <row r="31" spans="1:28" x14ac:dyDescent="0.25">
      <c r="A31" s="369">
        <v>4</v>
      </c>
      <c r="B31" s="616">
        <v>-2.8898999999999999</v>
      </c>
      <c r="C31" s="616">
        <v>1.8781000000000001</v>
      </c>
      <c r="D31" s="616">
        <v>-2.8538000000000001</v>
      </c>
      <c r="E31" s="616">
        <v>4.7590000000000003</v>
      </c>
      <c r="F31" s="616">
        <v>-4.7409999999999997</v>
      </c>
      <c r="G31" s="609">
        <v>1.4031</v>
      </c>
      <c r="H31" s="609">
        <v>1.4031</v>
      </c>
      <c r="I31" s="609"/>
      <c r="J31" s="609"/>
      <c r="K31" s="609" t="s">
        <v>702</v>
      </c>
      <c r="L31" s="626"/>
      <c r="M31" s="626"/>
      <c r="N31" s="626"/>
      <c r="O31" s="609"/>
      <c r="T31" s="609"/>
      <c r="U31" s="609"/>
      <c r="V31" s="65"/>
      <c r="W31" s="609"/>
      <c r="X31" s="63">
        <v>1</v>
      </c>
      <c r="Y31" s="62">
        <v>5.3592000000000004</v>
      </c>
      <c r="Z31" s="62">
        <v>84.916499999999999</v>
      </c>
      <c r="AA31" s="62">
        <v>-2.64</v>
      </c>
    </row>
    <row r="32" spans="1:28" x14ac:dyDescent="0.25">
      <c r="A32" s="369">
        <v>5</v>
      </c>
      <c r="B32" s="616">
        <v>-0.57450000000000001</v>
      </c>
      <c r="C32" s="616">
        <v>0</v>
      </c>
      <c r="D32" s="616">
        <v>-0.57450000000000001</v>
      </c>
      <c r="E32" s="618">
        <v>4.2194900000000002E-16</v>
      </c>
      <c r="F32" s="618">
        <v>4.2194900000000002E-16</v>
      </c>
      <c r="G32" s="609">
        <v>0.39950000000000002</v>
      </c>
      <c r="H32" s="609">
        <v>0.39950000000000002</v>
      </c>
      <c r="I32" s="609"/>
      <c r="J32" s="609"/>
      <c r="K32" s="77"/>
      <c r="L32" s="607" t="s">
        <v>690</v>
      </c>
      <c r="M32" s="607" t="s">
        <v>691</v>
      </c>
      <c r="N32" s="607" t="s">
        <v>692</v>
      </c>
      <c r="O32" s="609"/>
      <c r="T32" s="609"/>
      <c r="U32" s="609"/>
      <c r="V32" s="65"/>
      <c r="X32" s="63">
        <v>2</v>
      </c>
      <c r="Y32" s="62">
        <v>-2.4220999999999999</v>
      </c>
      <c r="Z32" s="62">
        <v>143.23249999999999</v>
      </c>
      <c r="AA32" s="62">
        <v>1.2186999999999999</v>
      </c>
    </row>
    <row r="33" spans="1:28" x14ac:dyDescent="0.25">
      <c r="A33" s="369">
        <v>6</v>
      </c>
      <c r="B33" s="616">
        <v>-2.8538000000000001</v>
      </c>
      <c r="C33" s="616">
        <v>1.8781000000000001</v>
      </c>
      <c r="D33" s="616">
        <v>-2.8898999999999999</v>
      </c>
      <c r="E33" s="616">
        <v>4.7409999999999997</v>
      </c>
      <c r="F33" s="616">
        <v>-4.7590000000000003</v>
      </c>
      <c r="G33" s="609">
        <v>1.4031</v>
      </c>
      <c r="H33" s="609">
        <v>1.4031</v>
      </c>
      <c r="I33" s="609"/>
      <c r="J33" s="609"/>
      <c r="K33" s="77" t="s">
        <v>15</v>
      </c>
      <c r="L33" s="607">
        <f>MAX(ABS(B14))</f>
        <v>1.2186999999999999</v>
      </c>
      <c r="M33" s="607" cm="1">
        <f t="array" ref="M33">MAX(ABS(E14:F14))</f>
        <v>2.4220999999999999</v>
      </c>
      <c r="N33" s="607" cm="1">
        <f t="array" ref="N33">MAX(ABS(G14:H14))</f>
        <v>143.23249999999999</v>
      </c>
      <c r="O33" s="609"/>
      <c r="T33" s="609"/>
      <c r="U33" s="609"/>
      <c r="V33" s="65"/>
      <c r="X33" s="63">
        <v>3</v>
      </c>
      <c r="Y33" s="62">
        <v>2.4220999999999999</v>
      </c>
      <c r="Z33" s="62">
        <v>143.23249999999999</v>
      </c>
      <c r="AA33" s="62">
        <v>-1.2186999999999999</v>
      </c>
    </row>
    <row r="34" spans="1:28" x14ac:dyDescent="0.25">
      <c r="A34" s="363">
        <v>7</v>
      </c>
      <c r="B34" s="617">
        <v>-3.2860999999999998</v>
      </c>
      <c r="C34" s="617">
        <v>3.3915999999999999</v>
      </c>
      <c r="D34" s="617">
        <v>-4.4306999999999999</v>
      </c>
      <c r="E34" s="617">
        <v>6.9638</v>
      </c>
      <c r="F34" s="617">
        <v>-7.5362</v>
      </c>
      <c r="G34" s="609">
        <v>-1.7082999999999999</v>
      </c>
      <c r="H34" s="609">
        <v>-1.7082999999999999</v>
      </c>
      <c r="I34" s="609"/>
      <c r="J34" s="609"/>
      <c r="K34" s="77" t="s">
        <v>16</v>
      </c>
      <c r="L34" s="607">
        <f>MAX(ABS(B38))</f>
        <v>0.2361</v>
      </c>
      <c r="M34" s="607" cm="1">
        <f t="array" ref="M34">MAX(ABS(E38:F38))</f>
        <v>0.47460000000000002</v>
      </c>
      <c r="N34" s="607" cm="1">
        <f t="array" ref="N34">MAX(ABS(G38:H38))</f>
        <v>16.096699999999998</v>
      </c>
      <c r="P34" s="614"/>
      <c r="Q34" s="609"/>
      <c r="R34" s="609"/>
      <c r="S34" s="609"/>
      <c r="T34" s="609"/>
      <c r="U34" s="609"/>
      <c r="V34" s="65"/>
      <c r="X34" s="63">
        <v>4</v>
      </c>
      <c r="Y34" s="62">
        <v>-5.3592000000000004</v>
      </c>
      <c r="Z34" s="62">
        <v>84.916499999999999</v>
      </c>
      <c r="AA34" s="62">
        <v>2.64</v>
      </c>
    </row>
    <row r="35" spans="1:28" x14ac:dyDescent="0.25">
      <c r="A35" s="363">
        <v>8</v>
      </c>
      <c r="B35" s="617">
        <v>-2.1598000000000002</v>
      </c>
      <c r="C35" s="617">
        <v>0</v>
      </c>
      <c r="D35" s="617">
        <v>-2.1598000000000002</v>
      </c>
      <c r="E35" s="617">
        <v>1.9</v>
      </c>
      <c r="F35" s="617">
        <v>-1.9</v>
      </c>
      <c r="G35" s="609">
        <v>-0.47489999999999999</v>
      </c>
      <c r="H35" s="609">
        <v>-0.47489999999999999</v>
      </c>
      <c r="I35" s="609"/>
      <c r="J35" s="609"/>
      <c r="K35" s="62" t="s">
        <v>703</v>
      </c>
      <c r="L35" s="87"/>
      <c r="M35" s="87"/>
      <c r="N35" s="87"/>
      <c r="P35" s="609"/>
      <c r="Q35" s="609"/>
      <c r="R35" s="609"/>
      <c r="S35" s="609"/>
      <c r="T35" s="609"/>
      <c r="U35" s="609"/>
      <c r="V35" s="65"/>
      <c r="X35" s="112" t="s">
        <v>183</v>
      </c>
    </row>
    <row r="36" spans="1:28" x14ac:dyDescent="0.25">
      <c r="A36" s="363">
        <v>9</v>
      </c>
      <c r="B36" s="617">
        <v>-4.4306999999999999</v>
      </c>
      <c r="C36" s="617">
        <v>3.3915999999999999</v>
      </c>
      <c r="D36" s="617">
        <v>-3.2860999999999998</v>
      </c>
      <c r="E36" s="617">
        <v>7.5362</v>
      </c>
      <c r="F36" s="617">
        <v>-6.9638</v>
      </c>
      <c r="G36" s="609">
        <v>-1.7082999999999999</v>
      </c>
      <c r="H36" s="609">
        <v>-1.7082999999999999</v>
      </c>
      <c r="I36" s="609"/>
      <c r="J36" s="609"/>
      <c r="K36" s="77"/>
      <c r="L36" s="607" t="s">
        <v>690</v>
      </c>
      <c r="M36" s="607" t="s">
        <v>691</v>
      </c>
      <c r="N36" s="607" t="s">
        <v>692</v>
      </c>
      <c r="P36" s="609"/>
      <c r="Q36" s="609"/>
      <c r="R36" s="609"/>
      <c r="S36" s="609"/>
      <c r="T36" s="609"/>
      <c r="U36" s="609"/>
      <c r="V36" s="65"/>
      <c r="X36" s="63" t="s">
        <v>697</v>
      </c>
      <c r="Y36" s="62" t="s">
        <v>698</v>
      </c>
      <c r="Z36" s="62" t="s">
        <v>699</v>
      </c>
      <c r="AA36" s="62" t="s">
        <v>700</v>
      </c>
    </row>
    <row r="37" spans="1:28" x14ac:dyDescent="0.25">
      <c r="A37" s="63">
        <v>10</v>
      </c>
      <c r="B37" s="609">
        <v>-9.8500000000000004E-2</v>
      </c>
      <c r="C37" s="609">
        <v>0.2356</v>
      </c>
      <c r="D37" s="609">
        <v>0.2356</v>
      </c>
      <c r="E37" s="609">
        <v>0.22270000000000001</v>
      </c>
      <c r="F37" s="609">
        <v>0.22270000000000001</v>
      </c>
      <c r="G37" s="615">
        <v>-11.7033</v>
      </c>
      <c r="H37" s="615">
        <v>-11.7033</v>
      </c>
      <c r="I37" s="609"/>
      <c r="J37" s="609"/>
      <c r="K37" s="77" t="s">
        <v>15</v>
      </c>
      <c r="L37" s="607">
        <f>MAX(ABS(B15))</f>
        <v>1.2186999999999999</v>
      </c>
      <c r="M37" s="607" cm="1">
        <f t="array" ref="M37">MAX(ABS(E15:F15))</f>
        <v>2.4220999999999999</v>
      </c>
      <c r="N37" s="607" cm="1">
        <f t="array" ref="N37">MAX(ABS(G15:H15))</f>
        <v>143.23249999999999</v>
      </c>
      <c r="P37" s="609"/>
      <c r="Q37" s="609"/>
      <c r="R37" s="609"/>
      <c r="S37" s="609"/>
      <c r="T37" s="609"/>
      <c r="U37" s="609"/>
      <c r="V37" s="65"/>
      <c r="X37" s="63">
        <v>1</v>
      </c>
      <c r="Y37" s="62">
        <v>-0.22270000000000001</v>
      </c>
      <c r="Z37" s="62">
        <v>11.7033</v>
      </c>
      <c r="AA37" s="62">
        <v>9.8500000000000004E-2</v>
      </c>
    </row>
    <row r="38" spans="1:28" x14ac:dyDescent="0.25">
      <c r="A38" s="63">
        <v>11</v>
      </c>
      <c r="B38" s="609">
        <v>0.2361</v>
      </c>
      <c r="C38" s="609">
        <v>0.2361</v>
      </c>
      <c r="D38" s="609">
        <v>-0.47570000000000001</v>
      </c>
      <c r="E38" s="609">
        <v>-0.47460000000000002</v>
      </c>
      <c r="F38" s="609">
        <v>-0.47460000000000002</v>
      </c>
      <c r="G38" s="615">
        <v>-16.096699999999998</v>
      </c>
      <c r="H38" s="615">
        <v>-16.096699999999998</v>
      </c>
      <c r="I38" s="609"/>
      <c r="J38" s="609"/>
      <c r="K38" s="77" t="s">
        <v>16</v>
      </c>
      <c r="L38" s="607">
        <f>MAX(ABS(B39))</f>
        <v>0.2361</v>
      </c>
      <c r="M38" s="607" cm="1">
        <f t="array" ref="M38">MAX(ABS(E39:F39))</f>
        <v>0.47460000000000002</v>
      </c>
      <c r="N38" s="607" cm="1">
        <f t="array" ref="N38">MAX(ABS(G40:H40))</f>
        <v>11.7033</v>
      </c>
      <c r="P38" s="609"/>
      <c r="Q38" s="609"/>
      <c r="R38" s="609"/>
      <c r="S38" s="609"/>
      <c r="T38" s="609"/>
      <c r="U38" s="609"/>
      <c r="V38" s="65"/>
      <c r="X38" s="63">
        <v>2</v>
      </c>
      <c r="Y38" s="62">
        <v>0.47460000000000002</v>
      </c>
      <c r="Z38" s="62">
        <v>16.096699999999998</v>
      </c>
      <c r="AA38" s="62">
        <v>-0.2361</v>
      </c>
    </row>
    <row r="39" spans="1:28" x14ac:dyDescent="0.25">
      <c r="A39" s="63">
        <v>12</v>
      </c>
      <c r="B39" s="609">
        <v>-0.2361</v>
      </c>
      <c r="C39" s="609">
        <v>0.47570000000000001</v>
      </c>
      <c r="D39" s="609">
        <v>0.47570000000000001</v>
      </c>
      <c r="E39" s="609">
        <v>0.47460000000000002</v>
      </c>
      <c r="F39" s="609">
        <v>0.47460000000000002</v>
      </c>
      <c r="G39" s="615">
        <v>-16.096699999999998</v>
      </c>
      <c r="H39" s="615">
        <v>-16.096699999999998</v>
      </c>
      <c r="I39" s="609"/>
      <c r="J39" s="609"/>
      <c r="K39" s="609" t="s">
        <v>704</v>
      </c>
      <c r="L39" s="629"/>
      <c r="M39" s="629"/>
      <c r="N39" s="626"/>
      <c r="P39" s="609"/>
      <c r="Q39" s="609"/>
      <c r="R39" s="609"/>
      <c r="S39" s="609"/>
      <c r="T39" s="609"/>
      <c r="U39" s="609"/>
      <c r="V39" s="65"/>
      <c r="X39" s="63">
        <v>3</v>
      </c>
      <c r="Y39" s="62">
        <v>-0.47460000000000002</v>
      </c>
      <c r="Z39" s="62">
        <v>16.096699999999998</v>
      </c>
      <c r="AA39" s="62">
        <v>0.2361</v>
      </c>
    </row>
    <row r="40" spans="1:28" x14ac:dyDescent="0.25">
      <c r="A40" s="63">
        <v>13</v>
      </c>
      <c r="B40" s="609">
        <v>9.8500000000000004E-2</v>
      </c>
      <c r="C40" s="609">
        <v>9.8500000000000004E-2</v>
      </c>
      <c r="D40" s="609">
        <v>-0.2356</v>
      </c>
      <c r="E40" s="609">
        <v>-0.22270000000000001</v>
      </c>
      <c r="F40" s="609">
        <v>-0.22270000000000001</v>
      </c>
      <c r="G40" s="615">
        <v>-11.7033</v>
      </c>
      <c r="H40" s="615">
        <v>-11.7033</v>
      </c>
      <c r="I40" s="609"/>
      <c r="J40" s="609"/>
      <c r="K40" s="77"/>
      <c r="L40" s="607" t="s">
        <v>690</v>
      </c>
      <c r="M40" s="607" t="s">
        <v>691</v>
      </c>
      <c r="N40" s="607" t="s">
        <v>692</v>
      </c>
      <c r="Q40" s="609"/>
      <c r="R40" s="609"/>
      <c r="S40" s="609"/>
      <c r="T40" s="609"/>
      <c r="U40" s="609"/>
      <c r="V40" s="65"/>
      <c r="X40" s="63">
        <v>4</v>
      </c>
      <c r="Y40" s="62">
        <v>0.22270000000000001</v>
      </c>
      <c r="Z40" s="62">
        <v>11.7033</v>
      </c>
      <c r="AA40" s="62">
        <v>-9.8500000000000004E-2</v>
      </c>
    </row>
    <row r="41" spans="1:28" ht="14.4" thickBot="1" x14ac:dyDescent="0.3">
      <c r="A41" s="63">
        <v>14</v>
      </c>
      <c r="B41" s="609">
        <v>0.26719999999999999</v>
      </c>
      <c r="C41" s="609">
        <v>0.26719999999999999</v>
      </c>
      <c r="D41" s="609">
        <v>-0.70940000000000003</v>
      </c>
      <c r="E41" s="609">
        <v>-0.30520000000000003</v>
      </c>
      <c r="F41" s="609">
        <v>-0.30520000000000003</v>
      </c>
      <c r="G41" s="616">
        <v>-11.722899999999999</v>
      </c>
      <c r="H41" s="616">
        <v>-11.722899999999999</v>
      </c>
      <c r="I41" s="609"/>
      <c r="J41" s="614"/>
      <c r="K41" s="77" t="s">
        <v>15</v>
      </c>
      <c r="L41" s="607">
        <f>MAX(ABS(B16))</f>
        <v>2.64</v>
      </c>
      <c r="M41" s="607" cm="1">
        <f t="array" ref="M41">MAX(ABS(E16:F16))</f>
        <v>5.3592000000000004</v>
      </c>
      <c r="N41" s="607" cm="1">
        <f t="array" ref="N41">MAX(ABS(G16:H16))</f>
        <v>84.916499999999999</v>
      </c>
      <c r="Q41" s="609"/>
      <c r="R41" s="609"/>
      <c r="S41" s="609"/>
      <c r="T41" s="609"/>
      <c r="U41" s="609"/>
      <c r="V41" s="65"/>
      <c r="X41" s="76"/>
      <c r="Y41" s="78"/>
      <c r="Z41" s="78"/>
      <c r="AA41" s="78"/>
      <c r="AB41" s="78"/>
    </row>
    <row r="42" spans="1:28" x14ac:dyDescent="0.25">
      <c r="A42" s="63">
        <v>15</v>
      </c>
      <c r="B42" s="609">
        <v>-0.13189999999999999</v>
      </c>
      <c r="C42" s="609">
        <v>0.60329999999999995</v>
      </c>
      <c r="D42" s="609">
        <v>0.60329999999999995</v>
      </c>
      <c r="E42" s="609">
        <v>0.22969999999999999</v>
      </c>
      <c r="F42" s="609">
        <v>0.22969999999999999</v>
      </c>
      <c r="G42" s="616">
        <v>-14.177099999999999</v>
      </c>
      <c r="H42" s="616">
        <v>-14.177099999999999</v>
      </c>
      <c r="I42" s="609"/>
      <c r="J42" s="609"/>
      <c r="K42" s="77" t="s">
        <v>16</v>
      </c>
      <c r="L42" s="607">
        <f>MAX(ABS(B40))</f>
        <v>9.8500000000000004E-2</v>
      </c>
      <c r="M42" s="607" cm="1">
        <f t="array" ref="M42">MAX(ABS(E40:F40))</f>
        <v>0.22270000000000001</v>
      </c>
      <c r="N42" s="607" cm="1">
        <f t="array" ref="N42">MAX(ABS(G40:H40))</f>
        <v>11.7033</v>
      </c>
      <c r="Q42" s="609"/>
      <c r="R42" s="609"/>
      <c r="S42" s="609"/>
      <c r="T42" s="609"/>
      <c r="U42" s="609"/>
      <c r="V42" s="65"/>
    </row>
    <row r="43" spans="1:28" x14ac:dyDescent="0.25">
      <c r="A43" s="63">
        <v>16</v>
      </c>
      <c r="B43" s="609">
        <v>0.13189999999999999</v>
      </c>
      <c r="C43" s="609">
        <v>0.13189999999999999</v>
      </c>
      <c r="D43" s="609">
        <v>-0.60329999999999995</v>
      </c>
      <c r="E43" s="609">
        <v>-0.22969999999999999</v>
      </c>
      <c r="F43" s="609">
        <v>-0.22969999999999999</v>
      </c>
      <c r="G43" s="616">
        <v>-14.177099999999999</v>
      </c>
      <c r="H43" s="616">
        <v>-14.177099999999999</v>
      </c>
      <c r="I43" s="609"/>
      <c r="J43" s="609"/>
      <c r="Q43" s="609"/>
      <c r="R43" s="609"/>
      <c r="S43" s="609"/>
      <c r="T43" s="609"/>
      <c r="U43" s="609"/>
      <c r="V43" s="65"/>
    </row>
    <row r="44" spans="1:28" x14ac:dyDescent="0.25">
      <c r="A44" s="63">
        <v>17</v>
      </c>
      <c r="B44" s="609">
        <v>-0.26719999999999999</v>
      </c>
      <c r="C44" s="609">
        <v>0.70940000000000003</v>
      </c>
      <c r="D44" s="609">
        <v>0.70940000000000003</v>
      </c>
      <c r="E44" s="609">
        <v>0.30520000000000003</v>
      </c>
      <c r="F44" s="609">
        <v>0.30520000000000003</v>
      </c>
      <c r="G44" s="616">
        <v>-11.722899999999999</v>
      </c>
      <c r="H44" s="616">
        <v>-11.722899999999999</v>
      </c>
      <c r="I44" s="609"/>
      <c r="J44" s="609"/>
      <c r="Q44" s="609"/>
      <c r="R44" s="609"/>
      <c r="S44" s="609"/>
      <c r="T44" s="609"/>
      <c r="U44" s="615"/>
      <c r="V44" s="65" t="s">
        <v>369</v>
      </c>
    </row>
    <row r="45" spans="1:28" x14ac:dyDescent="0.25">
      <c r="A45" s="63">
        <v>18</v>
      </c>
      <c r="B45" s="609">
        <v>2.1806000000000001</v>
      </c>
      <c r="C45" s="609">
        <v>2.1806000000000001</v>
      </c>
      <c r="D45" s="609">
        <v>-3.2860999999999998</v>
      </c>
      <c r="E45" s="609">
        <v>-1.7082999999999999</v>
      </c>
      <c r="F45" s="609">
        <v>-1.7082999999999999</v>
      </c>
      <c r="G45" s="617">
        <v>-6.9638</v>
      </c>
      <c r="H45" s="617">
        <v>-6.9638</v>
      </c>
      <c r="I45" s="609"/>
      <c r="J45" s="609"/>
      <c r="Q45" s="609"/>
      <c r="R45" s="609"/>
      <c r="S45" s="609"/>
      <c r="T45" s="609"/>
      <c r="U45" s="619"/>
      <c r="V45" s="65" t="s">
        <v>358</v>
      </c>
    </row>
    <row r="46" spans="1:28" x14ac:dyDescent="0.25">
      <c r="A46" s="63">
        <v>19</v>
      </c>
      <c r="B46" s="609">
        <v>-1.6759999999999999</v>
      </c>
      <c r="C46" s="609">
        <v>2.2709999999999999</v>
      </c>
      <c r="D46" s="609">
        <v>2.2709999999999999</v>
      </c>
      <c r="E46" s="609">
        <v>1.2334000000000001</v>
      </c>
      <c r="F46" s="609">
        <v>1.2334000000000001</v>
      </c>
      <c r="G46" s="617">
        <v>-9.4361999999999995</v>
      </c>
      <c r="H46" s="617">
        <v>-9.4361999999999995</v>
      </c>
      <c r="I46" s="609"/>
      <c r="J46" s="609"/>
      <c r="O46" s="609"/>
      <c r="P46" s="609"/>
      <c r="Q46" s="609"/>
      <c r="R46" s="609"/>
      <c r="S46" s="609"/>
      <c r="T46" s="609"/>
      <c r="U46" s="617"/>
      <c r="V46" s="65" t="s">
        <v>363</v>
      </c>
    </row>
    <row r="47" spans="1:28" x14ac:dyDescent="0.25">
      <c r="A47" s="63">
        <v>20</v>
      </c>
      <c r="B47" s="609">
        <v>1.6759999999999999</v>
      </c>
      <c r="C47" s="609">
        <v>1.6759999999999999</v>
      </c>
      <c r="D47" s="609">
        <v>-2.2709999999999999</v>
      </c>
      <c r="E47" s="609">
        <v>-1.2334000000000001</v>
      </c>
      <c r="F47" s="609">
        <v>-1.2334000000000001</v>
      </c>
      <c r="G47" s="617">
        <v>-9.4361999999999995</v>
      </c>
      <c r="H47" s="617">
        <v>-9.4361999999999995</v>
      </c>
      <c r="I47" s="609"/>
      <c r="J47" s="609"/>
      <c r="O47" s="609"/>
      <c r="P47" s="609"/>
      <c r="Q47" s="609"/>
      <c r="R47" s="609"/>
      <c r="S47" s="609"/>
      <c r="T47" s="609"/>
      <c r="U47" s="609"/>
      <c r="V47" s="65"/>
    </row>
    <row r="48" spans="1:28" ht="14.4" thickBot="1" x14ac:dyDescent="0.3">
      <c r="A48" s="76">
        <v>21</v>
      </c>
      <c r="B48" s="78">
        <v>-2.1806000000000001</v>
      </c>
      <c r="C48" s="78">
        <v>3.2860999999999998</v>
      </c>
      <c r="D48" s="78">
        <v>3.2860999999999998</v>
      </c>
      <c r="E48" s="78">
        <v>1.7082999999999999</v>
      </c>
      <c r="F48" s="78">
        <v>1.7082999999999999</v>
      </c>
      <c r="G48" s="371">
        <v>-6.9638</v>
      </c>
      <c r="H48" s="371">
        <v>-6.9638</v>
      </c>
      <c r="I48" s="78"/>
      <c r="J48" s="78"/>
      <c r="O48" s="78"/>
      <c r="P48" s="78"/>
      <c r="Q48" s="78"/>
      <c r="R48" s="78"/>
      <c r="S48" s="78"/>
      <c r="T48" s="78"/>
      <c r="U48" s="78"/>
      <c r="V48" s="79"/>
    </row>
    <row r="50" spans="1:23" ht="14.4" thickBot="1" x14ac:dyDescent="0.3"/>
    <row r="51" spans="1:23" ht="19.95" customHeight="1" x14ac:dyDescent="0.25">
      <c r="A51" s="428" t="s">
        <v>21</v>
      </c>
      <c r="B51" s="429"/>
      <c r="C51" s="429"/>
      <c r="D51" s="429"/>
      <c r="E51" s="429"/>
      <c r="F51" s="429"/>
      <c r="G51" s="429"/>
      <c r="H51" s="429"/>
      <c r="I51" s="429"/>
      <c r="J51" s="429"/>
      <c r="K51" s="429"/>
      <c r="L51" s="429"/>
      <c r="M51" s="429"/>
      <c r="N51" s="429"/>
      <c r="O51" s="429"/>
      <c r="P51" s="429"/>
      <c r="Q51" s="429"/>
      <c r="R51" s="429"/>
      <c r="S51" s="429"/>
      <c r="T51" s="429"/>
      <c r="U51" s="429"/>
      <c r="V51" s="430"/>
    </row>
    <row r="52" spans="1:23" x14ac:dyDescent="0.25">
      <c r="A52" s="112" t="s">
        <v>9</v>
      </c>
      <c r="B52" s="609"/>
      <c r="C52" s="609"/>
      <c r="D52" s="609"/>
      <c r="E52" s="609"/>
      <c r="F52" s="609"/>
      <c r="G52" s="609"/>
      <c r="H52" s="609"/>
      <c r="I52" s="609"/>
      <c r="J52" s="614"/>
      <c r="K52" s="609"/>
      <c r="L52" s="614" t="s">
        <v>689</v>
      </c>
      <c r="M52" s="609"/>
      <c r="N52" s="609"/>
      <c r="O52" s="609"/>
      <c r="P52" s="609"/>
      <c r="Q52" s="609"/>
      <c r="R52" s="609"/>
      <c r="S52" s="609"/>
      <c r="T52" s="609"/>
      <c r="U52" s="609"/>
      <c r="V52" s="65"/>
      <c r="W52" s="92"/>
    </row>
    <row r="53" spans="1:23" x14ac:dyDescent="0.25">
      <c r="A53" s="63" t="s">
        <v>0</v>
      </c>
      <c r="B53" s="609" t="s">
        <v>1</v>
      </c>
      <c r="C53" s="609" t="s">
        <v>2</v>
      </c>
      <c r="D53" s="609" t="s">
        <v>3</v>
      </c>
      <c r="E53" s="609" t="s">
        <v>4</v>
      </c>
      <c r="F53" s="609" t="s">
        <v>5</v>
      </c>
      <c r="G53" s="609" t="s">
        <v>6</v>
      </c>
      <c r="H53" s="609" t="s">
        <v>7</v>
      </c>
      <c r="I53" s="609"/>
      <c r="J53" s="609"/>
      <c r="K53" s="609" t="s">
        <v>478</v>
      </c>
      <c r="L53" s="609"/>
      <c r="M53" s="609"/>
      <c r="N53" s="609"/>
      <c r="O53" s="609"/>
      <c r="P53" s="609"/>
      <c r="Q53" s="609"/>
      <c r="R53" s="609"/>
      <c r="S53" s="609"/>
      <c r="T53" s="609"/>
      <c r="U53" s="609"/>
      <c r="V53" s="65"/>
    </row>
    <row r="54" spans="1:23" x14ac:dyDescent="0.25">
      <c r="A54" s="63">
        <v>1</v>
      </c>
      <c r="B54" s="615">
        <v>-0.57450000000000001</v>
      </c>
      <c r="C54" s="615">
        <v>0</v>
      </c>
      <c r="D54" s="615">
        <v>-7.0300000000000001E-2</v>
      </c>
      <c r="E54" s="615">
        <v>0.12609999999999999</v>
      </c>
      <c r="F54" s="615">
        <v>0.12609999999999999</v>
      </c>
      <c r="G54" s="609">
        <v>4.2394999999999996</v>
      </c>
      <c r="H54" s="609">
        <v>4.2394999999999996</v>
      </c>
      <c r="I54" s="609"/>
      <c r="J54" s="606"/>
      <c r="K54" s="613"/>
      <c r="L54" s="608" t="s">
        <v>690</v>
      </c>
      <c r="M54" s="623"/>
      <c r="N54" s="624" t="s">
        <v>691</v>
      </c>
      <c r="O54" s="627" t="s">
        <v>692</v>
      </c>
      <c r="P54" s="606"/>
      <c r="Q54" s="606"/>
      <c r="R54" s="609"/>
      <c r="S54" s="609"/>
      <c r="T54" s="609"/>
      <c r="U54" s="609"/>
      <c r="V54" s="65"/>
    </row>
    <row r="55" spans="1:23" x14ac:dyDescent="0.25">
      <c r="A55" s="63">
        <v>2</v>
      </c>
      <c r="B55" s="615">
        <v>7.8399999999999997E-2</v>
      </c>
      <c r="C55" s="615">
        <v>1.0846</v>
      </c>
      <c r="D55" s="615">
        <v>1.0846</v>
      </c>
      <c r="E55" s="615">
        <v>0.50309999999999999</v>
      </c>
      <c r="F55" s="615">
        <v>0.50309999999999999</v>
      </c>
      <c r="G55" s="609">
        <v>1.1594</v>
      </c>
      <c r="H55" s="609">
        <v>1.1594</v>
      </c>
      <c r="I55" s="609"/>
      <c r="J55" s="606"/>
      <c r="K55" s="81"/>
      <c r="L55" s="607" t="s">
        <v>693</v>
      </c>
      <c r="M55" s="608" t="s">
        <v>694</v>
      </c>
      <c r="N55" s="625"/>
      <c r="O55" s="612"/>
      <c r="P55" s="606"/>
      <c r="Q55" s="606"/>
      <c r="R55" s="609"/>
      <c r="S55" s="609"/>
      <c r="T55" s="609"/>
      <c r="U55" s="609"/>
      <c r="V55" s="65"/>
    </row>
    <row r="56" spans="1:23" x14ac:dyDescent="0.25">
      <c r="A56" s="63">
        <v>3</v>
      </c>
      <c r="B56" s="615">
        <v>-1.35E-2</v>
      </c>
      <c r="C56" s="615">
        <v>0</v>
      </c>
      <c r="D56" s="615">
        <v>-0.87119999999999997</v>
      </c>
      <c r="E56" s="615">
        <v>-0.21440000000000001</v>
      </c>
      <c r="F56" s="615">
        <v>-0.21440000000000001</v>
      </c>
      <c r="G56" s="609">
        <v>6.0449999999999999</v>
      </c>
      <c r="H56" s="609">
        <v>6.0449999999999999</v>
      </c>
      <c r="I56" s="609"/>
      <c r="J56" s="606"/>
      <c r="K56" s="77" t="s">
        <v>15</v>
      </c>
      <c r="L56" s="607">
        <f>MIN(B54:B56)</f>
        <v>-0.57450000000000001</v>
      </c>
      <c r="M56" s="607">
        <f>MAX(C54:C56)</f>
        <v>1.0846</v>
      </c>
      <c r="N56" s="607" cm="1">
        <f t="array" ref="N56">MAX(ABS(E54:F56))</f>
        <v>0.50309999999999999</v>
      </c>
      <c r="O56" s="77" cm="1">
        <f t="array" ref="O56">MAX(ABS(H63:H66))</f>
        <v>90.319299999999998</v>
      </c>
      <c r="P56" s="606"/>
      <c r="Q56" s="606"/>
      <c r="R56" s="609"/>
      <c r="S56" s="609"/>
      <c r="T56" s="609"/>
      <c r="U56" s="609"/>
      <c r="V56" s="65"/>
    </row>
    <row r="57" spans="1:23" x14ac:dyDescent="0.25">
      <c r="A57" s="63">
        <v>4</v>
      </c>
      <c r="B57" s="616">
        <v>-17.579999999999998</v>
      </c>
      <c r="C57" s="616">
        <v>12.3218</v>
      </c>
      <c r="D57" s="616">
        <v>-18.720400000000001</v>
      </c>
      <c r="E57" s="616">
        <v>30.186900000000001</v>
      </c>
      <c r="F57" s="616">
        <v>-30.757100000000001</v>
      </c>
      <c r="G57" s="609">
        <v>5.6241000000000003</v>
      </c>
      <c r="H57" s="609">
        <v>5.6241000000000003</v>
      </c>
      <c r="I57" s="609"/>
      <c r="J57" s="606"/>
      <c r="K57" s="77" t="s">
        <v>16</v>
      </c>
      <c r="L57" s="607">
        <f>MIN(B78:B80)</f>
        <v>-0.1903</v>
      </c>
      <c r="M57" s="607">
        <f>MAX(C78:C80)</f>
        <v>0.38919999999999999</v>
      </c>
      <c r="N57" s="607" cm="1">
        <f t="array" ref="N57">MAX(ABS(E78:F80))</f>
        <v>1.4843999999999999</v>
      </c>
      <c r="O57" s="77" cm="1">
        <f t="array" ref="O57">MAX(ABS(H87:H90))</f>
        <v>26.4876</v>
      </c>
      <c r="P57" s="606"/>
      <c r="Q57" s="606"/>
      <c r="R57" s="609"/>
      <c r="S57" s="609"/>
      <c r="T57" s="609"/>
      <c r="U57" s="609"/>
      <c r="V57" s="65"/>
    </row>
    <row r="58" spans="1:23" x14ac:dyDescent="0.25">
      <c r="A58" s="63">
        <v>5</v>
      </c>
      <c r="B58" s="616">
        <v>-6.0174000000000003</v>
      </c>
      <c r="C58" s="616">
        <v>0</v>
      </c>
      <c r="D58" s="616">
        <v>-9.1425999999999998</v>
      </c>
      <c r="E58" s="616">
        <v>7.1323999999999996</v>
      </c>
      <c r="F58" s="616">
        <v>-10.2576</v>
      </c>
      <c r="G58" s="609">
        <v>1.6002000000000001</v>
      </c>
      <c r="H58" s="609">
        <v>1.6002000000000001</v>
      </c>
      <c r="I58" s="609"/>
      <c r="J58" s="606"/>
      <c r="K58" s="609" t="s">
        <v>479</v>
      </c>
      <c r="L58" s="626"/>
      <c r="M58" s="626"/>
      <c r="N58" s="626"/>
      <c r="O58" s="609"/>
      <c r="P58" s="606"/>
      <c r="Q58" s="606"/>
      <c r="R58" s="609"/>
      <c r="S58" s="609"/>
      <c r="T58" s="609"/>
      <c r="U58" s="609"/>
      <c r="V58" s="65"/>
    </row>
    <row r="59" spans="1:23" x14ac:dyDescent="0.25">
      <c r="A59" s="63">
        <v>6</v>
      </c>
      <c r="B59" s="616">
        <v>-26.8796</v>
      </c>
      <c r="C59" s="616">
        <v>17.7089</v>
      </c>
      <c r="D59" s="616">
        <v>-23.734500000000001</v>
      </c>
      <c r="E59" s="616">
        <v>43.802300000000002</v>
      </c>
      <c r="F59" s="616">
        <v>-42.229700000000001</v>
      </c>
      <c r="G59" s="609">
        <v>5.5266000000000002</v>
      </c>
      <c r="H59" s="609">
        <v>5.5266000000000002</v>
      </c>
      <c r="I59" s="609"/>
      <c r="J59" s="606"/>
      <c r="K59" s="613"/>
      <c r="L59" s="608" t="s">
        <v>690</v>
      </c>
      <c r="M59" s="623"/>
      <c r="N59" s="624" t="s">
        <v>691</v>
      </c>
      <c r="O59" s="627" t="s">
        <v>692</v>
      </c>
      <c r="P59" s="606"/>
      <c r="Q59" s="606"/>
      <c r="R59" s="609"/>
      <c r="S59" s="609"/>
      <c r="T59" s="609"/>
      <c r="U59" s="609"/>
      <c r="V59" s="65"/>
    </row>
    <row r="60" spans="1:23" x14ac:dyDescent="0.25">
      <c r="A60" s="63">
        <v>7</v>
      </c>
      <c r="B60" s="617">
        <v>-14.465</v>
      </c>
      <c r="C60" s="617">
        <v>14.022600000000001</v>
      </c>
      <c r="D60" s="617">
        <v>-18.433800000000002</v>
      </c>
      <c r="E60" s="617">
        <v>29.479800000000001</v>
      </c>
      <c r="F60" s="617">
        <v>-31.464200000000002</v>
      </c>
      <c r="G60" s="609">
        <v>-8.1862999999999992</v>
      </c>
      <c r="H60" s="609">
        <v>-8.1862999999999992</v>
      </c>
      <c r="I60" s="609"/>
      <c r="J60" s="606"/>
      <c r="K60" s="81"/>
      <c r="L60" s="607" t="s">
        <v>693</v>
      </c>
      <c r="M60" s="608" t="s">
        <v>694</v>
      </c>
      <c r="N60" s="625"/>
      <c r="O60" s="612"/>
      <c r="P60" s="606"/>
      <c r="Q60" s="606"/>
      <c r="R60" s="609"/>
      <c r="S60" s="609"/>
      <c r="T60" s="609"/>
      <c r="U60" s="609"/>
      <c r="V60" s="65"/>
    </row>
    <row r="61" spans="1:23" x14ac:dyDescent="0.25">
      <c r="A61" s="63">
        <v>8</v>
      </c>
      <c r="B61" s="617">
        <v>-8.4041999999999994</v>
      </c>
      <c r="C61" s="617">
        <v>0</v>
      </c>
      <c r="D61" s="617">
        <v>-6.8579999999999997</v>
      </c>
      <c r="E61" s="617">
        <v>2.9468999999999999</v>
      </c>
      <c r="F61" s="617">
        <v>-5.7481</v>
      </c>
      <c r="G61" s="609">
        <v>-2.3921999999999999</v>
      </c>
      <c r="H61" s="609">
        <v>-2.3921999999999999</v>
      </c>
      <c r="I61" s="609"/>
      <c r="J61" s="606"/>
      <c r="K61" s="77" t="s">
        <v>15</v>
      </c>
      <c r="L61" s="607">
        <f>MIN(B57:B62)</f>
        <v>-26.8796</v>
      </c>
      <c r="M61" s="607">
        <f>MAX(C57:C62)</f>
        <v>17.7089</v>
      </c>
      <c r="N61" s="607" cm="1">
        <f t="array" ref="N61">MAX(ABS(E57:F62))</f>
        <v>43.802300000000002</v>
      </c>
      <c r="O61" s="77" cm="1">
        <f t="array" ref="O61">MAX(ABS(H67:I74))</f>
        <v>91.036900000000003</v>
      </c>
      <c r="P61" s="606"/>
      <c r="Q61" s="606"/>
      <c r="R61" s="609"/>
      <c r="S61" s="609"/>
      <c r="T61" s="609"/>
      <c r="U61" s="609"/>
      <c r="V61" s="65"/>
    </row>
    <row r="62" spans="1:23" x14ac:dyDescent="0.25">
      <c r="A62" s="63">
        <v>9</v>
      </c>
      <c r="B62" s="617">
        <v>-18.170300000000001</v>
      </c>
      <c r="C62" s="617">
        <v>13.8155</v>
      </c>
      <c r="D62" s="617">
        <v>-15.1427</v>
      </c>
      <c r="E62" s="617">
        <v>31.228899999999999</v>
      </c>
      <c r="F62" s="617">
        <v>-29.7151</v>
      </c>
      <c r="G62" s="609">
        <v>-9.3508999999999993</v>
      </c>
      <c r="H62" s="609">
        <v>-9.3508999999999993</v>
      </c>
      <c r="I62" s="609"/>
      <c r="J62" s="606"/>
      <c r="K62" s="77" t="s">
        <v>16</v>
      </c>
      <c r="L62" s="607">
        <f>MIN(B81:B86)</f>
        <v>-8.6336999999999993</v>
      </c>
      <c r="M62" s="607">
        <f>MAX(C81:C86)</f>
        <v>6.8822000000000001</v>
      </c>
      <c r="N62" s="607" cm="1">
        <f t="array" ref="N62">MAX(ABS(E81:F86))</f>
        <v>15.005599999999999</v>
      </c>
      <c r="O62" s="77" cm="1">
        <f t="array" ref="O62">MAX(ABS(H91:H98))</f>
        <v>25.9421</v>
      </c>
      <c r="P62" s="606"/>
      <c r="Q62" s="606"/>
      <c r="R62" s="609"/>
      <c r="S62" s="609"/>
      <c r="T62" s="609"/>
      <c r="U62" s="609"/>
      <c r="V62" s="65"/>
    </row>
    <row r="63" spans="1:23" x14ac:dyDescent="0.25">
      <c r="A63" s="63">
        <v>10</v>
      </c>
      <c r="B63" s="609">
        <v>-0.74009999999999998</v>
      </c>
      <c r="C63" s="609">
        <v>1.7757000000000001</v>
      </c>
      <c r="D63" s="609">
        <v>1.7757000000000001</v>
      </c>
      <c r="E63" s="609">
        <v>1.6772</v>
      </c>
      <c r="F63" s="609">
        <v>1.6772</v>
      </c>
      <c r="G63" s="615">
        <v>-59.7928</v>
      </c>
      <c r="H63" s="615">
        <v>-59.7928</v>
      </c>
      <c r="I63" s="609"/>
      <c r="J63" s="606"/>
      <c r="L63" s="87"/>
      <c r="M63" s="87"/>
      <c r="N63" s="87"/>
      <c r="P63" s="606"/>
      <c r="Q63" s="606"/>
      <c r="R63" s="609"/>
      <c r="S63" s="609"/>
      <c r="T63" s="609"/>
      <c r="U63" s="609"/>
      <c r="V63" s="65"/>
    </row>
    <row r="64" spans="1:23" x14ac:dyDescent="0.25">
      <c r="A64" s="63">
        <v>11</v>
      </c>
      <c r="B64" s="609">
        <v>0.64029999999999998</v>
      </c>
      <c r="C64" s="609">
        <v>0.64029999999999998</v>
      </c>
      <c r="D64" s="609">
        <v>-1.3244</v>
      </c>
      <c r="E64" s="609">
        <v>-1.3098000000000001</v>
      </c>
      <c r="F64" s="609">
        <v>-1.3098000000000001</v>
      </c>
      <c r="G64" s="615">
        <v>-72.677700000000002</v>
      </c>
      <c r="H64" s="615">
        <v>-72.677700000000002</v>
      </c>
      <c r="I64" s="609"/>
      <c r="J64" s="606"/>
      <c r="K64" s="609"/>
      <c r="L64" s="630" t="s">
        <v>695</v>
      </c>
      <c r="M64" s="626"/>
      <c r="N64" s="626"/>
      <c r="P64" s="606"/>
      <c r="Q64" s="606"/>
      <c r="R64" s="609"/>
      <c r="S64" s="609"/>
      <c r="T64" s="609"/>
      <c r="U64" s="609"/>
      <c r="V64" s="65"/>
    </row>
    <row r="65" spans="1:28" x14ac:dyDescent="0.25">
      <c r="A65" s="63">
        <v>12</v>
      </c>
      <c r="B65" s="609">
        <v>-0.95669999999999999</v>
      </c>
      <c r="C65" s="609">
        <v>1.8232999999999999</v>
      </c>
      <c r="D65" s="609">
        <v>1.8232999999999999</v>
      </c>
      <c r="E65" s="609">
        <v>1.8532999999999999</v>
      </c>
      <c r="F65" s="609">
        <v>1.8532999999999999</v>
      </c>
      <c r="G65" s="615">
        <v>-90.319299999999998</v>
      </c>
      <c r="H65" s="615">
        <v>-90.319299999999998</v>
      </c>
      <c r="I65" s="609"/>
      <c r="J65" s="606"/>
      <c r="K65" s="609" t="s">
        <v>478</v>
      </c>
      <c r="L65" s="626"/>
      <c r="M65" s="626"/>
      <c r="N65" s="626"/>
      <c r="P65" s="606"/>
      <c r="Q65" s="606"/>
      <c r="R65" s="609"/>
      <c r="S65" s="609"/>
      <c r="T65" s="609"/>
      <c r="U65" s="609"/>
      <c r="V65" s="65"/>
      <c r="W65" s="92"/>
    </row>
    <row r="66" spans="1:28" x14ac:dyDescent="0.25">
      <c r="A66" s="63">
        <v>13</v>
      </c>
      <c r="B66" s="609">
        <v>0.91910000000000003</v>
      </c>
      <c r="C66" s="609">
        <v>0.91910000000000003</v>
      </c>
      <c r="D66" s="609">
        <v>-2.4119000000000002</v>
      </c>
      <c r="E66" s="609">
        <v>-2.2206999999999999</v>
      </c>
      <c r="F66" s="609">
        <v>-2.2206999999999999</v>
      </c>
      <c r="G66" s="615">
        <v>-72.159300000000002</v>
      </c>
      <c r="H66" s="615">
        <v>-72.159300000000002</v>
      </c>
      <c r="I66" s="609"/>
      <c r="J66" s="606"/>
      <c r="K66" s="610"/>
      <c r="L66" s="624" t="s">
        <v>690</v>
      </c>
      <c r="M66" s="627" t="s">
        <v>691</v>
      </c>
      <c r="N66" s="627" t="s">
        <v>692</v>
      </c>
      <c r="P66" s="606"/>
      <c r="Q66" s="606"/>
      <c r="R66" s="609"/>
      <c r="S66" s="609"/>
      <c r="T66" s="609"/>
      <c r="U66" s="609"/>
      <c r="V66" s="65"/>
    </row>
    <row r="67" spans="1:28" x14ac:dyDescent="0.25">
      <c r="A67" s="63">
        <v>14</v>
      </c>
      <c r="B67" s="609">
        <v>2.3502999999999998</v>
      </c>
      <c r="C67" s="609">
        <v>2.3502999999999998</v>
      </c>
      <c r="D67" s="609">
        <v>-5.8489000000000004</v>
      </c>
      <c r="E67" s="609">
        <v>-2.5621999999999998</v>
      </c>
      <c r="F67" s="609">
        <v>-2.5621999999999998</v>
      </c>
      <c r="G67" s="616">
        <v>-59.666699999999999</v>
      </c>
      <c r="H67" s="616">
        <v>-59.666699999999999</v>
      </c>
      <c r="I67" s="609"/>
      <c r="J67" s="606"/>
      <c r="K67" s="611"/>
      <c r="L67" s="625"/>
      <c r="M67" s="628"/>
      <c r="N67" s="628"/>
      <c r="O67" s="609"/>
      <c r="P67" s="606"/>
      <c r="Q67" s="606"/>
      <c r="R67" s="609"/>
      <c r="S67" s="609"/>
      <c r="T67" s="609"/>
      <c r="U67" s="609"/>
      <c r="V67" s="65"/>
    </row>
    <row r="68" spans="1:28" x14ac:dyDescent="0.25">
      <c r="A68" s="63">
        <v>15</v>
      </c>
      <c r="B68" s="609">
        <v>-1.4730000000000001</v>
      </c>
      <c r="C68" s="609">
        <v>4.1916000000000002</v>
      </c>
      <c r="D68" s="609">
        <v>4.1916000000000002</v>
      </c>
      <c r="E68" s="609">
        <v>1.7702</v>
      </c>
      <c r="F68" s="609">
        <v>1.7702</v>
      </c>
      <c r="G68" s="616">
        <v>-72.300600000000003</v>
      </c>
      <c r="H68" s="616">
        <v>-72.300600000000003</v>
      </c>
      <c r="I68" s="609"/>
      <c r="J68" s="606"/>
      <c r="K68" s="77" t="s">
        <v>15</v>
      </c>
      <c r="L68" s="625" cm="1">
        <f t="array" ref="L68">MAX(ABS(B63:C66))</f>
        <v>1.8232999999999999</v>
      </c>
      <c r="M68" s="607" cm="1">
        <f t="array" ref="M68">MAX(ABS(E63:F66))</f>
        <v>2.2206999999999999</v>
      </c>
      <c r="N68" s="607" cm="1">
        <f t="array" ref="N68">MAX(ABS(G63:H66))</f>
        <v>90.319299999999998</v>
      </c>
      <c r="O68" s="609"/>
      <c r="P68" s="606"/>
      <c r="Q68" s="606"/>
      <c r="R68" s="609"/>
      <c r="S68" s="609"/>
      <c r="T68" s="609"/>
      <c r="U68" s="609"/>
      <c r="V68" s="65"/>
    </row>
    <row r="69" spans="1:28" x14ac:dyDescent="0.25">
      <c r="A69" s="63">
        <v>16</v>
      </c>
      <c r="B69" s="609">
        <v>2.9214000000000002</v>
      </c>
      <c r="C69" s="609">
        <v>2.9214000000000002</v>
      </c>
      <c r="D69" s="609">
        <v>-6.7817999999999996</v>
      </c>
      <c r="E69" s="609">
        <v>-3.0323000000000002</v>
      </c>
      <c r="F69" s="609">
        <v>-3.0323000000000002</v>
      </c>
      <c r="G69" s="616">
        <v>-91.036900000000003</v>
      </c>
      <c r="H69" s="616">
        <v>-91.036900000000003</v>
      </c>
      <c r="I69" s="609"/>
      <c r="J69" s="606"/>
      <c r="K69" s="77" t="s">
        <v>16</v>
      </c>
      <c r="L69" s="625" cm="1">
        <f t="array" ref="L69">MAX(ABS(B87:C90))</f>
        <v>0.46970000000000001</v>
      </c>
      <c r="M69" s="607" cm="1">
        <f t="array" ref="M69">MAX(ABS(E87:F90))</f>
        <v>0.51139999999999997</v>
      </c>
      <c r="N69" s="607" cm="1">
        <f t="array" ref="N69">MAX(ABS(G87:H90))</f>
        <v>26.4876</v>
      </c>
      <c r="O69" s="609"/>
      <c r="P69" s="606"/>
      <c r="Q69" s="606"/>
      <c r="R69" s="609"/>
      <c r="S69" s="609"/>
      <c r="T69" s="609"/>
      <c r="U69" s="609"/>
      <c r="V69" s="65"/>
    </row>
    <row r="70" spans="1:28" x14ac:dyDescent="0.25">
      <c r="A70" s="63">
        <v>17</v>
      </c>
      <c r="B70" s="609">
        <v>-3.2831999999999999</v>
      </c>
      <c r="C70" s="609">
        <v>8.9544999999999995</v>
      </c>
      <c r="D70" s="609">
        <v>8.9544999999999995</v>
      </c>
      <c r="E70" s="609">
        <v>3.8243</v>
      </c>
      <c r="F70" s="609">
        <v>3.8243</v>
      </c>
      <c r="G70" s="616">
        <v>-71.944800000000001</v>
      </c>
      <c r="H70" s="616">
        <v>-71.944800000000001</v>
      </c>
      <c r="I70" s="609"/>
      <c r="J70" s="606"/>
      <c r="K70" s="609" t="s">
        <v>479</v>
      </c>
      <c r="L70" s="626"/>
      <c r="M70" s="626"/>
      <c r="N70" s="626"/>
      <c r="O70" s="609"/>
      <c r="P70" s="606"/>
      <c r="Q70" s="606"/>
      <c r="R70" s="609"/>
      <c r="S70" s="609"/>
      <c r="T70" s="609"/>
      <c r="U70" s="609"/>
      <c r="V70" s="65"/>
    </row>
    <row r="71" spans="1:28" x14ac:dyDescent="0.25">
      <c r="A71" s="63">
        <v>18</v>
      </c>
      <c r="B71" s="609">
        <v>11.731199999999999</v>
      </c>
      <c r="C71" s="609">
        <v>11.731199999999999</v>
      </c>
      <c r="D71" s="609">
        <v>-14.465</v>
      </c>
      <c r="E71" s="609">
        <v>-8.1862999999999992</v>
      </c>
      <c r="F71" s="609">
        <v>-8.1862999999999992</v>
      </c>
      <c r="G71" s="617">
        <v>-29.479800000000001</v>
      </c>
      <c r="H71" s="617">
        <v>-29.479800000000001</v>
      </c>
      <c r="I71" s="609"/>
      <c r="J71" s="606"/>
      <c r="K71" s="610"/>
      <c r="L71" s="624" t="s">
        <v>690</v>
      </c>
      <c r="M71" s="627" t="s">
        <v>691</v>
      </c>
      <c r="N71" s="627" t="s">
        <v>692</v>
      </c>
      <c r="O71" s="609"/>
      <c r="P71" s="606"/>
      <c r="Q71" s="606"/>
      <c r="R71" s="609"/>
      <c r="S71" s="609"/>
      <c r="T71" s="609"/>
      <c r="U71" s="609"/>
      <c r="V71" s="65"/>
    </row>
    <row r="72" spans="1:28" x14ac:dyDescent="0.25">
      <c r="A72" s="63">
        <v>19</v>
      </c>
      <c r="B72" s="609">
        <v>-8.5114000000000001</v>
      </c>
      <c r="C72" s="609">
        <v>10.0296</v>
      </c>
      <c r="D72" s="609">
        <v>10.0296</v>
      </c>
      <c r="E72" s="609">
        <v>5.7941000000000003</v>
      </c>
      <c r="F72" s="609">
        <v>5.7941000000000003</v>
      </c>
      <c r="G72" s="617">
        <v>-34.411099999999998</v>
      </c>
      <c r="H72" s="617">
        <v>-34.411099999999998</v>
      </c>
      <c r="I72" s="609"/>
      <c r="J72" s="606"/>
      <c r="K72" s="611"/>
      <c r="L72" s="625"/>
      <c r="M72" s="628"/>
      <c r="N72" s="628"/>
      <c r="O72" s="609"/>
      <c r="P72" s="606"/>
      <c r="Q72" s="606"/>
      <c r="R72" s="609"/>
      <c r="S72" s="609"/>
      <c r="T72" s="609"/>
      <c r="U72" s="609"/>
      <c r="V72" s="65"/>
    </row>
    <row r="73" spans="1:28" x14ac:dyDescent="0.25">
      <c r="A73" s="63">
        <v>20</v>
      </c>
      <c r="B73" s="609">
        <v>10.9552</v>
      </c>
      <c r="C73" s="609">
        <v>10.9552</v>
      </c>
      <c r="D73" s="609">
        <v>-11.3123</v>
      </c>
      <c r="E73" s="609">
        <v>-6.9585999999999997</v>
      </c>
      <c r="F73" s="609">
        <v>-6.9585999999999997</v>
      </c>
      <c r="G73" s="617">
        <v>-36.976999999999997</v>
      </c>
      <c r="H73" s="617">
        <v>-36.976999999999997</v>
      </c>
      <c r="I73" s="609"/>
      <c r="J73" s="606"/>
      <c r="K73" s="77" t="s">
        <v>15</v>
      </c>
      <c r="L73" s="625" cm="1">
        <f t="array" ref="L73">MAX(ABS(B67:C74))</f>
        <v>15.1427</v>
      </c>
      <c r="M73" s="625" cm="1">
        <f t="array" ref="M73">MAX(ABS(E67:F74))</f>
        <v>9.3508999999999993</v>
      </c>
      <c r="N73" s="625" cm="1">
        <f t="array" ref="N73">MAX(ABS(G67:H74))</f>
        <v>91.036900000000003</v>
      </c>
      <c r="O73" s="609"/>
      <c r="P73" s="606"/>
      <c r="Q73" s="606"/>
      <c r="R73" s="609"/>
      <c r="S73" s="609"/>
      <c r="T73" s="609"/>
      <c r="U73" s="609"/>
      <c r="V73" s="65"/>
    </row>
    <row r="74" spans="1:28" x14ac:dyDescent="0.25">
      <c r="A74" s="63">
        <v>21</v>
      </c>
      <c r="B74" s="609">
        <v>-14.78</v>
      </c>
      <c r="C74" s="609">
        <v>15.1427</v>
      </c>
      <c r="D74" s="609">
        <v>15.1427</v>
      </c>
      <c r="E74" s="609">
        <v>9.3508999999999993</v>
      </c>
      <c r="F74" s="609">
        <v>9.3508999999999993</v>
      </c>
      <c r="G74" s="617">
        <v>-29.7151</v>
      </c>
      <c r="H74" s="617">
        <v>-29.7151</v>
      </c>
      <c r="I74" s="609"/>
      <c r="J74" s="606"/>
      <c r="K74" s="77" t="s">
        <v>16</v>
      </c>
      <c r="L74" s="625" cm="1">
        <f t="array" ref="L74">MAX(ABS(B91:C98))</f>
        <v>6.6115000000000004</v>
      </c>
      <c r="M74" s="625" cm="1">
        <f t="array" ref="M74">MAX(ABS(E91:F98))</f>
        <v>3.4266999999999999</v>
      </c>
      <c r="N74" s="625" cm="1">
        <f t="array" ref="N74">MAX(ABS(G91:H98))</f>
        <v>25.9421</v>
      </c>
      <c r="O74" s="609"/>
      <c r="P74" s="606"/>
      <c r="Q74" s="606"/>
      <c r="R74" s="609"/>
      <c r="S74" s="609"/>
      <c r="T74" s="609"/>
      <c r="U74" s="609"/>
      <c r="V74" s="65"/>
    </row>
    <row r="75" spans="1:28" x14ac:dyDescent="0.25">
      <c r="A75" s="63"/>
      <c r="B75" s="609"/>
      <c r="C75" s="609"/>
      <c r="D75" s="609"/>
      <c r="E75" s="609"/>
      <c r="F75" s="609"/>
      <c r="G75" s="609"/>
      <c r="H75" s="609"/>
      <c r="I75" s="609"/>
      <c r="J75" s="609"/>
      <c r="L75" s="87"/>
      <c r="M75" s="87"/>
      <c r="N75" s="87"/>
      <c r="O75" s="609"/>
      <c r="P75" s="609"/>
      <c r="Q75" s="609"/>
      <c r="R75" s="609"/>
      <c r="S75" s="609"/>
      <c r="T75" s="609"/>
      <c r="U75" s="609"/>
      <c r="V75" s="65"/>
    </row>
    <row r="76" spans="1:28" x14ac:dyDescent="0.25">
      <c r="A76" s="112" t="s">
        <v>10</v>
      </c>
      <c r="B76" s="609"/>
      <c r="C76" s="609"/>
      <c r="D76" s="609"/>
      <c r="E76" s="609"/>
      <c r="F76" s="609"/>
      <c r="G76" s="609"/>
      <c r="H76" s="609"/>
      <c r="I76" s="609"/>
      <c r="J76" s="614"/>
      <c r="K76" s="609"/>
      <c r="L76" s="630" t="s">
        <v>696</v>
      </c>
      <c r="M76" s="626"/>
      <c r="N76" s="626"/>
      <c r="O76" s="609"/>
      <c r="P76" s="609"/>
      <c r="Q76" s="609"/>
      <c r="R76" s="609"/>
      <c r="S76" s="609"/>
      <c r="T76" s="609"/>
      <c r="U76" s="609"/>
      <c r="V76" s="65"/>
    </row>
    <row r="77" spans="1:28" ht="14.4" thickBot="1" x14ac:dyDescent="0.3">
      <c r="A77" s="63" t="s">
        <v>0</v>
      </c>
      <c r="B77" s="609" t="s">
        <v>1</v>
      </c>
      <c r="C77" s="609" t="s">
        <v>2</v>
      </c>
      <c r="D77" s="609" t="s">
        <v>3</v>
      </c>
      <c r="E77" s="609" t="s">
        <v>4</v>
      </c>
      <c r="F77" s="609" t="s">
        <v>5</v>
      </c>
      <c r="G77" s="609" t="s">
        <v>6</v>
      </c>
      <c r="H77" s="609" t="s">
        <v>7</v>
      </c>
      <c r="I77" s="609"/>
      <c r="J77" s="609"/>
      <c r="K77" s="609" t="s">
        <v>701</v>
      </c>
      <c r="L77" s="626"/>
      <c r="M77" s="626"/>
      <c r="N77" s="626"/>
      <c r="O77" s="609"/>
      <c r="P77" s="609"/>
      <c r="Q77" s="609"/>
      <c r="R77" s="609"/>
      <c r="S77" s="609"/>
      <c r="T77" s="609"/>
      <c r="U77" s="609"/>
      <c r="V77" s="65"/>
    </row>
    <row r="78" spans="1:28" x14ac:dyDescent="0.25">
      <c r="A78" s="300">
        <v>1</v>
      </c>
      <c r="B78" s="615">
        <v>-9.3299999999999994E-2</v>
      </c>
      <c r="C78" s="615">
        <v>0</v>
      </c>
      <c r="D78" s="615">
        <v>-0.10050000000000001</v>
      </c>
      <c r="E78" s="615">
        <v>-1.8E-3</v>
      </c>
      <c r="F78" s="615">
        <v>-1.8E-3</v>
      </c>
      <c r="G78" s="609">
        <v>1.0085999999999999</v>
      </c>
      <c r="H78" s="609">
        <v>1.0085999999999999</v>
      </c>
      <c r="I78" s="609"/>
      <c r="J78" s="609"/>
      <c r="K78" s="77"/>
      <c r="L78" s="607" t="s">
        <v>690</v>
      </c>
      <c r="M78" s="607" t="s">
        <v>691</v>
      </c>
      <c r="N78" s="607" t="s">
        <v>692</v>
      </c>
      <c r="O78" s="609"/>
      <c r="P78" s="609"/>
      <c r="Q78" s="609"/>
      <c r="R78" s="609"/>
      <c r="S78" s="609"/>
      <c r="T78" s="609"/>
      <c r="U78" s="609"/>
      <c r="V78" s="65"/>
      <c r="X78" s="631" t="s">
        <v>21</v>
      </c>
      <c r="Y78" s="71"/>
      <c r="Z78" s="71"/>
      <c r="AA78" s="71"/>
      <c r="AB78" s="71"/>
    </row>
    <row r="79" spans="1:28" x14ac:dyDescent="0.25">
      <c r="A79" s="300">
        <v>2</v>
      </c>
      <c r="B79" s="615">
        <v>-0.1903</v>
      </c>
      <c r="C79" s="615">
        <v>0.38919999999999999</v>
      </c>
      <c r="D79" s="615">
        <v>-7.1499999999999994E-2</v>
      </c>
      <c r="E79" s="615">
        <v>1.4843999999999999</v>
      </c>
      <c r="F79" s="615">
        <v>-0.41560000000000002</v>
      </c>
      <c r="G79" s="609">
        <v>-2.2700000000000001E-2</v>
      </c>
      <c r="H79" s="609">
        <v>-2.2700000000000001E-2</v>
      </c>
      <c r="I79" s="609"/>
      <c r="J79" s="609"/>
      <c r="K79" s="77" t="s">
        <v>15</v>
      </c>
      <c r="L79" s="607">
        <f>MAX(ABS(B63))</f>
        <v>0.74009999999999998</v>
      </c>
      <c r="M79" s="607" cm="1">
        <f t="array" ref="M79">MAX(ABS(E63:F63))</f>
        <v>1.6772</v>
      </c>
      <c r="N79" s="607" cm="1">
        <f t="array" ref="N79">MAX(ABS(G63:H63))</f>
        <v>59.7928</v>
      </c>
      <c r="O79" s="609"/>
      <c r="P79" s="609"/>
      <c r="Q79" s="609"/>
      <c r="R79" s="609"/>
      <c r="S79" s="609"/>
      <c r="T79" s="609"/>
      <c r="U79" s="609"/>
      <c r="V79" s="65"/>
      <c r="X79" s="112" t="s">
        <v>178</v>
      </c>
    </row>
    <row r="80" spans="1:28" x14ac:dyDescent="0.25">
      <c r="A80" s="300">
        <v>3</v>
      </c>
      <c r="B80" s="615">
        <v>-5.74E-2</v>
      </c>
      <c r="C80" s="615">
        <v>0</v>
      </c>
      <c r="D80" s="615">
        <v>-0.1235</v>
      </c>
      <c r="E80" s="615">
        <v>-1.6500000000000001E-2</v>
      </c>
      <c r="F80" s="615">
        <v>-1.6500000000000001E-2</v>
      </c>
      <c r="G80" s="609">
        <v>0.98560000000000003</v>
      </c>
      <c r="H80" s="609">
        <v>0.98560000000000003</v>
      </c>
      <c r="I80" s="609"/>
      <c r="J80" s="609"/>
      <c r="K80" s="77" t="s">
        <v>16</v>
      </c>
      <c r="L80" s="607">
        <f>MAX(ABS(B87))</f>
        <v>0.18909999999999999</v>
      </c>
      <c r="M80" s="607" cm="1">
        <f t="array" ref="M80">MAX(ABS(E87:F87))</f>
        <v>0.41470000000000001</v>
      </c>
      <c r="N80" s="607" cm="1">
        <f t="array" ref="N80">MAX(ABS(G87:H87))</f>
        <v>23.474299999999999</v>
      </c>
      <c r="O80" s="609"/>
      <c r="P80" s="609"/>
      <c r="Q80" s="609"/>
      <c r="R80" s="609"/>
      <c r="S80" s="609"/>
      <c r="T80" s="609"/>
      <c r="U80" s="609"/>
      <c r="V80" s="65"/>
      <c r="X80" s="63" t="s">
        <v>697</v>
      </c>
      <c r="Y80" s="62" t="s">
        <v>705</v>
      </c>
      <c r="Z80" s="62" t="s">
        <v>706</v>
      </c>
      <c r="AA80" s="62" t="s">
        <v>74</v>
      </c>
    </row>
    <row r="81" spans="1:28" x14ac:dyDescent="0.25">
      <c r="A81" s="369">
        <v>4</v>
      </c>
      <c r="B81" s="616">
        <v>-5.726</v>
      </c>
      <c r="C81" s="616">
        <v>3.7302</v>
      </c>
      <c r="D81" s="616">
        <v>-5.8135000000000003</v>
      </c>
      <c r="E81" s="616">
        <v>9.4780999999999995</v>
      </c>
      <c r="F81" s="616">
        <v>-9.5219000000000005</v>
      </c>
      <c r="G81" s="609">
        <v>2.8328000000000002</v>
      </c>
      <c r="H81" s="609">
        <v>2.8328000000000002</v>
      </c>
      <c r="I81" s="609"/>
      <c r="J81" s="609"/>
      <c r="K81" s="609" t="s">
        <v>702</v>
      </c>
      <c r="L81" s="626"/>
      <c r="M81" s="626"/>
      <c r="N81" s="626"/>
      <c r="O81" s="609"/>
      <c r="P81" s="609"/>
      <c r="Q81" s="609"/>
      <c r="R81" s="609"/>
      <c r="S81" s="609"/>
      <c r="T81" s="609"/>
      <c r="U81" s="609"/>
      <c r="V81" s="65"/>
      <c r="X81" s="63">
        <v>1</v>
      </c>
      <c r="Y81" s="62">
        <v>-1.6772</v>
      </c>
      <c r="Z81" s="62">
        <v>59.7928</v>
      </c>
      <c r="AA81" s="62">
        <v>0.74009999999999998</v>
      </c>
    </row>
    <row r="82" spans="1:28" x14ac:dyDescent="0.25">
      <c r="A82" s="369">
        <v>5</v>
      </c>
      <c r="B82" s="616">
        <v>-1.1016999999999999</v>
      </c>
      <c r="C82" s="616">
        <v>0</v>
      </c>
      <c r="D82" s="616">
        <v>-1.0690999999999999</v>
      </c>
      <c r="E82" s="618">
        <v>1.6299999999999999E-2</v>
      </c>
      <c r="F82" s="618">
        <v>1.6299999999999999E-2</v>
      </c>
      <c r="G82" s="609">
        <v>0.72519999999999996</v>
      </c>
      <c r="H82" s="609">
        <v>0.72519999999999996</v>
      </c>
      <c r="I82" s="609"/>
      <c r="J82" s="609"/>
      <c r="K82" s="77"/>
      <c r="L82" s="607" t="s">
        <v>690</v>
      </c>
      <c r="M82" s="607" t="s">
        <v>691</v>
      </c>
      <c r="N82" s="607" t="s">
        <v>692</v>
      </c>
      <c r="O82" s="609"/>
      <c r="P82" s="609"/>
      <c r="Q82" s="609"/>
      <c r="R82" s="609"/>
      <c r="S82" s="609"/>
      <c r="T82" s="609"/>
      <c r="U82" s="609"/>
      <c r="V82" s="65"/>
      <c r="X82" s="63">
        <v>2</v>
      </c>
      <c r="Y82" s="62">
        <v>1.3098000000000001</v>
      </c>
      <c r="Z82" s="62">
        <v>72.677700000000002</v>
      </c>
      <c r="AA82" s="62">
        <v>-0.64029999999999998</v>
      </c>
    </row>
    <row r="83" spans="1:28" x14ac:dyDescent="0.25">
      <c r="A83" s="369">
        <v>6</v>
      </c>
      <c r="B83" s="616">
        <v>-5.7953999999999999</v>
      </c>
      <c r="C83" s="616">
        <v>3.7326000000000001</v>
      </c>
      <c r="D83" s="616">
        <v>-5.7393999999999998</v>
      </c>
      <c r="E83" s="616">
        <v>9.5139999999999993</v>
      </c>
      <c r="F83" s="616">
        <v>-9.4860000000000007</v>
      </c>
      <c r="G83" s="609">
        <v>2.8195999999999999</v>
      </c>
      <c r="H83" s="609">
        <v>2.8195999999999999</v>
      </c>
      <c r="I83" s="609"/>
      <c r="J83" s="609"/>
      <c r="K83" s="77" t="s">
        <v>15</v>
      </c>
      <c r="L83" s="607">
        <f>MAX(ABS(B64))</f>
        <v>0.64029999999999998</v>
      </c>
      <c r="M83" s="607" cm="1">
        <f t="array" ref="M83">MAX(ABS(E64:F64))</f>
        <v>1.3098000000000001</v>
      </c>
      <c r="N83" s="607" cm="1">
        <f t="array" ref="N83">MAX(ABS(G64:H64))</f>
        <v>72.677700000000002</v>
      </c>
      <c r="O83" s="609"/>
      <c r="P83" s="609"/>
      <c r="Q83" s="609"/>
      <c r="R83" s="609"/>
      <c r="S83" s="609"/>
      <c r="T83" s="609"/>
      <c r="U83" s="609"/>
      <c r="V83" s="65"/>
      <c r="X83" s="63">
        <v>3</v>
      </c>
      <c r="Y83" s="62">
        <v>-1.8532999999999999</v>
      </c>
      <c r="Z83" s="62">
        <v>90.319299999999998</v>
      </c>
      <c r="AA83" s="62">
        <v>0.95669999999999999</v>
      </c>
    </row>
    <row r="84" spans="1:28" x14ac:dyDescent="0.25">
      <c r="A84" s="363">
        <v>7</v>
      </c>
      <c r="B84" s="617">
        <v>-6.6138000000000003</v>
      </c>
      <c r="C84" s="617">
        <v>6.8822000000000001</v>
      </c>
      <c r="D84" s="617">
        <v>-8.6217000000000006</v>
      </c>
      <c r="E84" s="617">
        <v>13.997999999999999</v>
      </c>
      <c r="F84" s="617">
        <v>-15.002000000000001</v>
      </c>
      <c r="G84" s="609">
        <v>-3.4266999999999999</v>
      </c>
      <c r="H84" s="609">
        <v>-3.4266999999999999</v>
      </c>
      <c r="I84" s="609"/>
      <c r="J84" s="609"/>
      <c r="K84" s="77" t="s">
        <v>16</v>
      </c>
      <c r="L84" s="607">
        <f>MAX(ABS(B88))</f>
        <v>0.24709999999999999</v>
      </c>
      <c r="M84" s="607" cm="1">
        <f t="array" ref="M84">MAX(ABS(E88:F88))</f>
        <v>0.51139999999999997</v>
      </c>
      <c r="N84" s="607" cm="1">
        <f t="array" ref="N84">MAX(ABS(G88:H88))</f>
        <v>26.4876</v>
      </c>
      <c r="P84" s="609"/>
      <c r="Q84" s="609"/>
      <c r="R84" s="609"/>
      <c r="S84" s="609"/>
      <c r="T84" s="609"/>
      <c r="U84" s="609"/>
      <c r="V84" s="65"/>
      <c r="X84" s="63">
        <v>4</v>
      </c>
      <c r="Y84" s="62">
        <v>2.2206999999999999</v>
      </c>
      <c r="Z84" s="62">
        <v>72.159300000000002</v>
      </c>
      <c r="AA84" s="62">
        <v>-0.91910000000000003</v>
      </c>
    </row>
    <row r="85" spans="1:28" x14ac:dyDescent="0.25">
      <c r="A85" s="363">
        <v>8</v>
      </c>
      <c r="B85" s="617">
        <v>-3.6922000000000001</v>
      </c>
      <c r="C85" s="617">
        <v>0</v>
      </c>
      <c r="D85" s="617">
        <v>-3.7198000000000002</v>
      </c>
      <c r="E85" s="617">
        <v>0.4612</v>
      </c>
      <c r="F85" s="617">
        <v>-1.4388000000000001</v>
      </c>
      <c r="G85" s="609">
        <v>-0.79920000000000002</v>
      </c>
      <c r="H85" s="609">
        <v>-0.79920000000000002</v>
      </c>
      <c r="I85" s="609"/>
      <c r="J85" s="609"/>
      <c r="K85" s="62" t="s">
        <v>703</v>
      </c>
      <c r="L85" s="87"/>
      <c r="M85" s="87"/>
      <c r="N85" s="87"/>
      <c r="P85" s="609"/>
      <c r="Q85" s="609"/>
      <c r="R85" s="609"/>
      <c r="S85" s="609"/>
      <c r="T85" s="609"/>
      <c r="U85" s="609"/>
      <c r="V85" s="65"/>
      <c r="X85" s="112" t="s">
        <v>183</v>
      </c>
    </row>
    <row r="86" spans="1:28" x14ac:dyDescent="0.25">
      <c r="A86" s="363">
        <v>9</v>
      </c>
      <c r="B86" s="617">
        <v>-8.6336999999999993</v>
      </c>
      <c r="C86" s="617">
        <v>6.8773999999999997</v>
      </c>
      <c r="D86" s="617">
        <v>-6.6115000000000004</v>
      </c>
      <c r="E86" s="617">
        <v>15.005599999999999</v>
      </c>
      <c r="F86" s="617">
        <v>-13.994400000000001</v>
      </c>
      <c r="G86" s="609">
        <v>-3.4239000000000002</v>
      </c>
      <c r="H86" s="609">
        <v>-3.4239000000000002</v>
      </c>
      <c r="I86" s="609"/>
      <c r="J86" s="609"/>
      <c r="K86" s="77"/>
      <c r="L86" s="607" t="s">
        <v>690</v>
      </c>
      <c r="M86" s="607" t="s">
        <v>691</v>
      </c>
      <c r="N86" s="607" t="s">
        <v>692</v>
      </c>
      <c r="P86" s="609"/>
      <c r="Q86" s="609"/>
      <c r="R86" s="609"/>
      <c r="S86" s="609"/>
      <c r="T86" s="609"/>
      <c r="U86" s="609"/>
      <c r="V86" s="65"/>
      <c r="X86" s="63" t="s">
        <v>697</v>
      </c>
      <c r="Y86" s="62" t="s">
        <v>698</v>
      </c>
      <c r="Z86" s="62" t="s">
        <v>699</v>
      </c>
      <c r="AA86" s="62" t="s">
        <v>700</v>
      </c>
    </row>
    <row r="87" spans="1:28" x14ac:dyDescent="0.25">
      <c r="A87" s="63">
        <v>10</v>
      </c>
      <c r="B87" s="609">
        <v>-0.18909999999999999</v>
      </c>
      <c r="C87" s="609">
        <v>0.433</v>
      </c>
      <c r="D87" s="609">
        <v>0.433</v>
      </c>
      <c r="E87" s="609">
        <v>0.41470000000000001</v>
      </c>
      <c r="F87" s="609">
        <v>0.41470000000000001</v>
      </c>
      <c r="G87" s="615">
        <v>-23.474299999999999</v>
      </c>
      <c r="H87" s="615">
        <v>-23.474299999999999</v>
      </c>
      <c r="I87" s="609"/>
      <c r="J87" s="609"/>
      <c r="K87" s="77" t="s">
        <v>15</v>
      </c>
      <c r="L87" s="607">
        <f>MAX(ABS(B65))</f>
        <v>0.95669999999999999</v>
      </c>
      <c r="M87" s="607" cm="1">
        <f t="array" ref="M87">MAX(ABS(E65:F65))</f>
        <v>1.8532999999999999</v>
      </c>
      <c r="N87" s="607" cm="1">
        <f t="array" ref="N87">MAX(ABS(G65:H65))</f>
        <v>90.319299999999998</v>
      </c>
      <c r="P87" s="609"/>
      <c r="Q87" s="609"/>
      <c r="R87" s="609"/>
      <c r="S87" s="609"/>
      <c r="T87" s="609"/>
      <c r="U87" s="609"/>
      <c r="V87" s="65"/>
      <c r="X87" s="63">
        <v>1</v>
      </c>
      <c r="Y87" s="62">
        <v>-0.41470000000000001</v>
      </c>
      <c r="Z87" s="62">
        <v>23.474299999999999</v>
      </c>
      <c r="AA87" s="62">
        <v>0.18909999999999999</v>
      </c>
    </row>
    <row r="88" spans="1:28" x14ac:dyDescent="0.25">
      <c r="A88" s="63">
        <v>11</v>
      </c>
      <c r="B88" s="609">
        <v>0.24709999999999999</v>
      </c>
      <c r="C88" s="609">
        <v>0.24709999999999999</v>
      </c>
      <c r="D88" s="609">
        <v>-0.52</v>
      </c>
      <c r="E88" s="609">
        <v>-0.51139999999999997</v>
      </c>
      <c r="F88" s="609">
        <v>-0.51139999999999997</v>
      </c>
      <c r="G88" s="615">
        <v>-26.4876</v>
      </c>
      <c r="H88" s="615">
        <v>-26.4876</v>
      </c>
      <c r="I88" s="609"/>
      <c r="J88" s="609"/>
      <c r="K88" s="77" t="s">
        <v>16</v>
      </c>
      <c r="L88" s="607">
        <f>MAX(ABS(B89))</f>
        <v>0.24729999999999999</v>
      </c>
      <c r="M88" s="607" cm="1">
        <f t="array" ref="M88">MAX(ABS(E89:F89))</f>
        <v>0.47799999999999998</v>
      </c>
      <c r="N88" s="607" cm="1">
        <f t="array" ref="N88">MAX(ABS(G90:H90))</f>
        <v>23.497</v>
      </c>
      <c r="P88" s="609"/>
      <c r="Q88" s="609"/>
      <c r="R88" s="609"/>
      <c r="S88" s="609"/>
      <c r="T88" s="609"/>
      <c r="U88" s="609"/>
      <c r="V88" s="65"/>
      <c r="X88" s="63">
        <v>2</v>
      </c>
      <c r="Y88" s="62">
        <v>0.51139999999999997</v>
      </c>
      <c r="Z88" s="62">
        <v>26.4876</v>
      </c>
      <c r="AA88" s="62">
        <v>-0.24709999999999999</v>
      </c>
    </row>
    <row r="89" spans="1:28" x14ac:dyDescent="0.25">
      <c r="A89" s="63">
        <v>12</v>
      </c>
      <c r="B89" s="609">
        <v>-0.24729999999999999</v>
      </c>
      <c r="C89" s="609">
        <v>0.46970000000000001</v>
      </c>
      <c r="D89" s="609">
        <v>0.46970000000000001</v>
      </c>
      <c r="E89" s="609">
        <v>0.47799999999999998</v>
      </c>
      <c r="F89" s="609">
        <v>0.47799999999999998</v>
      </c>
      <c r="G89" s="615">
        <v>-26.341100000000001</v>
      </c>
      <c r="H89" s="615">
        <v>-26.341100000000001</v>
      </c>
      <c r="I89" s="609"/>
      <c r="J89" s="609"/>
      <c r="K89" s="609" t="s">
        <v>704</v>
      </c>
      <c r="L89" s="629"/>
      <c r="M89" s="629"/>
      <c r="N89" s="626"/>
      <c r="P89" s="609"/>
      <c r="Q89" s="609"/>
      <c r="R89" s="609"/>
      <c r="S89" s="609"/>
      <c r="T89" s="609"/>
      <c r="U89" s="609"/>
      <c r="V89" s="65"/>
      <c r="X89" s="63">
        <v>3</v>
      </c>
      <c r="Y89" s="62">
        <v>-0.47799999999999998</v>
      </c>
      <c r="Z89" s="62">
        <v>26.341100000000001</v>
      </c>
      <c r="AA89" s="62">
        <v>0.24729999999999999</v>
      </c>
    </row>
    <row r="90" spans="1:28" x14ac:dyDescent="0.25">
      <c r="A90" s="63">
        <v>13</v>
      </c>
      <c r="B90" s="609">
        <v>0.15609999999999999</v>
      </c>
      <c r="C90" s="609">
        <v>0.15609999999999999</v>
      </c>
      <c r="D90" s="609">
        <v>-0.41589999999999999</v>
      </c>
      <c r="E90" s="609">
        <v>-0.38129999999999997</v>
      </c>
      <c r="F90" s="609">
        <v>-0.38129999999999997</v>
      </c>
      <c r="G90" s="615">
        <v>-23.497</v>
      </c>
      <c r="H90" s="615">
        <v>-23.497</v>
      </c>
      <c r="I90" s="609"/>
      <c r="J90" s="609"/>
      <c r="K90" s="77"/>
      <c r="L90" s="607" t="s">
        <v>690</v>
      </c>
      <c r="M90" s="607" t="s">
        <v>691</v>
      </c>
      <c r="N90" s="607" t="s">
        <v>692</v>
      </c>
      <c r="P90" s="609"/>
      <c r="Q90" s="609"/>
      <c r="R90" s="609"/>
      <c r="S90" s="609"/>
      <c r="T90" s="609"/>
      <c r="U90" s="609"/>
      <c r="V90" s="65"/>
      <c r="X90" s="63">
        <v>4</v>
      </c>
      <c r="Y90" s="62">
        <v>0.38129999999999997</v>
      </c>
      <c r="Z90" s="62">
        <v>23.497</v>
      </c>
      <c r="AA90" s="62">
        <v>-0.15609999999999999</v>
      </c>
    </row>
    <row r="91" spans="1:28" ht="14.4" thickBot="1" x14ac:dyDescent="0.3">
      <c r="A91" s="63">
        <v>14</v>
      </c>
      <c r="B91" s="609">
        <v>0.52629999999999999</v>
      </c>
      <c r="C91" s="609">
        <v>0.52629999999999999</v>
      </c>
      <c r="D91" s="609">
        <v>-1.3743000000000001</v>
      </c>
      <c r="E91" s="609">
        <v>-0.59389999999999998</v>
      </c>
      <c r="F91" s="609">
        <v>-0.59389999999999998</v>
      </c>
      <c r="G91" s="616">
        <v>-23.476099999999999</v>
      </c>
      <c r="H91" s="616">
        <v>-23.476099999999999</v>
      </c>
      <c r="I91" s="609"/>
      <c r="J91" s="614"/>
      <c r="K91" s="77" t="s">
        <v>15</v>
      </c>
      <c r="L91" s="607">
        <f>MAX(ABS(B66))</f>
        <v>0.91910000000000003</v>
      </c>
      <c r="M91" s="607" cm="1">
        <f t="array" ref="M91">MAX(ABS(E66:F66))</f>
        <v>2.2206999999999999</v>
      </c>
      <c r="N91" s="607" cm="1">
        <f t="array" ref="N91">MAX(ABS(G66:H66))</f>
        <v>72.159300000000002</v>
      </c>
      <c r="P91" s="609"/>
      <c r="Q91" s="609"/>
      <c r="R91" s="609"/>
      <c r="S91" s="609"/>
      <c r="T91" s="609"/>
      <c r="U91" s="609"/>
      <c r="V91" s="65"/>
      <c r="X91" s="76"/>
      <c r="Y91" s="78"/>
      <c r="Z91" s="78"/>
      <c r="AA91" s="78"/>
      <c r="AB91" s="78"/>
    </row>
    <row r="92" spans="1:28" x14ac:dyDescent="0.25">
      <c r="A92" s="63">
        <v>15</v>
      </c>
      <c r="B92" s="609">
        <v>-0.43020000000000003</v>
      </c>
      <c r="C92" s="609">
        <v>1.2334000000000001</v>
      </c>
      <c r="D92" s="609">
        <v>1.2334000000000001</v>
      </c>
      <c r="E92" s="609">
        <v>0.51990000000000003</v>
      </c>
      <c r="F92" s="609">
        <v>0.51990000000000003</v>
      </c>
      <c r="G92" s="616">
        <v>-25.0014</v>
      </c>
      <c r="H92" s="616">
        <v>-25.0014</v>
      </c>
      <c r="I92" s="609"/>
      <c r="J92" s="609"/>
      <c r="K92" s="77" t="s">
        <v>16</v>
      </c>
      <c r="L92" s="607">
        <f>MAX(ABS(B90))</f>
        <v>0.15609999999999999</v>
      </c>
      <c r="M92" s="607" cm="1">
        <f t="array" ref="M92">MAX(ABS(E90:F90))</f>
        <v>0.38129999999999997</v>
      </c>
      <c r="N92" s="607" cm="1">
        <f t="array" ref="N92">MAX(ABS(G90:H90))</f>
        <v>23.497</v>
      </c>
      <c r="P92" s="609"/>
      <c r="Q92" s="609"/>
      <c r="R92" s="609"/>
      <c r="S92" s="609"/>
      <c r="T92" s="609"/>
      <c r="U92" s="609"/>
      <c r="V92" s="65"/>
    </row>
    <row r="93" spans="1:28" x14ac:dyDescent="0.25">
      <c r="A93" s="63">
        <v>16</v>
      </c>
      <c r="B93" s="609">
        <v>0.4556</v>
      </c>
      <c r="C93" s="609">
        <v>0.4556</v>
      </c>
      <c r="D93" s="609">
        <v>-1.2413000000000001</v>
      </c>
      <c r="E93" s="609">
        <v>-0.53029999999999999</v>
      </c>
      <c r="F93" s="609">
        <v>-0.53029999999999999</v>
      </c>
      <c r="G93" s="616">
        <v>-25.9421</v>
      </c>
      <c r="H93" s="616">
        <v>-25.9421</v>
      </c>
      <c r="I93" s="609"/>
      <c r="J93" s="609"/>
      <c r="P93" s="609"/>
      <c r="Q93" s="609"/>
      <c r="R93" s="609"/>
      <c r="S93" s="609"/>
      <c r="T93" s="609"/>
      <c r="U93" s="609"/>
      <c r="V93" s="65"/>
    </row>
    <row r="94" spans="1:28" x14ac:dyDescent="0.25">
      <c r="A94" s="63">
        <v>17</v>
      </c>
      <c r="B94" s="609">
        <v>-0.53939999999999999</v>
      </c>
      <c r="C94" s="609">
        <v>1.3945000000000001</v>
      </c>
      <c r="D94" s="609">
        <v>1.3945000000000001</v>
      </c>
      <c r="E94" s="609">
        <v>0.60429999999999995</v>
      </c>
      <c r="F94" s="609">
        <v>0.60429999999999995</v>
      </c>
      <c r="G94" s="616">
        <v>-23.480399999999999</v>
      </c>
      <c r="H94" s="616">
        <v>-23.480399999999999</v>
      </c>
      <c r="I94" s="609"/>
      <c r="J94" s="609"/>
      <c r="P94" s="609"/>
      <c r="Q94" s="609"/>
      <c r="R94" s="609"/>
      <c r="S94" s="609"/>
      <c r="T94" s="609"/>
      <c r="U94" s="615"/>
      <c r="V94" s="65" t="s">
        <v>369</v>
      </c>
    </row>
    <row r="95" spans="1:28" x14ac:dyDescent="0.25">
      <c r="A95" s="63">
        <v>18</v>
      </c>
      <c r="B95" s="609">
        <v>4.3516000000000004</v>
      </c>
      <c r="C95" s="609">
        <v>4.3516000000000004</v>
      </c>
      <c r="D95" s="609">
        <v>-6.6138000000000003</v>
      </c>
      <c r="E95" s="609">
        <v>-3.4266999999999999</v>
      </c>
      <c r="F95" s="609">
        <v>-3.4266999999999999</v>
      </c>
      <c r="G95" s="617">
        <v>-13.997999999999999</v>
      </c>
      <c r="H95" s="617">
        <v>-13.997999999999999</v>
      </c>
      <c r="I95" s="609"/>
      <c r="J95" s="614"/>
      <c r="P95" s="609"/>
      <c r="Q95" s="609"/>
      <c r="R95" s="609"/>
      <c r="S95" s="609"/>
      <c r="T95" s="609"/>
      <c r="U95" s="619"/>
      <c r="V95" s="65" t="s">
        <v>358</v>
      </c>
    </row>
    <row r="96" spans="1:28" x14ac:dyDescent="0.25">
      <c r="A96" s="63">
        <v>19</v>
      </c>
      <c r="B96" s="609">
        <v>-3.4784999999999999</v>
      </c>
      <c r="C96" s="609">
        <v>4.9295</v>
      </c>
      <c r="D96" s="609">
        <v>4.9295</v>
      </c>
      <c r="E96" s="609">
        <v>2.6274999999999999</v>
      </c>
      <c r="F96" s="609">
        <v>2.6274999999999999</v>
      </c>
      <c r="G96" s="617">
        <v>-15.463200000000001</v>
      </c>
      <c r="H96" s="617">
        <v>-15.463200000000001</v>
      </c>
      <c r="I96" s="609"/>
      <c r="J96" s="609"/>
      <c r="O96" s="609"/>
      <c r="P96" s="609"/>
      <c r="Q96" s="609"/>
      <c r="R96" s="609"/>
      <c r="S96" s="609"/>
      <c r="T96" s="609"/>
      <c r="U96" s="617"/>
      <c r="V96" s="65" t="s">
        <v>363</v>
      </c>
    </row>
    <row r="97" spans="1:23" x14ac:dyDescent="0.25">
      <c r="A97" s="63">
        <v>20</v>
      </c>
      <c r="B97" s="609">
        <v>3.4849999999999999</v>
      </c>
      <c r="C97" s="609">
        <v>3.4849999999999999</v>
      </c>
      <c r="D97" s="609">
        <v>-4.9138999999999999</v>
      </c>
      <c r="E97" s="609">
        <v>-2.6246999999999998</v>
      </c>
      <c r="F97" s="609">
        <v>-2.6246999999999998</v>
      </c>
      <c r="G97" s="617">
        <v>-16.444400000000002</v>
      </c>
      <c r="H97" s="617">
        <v>-16.444400000000002</v>
      </c>
      <c r="I97" s="609"/>
      <c r="J97" s="609"/>
      <c r="O97" s="609"/>
      <c r="P97" s="609"/>
      <c r="Q97" s="609"/>
      <c r="R97" s="609"/>
      <c r="S97" s="609"/>
      <c r="T97" s="609"/>
      <c r="U97" s="609"/>
      <c r="V97" s="65"/>
    </row>
    <row r="98" spans="1:23" ht="14.4" thickBot="1" x14ac:dyDescent="0.3">
      <c r="A98" s="76">
        <v>21</v>
      </c>
      <c r="B98" s="78">
        <v>-4.3449999999999998</v>
      </c>
      <c r="C98" s="78">
        <v>6.6115000000000004</v>
      </c>
      <c r="D98" s="78">
        <v>6.6115000000000004</v>
      </c>
      <c r="E98" s="78">
        <v>3.4239000000000002</v>
      </c>
      <c r="F98" s="78">
        <v>3.4239000000000002</v>
      </c>
      <c r="G98" s="371">
        <v>-13.994400000000001</v>
      </c>
      <c r="H98" s="371">
        <v>-13.994400000000001</v>
      </c>
      <c r="I98" s="78"/>
      <c r="J98" s="78"/>
      <c r="O98" s="78"/>
      <c r="P98" s="78"/>
      <c r="Q98" s="78"/>
      <c r="R98" s="78"/>
      <c r="S98" s="78"/>
      <c r="T98" s="78"/>
      <c r="U98" s="78"/>
      <c r="V98" s="79"/>
    </row>
    <row r="100" spans="1:23" ht="14.4" thickBot="1" x14ac:dyDescent="0.3"/>
    <row r="101" spans="1:23" ht="19.95" customHeight="1" x14ac:dyDescent="0.3">
      <c r="A101" s="432" t="s">
        <v>22</v>
      </c>
      <c r="B101" s="433"/>
      <c r="C101" s="433"/>
      <c r="D101" s="433"/>
      <c r="E101" s="433"/>
      <c r="F101" s="433"/>
      <c r="G101" s="433"/>
      <c r="H101" s="433"/>
      <c r="I101" s="433"/>
      <c r="J101" s="433"/>
      <c r="K101" s="433"/>
      <c r="L101" s="433"/>
      <c r="M101" s="433"/>
      <c r="N101" s="433"/>
      <c r="O101" s="433"/>
      <c r="P101" s="433"/>
      <c r="Q101" s="433"/>
      <c r="R101" s="433"/>
      <c r="S101" s="433"/>
      <c r="T101" s="433"/>
      <c r="U101" s="433"/>
      <c r="V101" s="434"/>
    </row>
    <row r="102" spans="1:23" x14ac:dyDescent="0.25">
      <c r="A102" s="112" t="s">
        <v>9</v>
      </c>
      <c r="B102" s="609"/>
      <c r="C102" s="609"/>
      <c r="D102" s="609"/>
      <c r="E102" s="609"/>
      <c r="F102" s="609"/>
      <c r="G102" s="609"/>
      <c r="H102" s="609"/>
      <c r="I102" s="609"/>
      <c r="J102" s="614"/>
      <c r="K102" s="609"/>
      <c r="L102" s="614" t="s">
        <v>689</v>
      </c>
      <c r="M102" s="609"/>
      <c r="N102" s="609"/>
      <c r="O102" s="609"/>
      <c r="P102" s="609"/>
      <c r="Q102" s="609"/>
      <c r="R102" s="609"/>
      <c r="S102" s="609"/>
      <c r="T102" s="609"/>
      <c r="U102" s="609"/>
      <c r="V102" s="65"/>
      <c r="W102" s="92"/>
    </row>
    <row r="103" spans="1:23" x14ac:dyDescent="0.25">
      <c r="A103" s="63" t="s">
        <v>0</v>
      </c>
      <c r="B103" s="609" t="s">
        <v>1</v>
      </c>
      <c r="C103" s="609" t="s">
        <v>2</v>
      </c>
      <c r="D103" s="609" t="s">
        <v>3</v>
      </c>
      <c r="E103" s="609" t="s">
        <v>4</v>
      </c>
      <c r="F103" s="609" t="s">
        <v>5</v>
      </c>
      <c r="G103" s="609" t="s">
        <v>6</v>
      </c>
      <c r="H103" s="609" t="s">
        <v>7</v>
      </c>
      <c r="I103" s="609"/>
      <c r="J103" s="609"/>
      <c r="K103" s="609" t="s">
        <v>478</v>
      </c>
      <c r="L103" s="609"/>
      <c r="M103" s="609"/>
      <c r="N103" s="609"/>
      <c r="O103" s="609"/>
      <c r="P103" s="609"/>
      <c r="Q103" s="609"/>
      <c r="R103" s="609"/>
      <c r="S103" s="609"/>
      <c r="T103" s="609"/>
      <c r="U103" s="609"/>
      <c r="V103" s="65"/>
    </row>
    <row r="104" spans="1:23" x14ac:dyDescent="0.25">
      <c r="A104" s="63">
        <v>1</v>
      </c>
      <c r="B104" s="615">
        <v>-11.5837</v>
      </c>
      <c r="C104" s="615">
        <v>6.9770000000000003</v>
      </c>
      <c r="D104" s="615">
        <v>-12.0943</v>
      </c>
      <c r="E104" s="615">
        <v>18.688300000000002</v>
      </c>
      <c r="F104" s="615">
        <v>-18.9437</v>
      </c>
      <c r="G104" s="609">
        <v>0.95589999999999997</v>
      </c>
      <c r="H104" s="609">
        <v>0.95589999999999997</v>
      </c>
      <c r="I104" s="609"/>
      <c r="J104" s="606"/>
      <c r="K104" s="613"/>
      <c r="L104" s="608" t="s">
        <v>690</v>
      </c>
      <c r="M104" s="623"/>
      <c r="N104" s="624" t="s">
        <v>691</v>
      </c>
      <c r="O104" s="627" t="s">
        <v>692</v>
      </c>
      <c r="P104" s="606"/>
      <c r="Q104" s="606"/>
      <c r="R104" s="609"/>
      <c r="S104" s="609"/>
      <c r="T104" s="609"/>
      <c r="U104" s="609"/>
      <c r="V104" s="65"/>
    </row>
    <row r="105" spans="1:23" x14ac:dyDescent="0.25">
      <c r="A105" s="63">
        <v>2</v>
      </c>
      <c r="B105" s="615">
        <v>-4.2690999999999999</v>
      </c>
      <c r="C105" s="615">
        <v>0.43490000000000001</v>
      </c>
      <c r="D105" s="615">
        <v>-4.2690999999999999</v>
      </c>
      <c r="E105" s="615">
        <v>9.4079999999999995</v>
      </c>
      <c r="F105" s="615">
        <v>-9.4079999999999995</v>
      </c>
      <c r="G105" s="609">
        <v>0.13020000000000001</v>
      </c>
      <c r="H105" s="609">
        <v>0.13020000000000001</v>
      </c>
      <c r="I105" s="609"/>
      <c r="J105" s="606"/>
      <c r="K105" s="81"/>
      <c r="L105" s="607" t="s">
        <v>693</v>
      </c>
      <c r="M105" s="608" t="s">
        <v>694</v>
      </c>
      <c r="N105" s="625"/>
      <c r="O105" s="612"/>
      <c r="P105" s="606"/>
      <c r="Q105" s="606"/>
      <c r="R105" s="609"/>
      <c r="S105" s="609"/>
      <c r="T105" s="609"/>
      <c r="U105" s="609"/>
      <c r="V105" s="65"/>
    </row>
    <row r="106" spans="1:23" x14ac:dyDescent="0.25">
      <c r="A106" s="63">
        <v>3</v>
      </c>
      <c r="B106" s="615">
        <v>-12.0943</v>
      </c>
      <c r="C106" s="615">
        <v>6.9770000000000003</v>
      </c>
      <c r="D106" s="615">
        <v>-11.5837</v>
      </c>
      <c r="E106" s="615">
        <v>18.9437</v>
      </c>
      <c r="F106" s="615">
        <v>-18.688300000000002</v>
      </c>
      <c r="G106" s="609">
        <v>0.95589999999999997</v>
      </c>
      <c r="H106" s="609">
        <v>0.95589999999999997</v>
      </c>
      <c r="I106" s="609"/>
      <c r="J106" s="606"/>
      <c r="K106" s="77" t="s">
        <v>15</v>
      </c>
      <c r="L106" s="607">
        <f>MIN(B104:B106)</f>
        <v>-12.0943</v>
      </c>
      <c r="M106" s="607">
        <f>MAX(C104:C106)</f>
        <v>6.9770000000000003</v>
      </c>
      <c r="N106" s="607" cm="1">
        <f t="array" ref="N106">MAX(ABS(E104:F106))</f>
        <v>18.9437</v>
      </c>
      <c r="O106" s="77" cm="1">
        <f t="array" ref="O106">MAX(ABS(H113:H116))</f>
        <v>135.2216</v>
      </c>
      <c r="P106" s="606"/>
      <c r="Q106" s="606"/>
      <c r="R106" s="609"/>
      <c r="S106" s="609"/>
      <c r="T106" s="609"/>
      <c r="U106" s="609"/>
      <c r="V106" s="65"/>
    </row>
    <row r="107" spans="1:23" x14ac:dyDescent="0.25">
      <c r="A107" s="63">
        <v>4</v>
      </c>
      <c r="B107" s="616">
        <v>-26.228400000000001</v>
      </c>
      <c r="C107" s="616">
        <v>18.703800000000001</v>
      </c>
      <c r="D107" s="616">
        <v>-28.844000000000001</v>
      </c>
      <c r="E107" s="616">
        <v>45.586100000000002</v>
      </c>
      <c r="F107" s="616">
        <v>-46.893900000000002</v>
      </c>
      <c r="G107" s="609">
        <v>4.4779999999999998</v>
      </c>
      <c r="H107" s="609">
        <v>4.4779999999999998</v>
      </c>
      <c r="I107" s="609"/>
      <c r="J107" s="606"/>
      <c r="K107" s="77" t="s">
        <v>16</v>
      </c>
      <c r="L107" s="607">
        <f>MIN(B128:B130)</f>
        <v>-0.33810000000000001</v>
      </c>
      <c r="M107" s="607">
        <f>MAX(C128:C130)</f>
        <v>0.32300000000000001</v>
      </c>
      <c r="N107" s="607" cm="1">
        <f t="array" ref="N107">MAX(ABS(E128:F130))</f>
        <v>6.6500000000000004E-2</v>
      </c>
      <c r="O107" s="77" cm="1">
        <f t="array" ref="O107">MAX(ABS(H137:H140))</f>
        <v>23.896599999999999</v>
      </c>
      <c r="P107" s="606"/>
      <c r="Q107" s="606"/>
      <c r="R107" s="609"/>
      <c r="S107" s="609"/>
      <c r="T107" s="609"/>
      <c r="U107" s="609"/>
      <c r="V107" s="65"/>
    </row>
    <row r="108" spans="1:23" x14ac:dyDescent="0.25">
      <c r="A108" s="63">
        <v>5</v>
      </c>
      <c r="B108" s="616">
        <v>-10.6004</v>
      </c>
      <c r="C108" s="616">
        <v>0</v>
      </c>
      <c r="D108" s="616">
        <v>-10.6004</v>
      </c>
      <c r="E108" s="616">
        <v>15.502000000000001</v>
      </c>
      <c r="F108" s="616">
        <v>-15.502000000000001</v>
      </c>
      <c r="G108" s="609">
        <v>1.4335</v>
      </c>
      <c r="H108" s="609">
        <v>1.4335</v>
      </c>
      <c r="I108" s="609"/>
      <c r="J108" s="606"/>
      <c r="K108" s="609" t="s">
        <v>479</v>
      </c>
      <c r="L108" s="626"/>
      <c r="M108" s="626"/>
      <c r="N108" s="626"/>
      <c r="O108" s="609"/>
      <c r="P108" s="606"/>
      <c r="Q108" s="606"/>
      <c r="R108" s="609"/>
      <c r="S108" s="609"/>
      <c r="T108" s="609"/>
      <c r="U108" s="609"/>
      <c r="V108" s="65"/>
    </row>
    <row r="109" spans="1:23" x14ac:dyDescent="0.25">
      <c r="A109" s="63">
        <v>6</v>
      </c>
      <c r="B109" s="616">
        <v>-28.844000000000001</v>
      </c>
      <c r="C109" s="616">
        <v>18.703800000000001</v>
      </c>
      <c r="D109" s="616">
        <v>-26.228400000000001</v>
      </c>
      <c r="E109" s="616">
        <v>46.893900000000002</v>
      </c>
      <c r="F109" s="616">
        <v>-45.586100000000002</v>
      </c>
      <c r="G109" s="609">
        <v>4.4779999999999998</v>
      </c>
      <c r="H109" s="609">
        <v>4.4779999999999998</v>
      </c>
      <c r="I109" s="609"/>
      <c r="J109" s="606"/>
      <c r="K109" s="613"/>
      <c r="L109" s="608" t="s">
        <v>690</v>
      </c>
      <c r="M109" s="623"/>
      <c r="N109" s="624" t="s">
        <v>691</v>
      </c>
      <c r="O109" s="627" t="s">
        <v>692</v>
      </c>
      <c r="P109" s="606"/>
      <c r="Q109" s="606"/>
      <c r="R109" s="609"/>
      <c r="S109" s="609"/>
      <c r="T109" s="609"/>
      <c r="U109" s="609"/>
      <c r="V109" s="65"/>
    </row>
    <row r="110" spans="1:23" x14ac:dyDescent="0.25">
      <c r="A110" s="63">
        <v>7</v>
      </c>
      <c r="B110" s="617">
        <v>-16.674099999999999</v>
      </c>
      <c r="C110" s="617">
        <v>15.3498</v>
      </c>
      <c r="D110" s="617">
        <v>-20.7302</v>
      </c>
      <c r="E110" s="617">
        <v>33.037999999999997</v>
      </c>
      <c r="F110" s="617">
        <v>-35.066000000000003</v>
      </c>
      <c r="G110" s="609">
        <v>-10.0373</v>
      </c>
      <c r="H110" s="609">
        <v>-10.0373</v>
      </c>
      <c r="I110" s="609"/>
      <c r="J110" s="606"/>
      <c r="K110" s="81"/>
      <c r="L110" s="607" t="s">
        <v>693</v>
      </c>
      <c r="M110" s="608" t="s">
        <v>694</v>
      </c>
      <c r="N110" s="625"/>
      <c r="O110" s="612"/>
      <c r="P110" s="606"/>
      <c r="Q110" s="606"/>
      <c r="R110" s="609"/>
      <c r="S110" s="609"/>
      <c r="T110" s="609"/>
      <c r="U110" s="609"/>
      <c r="V110" s="65"/>
    </row>
    <row r="111" spans="1:23" x14ac:dyDescent="0.25">
      <c r="A111" s="63">
        <v>8</v>
      </c>
      <c r="B111" s="617">
        <v>-9.4375</v>
      </c>
      <c r="C111" s="617">
        <v>0</v>
      </c>
      <c r="D111" s="617">
        <v>-9.4375</v>
      </c>
      <c r="E111" s="617">
        <v>9.4079999999999995</v>
      </c>
      <c r="F111" s="617">
        <v>-9.4079999999999995</v>
      </c>
      <c r="G111" s="609">
        <v>-3.149</v>
      </c>
      <c r="H111" s="609">
        <v>-3.149</v>
      </c>
      <c r="I111" s="609"/>
      <c r="J111" s="606"/>
      <c r="K111" s="77" t="s">
        <v>15</v>
      </c>
      <c r="L111" s="607">
        <f>MIN(B107:B112)</f>
        <v>-28.844000000000001</v>
      </c>
      <c r="M111" s="607">
        <f>MAX(C107:C112)</f>
        <v>18.703800000000001</v>
      </c>
      <c r="N111" s="607" cm="1">
        <f t="array" ref="N111">MAX(ABS(E107:F112))</f>
        <v>46.893900000000002</v>
      </c>
      <c r="O111" s="77" cm="1">
        <f t="array" ref="O111">MAX(ABS(H117:I124))</f>
        <v>106.8699</v>
      </c>
      <c r="P111" s="606"/>
      <c r="Q111" s="606"/>
      <c r="R111" s="609"/>
      <c r="S111" s="609"/>
      <c r="T111" s="609"/>
      <c r="U111" s="609"/>
      <c r="V111" s="65"/>
    </row>
    <row r="112" spans="1:23" x14ac:dyDescent="0.25">
      <c r="A112" s="63">
        <v>9</v>
      </c>
      <c r="B112" s="617">
        <v>-20.7302</v>
      </c>
      <c r="C112" s="617">
        <v>15.3498</v>
      </c>
      <c r="D112" s="617">
        <v>-16.674099999999999</v>
      </c>
      <c r="E112" s="617">
        <v>35.066000000000003</v>
      </c>
      <c r="F112" s="617">
        <v>-33.037999999999997</v>
      </c>
      <c r="G112" s="609">
        <v>-10.0373</v>
      </c>
      <c r="H112" s="609">
        <v>-10.0373</v>
      </c>
      <c r="I112" s="609"/>
      <c r="J112" s="606"/>
      <c r="K112" s="77" t="s">
        <v>16</v>
      </c>
      <c r="L112" s="607">
        <f>MIN(B131:B136)</f>
        <v>-9.8942999999999994</v>
      </c>
      <c r="M112" s="607">
        <f>MAX(C131:C136)</f>
        <v>6.9528999999999996</v>
      </c>
      <c r="N112" s="607" cm="1">
        <f t="array" ref="N112">MAX(ABS(E131:F136))</f>
        <v>16.598600000000001</v>
      </c>
      <c r="O112" s="77" cm="1">
        <f t="array" ref="O112">MAX(ABS(H141:H148))</f>
        <v>23.963200000000001</v>
      </c>
      <c r="P112" s="606"/>
      <c r="Q112" s="606"/>
      <c r="R112" s="609"/>
      <c r="S112" s="609"/>
      <c r="T112" s="609"/>
      <c r="U112" s="609"/>
      <c r="V112" s="65"/>
    </row>
    <row r="113" spans="1:28" x14ac:dyDescent="0.25">
      <c r="A113" s="63">
        <v>10</v>
      </c>
      <c r="B113" s="609">
        <v>2.3281000000000001</v>
      </c>
      <c r="C113" s="609">
        <v>2.3281000000000001</v>
      </c>
      <c r="D113" s="609">
        <v>-4.5770999999999997</v>
      </c>
      <c r="E113" s="609">
        <v>-4.6033999999999997</v>
      </c>
      <c r="F113" s="609">
        <v>-4.6033999999999997</v>
      </c>
      <c r="G113" s="615">
        <v>-97.312399999999997</v>
      </c>
      <c r="H113" s="615">
        <v>-97.312399999999997</v>
      </c>
      <c r="I113" s="609"/>
      <c r="J113" s="606"/>
      <c r="L113" s="87"/>
      <c r="M113" s="87"/>
      <c r="N113" s="87"/>
      <c r="P113" s="606"/>
      <c r="Q113" s="606"/>
      <c r="R113" s="609"/>
      <c r="S113" s="609"/>
      <c r="T113" s="609"/>
      <c r="U113" s="609"/>
      <c r="V113" s="65"/>
    </row>
    <row r="114" spans="1:28" x14ac:dyDescent="0.25">
      <c r="A114" s="63">
        <v>11</v>
      </c>
      <c r="B114" s="609">
        <v>-1.5082</v>
      </c>
      <c r="C114" s="609">
        <v>3.0190000000000001</v>
      </c>
      <c r="D114" s="609">
        <v>3.0190000000000001</v>
      </c>
      <c r="E114" s="609">
        <v>3.0181</v>
      </c>
      <c r="F114" s="609">
        <v>3.0181</v>
      </c>
      <c r="G114" s="615">
        <v>-135.2216</v>
      </c>
      <c r="H114" s="615">
        <v>-135.2216</v>
      </c>
      <c r="I114" s="609"/>
      <c r="J114" s="606"/>
      <c r="K114" s="609"/>
      <c r="L114" s="630" t="s">
        <v>695</v>
      </c>
      <c r="M114" s="626"/>
      <c r="N114" s="626"/>
      <c r="P114" s="606"/>
      <c r="Q114" s="606"/>
      <c r="R114" s="609"/>
      <c r="S114" s="609"/>
      <c r="T114" s="609"/>
      <c r="U114" s="609"/>
      <c r="V114" s="65"/>
    </row>
    <row r="115" spans="1:28" x14ac:dyDescent="0.25">
      <c r="A115" s="63">
        <v>12</v>
      </c>
      <c r="B115" s="609">
        <v>1.5082</v>
      </c>
      <c r="C115" s="609">
        <v>1.5082</v>
      </c>
      <c r="D115" s="609">
        <v>-3.0190000000000001</v>
      </c>
      <c r="E115" s="609">
        <v>-3.0181</v>
      </c>
      <c r="F115" s="609">
        <v>-3.0181</v>
      </c>
      <c r="G115" s="615">
        <v>-135.2216</v>
      </c>
      <c r="H115" s="615">
        <v>-135.2216</v>
      </c>
      <c r="I115" s="609"/>
      <c r="J115" s="606"/>
      <c r="K115" s="609" t="s">
        <v>478</v>
      </c>
      <c r="L115" s="626"/>
      <c r="M115" s="626"/>
      <c r="N115" s="626"/>
      <c r="P115" s="606"/>
      <c r="Q115" s="606"/>
      <c r="R115" s="609"/>
      <c r="S115" s="609"/>
      <c r="T115" s="609"/>
      <c r="U115" s="609"/>
      <c r="V115" s="65"/>
      <c r="W115" s="92"/>
    </row>
    <row r="116" spans="1:28" x14ac:dyDescent="0.25">
      <c r="A116" s="63">
        <v>13</v>
      </c>
      <c r="B116" s="609">
        <v>-2.3281000000000001</v>
      </c>
      <c r="C116" s="609">
        <v>4.5770999999999997</v>
      </c>
      <c r="D116" s="609">
        <v>4.5770999999999997</v>
      </c>
      <c r="E116" s="609">
        <v>4.6033999999999997</v>
      </c>
      <c r="F116" s="609">
        <v>4.6033999999999997</v>
      </c>
      <c r="G116" s="615">
        <v>-97.312399999999997</v>
      </c>
      <c r="H116" s="615">
        <v>-97.312399999999997</v>
      </c>
      <c r="I116" s="609"/>
      <c r="J116" s="606"/>
      <c r="K116" s="610"/>
      <c r="L116" s="624" t="s">
        <v>690</v>
      </c>
      <c r="M116" s="627" t="s">
        <v>691</v>
      </c>
      <c r="N116" s="627" t="s">
        <v>692</v>
      </c>
      <c r="P116" s="606"/>
      <c r="Q116" s="606"/>
      <c r="R116" s="609"/>
      <c r="S116" s="609"/>
      <c r="T116" s="609"/>
      <c r="U116" s="609"/>
      <c r="V116" s="65"/>
    </row>
    <row r="117" spans="1:28" x14ac:dyDescent="0.25">
      <c r="A117" s="63">
        <v>14</v>
      </c>
      <c r="B117" s="609">
        <v>7.0067000000000004</v>
      </c>
      <c r="C117" s="609">
        <v>7.0067000000000004</v>
      </c>
      <c r="D117" s="609">
        <v>-10.783099999999999</v>
      </c>
      <c r="E117" s="609">
        <v>-5.5593000000000004</v>
      </c>
      <c r="F117" s="609">
        <v>-5.5593000000000004</v>
      </c>
      <c r="G117" s="616">
        <v>-78.624099999999999</v>
      </c>
      <c r="H117" s="616">
        <v>-78.624099999999999</v>
      </c>
      <c r="I117" s="609"/>
      <c r="J117" s="606"/>
      <c r="K117" s="611"/>
      <c r="L117" s="625"/>
      <c r="M117" s="628"/>
      <c r="N117" s="628"/>
      <c r="O117" s="609"/>
      <c r="P117" s="606"/>
      <c r="Q117" s="606"/>
      <c r="R117" s="609"/>
      <c r="S117" s="609"/>
      <c r="T117" s="609"/>
      <c r="U117" s="609"/>
      <c r="V117" s="65"/>
    </row>
    <row r="118" spans="1:28" x14ac:dyDescent="0.25">
      <c r="A118" s="63">
        <v>15</v>
      </c>
      <c r="B118" s="609">
        <v>-4.8063000000000002</v>
      </c>
      <c r="C118" s="609">
        <v>7.4936999999999996</v>
      </c>
      <c r="D118" s="609">
        <v>7.4936999999999996</v>
      </c>
      <c r="E118" s="609">
        <v>3.8437999999999999</v>
      </c>
      <c r="F118" s="609">
        <v>3.8437999999999999</v>
      </c>
      <c r="G118" s="616">
        <v>-106.8699</v>
      </c>
      <c r="H118" s="616">
        <v>-106.8699</v>
      </c>
      <c r="I118" s="609"/>
      <c r="J118" s="606"/>
      <c r="K118" s="77" t="s">
        <v>15</v>
      </c>
      <c r="L118" s="625" cm="1">
        <f t="array" ref="L118">MAX(ABS(B113:C116))</f>
        <v>4.5770999999999997</v>
      </c>
      <c r="M118" s="607" cm="1">
        <f t="array" ref="M118">MAX(ABS(E113:F116))</f>
        <v>4.6033999999999997</v>
      </c>
      <c r="N118" s="607" cm="1">
        <f t="array" ref="N118">MAX(ABS(G113:H116))</f>
        <v>135.2216</v>
      </c>
      <c r="O118" s="609"/>
      <c r="P118" s="606"/>
      <c r="Q118" s="606"/>
      <c r="R118" s="609"/>
      <c r="S118" s="609"/>
      <c r="T118" s="609"/>
      <c r="U118" s="609"/>
      <c r="V118" s="65"/>
    </row>
    <row r="119" spans="1:28" x14ac:dyDescent="0.25">
      <c r="A119" s="63">
        <v>16</v>
      </c>
      <c r="B119" s="609">
        <v>4.8063000000000002</v>
      </c>
      <c r="C119" s="609">
        <v>4.8063000000000002</v>
      </c>
      <c r="D119" s="609">
        <v>-7.4936999999999996</v>
      </c>
      <c r="E119" s="609">
        <v>-3.8437999999999999</v>
      </c>
      <c r="F119" s="609">
        <v>-3.8437999999999999</v>
      </c>
      <c r="G119" s="616">
        <v>-106.8699</v>
      </c>
      <c r="H119" s="616">
        <v>-106.8699</v>
      </c>
      <c r="I119" s="609"/>
      <c r="J119" s="606"/>
      <c r="K119" s="77" t="s">
        <v>16</v>
      </c>
      <c r="L119" s="625" cm="1">
        <f t="array" ref="L119">MAX(ABS(B137:C140))</f>
        <v>1.1026</v>
      </c>
      <c r="M119" s="607" cm="1">
        <f t="array" ref="M119">MAX(ABS(E137:F140))</f>
        <v>1.0283</v>
      </c>
      <c r="N119" s="607" cm="1">
        <f t="array" ref="N119">MAX(ABS(G137:H140))</f>
        <v>23.896599999999999</v>
      </c>
      <c r="O119" s="609"/>
      <c r="P119" s="606"/>
      <c r="Q119" s="606"/>
      <c r="R119" s="609"/>
      <c r="S119" s="609"/>
      <c r="T119" s="609"/>
      <c r="U119" s="609"/>
      <c r="V119" s="65"/>
    </row>
    <row r="120" spans="1:28" x14ac:dyDescent="0.25">
      <c r="A120" s="63">
        <v>17</v>
      </c>
      <c r="B120" s="609">
        <v>-7.0067000000000004</v>
      </c>
      <c r="C120" s="609">
        <v>10.783099999999999</v>
      </c>
      <c r="D120" s="609">
        <v>10.783099999999999</v>
      </c>
      <c r="E120" s="609">
        <v>5.5593000000000004</v>
      </c>
      <c r="F120" s="609">
        <v>5.5593000000000004</v>
      </c>
      <c r="G120" s="616">
        <v>-78.624099999999999</v>
      </c>
      <c r="H120" s="616">
        <v>-78.624099999999999</v>
      </c>
      <c r="I120" s="609"/>
      <c r="J120" s="606"/>
      <c r="K120" s="609" t="s">
        <v>479</v>
      </c>
      <c r="L120" s="626"/>
      <c r="M120" s="626"/>
      <c r="N120" s="626"/>
      <c r="O120" s="609"/>
      <c r="P120" s="606"/>
      <c r="Q120" s="606"/>
      <c r="R120" s="609"/>
      <c r="S120" s="609"/>
      <c r="T120" s="609"/>
      <c r="U120" s="609"/>
      <c r="V120" s="65"/>
    </row>
    <row r="121" spans="1:28" x14ac:dyDescent="0.25">
      <c r="A121" s="63">
        <v>18</v>
      </c>
      <c r="B121" s="609">
        <v>15.4453</v>
      </c>
      <c r="C121" s="609">
        <v>15.4453</v>
      </c>
      <c r="D121" s="609">
        <v>-16.674099999999999</v>
      </c>
      <c r="E121" s="609">
        <v>-10.0373</v>
      </c>
      <c r="F121" s="609">
        <v>-10.0373</v>
      </c>
      <c r="G121" s="617">
        <v>-33.037999999999997</v>
      </c>
      <c r="H121" s="617">
        <v>-33.037999999999997</v>
      </c>
      <c r="I121" s="609"/>
      <c r="J121" s="606"/>
      <c r="K121" s="610"/>
      <c r="L121" s="624" t="s">
        <v>690</v>
      </c>
      <c r="M121" s="627" t="s">
        <v>691</v>
      </c>
      <c r="N121" s="627" t="s">
        <v>692</v>
      </c>
      <c r="O121" s="609"/>
      <c r="P121" s="606"/>
      <c r="Q121" s="606"/>
      <c r="R121" s="609"/>
      <c r="S121" s="609"/>
      <c r="T121" s="609"/>
      <c r="U121" s="609"/>
      <c r="V121" s="65"/>
    </row>
    <row r="122" spans="1:28" x14ac:dyDescent="0.25">
      <c r="A122" s="63">
        <v>19</v>
      </c>
      <c r="B122" s="609">
        <v>-10.7499</v>
      </c>
      <c r="C122" s="609">
        <v>11.2927</v>
      </c>
      <c r="D122" s="609">
        <v>11.2927</v>
      </c>
      <c r="E122" s="609">
        <v>6.8883000000000001</v>
      </c>
      <c r="F122" s="609">
        <v>6.8883000000000001</v>
      </c>
      <c r="G122" s="617">
        <v>-44.473999999999997</v>
      </c>
      <c r="H122" s="617">
        <v>-44.473999999999997</v>
      </c>
      <c r="I122" s="609"/>
      <c r="J122" s="606"/>
      <c r="K122" s="611"/>
      <c r="L122" s="625"/>
      <c r="M122" s="628"/>
      <c r="N122" s="628"/>
      <c r="O122" s="609"/>
      <c r="P122" s="606"/>
      <c r="Q122" s="606"/>
      <c r="R122" s="609"/>
      <c r="S122" s="609"/>
      <c r="T122" s="609"/>
      <c r="U122" s="609"/>
      <c r="V122" s="65"/>
    </row>
    <row r="123" spans="1:28" x14ac:dyDescent="0.25">
      <c r="A123" s="63">
        <v>20</v>
      </c>
      <c r="B123" s="609">
        <v>10.7499</v>
      </c>
      <c r="C123" s="609">
        <v>10.7499</v>
      </c>
      <c r="D123" s="609">
        <v>-11.2927</v>
      </c>
      <c r="E123" s="609">
        <v>-6.8883000000000001</v>
      </c>
      <c r="F123" s="609">
        <v>-6.8883000000000001</v>
      </c>
      <c r="G123" s="617">
        <v>-44.473999999999997</v>
      </c>
      <c r="H123" s="617">
        <v>-44.473999999999997</v>
      </c>
      <c r="I123" s="609"/>
      <c r="J123" s="606"/>
      <c r="K123" s="77" t="s">
        <v>15</v>
      </c>
      <c r="L123" s="625" cm="1">
        <f t="array" ref="L123">MAX(ABS(B117:C124))</f>
        <v>16.674099999999999</v>
      </c>
      <c r="M123" s="625" cm="1">
        <f t="array" ref="M123">MAX(ABS(E117:F124))</f>
        <v>10.0373</v>
      </c>
      <c r="N123" s="625" cm="1">
        <f t="array" ref="N123">MAX(ABS(G117:H124))</f>
        <v>106.8699</v>
      </c>
      <c r="O123" s="609"/>
      <c r="P123" s="606"/>
      <c r="Q123" s="606"/>
      <c r="R123" s="609"/>
      <c r="S123" s="609"/>
      <c r="T123" s="609"/>
      <c r="U123" s="609"/>
      <c r="V123" s="65"/>
    </row>
    <row r="124" spans="1:28" x14ac:dyDescent="0.25">
      <c r="A124" s="63">
        <v>21</v>
      </c>
      <c r="B124" s="609">
        <v>-15.4453</v>
      </c>
      <c r="C124" s="609">
        <v>16.674099999999999</v>
      </c>
      <c r="D124" s="609">
        <v>16.674099999999999</v>
      </c>
      <c r="E124" s="609">
        <v>10.0373</v>
      </c>
      <c r="F124" s="609">
        <v>10.0373</v>
      </c>
      <c r="G124" s="617">
        <v>-33.037999999999997</v>
      </c>
      <c r="H124" s="617">
        <v>-33.037999999999997</v>
      </c>
      <c r="I124" s="609"/>
      <c r="J124" s="606"/>
      <c r="K124" s="77" t="s">
        <v>16</v>
      </c>
      <c r="L124" s="625" cm="1">
        <f t="array" ref="L124">MAX(ABS(B141:C148))</f>
        <v>5.0587999999999997</v>
      </c>
      <c r="M124" s="625" cm="1">
        <f t="array" ref="M124">MAX(ABS(E141:F148))</f>
        <v>2.8065000000000002</v>
      </c>
      <c r="N124" s="625" cm="1">
        <f t="array" ref="N124">MAX(ABS(G141:H148))</f>
        <v>23.963200000000001</v>
      </c>
      <c r="O124" s="609"/>
      <c r="P124" s="606"/>
      <c r="Q124" s="606"/>
      <c r="R124" s="609"/>
      <c r="S124" s="609"/>
      <c r="T124" s="609"/>
      <c r="U124" s="609"/>
      <c r="V124" s="65"/>
    </row>
    <row r="125" spans="1:28" x14ac:dyDescent="0.25">
      <c r="A125" s="63"/>
      <c r="B125" s="609"/>
      <c r="C125" s="609"/>
      <c r="D125" s="609"/>
      <c r="E125" s="609"/>
      <c r="F125" s="609"/>
      <c r="G125" s="609"/>
      <c r="H125" s="609"/>
      <c r="I125" s="609"/>
      <c r="J125" s="609"/>
      <c r="L125" s="87"/>
      <c r="M125" s="87"/>
      <c r="N125" s="87"/>
      <c r="O125" s="609"/>
      <c r="P125" s="609"/>
      <c r="Q125" s="609"/>
      <c r="R125" s="609"/>
      <c r="S125" s="609"/>
      <c r="T125" s="609"/>
      <c r="U125" s="609"/>
      <c r="V125" s="65"/>
    </row>
    <row r="126" spans="1:28" ht="14.4" thickBot="1" x14ac:dyDescent="0.3">
      <c r="A126" s="112" t="s">
        <v>10</v>
      </c>
      <c r="B126" s="609"/>
      <c r="C126" s="609"/>
      <c r="D126" s="609"/>
      <c r="E126" s="609"/>
      <c r="F126" s="609"/>
      <c r="G126" s="609"/>
      <c r="H126" s="609"/>
      <c r="I126" s="609"/>
      <c r="J126" s="614"/>
      <c r="K126" s="609"/>
      <c r="L126" s="630" t="s">
        <v>696</v>
      </c>
      <c r="M126" s="626"/>
      <c r="N126" s="626"/>
      <c r="O126" s="609"/>
      <c r="P126" s="609"/>
      <c r="Q126" s="609"/>
      <c r="R126" s="609"/>
      <c r="S126" s="609"/>
      <c r="T126" s="609"/>
      <c r="U126" s="609"/>
      <c r="V126" s="65"/>
    </row>
    <row r="127" spans="1:28" x14ac:dyDescent="0.25">
      <c r="A127" s="63" t="s">
        <v>0</v>
      </c>
      <c r="B127" s="609" t="s">
        <v>1</v>
      </c>
      <c r="C127" s="609" t="s">
        <v>2</v>
      </c>
      <c r="D127" s="609" t="s">
        <v>3</v>
      </c>
      <c r="E127" s="609" t="s">
        <v>4</v>
      </c>
      <c r="F127" s="609" t="s">
        <v>5</v>
      </c>
      <c r="G127" s="609" t="s">
        <v>6</v>
      </c>
      <c r="H127" s="609" t="s">
        <v>7</v>
      </c>
      <c r="I127" s="609"/>
      <c r="J127" s="609"/>
      <c r="K127" s="609" t="s">
        <v>701</v>
      </c>
      <c r="L127" s="626"/>
      <c r="M127" s="626"/>
      <c r="N127" s="626"/>
      <c r="O127" s="609"/>
      <c r="P127" s="609"/>
      <c r="Q127" s="609"/>
      <c r="R127" s="609"/>
      <c r="S127" s="609"/>
      <c r="T127" s="609"/>
      <c r="U127" s="609"/>
      <c r="V127" s="65"/>
      <c r="X127" s="631" t="s">
        <v>22</v>
      </c>
      <c r="Y127" s="71"/>
      <c r="Z127" s="71"/>
      <c r="AA127" s="71"/>
      <c r="AB127" s="71"/>
    </row>
    <row r="128" spans="1:28" x14ac:dyDescent="0.25">
      <c r="A128" s="300">
        <v>1</v>
      </c>
      <c r="B128" s="615">
        <v>-0.33810000000000001</v>
      </c>
      <c r="C128" s="615">
        <v>0</v>
      </c>
      <c r="D128" s="615">
        <v>-7.1900000000000006E-2</v>
      </c>
      <c r="E128" s="615">
        <v>6.6500000000000004E-2</v>
      </c>
      <c r="F128" s="615">
        <v>6.6500000000000004E-2</v>
      </c>
      <c r="G128" s="609">
        <v>2.6789000000000001</v>
      </c>
      <c r="H128" s="609">
        <v>2.6789000000000001</v>
      </c>
      <c r="I128" s="609"/>
      <c r="J128" s="609"/>
      <c r="K128" s="77"/>
      <c r="L128" s="607" t="s">
        <v>690</v>
      </c>
      <c r="M128" s="607" t="s">
        <v>691</v>
      </c>
      <c r="N128" s="607" t="s">
        <v>692</v>
      </c>
      <c r="O128" s="609"/>
      <c r="P128" s="609"/>
      <c r="Q128" s="609"/>
      <c r="R128" s="609"/>
      <c r="S128" s="609"/>
      <c r="T128" s="609"/>
      <c r="U128" s="609"/>
      <c r="V128" s="65"/>
      <c r="X128" s="112" t="s">
        <v>178</v>
      </c>
    </row>
    <row r="129" spans="1:28" x14ac:dyDescent="0.25">
      <c r="A129" s="300">
        <v>2</v>
      </c>
      <c r="B129" s="615">
        <v>0.32300000000000001</v>
      </c>
      <c r="C129" s="615">
        <v>0.32300000000000001</v>
      </c>
      <c r="D129" s="615">
        <v>0.32300000000000001</v>
      </c>
      <c r="E129" s="620">
        <v>6.6949299999999999E-17</v>
      </c>
      <c r="F129" s="620">
        <v>6.6949299999999999E-17</v>
      </c>
      <c r="G129" s="609">
        <v>0.43140000000000001</v>
      </c>
      <c r="H129" s="609">
        <v>0.43140000000000001</v>
      </c>
      <c r="I129" s="609"/>
      <c r="J129" s="609"/>
      <c r="K129" s="77" t="s">
        <v>15</v>
      </c>
      <c r="L129" s="607">
        <f>MAX(ABS(B113))</f>
        <v>2.3281000000000001</v>
      </c>
      <c r="M129" s="607" cm="1">
        <f t="array" ref="M129">MAX(ABS(E113:F113))</f>
        <v>4.6033999999999997</v>
      </c>
      <c r="N129" s="607" cm="1">
        <f t="array" ref="N129">MAX(ABS(G113:H113))</f>
        <v>97.312399999999997</v>
      </c>
      <c r="O129" s="609"/>
      <c r="P129" s="609"/>
      <c r="Q129" s="609"/>
      <c r="R129" s="609"/>
      <c r="S129" s="609"/>
      <c r="T129" s="609"/>
      <c r="U129" s="609"/>
      <c r="V129" s="65"/>
      <c r="X129" s="63" t="s">
        <v>697</v>
      </c>
      <c r="Y129" s="62" t="s">
        <v>705</v>
      </c>
      <c r="Z129" s="62" t="s">
        <v>706</v>
      </c>
      <c r="AA129" s="62" t="s">
        <v>74</v>
      </c>
    </row>
    <row r="130" spans="1:28" x14ac:dyDescent="0.25">
      <c r="A130" s="300">
        <v>3</v>
      </c>
      <c r="B130" s="615">
        <v>-7.1900000000000006E-2</v>
      </c>
      <c r="C130" s="615">
        <v>0</v>
      </c>
      <c r="D130" s="615">
        <v>-0.33810000000000001</v>
      </c>
      <c r="E130" s="615">
        <v>-6.6500000000000004E-2</v>
      </c>
      <c r="F130" s="615">
        <v>-6.6500000000000004E-2</v>
      </c>
      <c r="G130" s="609">
        <v>2.6789000000000001</v>
      </c>
      <c r="H130" s="609">
        <v>2.6789000000000001</v>
      </c>
      <c r="I130" s="609"/>
      <c r="J130" s="609"/>
      <c r="K130" s="77" t="s">
        <v>16</v>
      </c>
      <c r="L130" s="607">
        <f>MAX(ABS(B137))</f>
        <v>0.43980000000000002</v>
      </c>
      <c r="M130" s="607" cm="1">
        <f t="array" ref="M130">MAX(ABS(E137:F137))</f>
        <v>1.0283</v>
      </c>
      <c r="N130" s="607" cm="1">
        <f t="array" ref="N130">MAX(ABS(G137:H137))</f>
        <v>23.3034</v>
      </c>
      <c r="O130" s="609"/>
      <c r="P130" s="609"/>
      <c r="Q130" s="609"/>
      <c r="R130" s="609"/>
      <c r="S130" s="609"/>
      <c r="T130" s="609"/>
      <c r="U130" s="609"/>
      <c r="V130" s="65"/>
      <c r="X130" s="63">
        <v>1</v>
      </c>
      <c r="Y130" s="62">
        <v>4.6033999999999997</v>
      </c>
      <c r="Z130" s="62">
        <v>97.312399999999997</v>
      </c>
      <c r="AA130" s="62">
        <v>-2.3281000000000001</v>
      </c>
    </row>
    <row r="131" spans="1:28" x14ac:dyDescent="0.25">
      <c r="A131" s="369">
        <v>4</v>
      </c>
      <c r="B131" s="616">
        <v>-8.8999000000000006</v>
      </c>
      <c r="C131" s="616">
        <v>6.9528999999999996</v>
      </c>
      <c r="D131" s="616">
        <v>-9.8942999999999994</v>
      </c>
      <c r="E131" s="616">
        <v>16.101400000000002</v>
      </c>
      <c r="F131" s="616">
        <v>-16.598600000000001</v>
      </c>
      <c r="G131" s="609">
        <v>1.1559999999999999</v>
      </c>
      <c r="H131" s="609">
        <v>1.1559999999999999</v>
      </c>
      <c r="I131" s="609"/>
      <c r="J131" s="609"/>
      <c r="K131" s="609" t="s">
        <v>702</v>
      </c>
      <c r="L131" s="626"/>
      <c r="M131" s="626"/>
      <c r="N131" s="626"/>
      <c r="O131" s="609"/>
      <c r="P131" s="609"/>
      <c r="Q131" s="609"/>
      <c r="R131" s="609"/>
      <c r="S131" s="609"/>
      <c r="T131" s="609"/>
      <c r="U131" s="609"/>
      <c r="V131" s="65"/>
      <c r="X131" s="63">
        <v>2</v>
      </c>
      <c r="Y131" s="62">
        <v>-3.0181</v>
      </c>
      <c r="Z131" s="62">
        <v>135.2216</v>
      </c>
      <c r="AA131" s="62">
        <v>1.5082</v>
      </c>
    </row>
    <row r="132" spans="1:28" x14ac:dyDescent="0.25">
      <c r="A132" s="369">
        <v>5</v>
      </c>
      <c r="B132" s="616">
        <v>-2.6684000000000001</v>
      </c>
      <c r="C132" s="616">
        <v>0</v>
      </c>
      <c r="D132" s="616">
        <v>-2.6684000000000001</v>
      </c>
      <c r="E132" s="618">
        <v>-5.7610199999999997E-16</v>
      </c>
      <c r="F132" s="618">
        <v>-5.7610199999999997E-16</v>
      </c>
      <c r="G132" s="609">
        <v>0.25950000000000001</v>
      </c>
      <c r="H132" s="609">
        <v>0.25950000000000001</v>
      </c>
      <c r="I132" s="609"/>
      <c r="J132" s="609"/>
      <c r="K132" s="77"/>
      <c r="L132" s="607" t="s">
        <v>690</v>
      </c>
      <c r="M132" s="607" t="s">
        <v>691</v>
      </c>
      <c r="N132" s="607" t="s">
        <v>692</v>
      </c>
      <c r="O132" s="609"/>
      <c r="P132" s="609"/>
      <c r="Q132" s="609"/>
      <c r="R132" s="609"/>
      <c r="S132" s="609"/>
      <c r="T132" s="609"/>
      <c r="U132" s="609"/>
      <c r="V132" s="65"/>
      <c r="X132" s="63">
        <v>3</v>
      </c>
      <c r="Y132" s="62">
        <v>3.0181</v>
      </c>
      <c r="Z132" s="62">
        <v>135.2216</v>
      </c>
      <c r="AA132" s="62">
        <v>-1.5082</v>
      </c>
    </row>
    <row r="133" spans="1:28" x14ac:dyDescent="0.25">
      <c r="A133" s="369">
        <v>6</v>
      </c>
      <c r="B133" s="616">
        <v>-9.8942999999999994</v>
      </c>
      <c r="C133" s="616">
        <v>6.9528999999999996</v>
      </c>
      <c r="D133" s="616">
        <v>-8.8999000000000006</v>
      </c>
      <c r="E133" s="616">
        <v>16.598600000000001</v>
      </c>
      <c r="F133" s="616">
        <v>-16.101400000000002</v>
      </c>
      <c r="G133" s="609">
        <v>1.1559999999999999</v>
      </c>
      <c r="H133" s="609">
        <v>1.1559999999999999</v>
      </c>
      <c r="I133" s="609"/>
      <c r="J133" s="609"/>
      <c r="K133" s="77" t="s">
        <v>15</v>
      </c>
      <c r="L133" s="607">
        <f>MAX(ABS(B114))</f>
        <v>1.5082</v>
      </c>
      <c r="M133" s="607" cm="1">
        <f t="array" ref="M133">MAX(ABS(E114:F114))</f>
        <v>3.0181</v>
      </c>
      <c r="N133" s="607" cm="1">
        <f t="array" ref="N133">MAX(ABS(G114:H114))</f>
        <v>135.2216</v>
      </c>
      <c r="O133" s="609"/>
      <c r="P133" s="609"/>
      <c r="Q133" s="609"/>
      <c r="R133" s="609"/>
      <c r="S133" s="609"/>
      <c r="T133" s="609"/>
      <c r="U133" s="609"/>
      <c r="V133" s="65"/>
      <c r="X133" s="63">
        <v>4</v>
      </c>
      <c r="Y133" s="62">
        <v>-4.6033999999999997</v>
      </c>
      <c r="Z133" s="62">
        <v>97.312399999999997</v>
      </c>
      <c r="AA133" s="62">
        <v>2.3281000000000001</v>
      </c>
    </row>
    <row r="134" spans="1:28" x14ac:dyDescent="0.25">
      <c r="A134" s="363">
        <v>7</v>
      </c>
      <c r="B134" s="617">
        <v>-3.9220000000000002</v>
      </c>
      <c r="C134" s="617">
        <v>3.0988000000000002</v>
      </c>
      <c r="D134" s="617">
        <v>-4.3803999999999998</v>
      </c>
      <c r="E134" s="617">
        <v>7.1353999999999997</v>
      </c>
      <c r="F134" s="617">
        <v>-7.3646000000000003</v>
      </c>
      <c r="G134" s="609">
        <v>-2.8065000000000002</v>
      </c>
      <c r="H134" s="609">
        <v>-2.8065000000000002</v>
      </c>
      <c r="I134" s="609"/>
      <c r="J134" s="609"/>
      <c r="K134" s="77" t="s">
        <v>16</v>
      </c>
      <c r="L134" s="607">
        <f>MAX(ABS(B138))</f>
        <v>0.43930000000000002</v>
      </c>
      <c r="M134" s="607" cm="1">
        <f t="array" ref="M134">MAX(ABS(E138:F138))</f>
        <v>0.87280000000000002</v>
      </c>
      <c r="N134" s="607" cm="1">
        <f t="array" ref="N134">MAX(ABS(G138:H138))</f>
        <v>23.896599999999999</v>
      </c>
      <c r="P134" s="609"/>
      <c r="Q134" s="609"/>
      <c r="R134" s="609"/>
      <c r="S134" s="609"/>
      <c r="T134" s="609"/>
      <c r="U134" s="609"/>
      <c r="V134" s="65"/>
      <c r="X134" s="112" t="s">
        <v>183</v>
      </c>
    </row>
    <row r="135" spans="1:28" x14ac:dyDescent="0.25">
      <c r="A135" s="363">
        <v>8</v>
      </c>
      <c r="B135" s="617">
        <v>-1.2040999999999999</v>
      </c>
      <c r="C135" s="617">
        <v>0</v>
      </c>
      <c r="D135" s="617">
        <v>-1.2040999999999999</v>
      </c>
      <c r="E135" s="621">
        <v>-5.8285300000000005E-16</v>
      </c>
      <c r="F135" s="621">
        <v>-5.8285300000000005E-16</v>
      </c>
      <c r="G135" s="609">
        <v>-0.5353</v>
      </c>
      <c r="H135" s="609">
        <v>-0.5353</v>
      </c>
      <c r="I135" s="609"/>
      <c r="J135" s="609"/>
      <c r="K135" s="62" t="s">
        <v>703</v>
      </c>
      <c r="L135" s="87"/>
      <c r="M135" s="87"/>
      <c r="N135" s="87"/>
      <c r="P135" s="609"/>
      <c r="Q135" s="609"/>
      <c r="R135" s="609"/>
      <c r="S135" s="609"/>
      <c r="T135" s="609"/>
      <c r="U135" s="609"/>
      <c r="V135" s="65"/>
      <c r="X135" s="63" t="s">
        <v>697</v>
      </c>
      <c r="Y135" s="62" t="s">
        <v>698</v>
      </c>
      <c r="Z135" s="62" t="s">
        <v>699</v>
      </c>
      <c r="AA135" s="62" t="s">
        <v>700</v>
      </c>
    </row>
    <row r="136" spans="1:28" x14ac:dyDescent="0.25">
      <c r="A136" s="363">
        <v>9</v>
      </c>
      <c r="B136" s="617">
        <v>-4.3803999999999998</v>
      </c>
      <c r="C136" s="617">
        <v>3.0988000000000002</v>
      </c>
      <c r="D136" s="617">
        <v>-3.9220000000000002</v>
      </c>
      <c r="E136" s="617">
        <v>7.3646000000000003</v>
      </c>
      <c r="F136" s="617">
        <v>-7.1353999999999997</v>
      </c>
      <c r="G136" s="609">
        <v>-2.8065000000000002</v>
      </c>
      <c r="H136" s="609">
        <v>-2.8065000000000002</v>
      </c>
      <c r="I136" s="609"/>
      <c r="J136" s="609"/>
      <c r="K136" s="77"/>
      <c r="L136" s="607" t="s">
        <v>690</v>
      </c>
      <c r="M136" s="607" t="s">
        <v>691</v>
      </c>
      <c r="N136" s="607" t="s">
        <v>692</v>
      </c>
      <c r="P136" s="609"/>
      <c r="Q136" s="609"/>
      <c r="R136" s="609"/>
      <c r="S136" s="609"/>
      <c r="T136" s="609"/>
      <c r="U136" s="609"/>
      <c r="V136" s="65"/>
      <c r="X136" s="63">
        <v>1</v>
      </c>
      <c r="Y136" s="62">
        <v>-1.0283</v>
      </c>
      <c r="Z136" s="62">
        <v>23.3034</v>
      </c>
      <c r="AA136" s="62">
        <v>0.43980000000000002</v>
      </c>
    </row>
    <row r="137" spans="1:28" x14ac:dyDescent="0.25">
      <c r="A137" s="63">
        <v>10</v>
      </c>
      <c r="B137" s="609">
        <v>-0.43980000000000002</v>
      </c>
      <c r="C137" s="609">
        <v>1.1026</v>
      </c>
      <c r="D137" s="609">
        <v>1.1026</v>
      </c>
      <c r="E137" s="609">
        <v>1.0283</v>
      </c>
      <c r="F137" s="609">
        <v>1.0283</v>
      </c>
      <c r="G137" s="615">
        <v>-23.3034</v>
      </c>
      <c r="H137" s="615">
        <v>-23.3034</v>
      </c>
      <c r="I137" s="609"/>
      <c r="J137" s="609"/>
      <c r="K137" s="77" t="s">
        <v>15</v>
      </c>
      <c r="L137" s="607">
        <f>MAX(ABS(B115))</f>
        <v>1.5082</v>
      </c>
      <c r="M137" s="607" cm="1">
        <f t="array" ref="M137">MAX(ABS(E115:F115))</f>
        <v>3.0181</v>
      </c>
      <c r="N137" s="607" cm="1">
        <f t="array" ref="N137">MAX(ABS(G115:H115))</f>
        <v>135.2216</v>
      </c>
      <c r="P137" s="609"/>
      <c r="Q137" s="609"/>
      <c r="R137" s="609"/>
      <c r="S137" s="609"/>
      <c r="T137" s="609"/>
      <c r="U137" s="609"/>
      <c r="V137" s="65"/>
      <c r="X137" s="63">
        <v>2</v>
      </c>
      <c r="Y137" s="62">
        <v>0.87280000000000002</v>
      </c>
      <c r="Z137" s="62">
        <v>23.896599999999999</v>
      </c>
      <c r="AA137" s="62">
        <v>-0.43930000000000002</v>
      </c>
    </row>
    <row r="138" spans="1:28" x14ac:dyDescent="0.25">
      <c r="A138" s="63">
        <v>11</v>
      </c>
      <c r="B138" s="609">
        <v>0.43930000000000002</v>
      </c>
      <c r="C138" s="609">
        <v>0.43930000000000002</v>
      </c>
      <c r="D138" s="609">
        <v>-0.86990000000000001</v>
      </c>
      <c r="E138" s="609">
        <v>-0.87280000000000002</v>
      </c>
      <c r="F138" s="609">
        <v>-0.87280000000000002</v>
      </c>
      <c r="G138" s="615">
        <v>-23.896599999999999</v>
      </c>
      <c r="H138" s="615">
        <v>-23.896599999999999</v>
      </c>
      <c r="I138" s="609"/>
      <c r="J138" s="609"/>
      <c r="K138" s="77" t="s">
        <v>16</v>
      </c>
      <c r="L138" s="607">
        <f>MAX(ABS(B139))</f>
        <v>0.43930000000000002</v>
      </c>
      <c r="M138" s="607" cm="1">
        <f t="array" ref="M138">MAX(ABS(E139:F139))</f>
        <v>0.87280000000000002</v>
      </c>
      <c r="N138" s="607" cm="1">
        <f t="array" ref="N138">MAX(ABS(G140:H140))</f>
        <v>23.3034</v>
      </c>
      <c r="P138" s="609"/>
      <c r="Q138" s="609"/>
      <c r="R138" s="609"/>
      <c r="S138" s="609"/>
      <c r="T138" s="609"/>
      <c r="U138" s="609"/>
      <c r="V138" s="65"/>
      <c r="X138" s="63">
        <v>3</v>
      </c>
      <c r="Y138" s="62">
        <v>-0.87280000000000002</v>
      </c>
      <c r="Z138" s="62">
        <v>23.896599999999999</v>
      </c>
      <c r="AA138" s="62">
        <v>0.43930000000000002</v>
      </c>
    </row>
    <row r="139" spans="1:28" x14ac:dyDescent="0.25">
      <c r="A139" s="63">
        <v>12</v>
      </c>
      <c r="B139" s="609">
        <v>-0.43930000000000002</v>
      </c>
      <c r="C139" s="609">
        <v>0.86990000000000001</v>
      </c>
      <c r="D139" s="609">
        <v>0.86990000000000001</v>
      </c>
      <c r="E139" s="609">
        <v>0.87280000000000002</v>
      </c>
      <c r="F139" s="609">
        <v>0.87280000000000002</v>
      </c>
      <c r="G139" s="615">
        <v>-23.896599999999999</v>
      </c>
      <c r="H139" s="615">
        <v>-23.896599999999999</v>
      </c>
      <c r="I139" s="609"/>
      <c r="J139" s="609"/>
      <c r="K139" s="609" t="s">
        <v>704</v>
      </c>
      <c r="L139" s="629"/>
      <c r="M139" s="629"/>
      <c r="N139" s="626"/>
      <c r="P139" s="609"/>
      <c r="Q139" s="609"/>
      <c r="R139" s="609"/>
      <c r="S139" s="609"/>
      <c r="T139" s="609"/>
      <c r="U139" s="609"/>
      <c r="V139" s="65"/>
      <c r="X139" s="63">
        <v>4</v>
      </c>
      <c r="Y139" s="62">
        <v>1.0283</v>
      </c>
      <c r="Z139" s="62">
        <v>23.3034</v>
      </c>
      <c r="AA139" s="62">
        <v>-0.43980000000000002</v>
      </c>
    </row>
    <row r="140" spans="1:28" ht="14.4" thickBot="1" x14ac:dyDescent="0.3">
      <c r="A140" s="63">
        <v>13</v>
      </c>
      <c r="B140" s="609">
        <v>0.43980000000000002</v>
      </c>
      <c r="C140" s="609">
        <v>0.43980000000000002</v>
      </c>
      <c r="D140" s="609">
        <v>-1.1026</v>
      </c>
      <c r="E140" s="609">
        <v>-1.0283</v>
      </c>
      <c r="F140" s="609">
        <v>-1.0283</v>
      </c>
      <c r="G140" s="615">
        <v>-23.3034</v>
      </c>
      <c r="H140" s="615">
        <v>-23.3034</v>
      </c>
      <c r="I140" s="609"/>
      <c r="J140" s="609"/>
      <c r="K140" s="77"/>
      <c r="L140" s="607" t="s">
        <v>690</v>
      </c>
      <c r="M140" s="607" t="s">
        <v>691</v>
      </c>
      <c r="N140" s="607" t="s">
        <v>692</v>
      </c>
      <c r="P140" s="609"/>
      <c r="Q140" s="609"/>
      <c r="R140" s="609"/>
      <c r="S140" s="609"/>
      <c r="T140" s="609"/>
      <c r="U140" s="609"/>
      <c r="V140" s="65"/>
      <c r="X140" s="76"/>
      <c r="Y140" s="78"/>
      <c r="Z140" s="78"/>
      <c r="AA140" s="78"/>
      <c r="AB140" s="78"/>
    </row>
    <row r="141" spans="1:28" x14ac:dyDescent="0.25">
      <c r="A141" s="63">
        <v>14</v>
      </c>
      <c r="B141" s="609">
        <v>1.4407000000000001</v>
      </c>
      <c r="C141" s="609">
        <v>1.4407000000000001</v>
      </c>
      <c r="D141" s="609">
        <v>-3.8410000000000002</v>
      </c>
      <c r="E141" s="609">
        <v>-1.6505000000000001</v>
      </c>
      <c r="F141" s="609">
        <v>-1.6505000000000001</v>
      </c>
      <c r="G141" s="616">
        <v>-23.236799999999999</v>
      </c>
      <c r="H141" s="616">
        <v>-23.236799999999999</v>
      </c>
      <c r="I141" s="609"/>
      <c r="J141" s="614"/>
      <c r="K141" s="77" t="s">
        <v>15</v>
      </c>
      <c r="L141" s="607">
        <f>MAX(ABS(B116))</f>
        <v>2.3281000000000001</v>
      </c>
      <c r="M141" s="607" cm="1">
        <f t="array" ref="M141">MAX(ABS(E116:F116))</f>
        <v>4.6033999999999997</v>
      </c>
      <c r="N141" s="607" cm="1">
        <f t="array" ref="N141">MAX(ABS(G116:H116))</f>
        <v>97.312399999999997</v>
      </c>
      <c r="P141" s="609"/>
      <c r="Q141" s="609"/>
      <c r="R141" s="609"/>
      <c r="S141" s="609"/>
      <c r="T141" s="609"/>
      <c r="U141" s="609"/>
      <c r="V141" s="65"/>
    </row>
    <row r="142" spans="1:28" x14ac:dyDescent="0.25">
      <c r="A142" s="63">
        <v>15</v>
      </c>
      <c r="B142" s="609">
        <v>-1.2647999999999999</v>
      </c>
      <c r="C142" s="609">
        <v>3.1343999999999999</v>
      </c>
      <c r="D142" s="609">
        <v>3.1343999999999999</v>
      </c>
      <c r="E142" s="609">
        <v>1.3747</v>
      </c>
      <c r="F142" s="609">
        <v>1.3747</v>
      </c>
      <c r="G142" s="616">
        <v>-23.963200000000001</v>
      </c>
      <c r="H142" s="616">
        <v>-23.963200000000001</v>
      </c>
      <c r="I142" s="609"/>
      <c r="J142" s="609"/>
      <c r="K142" s="77" t="s">
        <v>16</v>
      </c>
      <c r="L142" s="607">
        <f>MAX(ABS(B140))</f>
        <v>0.43980000000000002</v>
      </c>
      <c r="M142" s="607" cm="1">
        <f t="array" ref="M142">MAX(ABS(E140:F140))</f>
        <v>1.0283</v>
      </c>
      <c r="N142" s="607" cm="1">
        <f t="array" ref="N142">MAX(ABS(G140:H140))</f>
        <v>23.3034</v>
      </c>
      <c r="P142" s="609"/>
      <c r="Q142" s="609"/>
      <c r="R142" s="609"/>
      <c r="S142" s="609"/>
      <c r="T142" s="609"/>
      <c r="U142" s="609"/>
      <c r="V142" s="65"/>
    </row>
    <row r="143" spans="1:28" x14ac:dyDescent="0.25">
      <c r="A143" s="63">
        <v>16</v>
      </c>
      <c r="B143" s="609">
        <v>1.2647999999999999</v>
      </c>
      <c r="C143" s="609">
        <v>1.2647999999999999</v>
      </c>
      <c r="D143" s="609">
        <v>-3.1343999999999999</v>
      </c>
      <c r="E143" s="609">
        <v>-1.3747</v>
      </c>
      <c r="F143" s="609">
        <v>-1.3747</v>
      </c>
      <c r="G143" s="616">
        <v>-23.963200000000001</v>
      </c>
      <c r="H143" s="616">
        <v>-23.963200000000001</v>
      </c>
      <c r="I143" s="609"/>
      <c r="J143" s="609"/>
      <c r="P143" s="609"/>
      <c r="Q143" s="609"/>
      <c r="R143" s="609"/>
      <c r="S143" s="609"/>
      <c r="T143" s="609"/>
      <c r="U143" s="609"/>
      <c r="V143" s="65"/>
    </row>
    <row r="144" spans="1:28" x14ac:dyDescent="0.25">
      <c r="A144" s="63">
        <v>17</v>
      </c>
      <c r="B144" s="609">
        <v>-1.4407000000000001</v>
      </c>
      <c r="C144" s="609">
        <v>3.8410000000000002</v>
      </c>
      <c r="D144" s="609">
        <v>3.8410000000000002</v>
      </c>
      <c r="E144" s="609">
        <v>1.6505000000000001</v>
      </c>
      <c r="F144" s="609">
        <v>1.6505000000000001</v>
      </c>
      <c r="G144" s="616">
        <v>-23.236799999999999</v>
      </c>
      <c r="H144" s="616">
        <v>-23.236799999999999</v>
      </c>
      <c r="I144" s="609"/>
      <c r="J144" s="609"/>
      <c r="P144" s="609"/>
      <c r="Q144" s="609"/>
      <c r="R144" s="609"/>
      <c r="S144" s="609"/>
      <c r="T144" s="609"/>
      <c r="U144" s="615"/>
      <c r="V144" s="65" t="s">
        <v>369</v>
      </c>
    </row>
    <row r="145" spans="1:22" x14ac:dyDescent="0.25">
      <c r="A145" s="63">
        <v>18</v>
      </c>
      <c r="B145" s="609">
        <v>5.0587999999999997</v>
      </c>
      <c r="C145" s="609">
        <v>5.0587999999999997</v>
      </c>
      <c r="D145" s="609">
        <v>-3.9220000000000002</v>
      </c>
      <c r="E145" s="609">
        <v>-2.8065000000000002</v>
      </c>
      <c r="F145" s="609">
        <v>-2.8065000000000002</v>
      </c>
      <c r="G145" s="617">
        <v>-7.1353999999999997</v>
      </c>
      <c r="H145" s="617">
        <v>-7.1353999999999997</v>
      </c>
      <c r="I145" s="609"/>
      <c r="J145" s="614"/>
      <c r="P145" s="609"/>
      <c r="Q145" s="609"/>
      <c r="R145" s="609"/>
      <c r="S145" s="609"/>
      <c r="T145" s="609"/>
      <c r="U145" s="619"/>
      <c r="V145" s="65" t="s">
        <v>358</v>
      </c>
    </row>
    <row r="146" spans="1:22" x14ac:dyDescent="0.25">
      <c r="A146" s="63">
        <v>19</v>
      </c>
      <c r="B146" s="609">
        <v>-4.0914999999999999</v>
      </c>
      <c r="C146" s="609">
        <v>3.1762999999999999</v>
      </c>
      <c r="D146" s="609">
        <v>3.1762999999999999</v>
      </c>
      <c r="E146" s="609">
        <v>2.2711999999999999</v>
      </c>
      <c r="F146" s="609">
        <v>2.2711999999999999</v>
      </c>
      <c r="G146" s="617">
        <v>-7.3646000000000003</v>
      </c>
      <c r="H146" s="617">
        <v>-7.3646000000000003</v>
      </c>
      <c r="I146" s="609"/>
      <c r="J146" s="609"/>
      <c r="O146" s="609"/>
      <c r="P146" s="609"/>
      <c r="Q146" s="609"/>
      <c r="R146" s="609"/>
      <c r="S146" s="609"/>
      <c r="T146" s="609"/>
      <c r="U146" s="617"/>
      <c r="V146" s="65" t="s">
        <v>363</v>
      </c>
    </row>
    <row r="147" spans="1:22" x14ac:dyDescent="0.25">
      <c r="A147" s="63">
        <v>20</v>
      </c>
      <c r="B147" s="609">
        <v>4.0914999999999999</v>
      </c>
      <c r="C147" s="609">
        <v>4.0914999999999999</v>
      </c>
      <c r="D147" s="609">
        <v>-3.1762999999999999</v>
      </c>
      <c r="E147" s="609">
        <v>-2.2711999999999999</v>
      </c>
      <c r="F147" s="609">
        <v>-2.2711999999999999</v>
      </c>
      <c r="G147" s="617">
        <v>-7.3646000000000003</v>
      </c>
      <c r="H147" s="617">
        <v>-7.3646000000000003</v>
      </c>
      <c r="I147" s="609"/>
      <c r="J147" s="609"/>
      <c r="O147" s="609"/>
      <c r="P147" s="609"/>
      <c r="Q147" s="609"/>
      <c r="R147" s="609"/>
      <c r="S147" s="609"/>
      <c r="T147" s="609"/>
      <c r="U147" s="609"/>
      <c r="V147" s="65"/>
    </row>
    <row r="148" spans="1:22" ht="14.4" thickBot="1" x14ac:dyDescent="0.3">
      <c r="A148" s="76">
        <v>21</v>
      </c>
      <c r="B148" s="78">
        <v>-5.0587999999999997</v>
      </c>
      <c r="C148" s="78">
        <v>3.9220000000000002</v>
      </c>
      <c r="D148" s="78">
        <v>3.9220000000000002</v>
      </c>
      <c r="E148" s="78">
        <v>2.8065000000000002</v>
      </c>
      <c r="F148" s="78">
        <v>2.8065000000000002</v>
      </c>
      <c r="G148" s="371">
        <v>-7.1353999999999997</v>
      </c>
      <c r="H148" s="371">
        <v>-7.1353999999999997</v>
      </c>
      <c r="I148" s="78"/>
      <c r="J148" s="78"/>
      <c r="O148" s="78"/>
      <c r="P148" s="78"/>
      <c r="Q148" s="78"/>
      <c r="R148" s="78"/>
      <c r="S148" s="78"/>
      <c r="T148" s="78"/>
      <c r="U148" s="78"/>
      <c r="V148" s="79"/>
    </row>
    <row r="151" spans="1:22" x14ac:dyDescent="0.25">
      <c r="B151" s="62" t="s">
        <v>515</v>
      </c>
    </row>
    <row r="152" spans="1:22" x14ac:dyDescent="0.25">
      <c r="B152" s="62" t="s">
        <v>511</v>
      </c>
      <c r="C152" s="62" t="s">
        <v>512</v>
      </c>
      <c r="D152" s="62" t="s">
        <v>513</v>
      </c>
    </row>
    <row r="153" spans="1:22" x14ac:dyDescent="0.25">
      <c r="B153" s="62">
        <v>1</v>
      </c>
      <c r="C153" s="62">
        <f>MIN(H113:H114,H64:H65,H14:H15)</f>
        <v>-143.23249999999999</v>
      </c>
      <c r="D153" s="62">
        <f>MIN(H113,H116,H63,H66,H13,H16)</f>
        <v>-97.312399999999997</v>
      </c>
    </row>
    <row r="154" spans="1:22" x14ac:dyDescent="0.25">
      <c r="B154" s="62">
        <v>2</v>
      </c>
      <c r="C154" s="62">
        <f>MIN(H118:H119,H65:H66,H15:H16)</f>
        <v>-143.23249999999999</v>
      </c>
      <c r="D154" s="62">
        <f>MIN(H117,H120,H67,H70,H17,H20)</f>
        <v>-78.624099999999999</v>
      </c>
    </row>
    <row r="155" spans="1:22" x14ac:dyDescent="0.25">
      <c r="B155" s="62">
        <v>3</v>
      </c>
      <c r="C155" s="62">
        <f>MIN(H122:H123,H72:H73,H22:H23)</f>
        <v>-53.491700000000002</v>
      </c>
      <c r="D155" s="62">
        <f>MIN(H121,H124,H71,H74,H21,H24)</f>
        <v>-33.037999999999997</v>
      </c>
    </row>
    <row r="158" spans="1:22" x14ac:dyDescent="0.25">
      <c r="B158" s="62" t="s">
        <v>516</v>
      </c>
    </row>
    <row r="159" spans="1:22" x14ac:dyDescent="0.25">
      <c r="B159" s="62" t="s">
        <v>511</v>
      </c>
      <c r="C159" s="62" t="s">
        <v>512</v>
      </c>
      <c r="D159" s="62" t="s">
        <v>513</v>
      </c>
    </row>
    <row r="160" spans="1:22" x14ac:dyDescent="0.25">
      <c r="B160" s="62">
        <v>1</v>
      </c>
      <c r="C160" s="62">
        <f>MIN(H138:H139,H88:H89,H38:H39)</f>
        <v>-26.4876</v>
      </c>
      <c r="D160" s="62">
        <f>MIN(H137,H140,H87,H90,H37,H40)</f>
        <v>-23.497</v>
      </c>
    </row>
    <row r="161" spans="2:4" x14ac:dyDescent="0.25">
      <c r="B161" s="62">
        <v>2</v>
      </c>
      <c r="C161" s="62">
        <f>MIN(H142:H143,H92:H93,H42:H43)</f>
        <v>-25.9421</v>
      </c>
      <c r="D161" s="62">
        <f>MIN(H141,H144,H91,H94,H41,H44)</f>
        <v>-23.480399999999999</v>
      </c>
    </row>
    <row r="162" spans="2:4" x14ac:dyDescent="0.25">
      <c r="B162" s="62">
        <v>3</v>
      </c>
      <c r="C162" s="62">
        <f>MIN(H146:H147,H96:H97,H46:H47)</f>
        <v>-16.444400000000002</v>
      </c>
      <c r="D162" s="62">
        <f>MIN(H145,H148,H95,H98,H45,H48)</f>
        <v>-13.997999999999999</v>
      </c>
    </row>
  </sheetData>
  <mergeCells count="3">
    <mergeCell ref="A1:V1"/>
    <mergeCell ref="A51:V51"/>
    <mergeCell ref="A101:V101"/>
  </mergeCells>
  <phoneticPr fontId="50" type="noConversion"/>
  <printOptions horizontalCentered="1"/>
  <pageMargins left="0.59055118110236227" right="0.39370078740157483" top="0.59055118110236227" bottom="0.39370078740157483" header="0.31496062992125984" footer="0.31496062992125984"/>
  <pageSetup paperSize="9" scale="59" orientation="landscape" horizontalDpi="429496729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L74"/>
  <sheetViews>
    <sheetView showGridLines="0" view="pageBreakPreview" zoomScale="70" zoomScaleNormal="70" zoomScaleSheetLayoutView="70" workbookViewId="0">
      <selection activeCell="I8" sqref="I8"/>
    </sheetView>
  </sheetViews>
  <sheetFormatPr defaultRowHeight="14.4" x14ac:dyDescent="0.3"/>
  <cols>
    <col min="1" max="1" width="25.33203125" bestFit="1" customWidth="1"/>
  </cols>
  <sheetData>
    <row r="1" spans="1:12" ht="20.399999999999999" thickBot="1" x14ac:dyDescent="0.35">
      <c r="A1" s="477" t="s">
        <v>549</v>
      </c>
      <c r="B1" s="478"/>
      <c r="C1" s="478"/>
      <c r="D1" s="478"/>
      <c r="E1" s="478"/>
      <c r="F1" s="429"/>
      <c r="G1" s="429"/>
      <c r="H1" s="429"/>
      <c r="I1" s="429"/>
      <c r="J1" s="429"/>
      <c r="K1" s="429"/>
      <c r="L1" s="430"/>
    </row>
    <row r="2" spans="1:12" ht="15" thickBot="1" x14ac:dyDescent="0.35">
      <c r="A2" s="474" t="s">
        <v>199</v>
      </c>
      <c r="B2" s="475"/>
      <c r="C2" s="475"/>
      <c r="D2" s="475"/>
      <c r="E2" s="476"/>
      <c r="F2" s="474" t="s">
        <v>200</v>
      </c>
      <c r="G2" s="475"/>
      <c r="H2" s="475"/>
      <c r="I2" s="475"/>
      <c r="J2" s="475"/>
      <c r="K2" s="475"/>
      <c r="L2" s="476"/>
    </row>
    <row r="3" spans="1:12" x14ac:dyDescent="0.3">
      <c r="A3" s="80" t="s">
        <v>201</v>
      </c>
      <c r="B3" s="81">
        <v>20.7</v>
      </c>
      <c r="C3" s="62" t="s">
        <v>25</v>
      </c>
      <c r="D3" s="62"/>
      <c r="E3" s="62"/>
      <c r="F3" s="80" t="s">
        <v>202</v>
      </c>
      <c r="G3" s="81">
        <v>1500</v>
      </c>
      <c r="H3" s="62" t="s">
        <v>43</v>
      </c>
      <c r="I3" s="62" t="s">
        <v>203</v>
      </c>
      <c r="J3" s="81">
        <v>1000</v>
      </c>
      <c r="K3" s="62" t="s">
        <v>43</v>
      </c>
      <c r="L3" s="65"/>
    </row>
    <row r="4" spans="1:12" x14ac:dyDescent="0.3">
      <c r="A4" s="80" t="s">
        <v>204</v>
      </c>
      <c r="B4" s="77">
        <v>276</v>
      </c>
      <c r="C4" s="62" t="s">
        <v>64</v>
      </c>
      <c r="D4" s="62"/>
      <c r="E4" s="62"/>
      <c r="F4" s="80" t="s">
        <v>205</v>
      </c>
      <c r="G4" s="77">
        <v>1600</v>
      </c>
      <c r="H4" s="62" t="s">
        <v>43</v>
      </c>
      <c r="I4" s="62"/>
      <c r="J4" s="62"/>
      <c r="K4" s="62"/>
      <c r="L4" s="65"/>
    </row>
    <row r="5" spans="1:12" x14ac:dyDescent="0.3">
      <c r="A5" s="80" t="s">
        <v>206</v>
      </c>
      <c r="B5" s="77">
        <v>10</v>
      </c>
      <c r="C5" s="62" t="s">
        <v>43</v>
      </c>
      <c r="D5" s="62"/>
      <c r="E5" s="62"/>
      <c r="F5" s="80" t="s">
        <v>207</v>
      </c>
      <c r="G5" s="77">
        <v>8</v>
      </c>
      <c r="H5" s="62"/>
      <c r="I5" s="62"/>
      <c r="J5" s="62"/>
      <c r="K5" s="62"/>
      <c r="L5" s="65"/>
    </row>
    <row r="6" spans="1:12" x14ac:dyDescent="0.3">
      <c r="A6" s="80" t="s">
        <v>208</v>
      </c>
      <c r="B6" s="77">
        <v>10</v>
      </c>
      <c r="C6" s="62" t="s">
        <v>43</v>
      </c>
      <c r="D6" s="62"/>
      <c r="E6" s="62"/>
      <c r="F6" s="80" t="s">
        <v>209</v>
      </c>
      <c r="G6" s="77">
        <v>2500</v>
      </c>
      <c r="H6" s="62" t="s">
        <v>43</v>
      </c>
      <c r="I6" s="62"/>
      <c r="J6" s="62"/>
      <c r="K6" s="62"/>
      <c r="L6" s="65"/>
    </row>
    <row r="7" spans="1:12" x14ac:dyDescent="0.3">
      <c r="A7" s="80" t="s">
        <v>210</v>
      </c>
      <c r="B7" s="77">
        <v>20</v>
      </c>
      <c r="C7" s="62" t="s">
        <v>43</v>
      </c>
      <c r="D7" s="62"/>
      <c r="E7" s="62"/>
      <c r="F7" s="91" t="s">
        <v>211</v>
      </c>
      <c r="G7" s="312">
        <f>$G$3/$G$5</f>
        <v>187.5</v>
      </c>
      <c r="H7" s="92" t="s">
        <v>43</v>
      </c>
      <c r="I7" s="92"/>
      <c r="J7" s="62"/>
      <c r="K7" s="62"/>
      <c r="L7" s="65"/>
    </row>
    <row r="8" spans="1:12" ht="15" thickBot="1" x14ac:dyDescent="0.35">
      <c r="A8" s="82" t="s">
        <v>212</v>
      </c>
      <c r="B8" s="83">
        <f>IF(B3&lt;28,0.85,0.85-((0.05/7)*(B3-28)))</f>
        <v>0.85</v>
      </c>
      <c r="C8" s="78"/>
      <c r="D8" s="78"/>
      <c r="E8" s="62"/>
      <c r="F8" s="91" t="s">
        <v>213</v>
      </c>
      <c r="G8" s="312">
        <f>$G$4/$G$5</f>
        <v>200</v>
      </c>
      <c r="H8" s="92" t="s">
        <v>43</v>
      </c>
      <c r="I8" s="92"/>
      <c r="J8" s="62"/>
      <c r="K8" s="62"/>
      <c r="L8" s="65"/>
    </row>
    <row r="9" spans="1:12" ht="15" thickBot="1" x14ac:dyDescent="0.35">
      <c r="A9" s="474" t="s">
        <v>214</v>
      </c>
      <c r="B9" s="475"/>
      <c r="C9" s="475"/>
      <c r="D9" s="475"/>
      <c r="E9" s="476"/>
      <c r="F9" s="63"/>
      <c r="G9" s="62"/>
      <c r="H9" s="62"/>
      <c r="I9" s="62"/>
      <c r="J9" s="62"/>
      <c r="K9" s="62"/>
      <c r="L9" s="65"/>
    </row>
    <row r="10" spans="1:12" x14ac:dyDescent="0.3">
      <c r="A10" s="80" t="s">
        <v>215</v>
      </c>
      <c r="B10" s="84">
        <f>IF(B4&lt;415,(0.4+(B4/700)),1)</f>
        <v>0.79428571428571426</v>
      </c>
      <c r="C10" s="62"/>
      <c r="D10" s="62"/>
      <c r="E10" s="62"/>
      <c r="F10" s="63"/>
      <c r="G10" s="62"/>
      <c r="H10" s="62"/>
      <c r="I10" s="62"/>
      <c r="J10" s="62"/>
      <c r="K10" s="62"/>
      <c r="L10" s="65"/>
    </row>
    <row r="11" spans="1:12" x14ac:dyDescent="0.3">
      <c r="A11" s="313" t="s">
        <v>216</v>
      </c>
      <c r="B11" s="314">
        <f>(B10*(G6/20))</f>
        <v>99.285714285714278</v>
      </c>
      <c r="C11" s="315" t="s">
        <v>42</v>
      </c>
      <c r="D11" s="316">
        <f>ROUNDUP($B$11/10, 0) * 10</f>
        <v>100</v>
      </c>
      <c r="E11" s="317" t="s">
        <v>43</v>
      </c>
      <c r="F11" s="63"/>
      <c r="G11" s="62"/>
      <c r="H11" s="62"/>
      <c r="I11" s="62"/>
      <c r="J11" s="62"/>
      <c r="K11" s="62"/>
      <c r="L11" s="65"/>
    </row>
    <row r="12" spans="1:12" ht="15" thickBot="1" x14ac:dyDescent="0.35">
      <c r="A12" s="80" t="s">
        <v>217</v>
      </c>
      <c r="B12" s="85">
        <f>B11-B7-(B5/2)</f>
        <v>74.285714285714278</v>
      </c>
      <c r="C12" s="62" t="s">
        <v>43</v>
      </c>
      <c r="D12" s="62"/>
      <c r="E12" s="62"/>
      <c r="F12" s="63"/>
      <c r="G12" s="62"/>
      <c r="H12" s="62"/>
      <c r="I12" s="62"/>
      <c r="J12" s="62"/>
      <c r="K12" s="62"/>
      <c r="L12" s="65"/>
    </row>
    <row r="13" spans="1:12" ht="15" thickBot="1" x14ac:dyDescent="0.35">
      <c r="A13" s="474" t="s">
        <v>218</v>
      </c>
      <c r="B13" s="475"/>
      <c r="C13" s="475"/>
      <c r="D13" s="475"/>
      <c r="E13" s="476"/>
      <c r="F13" s="63"/>
      <c r="G13" s="62"/>
      <c r="H13" s="62"/>
      <c r="I13" s="62"/>
      <c r="J13" s="62"/>
      <c r="K13" s="62"/>
      <c r="L13" s="65"/>
    </row>
    <row r="14" spans="1:12" x14ac:dyDescent="0.3">
      <c r="A14" s="86" t="s">
        <v>219</v>
      </c>
      <c r="B14" s="87" t="s">
        <v>220</v>
      </c>
      <c r="C14" s="87" t="s">
        <v>180</v>
      </c>
      <c r="D14" s="62"/>
      <c r="E14" s="62"/>
      <c r="F14" s="63"/>
      <c r="G14" s="62"/>
      <c r="H14" s="62"/>
      <c r="I14" s="62"/>
      <c r="J14" s="62"/>
      <c r="K14" s="62"/>
      <c r="L14" s="65"/>
    </row>
    <row r="15" spans="1:12" x14ac:dyDescent="0.3">
      <c r="A15" s="80" t="s">
        <v>221</v>
      </c>
      <c r="B15" s="87" t="s">
        <v>222</v>
      </c>
      <c r="C15" s="84">
        <f>(24/1000)*((($D$11/$G$8)*SQRT($G$7^2 + $G$8^2))+($G$7/2))*1.2</f>
        <v>6.6477081959030349</v>
      </c>
      <c r="D15" s="62"/>
      <c r="E15" s="62"/>
      <c r="F15" s="63"/>
      <c r="G15" s="62"/>
      <c r="H15" s="62"/>
      <c r="I15" s="62"/>
      <c r="J15" s="62"/>
      <c r="K15" s="62"/>
      <c r="L15" s="65"/>
    </row>
    <row r="16" spans="1:12" x14ac:dyDescent="0.3">
      <c r="A16" s="80" t="s">
        <v>223</v>
      </c>
      <c r="B16" s="77">
        <f>1.5+1.5+0.24</f>
        <v>3.24</v>
      </c>
      <c r="C16" s="84">
        <f>1.2*B16</f>
        <v>3.8879999999999999</v>
      </c>
      <c r="D16" s="62"/>
      <c r="E16" s="62"/>
      <c r="F16" s="63"/>
      <c r="G16" s="62"/>
      <c r="H16" s="62"/>
      <c r="I16" s="62"/>
      <c r="J16" s="62"/>
      <c r="K16" s="62"/>
      <c r="L16" s="65"/>
    </row>
    <row r="17" spans="1:12" x14ac:dyDescent="0.3">
      <c r="A17" s="80" t="s">
        <v>224</v>
      </c>
      <c r="B17" s="81">
        <v>0.5</v>
      </c>
      <c r="C17" s="85">
        <f>1.2*B17</f>
        <v>0.6</v>
      </c>
      <c r="D17" s="62"/>
      <c r="E17" s="62"/>
      <c r="F17" s="63"/>
      <c r="G17" s="62"/>
      <c r="H17" s="62"/>
      <c r="I17" s="62"/>
      <c r="J17" s="62"/>
      <c r="K17" s="62"/>
      <c r="L17" s="65"/>
    </row>
    <row r="18" spans="1:12" x14ac:dyDescent="0.3">
      <c r="A18" s="80" t="s">
        <v>225</v>
      </c>
      <c r="B18" s="62"/>
      <c r="C18" s="62"/>
      <c r="D18" s="62"/>
      <c r="E18" s="62"/>
      <c r="F18" s="63"/>
      <c r="G18" s="62"/>
      <c r="H18" s="62"/>
      <c r="I18" s="62"/>
      <c r="J18" s="62"/>
      <c r="K18" s="62"/>
      <c r="L18" s="65"/>
    </row>
    <row r="19" spans="1:12" x14ac:dyDescent="0.3">
      <c r="A19" s="80" t="s">
        <v>226</v>
      </c>
      <c r="B19" s="88"/>
      <c r="C19" s="89">
        <f>SUM(C15:C18)</f>
        <v>11.135708195903034</v>
      </c>
      <c r="D19" s="62"/>
      <c r="E19" s="62"/>
      <c r="F19" s="63"/>
      <c r="G19" s="62"/>
      <c r="H19" s="62"/>
      <c r="I19" s="62"/>
      <c r="J19" s="62"/>
      <c r="K19" s="62"/>
      <c r="L19" s="65"/>
    </row>
    <row r="20" spans="1:12" x14ac:dyDescent="0.3">
      <c r="A20" s="63"/>
      <c r="B20" s="62"/>
      <c r="C20" s="62"/>
      <c r="D20" s="62"/>
      <c r="E20" s="62"/>
      <c r="F20" s="63"/>
      <c r="G20" s="62"/>
      <c r="H20" s="62"/>
      <c r="I20" s="62"/>
      <c r="J20" s="62"/>
      <c r="K20" s="62"/>
      <c r="L20" s="65"/>
    </row>
    <row r="21" spans="1:12" x14ac:dyDescent="0.3">
      <c r="A21" s="86" t="s">
        <v>227</v>
      </c>
      <c r="B21" s="90"/>
      <c r="C21" s="90"/>
      <c r="D21" s="62"/>
      <c r="E21" s="62"/>
      <c r="F21" s="63"/>
      <c r="G21" s="62"/>
      <c r="H21" s="62"/>
      <c r="I21" s="62"/>
      <c r="J21" s="62"/>
      <c r="K21" s="62"/>
      <c r="L21" s="65"/>
    </row>
    <row r="22" spans="1:12" x14ac:dyDescent="0.3">
      <c r="A22" s="80" t="s">
        <v>228</v>
      </c>
      <c r="B22" s="77">
        <v>1.9</v>
      </c>
      <c r="C22" s="84">
        <f>1.6*B22</f>
        <v>3.04</v>
      </c>
      <c r="D22" s="62"/>
      <c r="E22" s="62"/>
      <c r="F22" s="63"/>
      <c r="G22" s="62"/>
      <c r="H22" s="62"/>
      <c r="I22" s="62"/>
      <c r="J22" s="62"/>
      <c r="K22" s="62"/>
      <c r="L22" s="65"/>
    </row>
    <row r="23" spans="1:12" x14ac:dyDescent="0.3">
      <c r="A23" s="80" t="s">
        <v>229</v>
      </c>
      <c r="B23" s="62"/>
      <c r="C23" s="89">
        <f>SUM(C22)</f>
        <v>3.04</v>
      </c>
      <c r="D23" s="62"/>
      <c r="E23" s="62"/>
      <c r="F23" s="63"/>
      <c r="G23" s="62"/>
      <c r="H23" s="62"/>
      <c r="I23" s="62"/>
      <c r="J23" s="62"/>
      <c r="K23" s="62"/>
      <c r="L23" s="65"/>
    </row>
    <row r="24" spans="1:12" x14ac:dyDescent="0.3">
      <c r="A24" s="91"/>
      <c r="B24" s="62"/>
      <c r="C24" s="92"/>
      <c r="D24" s="62"/>
      <c r="E24" s="62"/>
      <c r="F24" s="68"/>
      <c r="G24" s="69"/>
      <c r="H24" s="69"/>
      <c r="I24" s="62"/>
      <c r="J24" s="62"/>
      <c r="K24" s="62"/>
      <c r="L24" s="65"/>
    </row>
    <row r="25" spans="1:12" x14ac:dyDescent="0.3">
      <c r="A25" s="91" t="s">
        <v>230</v>
      </c>
      <c r="B25" s="62"/>
      <c r="C25" s="62"/>
      <c r="D25" s="62"/>
      <c r="E25" s="62"/>
      <c r="F25" s="68"/>
      <c r="G25" s="69"/>
      <c r="H25" s="69"/>
      <c r="I25" s="62"/>
      <c r="J25" s="62"/>
      <c r="K25" s="62"/>
      <c r="L25" s="65"/>
    </row>
    <row r="26" spans="1:12" ht="15" thickBot="1" x14ac:dyDescent="0.35">
      <c r="A26" s="91" t="s">
        <v>231</v>
      </c>
      <c r="B26" s="62"/>
      <c r="C26" s="93">
        <f>SUM(C19,C23)</f>
        <v>14.175708195903034</v>
      </c>
      <c r="D26" s="62"/>
      <c r="E26" s="62"/>
      <c r="F26" s="68"/>
      <c r="G26" s="69"/>
      <c r="H26" s="69"/>
      <c r="I26" s="62"/>
      <c r="J26" s="62"/>
      <c r="K26" s="62"/>
      <c r="L26" s="65"/>
    </row>
    <row r="27" spans="1:12" ht="15" thickBot="1" x14ac:dyDescent="0.35">
      <c r="A27" s="474" t="s">
        <v>232</v>
      </c>
      <c r="B27" s="475"/>
      <c r="C27" s="475"/>
      <c r="D27" s="475"/>
      <c r="E27" s="475"/>
      <c r="F27" s="475"/>
      <c r="G27" s="475"/>
      <c r="H27" s="475"/>
      <c r="I27" s="475"/>
      <c r="J27" s="475"/>
      <c r="K27" s="475"/>
      <c r="L27" s="476"/>
    </row>
    <row r="28" spans="1:12" x14ac:dyDescent="0.3">
      <c r="A28" s="94" t="s">
        <v>233</v>
      </c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95"/>
    </row>
    <row r="29" spans="1:12" x14ac:dyDescent="0.3">
      <c r="A29" s="96" t="s">
        <v>234</v>
      </c>
      <c r="B29" s="84">
        <f>(1/14)*($C$26*($G$6^2))/(1000^2)</f>
        <v>6.3284411588852825</v>
      </c>
      <c r="C29" s="85" t="s">
        <v>235</v>
      </c>
      <c r="D29" s="85"/>
      <c r="E29" s="85"/>
      <c r="F29" s="85"/>
      <c r="G29" s="85"/>
      <c r="H29" s="85"/>
      <c r="I29" s="62"/>
      <c r="J29" s="62"/>
      <c r="K29" s="62"/>
      <c r="L29" s="65"/>
    </row>
    <row r="30" spans="1:12" x14ac:dyDescent="0.3">
      <c r="A30" s="96" t="s">
        <v>236</v>
      </c>
      <c r="B30" s="97">
        <f>($B$29*10^6)/(0.9*1000*((B12^2)))</f>
        <v>1.2742176889603014</v>
      </c>
      <c r="C30" s="85" t="s">
        <v>138</v>
      </c>
      <c r="D30" s="85"/>
      <c r="E30" s="85"/>
      <c r="F30" s="85"/>
      <c r="G30" s="85"/>
      <c r="H30" s="85"/>
      <c r="I30" s="62"/>
      <c r="J30" s="62"/>
      <c r="K30" s="62"/>
      <c r="L30" s="65"/>
    </row>
    <row r="31" spans="1:12" x14ac:dyDescent="0.3">
      <c r="A31" s="96" t="s">
        <v>237</v>
      </c>
      <c r="B31" s="85">
        <f>1.4/$B$4</f>
        <v>5.0724637681159417E-3</v>
      </c>
      <c r="C31" s="85"/>
      <c r="D31" s="85"/>
      <c r="E31" s="85"/>
      <c r="F31" s="85"/>
      <c r="G31" s="85"/>
      <c r="H31" s="85"/>
      <c r="I31" s="62"/>
      <c r="J31" s="62"/>
      <c r="K31" s="62"/>
      <c r="L31" s="65"/>
    </row>
    <row r="32" spans="1:12" x14ac:dyDescent="0.3">
      <c r="A32" s="96" t="s">
        <v>238</v>
      </c>
      <c r="B32" s="85">
        <f>(0.85*$B$3*$B$8)*(3/8)/$B$4</f>
        <v>2.03203125E-2</v>
      </c>
      <c r="C32" s="85"/>
      <c r="D32" s="85"/>
      <c r="E32" s="85"/>
      <c r="F32" s="85"/>
      <c r="G32" s="85"/>
      <c r="H32" s="85"/>
      <c r="I32" s="62"/>
      <c r="J32" s="62"/>
      <c r="K32" s="62"/>
      <c r="L32" s="65"/>
    </row>
    <row r="33" spans="1:12" x14ac:dyDescent="0.3">
      <c r="A33" s="96" t="s">
        <v>239</v>
      </c>
      <c r="B33" s="98">
        <f>((0.85*$B$3)/$B$4)*(1-SQRT(1-(2*B30)/(0.85*B3)))</f>
        <v>4.7972279831607423E-3</v>
      </c>
      <c r="C33" s="99" t="s">
        <v>101</v>
      </c>
      <c r="D33" s="471">
        <f>MIN(MAX(B33, B31), B32)</f>
        <v>5.0724637681159417E-3</v>
      </c>
      <c r="E33" s="471"/>
      <c r="F33" s="85"/>
      <c r="G33" s="85"/>
      <c r="H33" s="85"/>
      <c r="I33" s="62"/>
      <c r="J33" s="62"/>
      <c r="K33" s="62"/>
      <c r="L33" s="65"/>
    </row>
    <row r="34" spans="1:12" x14ac:dyDescent="0.3">
      <c r="A34" s="96" t="s">
        <v>240</v>
      </c>
      <c r="B34" s="85">
        <f>D33*1000*$B$12</f>
        <v>376.81159420289845</v>
      </c>
      <c r="C34" s="85" t="s">
        <v>241</v>
      </c>
      <c r="D34" s="85"/>
      <c r="E34" s="85"/>
      <c r="F34" s="85"/>
      <c r="G34" s="85"/>
      <c r="H34" s="85"/>
      <c r="I34" s="62"/>
      <c r="J34" s="62"/>
      <c r="K34" s="62"/>
      <c r="L34" s="65"/>
    </row>
    <row r="35" spans="1:12" x14ac:dyDescent="0.3">
      <c r="A35" s="96"/>
      <c r="B35" s="85"/>
      <c r="C35" s="85"/>
      <c r="D35" s="85"/>
      <c r="E35" s="85"/>
      <c r="F35" s="85"/>
      <c r="G35" s="85"/>
      <c r="H35" s="85"/>
      <c r="I35" s="62"/>
      <c r="J35" s="62"/>
      <c r="K35" s="62"/>
      <c r="L35" s="65"/>
    </row>
    <row r="36" spans="1:12" x14ac:dyDescent="0.3">
      <c r="A36" s="96" t="s">
        <v>242</v>
      </c>
      <c r="B36" s="85">
        <f>3*$D$11</f>
        <v>300</v>
      </c>
      <c r="C36" s="85" t="s">
        <v>43</v>
      </c>
      <c r="D36" s="85"/>
      <c r="E36" s="85"/>
      <c r="F36" s="85"/>
      <c r="G36" s="85"/>
      <c r="H36" s="85"/>
      <c r="I36" s="62"/>
      <c r="J36" s="62"/>
      <c r="K36" s="62"/>
      <c r="L36" s="65"/>
    </row>
    <row r="37" spans="1:12" x14ac:dyDescent="0.3">
      <c r="A37" s="96" t="s">
        <v>243</v>
      </c>
      <c r="B37" s="85">
        <f>450</f>
        <v>450</v>
      </c>
      <c r="C37" s="85" t="s">
        <v>43</v>
      </c>
      <c r="D37" s="85"/>
      <c r="E37" s="85"/>
      <c r="F37" s="85"/>
      <c r="G37" s="85"/>
      <c r="H37" s="85"/>
      <c r="I37" s="62"/>
      <c r="J37" s="62"/>
      <c r="K37" s="62"/>
      <c r="L37" s="65"/>
    </row>
    <row r="38" spans="1:12" x14ac:dyDescent="0.3">
      <c r="A38" s="96" t="s">
        <v>244</v>
      </c>
      <c r="B38" s="85">
        <f>(1000*(PI()*($B$5^2)/4))/$B$34</f>
        <v>208.4325895170152</v>
      </c>
      <c r="C38" s="85" t="s">
        <v>43</v>
      </c>
      <c r="D38" s="99"/>
      <c r="E38" s="100"/>
      <c r="F38" s="85"/>
      <c r="G38" s="85"/>
      <c r="H38" s="85"/>
      <c r="I38" s="62"/>
      <c r="J38" s="62"/>
      <c r="K38" s="62"/>
      <c r="L38" s="65"/>
    </row>
    <row r="39" spans="1:12" x14ac:dyDescent="0.3">
      <c r="A39" s="318" t="s">
        <v>245</v>
      </c>
      <c r="B39" s="319">
        <f>ROUNDDOWN(MIN(B36, B37, B38)/5, 0) * 5</f>
        <v>205</v>
      </c>
      <c r="C39" s="319" t="s">
        <v>43</v>
      </c>
      <c r="D39" s="472" t="str">
        <f>"USE "&amp;$B$5&amp;"mm MAIN BARS AT "&amp;B39&amp;"mm O.C. AT MIDSPAN"</f>
        <v>USE 10mm MAIN BARS AT 205mm O.C. AT MIDSPAN</v>
      </c>
      <c r="E39" s="472"/>
      <c r="F39" s="472"/>
      <c r="G39" s="472"/>
      <c r="H39" s="472"/>
      <c r="I39" s="472"/>
      <c r="J39" s="472"/>
      <c r="K39" s="472"/>
      <c r="L39" s="473"/>
    </row>
    <row r="40" spans="1:12" x14ac:dyDescent="0.3">
      <c r="A40" s="63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5"/>
    </row>
    <row r="41" spans="1:12" x14ac:dyDescent="0.3">
      <c r="A41" s="94" t="s">
        <v>246</v>
      </c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5"/>
    </row>
    <row r="42" spans="1:12" x14ac:dyDescent="0.3">
      <c r="A42" s="96" t="s">
        <v>247</v>
      </c>
      <c r="B42" s="85">
        <f>0.002*1000*D11</f>
        <v>200</v>
      </c>
      <c r="C42" s="85" t="s">
        <v>241</v>
      </c>
      <c r="D42" s="85"/>
      <c r="E42" s="85"/>
      <c r="F42" s="85"/>
      <c r="G42" s="85"/>
      <c r="H42" s="85"/>
      <c r="I42" s="62"/>
      <c r="J42" s="62"/>
      <c r="K42" s="62"/>
      <c r="L42" s="65"/>
    </row>
    <row r="43" spans="1:12" x14ac:dyDescent="0.3">
      <c r="A43" s="96"/>
      <c r="B43" s="85"/>
      <c r="C43" s="85"/>
      <c r="D43" s="85"/>
      <c r="E43" s="85"/>
      <c r="F43" s="85"/>
      <c r="G43" s="85"/>
      <c r="H43" s="85"/>
      <c r="I43" s="62"/>
      <c r="J43" s="62"/>
      <c r="K43" s="62"/>
      <c r="L43" s="65"/>
    </row>
    <row r="44" spans="1:12" x14ac:dyDescent="0.3">
      <c r="A44" s="96" t="s">
        <v>242</v>
      </c>
      <c r="B44" s="85">
        <f>5*D11</f>
        <v>500</v>
      </c>
      <c r="C44" s="85" t="s">
        <v>43</v>
      </c>
      <c r="D44" s="85"/>
      <c r="E44" s="85"/>
      <c r="F44" s="85"/>
      <c r="G44" s="85"/>
      <c r="H44" s="85"/>
      <c r="I44" s="62"/>
      <c r="J44" s="62"/>
      <c r="K44" s="62"/>
      <c r="L44" s="65"/>
    </row>
    <row r="45" spans="1:12" x14ac:dyDescent="0.3">
      <c r="A45" s="96" t="s">
        <v>243</v>
      </c>
      <c r="B45" s="85">
        <f>450</f>
        <v>450</v>
      </c>
      <c r="C45" s="85" t="s">
        <v>43</v>
      </c>
      <c r="D45" s="85"/>
      <c r="E45" s="85"/>
      <c r="F45" s="85"/>
      <c r="G45" s="85"/>
      <c r="H45" s="85"/>
      <c r="I45" s="62"/>
      <c r="J45" s="62"/>
      <c r="K45" s="62"/>
      <c r="L45" s="65"/>
    </row>
    <row r="46" spans="1:12" x14ac:dyDescent="0.3">
      <c r="A46" s="96" t="s">
        <v>244</v>
      </c>
      <c r="B46" s="85">
        <f>(1000*(PI()*(B6^2)/4))/$B$42</f>
        <v>392.69908169872417</v>
      </c>
      <c r="C46" s="85" t="s">
        <v>43</v>
      </c>
      <c r="D46" s="85"/>
      <c r="E46" s="85"/>
      <c r="F46" s="85"/>
      <c r="G46" s="85"/>
      <c r="H46" s="85"/>
      <c r="I46" s="62"/>
      <c r="J46" s="62"/>
      <c r="K46" s="62"/>
      <c r="L46" s="65"/>
    </row>
    <row r="47" spans="1:12" ht="15" thickBot="1" x14ac:dyDescent="0.35">
      <c r="A47" s="318" t="s">
        <v>248</v>
      </c>
      <c r="B47" s="319">
        <f>ROUNDDOWN(MIN(B44:B46)/5, 0) * 5</f>
        <v>390</v>
      </c>
      <c r="C47" s="319" t="s">
        <v>43</v>
      </c>
      <c r="D47" s="466" t="str">
        <f>"USE "&amp;$B$6&amp;"mm MAIN BARS AT "&amp;B47&amp;"mm O.C. AT MIDSPAN"</f>
        <v>USE 10mm MAIN BARS AT 390mm O.C. AT MIDSPAN</v>
      </c>
      <c r="E47" s="466"/>
      <c r="F47" s="466"/>
      <c r="G47" s="466"/>
      <c r="H47" s="466"/>
      <c r="I47" s="466"/>
      <c r="J47" s="466"/>
      <c r="K47" s="466"/>
      <c r="L47" s="467"/>
    </row>
    <row r="48" spans="1:12" ht="15" thickBot="1" x14ac:dyDescent="0.35">
      <c r="A48" s="474" t="s">
        <v>249</v>
      </c>
      <c r="B48" s="475"/>
      <c r="C48" s="475"/>
      <c r="D48" s="475"/>
      <c r="E48" s="475"/>
      <c r="F48" s="475"/>
      <c r="G48" s="475"/>
      <c r="H48" s="475"/>
      <c r="I48" s="475"/>
      <c r="J48" s="475"/>
      <c r="K48" s="475"/>
      <c r="L48" s="476"/>
    </row>
    <row r="49" spans="1:12" x14ac:dyDescent="0.3">
      <c r="A49" s="94" t="s">
        <v>233</v>
      </c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5"/>
    </row>
    <row r="50" spans="1:12" x14ac:dyDescent="0.3">
      <c r="A50" s="96" t="s">
        <v>234</v>
      </c>
      <c r="B50" s="84">
        <f>(1/9)*($C$26*($G$6^2))/(1000^2)</f>
        <v>9.8442418027104406</v>
      </c>
      <c r="C50" s="85" t="s">
        <v>235</v>
      </c>
      <c r="D50" s="85"/>
      <c r="E50" s="85"/>
      <c r="F50" s="85"/>
      <c r="G50" s="85"/>
      <c r="H50" s="85"/>
      <c r="I50" s="62"/>
      <c r="J50" s="62"/>
      <c r="K50" s="62"/>
      <c r="L50" s="65"/>
    </row>
    <row r="51" spans="1:12" x14ac:dyDescent="0.3">
      <c r="A51" s="96" t="s">
        <v>236</v>
      </c>
      <c r="B51" s="97">
        <f>(B50*10^6)/(0.9*1000*(($B$12^2)))</f>
        <v>1.9821164050493578</v>
      </c>
      <c r="C51" s="85" t="s">
        <v>138</v>
      </c>
      <c r="D51" s="85"/>
      <c r="E51" s="85"/>
      <c r="F51" s="85"/>
      <c r="G51" s="85"/>
      <c r="H51" s="85"/>
      <c r="I51" s="62"/>
      <c r="J51" s="62"/>
      <c r="K51" s="62"/>
      <c r="L51" s="65"/>
    </row>
    <row r="52" spans="1:12" x14ac:dyDescent="0.3">
      <c r="A52" s="96" t="s">
        <v>237</v>
      </c>
      <c r="B52" s="85">
        <f>1.4/$B$4</f>
        <v>5.0724637681159417E-3</v>
      </c>
      <c r="C52" s="85"/>
      <c r="D52" s="85"/>
      <c r="E52" s="85"/>
      <c r="F52" s="85"/>
      <c r="G52" s="85"/>
      <c r="H52" s="85"/>
      <c r="I52" s="62"/>
      <c r="J52" s="62"/>
      <c r="K52" s="62"/>
      <c r="L52" s="65"/>
    </row>
    <row r="53" spans="1:12" x14ac:dyDescent="0.3">
      <c r="A53" s="96" t="s">
        <v>238</v>
      </c>
      <c r="B53" s="85">
        <f>(0.85*$B$3*$B$8)*(3/8)/$B$4</f>
        <v>2.03203125E-2</v>
      </c>
      <c r="C53" s="85"/>
      <c r="D53" s="85"/>
      <c r="E53" s="85"/>
      <c r="F53" s="85"/>
      <c r="G53" s="85"/>
      <c r="H53" s="85"/>
      <c r="I53" s="62"/>
      <c r="J53" s="62"/>
      <c r="K53" s="62"/>
      <c r="L53" s="65"/>
    </row>
    <row r="54" spans="1:12" x14ac:dyDescent="0.3">
      <c r="A54" s="96" t="s">
        <v>239</v>
      </c>
      <c r="B54" s="98">
        <f>((0.85*$B$3)/$B$4)*(1-SQRT(1-(2*B51)/(0.85*$B$3)))</f>
        <v>7.6392978136850531E-3</v>
      </c>
      <c r="C54" s="99" t="s">
        <v>101</v>
      </c>
      <c r="D54" s="471">
        <f>MIN(MAX(B54, B52), B53)</f>
        <v>7.6392978136850531E-3</v>
      </c>
      <c r="E54" s="471"/>
      <c r="F54" s="85"/>
      <c r="G54" s="85"/>
      <c r="H54" s="85"/>
      <c r="I54" s="62"/>
      <c r="J54" s="62"/>
      <c r="K54" s="62"/>
      <c r="L54" s="65"/>
    </row>
    <row r="55" spans="1:12" x14ac:dyDescent="0.3">
      <c r="A55" s="96" t="s">
        <v>240</v>
      </c>
      <c r="B55" s="85">
        <f>D54*1000*$B$12</f>
        <v>567.49069473088957</v>
      </c>
      <c r="C55" s="85" t="s">
        <v>241</v>
      </c>
      <c r="D55" s="85"/>
      <c r="E55" s="85"/>
      <c r="F55" s="85"/>
      <c r="G55" s="85"/>
      <c r="H55" s="85"/>
      <c r="I55" s="62"/>
      <c r="J55" s="62"/>
      <c r="K55" s="62"/>
      <c r="L55" s="65"/>
    </row>
    <row r="56" spans="1:12" x14ac:dyDescent="0.3">
      <c r="A56" s="96"/>
      <c r="B56" s="85"/>
      <c r="C56" s="85"/>
      <c r="D56" s="85"/>
      <c r="E56" s="85"/>
      <c r="F56" s="85"/>
      <c r="G56" s="85"/>
      <c r="H56" s="85"/>
      <c r="I56" s="62"/>
      <c r="J56" s="62"/>
      <c r="K56" s="62"/>
      <c r="L56" s="65"/>
    </row>
    <row r="57" spans="1:12" x14ac:dyDescent="0.3">
      <c r="A57" s="96" t="s">
        <v>242</v>
      </c>
      <c r="B57" s="85">
        <f>3*$D$11</f>
        <v>300</v>
      </c>
      <c r="C57" s="85" t="s">
        <v>43</v>
      </c>
      <c r="D57" s="85"/>
      <c r="E57" s="85"/>
      <c r="F57" s="85"/>
      <c r="G57" s="85"/>
      <c r="H57" s="85"/>
      <c r="I57" s="62"/>
      <c r="J57" s="62"/>
      <c r="K57" s="62"/>
      <c r="L57" s="65"/>
    </row>
    <row r="58" spans="1:12" x14ac:dyDescent="0.3">
      <c r="A58" s="96" t="s">
        <v>243</v>
      </c>
      <c r="B58" s="85">
        <f>450</f>
        <v>450</v>
      </c>
      <c r="C58" s="85" t="s">
        <v>43</v>
      </c>
      <c r="D58" s="85"/>
      <c r="E58" s="85"/>
      <c r="F58" s="85"/>
      <c r="G58" s="85"/>
      <c r="H58" s="85"/>
      <c r="I58" s="62"/>
      <c r="J58" s="62"/>
      <c r="K58" s="62"/>
      <c r="L58" s="65"/>
    </row>
    <row r="59" spans="1:12" x14ac:dyDescent="0.3">
      <c r="A59" s="96" t="s">
        <v>244</v>
      </c>
      <c r="B59" s="85">
        <f>(1000*(PI()*($B$5^2)/4))/$B$55</f>
        <v>138.39842145251262</v>
      </c>
      <c r="C59" s="85" t="s">
        <v>43</v>
      </c>
      <c r="D59" s="99"/>
      <c r="E59" s="100"/>
      <c r="F59" s="85"/>
      <c r="G59" s="85"/>
      <c r="H59" s="85"/>
      <c r="I59" s="62"/>
      <c r="J59" s="62"/>
      <c r="K59" s="62"/>
      <c r="L59" s="65"/>
    </row>
    <row r="60" spans="1:12" x14ac:dyDescent="0.3">
      <c r="A60" s="318" t="s">
        <v>245</v>
      </c>
      <c r="B60" s="319">
        <f>ROUNDDOWN(MIN(B57, B58, B59)/5, 0) * 5</f>
        <v>135</v>
      </c>
      <c r="C60" s="319" t="s">
        <v>43</v>
      </c>
      <c r="D60" s="472" t="str">
        <f>"USE "&amp;$B$5&amp;"mm MAIN BARS AT "&amp;B60&amp;"mm O.C. AT SUPPORT"</f>
        <v>USE 10mm MAIN BARS AT 135mm O.C. AT SUPPORT</v>
      </c>
      <c r="E60" s="472"/>
      <c r="F60" s="472"/>
      <c r="G60" s="472"/>
      <c r="H60" s="472"/>
      <c r="I60" s="472"/>
      <c r="J60" s="472"/>
      <c r="K60" s="472"/>
      <c r="L60" s="473"/>
    </row>
    <row r="61" spans="1:12" x14ac:dyDescent="0.3">
      <c r="A61" s="63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5"/>
    </row>
    <row r="62" spans="1:12" x14ac:dyDescent="0.3">
      <c r="A62" s="94" t="s">
        <v>246</v>
      </c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5"/>
    </row>
    <row r="63" spans="1:12" x14ac:dyDescent="0.3">
      <c r="A63" s="96" t="s">
        <v>247</v>
      </c>
      <c r="B63" s="85">
        <f>0.002*1000*$D$11</f>
        <v>200</v>
      </c>
      <c r="C63" s="85" t="s">
        <v>241</v>
      </c>
      <c r="D63" s="85"/>
      <c r="E63" s="85"/>
      <c r="F63" s="85"/>
      <c r="G63" s="85"/>
      <c r="H63" s="85"/>
      <c r="I63" s="62"/>
      <c r="J63" s="62"/>
      <c r="K63" s="62"/>
      <c r="L63" s="65"/>
    </row>
    <row r="64" spans="1:12" x14ac:dyDescent="0.3">
      <c r="A64" s="96"/>
      <c r="B64" s="85"/>
      <c r="C64" s="85"/>
      <c r="D64" s="85"/>
      <c r="E64" s="85"/>
      <c r="F64" s="85"/>
      <c r="G64" s="85"/>
      <c r="H64" s="85"/>
      <c r="I64" s="62"/>
      <c r="J64" s="62"/>
      <c r="K64" s="62"/>
      <c r="L64" s="65"/>
    </row>
    <row r="65" spans="1:12" x14ac:dyDescent="0.3">
      <c r="A65" s="96" t="s">
        <v>242</v>
      </c>
      <c r="B65" s="85">
        <f>5*$D$11</f>
        <v>500</v>
      </c>
      <c r="C65" s="85" t="s">
        <v>43</v>
      </c>
      <c r="D65" s="85"/>
      <c r="E65" s="85"/>
      <c r="F65" s="85"/>
      <c r="G65" s="85"/>
      <c r="H65" s="85"/>
      <c r="I65" s="62"/>
      <c r="J65" s="62"/>
      <c r="K65" s="62"/>
      <c r="L65" s="65"/>
    </row>
    <row r="66" spans="1:12" x14ac:dyDescent="0.3">
      <c r="A66" s="96" t="s">
        <v>243</v>
      </c>
      <c r="B66" s="85">
        <f>450</f>
        <v>450</v>
      </c>
      <c r="C66" s="85" t="s">
        <v>43</v>
      </c>
      <c r="D66" s="85"/>
      <c r="E66" s="85"/>
      <c r="F66" s="85"/>
      <c r="G66" s="85"/>
      <c r="H66" s="85"/>
      <c r="I66" s="62"/>
      <c r="J66" s="62"/>
      <c r="K66" s="62"/>
      <c r="L66" s="65"/>
    </row>
    <row r="67" spans="1:12" x14ac:dyDescent="0.3">
      <c r="A67" s="96" t="s">
        <v>244</v>
      </c>
      <c r="B67" s="85">
        <f>(1000*(PI()*($B$6^2)/4))/B63</f>
        <v>392.69908169872417</v>
      </c>
      <c r="C67" s="85" t="s">
        <v>43</v>
      </c>
      <c r="D67" s="85"/>
      <c r="E67" s="85"/>
      <c r="F67" s="85"/>
      <c r="G67" s="85"/>
      <c r="H67" s="85"/>
      <c r="I67" s="62"/>
      <c r="J67" s="62"/>
      <c r="K67" s="62"/>
      <c r="L67" s="65"/>
    </row>
    <row r="68" spans="1:12" ht="15" thickBot="1" x14ac:dyDescent="0.35">
      <c r="A68" s="320" t="s">
        <v>248</v>
      </c>
      <c r="B68" s="321">
        <f>ROUNDDOWN(MIN(B65:B67)/5, 0) * 5</f>
        <v>390</v>
      </c>
      <c r="C68" s="321" t="s">
        <v>43</v>
      </c>
      <c r="D68" s="466" t="str">
        <f>"USE "&amp;$B$6&amp;"mm MAIN BARS AT "&amp;B68&amp;"mm O.C ATSUPPORT"</f>
        <v>USE 10mm MAIN BARS AT 390mm O.C ATSUPPORT</v>
      </c>
      <c r="E68" s="466"/>
      <c r="F68" s="466"/>
      <c r="G68" s="466"/>
      <c r="H68" s="466"/>
      <c r="I68" s="466"/>
      <c r="J68" s="466"/>
      <c r="K68" s="466"/>
      <c r="L68" s="467"/>
    </row>
    <row r="69" spans="1:12" ht="15" thickBot="1" x14ac:dyDescent="0.35">
      <c r="A69" s="468" t="s">
        <v>250</v>
      </c>
      <c r="B69" s="469"/>
      <c r="C69" s="469"/>
      <c r="D69" s="469"/>
      <c r="E69" s="469"/>
      <c r="F69" s="469"/>
      <c r="G69" s="469"/>
      <c r="H69" s="469"/>
      <c r="I69" s="469"/>
      <c r="J69" s="469"/>
      <c r="K69" s="469"/>
      <c r="L69" s="470"/>
    </row>
    <row r="70" spans="1:12" x14ac:dyDescent="0.3">
      <c r="A70" s="101" t="s">
        <v>251</v>
      </c>
      <c r="B70" s="62">
        <f>J3*D11*(G5*(SQRT((G7^2)+(G8^2))))/(1000^3)</f>
        <v>0.21931712199461309</v>
      </c>
      <c r="C70" s="62" t="s">
        <v>252</v>
      </c>
      <c r="D70" s="62"/>
      <c r="E70" s="62"/>
      <c r="F70" s="62"/>
      <c r="L70" s="4"/>
    </row>
    <row r="71" spans="1:12" x14ac:dyDescent="0.3">
      <c r="A71" s="101" t="s">
        <v>253</v>
      </c>
      <c r="B71" s="62">
        <f>J3*G5*(0.5*G7*G8)/(1000^3)</f>
        <v>0.15</v>
      </c>
      <c r="C71" s="62" t="s">
        <v>252</v>
      </c>
      <c r="D71" s="62"/>
      <c r="E71" s="62"/>
      <c r="F71" s="62"/>
      <c r="L71" s="4"/>
    </row>
    <row r="72" spans="1:12" x14ac:dyDescent="0.3">
      <c r="A72" s="63" t="s">
        <v>254</v>
      </c>
      <c r="B72" s="62">
        <f>SUM(B70:B71)</f>
        <v>0.36931712199461308</v>
      </c>
      <c r="C72" s="62" t="s">
        <v>252</v>
      </c>
      <c r="D72" s="62"/>
      <c r="E72" s="62"/>
      <c r="F72" s="62"/>
      <c r="L72" s="4"/>
    </row>
    <row r="73" spans="1:12" x14ac:dyDescent="0.3">
      <c r="A73" s="63" t="s">
        <v>255</v>
      </c>
      <c r="B73" s="62">
        <f>23.544*B72/(J3/1000)</f>
        <v>8.6952023202411706</v>
      </c>
      <c r="C73" s="62" t="s">
        <v>180</v>
      </c>
      <c r="D73" s="62" t="s">
        <v>256</v>
      </c>
      <c r="E73" s="62"/>
      <c r="F73" s="62"/>
      <c r="L73" s="4"/>
    </row>
    <row r="74" spans="1:12" ht="15" thickBot="1" x14ac:dyDescent="0.35">
      <c r="A74" s="76" t="s">
        <v>257</v>
      </c>
      <c r="B74" s="78">
        <f>23.544*(B72)/((G8*G5)/1000)</f>
        <v>5.4345014501507309</v>
      </c>
      <c r="C74" s="78" t="s">
        <v>180</v>
      </c>
      <c r="D74" s="78"/>
      <c r="E74" s="78"/>
      <c r="F74" s="78"/>
      <c r="G74" s="322"/>
      <c r="H74" s="322"/>
      <c r="I74" s="322"/>
      <c r="J74" s="322"/>
      <c r="K74" s="322"/>
      <c r="L74" s="323"/>
    </row>
  </sheetData>
  <mergeCells count="14">
    <mergeCell ref="A27:L27"/>
    <mergeCell ref="A1:L1"/>
    <mergeCell ref="A2:E2"/>
    <mergeCell ref="F2:L2"/>
    <mergeCell ref="A9:E9"/>
    <mergeCell ref="A13:E13"/>
    <mergeCell ref="D68:L68"/>
    <mergeCell ref="A69:L69"/>
    <mergeCell ref="D33:E33"/>
    <mergeCell ref="D39:L39"/>
    <mergeCell ref="D47:L47"/>
    <mergeCell ref="A48:L48"/>
    <mergeCell ref="D54:E54"/>
    <mergeCell ref="D60:L60"/>
  </mergeCells>
  <dataValidations disablePrompts="1" count="2">
    <dataValidation type="list" allowBlank="1" showInputMessage="1" showErrorMessage="1" sqref="G5" xr:uid="{00000000-0002-0000-0B00-000000000000}">
      <formula1>"1,2,3,4,5,6,7,8,9,10,11,12,13,14,15,16,17,18,19,20,21,22,23,24,25,26,27,28,29,30"</formula1>
    </dataValidation>
    <dataValidation type="list" allowBlank="1" showInputMessage="1" showErrorMessage="1" sqref="B5:B6" xr:uid="{00000000-0002-0000-0B00-000001000000}">
      <formula1>"10,12,16,20,25,28,32,36"</formula1>
    </dataValidation>
  </dataValidations>
  <printOptions horizontalCentered="1"/>
  <pageMargins left="0.59055118110236227" right="0.39370078740157483" top="0.59055118110236227" bottom="0.39370078740157483" header="0.31496062992125984" footer="0.31496062992125984"/>
  <pageSetup paperSize="9" scale="70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U106"/>
  <sheetViews>
    <sheetView showGridLines="0" view="pageBreakPreview" zoomScale="25" zoomScaleNormal="40" zoomScaleSheetLayoutView="25" workbookViewId="0">
      <selection activeCell="I6" sqref="I6"/>
    </sheetView>
  </sheetViews>
  <sheetFormatPr defaultColWidth="8.88671875" defaultRowHeight="14.4" x14ac:dyDescent="0.3"/>
  <cols>
    <col min="1" max="1" width="8.88671875" style="44"/>
    <col min="2" max="2" width="12.88671875" style="44" customWidth="1"/>
    <col min="3" max="10" width="8.88671875" style="44"/>
    <col min="11" max="11" width="14.109375" style="44" customWidth="1"/>
    <col min="12" max="12" width="6.6640625" style="44" customWidth="1"/>
    <col min="13" max="13" width="8.88671875" style="44"/>
    <col min="14" max="14" width="12.6640625" style="44" customWidth="1"/>
    <col min="15" max="22" width="8.88671875" style="44"/>
    <col min="23" max="23" width="13.6640625" style="44" customWidth="1"/>
    <col min="24" max="25" width="8.88671875" style="44"/>
    <col min="26" max="26" width="13.5546875" style="44" customWidth="1"/>
    <col min="27" max="34" width="8.88671875" style="44"/>
    <col min="35" max="35" width="21.33203125" style="44" customWidth="1"/>
    <col min="36" max="36" width="7.5546875" style="44" customWidth="1"/>
    <col min="37" max="46" width="8.88671875" style="44"/>
    <col min="47" max="47" width="18.33203125" style="44" customWidth="1"/>
    <col min="48" max="16384" width="8.88671875" style="44"/>
  </cols>
  <sheetData>
    <row r="1" spans="1:47" s="353" customFormat="1" ht="19.95" customHeight="1" x14ac:dyDescent="0.3">
      <c r="A1" s="428" t="s">
        <v>569</v>
      </c>
      <c r="B1" s="429"/>
      <c r="C1" s="429"/>
      <c r="D1" s="429"/>
      <c r="E1" s="429"/>
      <c r="F1" s="429"/>
      <c r="G1" s="429"/>
      <c r="H1" s="429"/>
      <c r="I1" s="429"/>
      <c r="J1" s="429"/>
      <c r="K1" s="430"/>
      <c r="L1" s="299"/>
      <c r="M1" s="428" t="s">
        <v>570</v>
      </c>
      <c r="N1" s="429"/>
      <c r="O1" s="429"/>
      <c r="P1" s="429"/>
      <c r="Q1" s="429"/>
      <c r="R1" s="429"/>
      <c r="S1" s="429"/>
      <c r="T1" s="429"/>
      <c r="U1" s="429"/>
      <c r="V1" s="429"/>
      <c r="W1" s="430"/>
      <c r="X1" s="299"/>
      <c r="Y1" s="428" t="s">
        <v>571</v>
      </c>
      <c r="Z1" s="429"/>
      <c r="AA1" s="429"/>
      <c r="AB1" s="429"/>
      <c r="AC1" s="429"/>
      <c r="AD1" s="429"/>
      <c r="AE1" s="429"/>
      <c r="AF1" s="429"/>
      <c r="AG1" s="429"/>
      <c r="AH1" s="429"/>
      <c r="AI1" s="430"/>
      <c r="AJ1" s="299"/>
      <c r="AK1" s="428" t="s">
        <v>572</v>
      </c>
      <c r="AL1" s="429"/>
      <c r="AM1" s="429"/>
      <c r="AN1" s="429"/>
      <c r="AO1" s="429"/>
      <c r="AP1" s="429"/>
      <c r="AQ1" s="429"/>
      <c r="AR1" s="429"/>
      <c r="AS1" s="429"/>
      <c r="AT1" s="429"/>
      <c r="AU1" s="430"/>
    </row>
    <row r="2" spans="1:47" x14ac:dyDescent="0.3">
      <c r="A2" s="488" t="s">
        <v>23</v>
      </c>
      <c r="B2" s="495"/>
      <c r="C2" s="495"/>
      <c r="D2" s="495"/>
      <c r="E2" s="495"/>
      <c r="F2" s="495"/>
      <c r="G2" s="495"/>
      <c r="H2" s="495"/>
      <c r="I2" s="495"/>
      <c r="J2" s="495"/>
      <c r="K2" s="496"/>
      <c r="L2" s="29"/>
      <c r="M2" s="488" t="s">
        <v>23</v>
      </c>
      <c r="N2" s="495"/>
      <c r="O2" s="495"/>
      <c r="P2" s="495"/>
      <c r="Q2" s="495"/>
      <c r="R2" s="495"/>
      <c r="S2" s="495"/>
      <c r="T2" s="495"/>
      <c r="U2" s="495"/>
      <c r="V2" s="495"/>
      <c r="W2" s="496"/>
      <c r="X2" s="29"/>
      <c r="Y2" s="488" t="s">
        <v>23</v>
      </c>
      <c r="Z2" s="495"/>
      <c r="AA2" s="495"/>
      <c r="AB2" s="495"/>
      <c r="AC2" s="495"/>
      <c r="AD2" s="495"/>
      <c r="AE2" s="495"/>
      <c r="AF2" s="495"/>
      <c r="AG2" s="495"/>
      <c r="AH2" s="495"/>
      <c r="AI2" s="496"/>
      <c r="AJ2" s="29"/>
      <c r="AK2" s="488" t="s">
        <v>23</v>
      </c>
      <c r="AL2" s="495"/>
      <c r="AM2" s="495"/>
      <c r="AN2" s="495"/>
      <c r="AO2" s="495"/>
      <c r="AP2" s="495"/>
      <c r="AQ2" s="495"/>
      <c r="AR2" s="495"/>
      <c r="AS2" s="495"/>
      <c r="AT2" s="495"/>
      <c r="AU2" s="496"/>
    </row>
    <row r="3" spans="1:47" x14ac:dyDescent="0.3">
      <c r="A3" s="491" t="s">
        <v>61</v>
      </c>
      <c r="B3" s="492"/>
      <c r="C3" s="30">
        <v>20.7</v>
      </c>
      <c r="D3" s="36" t="s">
        <v>25</v>
      </c>
      <c r="E3" s="29"/>
      <c r="F3" s="29"/>
      <c r="G3" s="493" t="s">
        <v>62</v>
      </c>
      <c r="H3" s="493"/>
      <c r="I3" s="493"/>
      <c r="J3" s="493"/>
      <c r="K3" s="494"/>
      <c r="L3" s="29"/>
      <c r="M3" s="491" t="s">
        <v>61</v>
      </c>
      <c r="N3" s="492"/>
      <c r="O3" s="30">
        <v>20.7</v>
      </c>
      <c r="P3" s="36" t="s">
        <v>25</v>
      </c>
      <c r="Q3" s="29"/>
      <c r="R3" s="29"/>
      <c r="S3" s="29"/>
      <c r="T3" s="29"/>
      <c r="U3" s="29"/>
      <c r="V3" s="258"/>
      <c r="W3" s="259"/>
      <c r="X3" s="29"/>
      <c r="Y3" s="491" t="s">
        <v>61</v>
      </c>
      <c r="Z3" s="492"/>
      <c r="AA3" s="30">
        <v>20.7</v>
      </c>
      <c r="AB3" s="36" t="s">
        <v>25</v>
      </c>
      <c r="AC3" s="29"/>
      <c r="AD3" s="29"/>
      <c r="AE3" s="29"/>
      <c r="AF3" s="29"/>
      <c r="AG3" s="29"/>
      <c r="AH3" s="258"/>
      <c r="AI3" s="259"/>
      <c r="AJ3" s="29"/>
      <c r="AK3" s="491" t="s">
        <v>61</v>
      </c>
      <c r="AL3" s="492"/>
      <c r="AM3" s="30">
        <v>20.7</v>
      </c>
      <c r="AN3" s="36" t="s">
        <v>25</v>
      </c>
      <c r="AO3" s="29"/>
      <c r="AP3" s="29"/>
      <c r="AQ3" s="29"/>
      <c r="AR3" s="29"/>
      <c r="AS3" s="29"/>
      <c r="AT3" s="258"/>
      <c r="AU3" s="259"/>
    </row>
    <row r="4" spans="1:47" x14ac:dyDescent="0.3">
      <c r="A4" s="491" t="s">
        <v>63</v>
      </c>
      <c r="B4" s="492"/>
      <c r="C4" s="30">
        <v>276</v>
      </c>
      <c r="D4" s="36" t="s">
        <v>64</v>
      </c>
      <c r="E4" s="29"/>
      <c r="F4" s="29"/>
      <c r="G4" s="36" t="s">
        <v>65</v>
      </c>
      <c r="H4" s="36"/>
      <c r="I4" s="30">
        <v>1000</v>
      </c>
      <c r="J4" s="260" t="s">
        <v>43</v>
      </c>
      <c r="K4" s="261"/>
      <c r="L4" s="29"/>
      <c r="M4" s="491" t="s">
        <v>63</v>
      </c>
      <c r="N4" s="492"/>
      <c r="O4" s="30">
        <v>276</v>
      </c>
      <c r="P4" s="36" t="s">
        <v>64</v>
      </c>
      <c r="Q4" s="29"/>
      <c r="R4" s="29"/>
      <c r="S4" s="36" t="s">
        <v>65</v>
      </c>
      <c r="T4" s="36"/>
      <c r="U4" s="30">
        <v>1000</v>
      </c>
      <c r="V4" s="260" t="s">
        <v>43</v>
      </c>
      <c r="W4" s="261"/>
      <c r="X4" s="29"/>
      <c r="Y4" s="491" t="s">
        <v>63</v>
      </c>
      <c r="Z4" s="492"/>
      <c r="AA4" s="30">
        <v>276</v>
      </c>
      <c r="AB4" s="36" t="s">
        <v>64</v>
      </c>
      <c r="AC4" s="29"/>
      <c r="AD4" s="29"/>
      <c r="AE4" s="36" t="s">
        <v>65</v>
      </c>
      <c r="AF4" s="36"/>
      <c r="AG4" s="30">
        <v>1000</v>
      </c>
      <c r="AH4" s="260" t="s">
        <v>43</v>
      </c>
      <c r="AI4" s="261"/>
      <c r="AJ4" s="29"/>
      <c r="AK4" s="491" t="s">
        <v>63</v>
      </c>
      <c r="AL4" s="492"/>
      <c r="AM4" s="30">
        <v>276</v>
      </c>
      <c r="AN4" s="36" t="s">
        <v>64</v>
      </c>
      <c r="AO4" s="29"/>
      <c r="AP4" s="29"/>
      <c r="AQ4" s="36" t="s">
        <v>65</v>
      </c>
      <c r="AR4" s="36"/>
      <c r="AS4" s="30">
        <v>1000</v>
      </c>
      <c r="AT4" s="260" t="s">
        <v>43</v>
      </c>
      <c r="AU4" s="261"/>
    </row>
    <row r="5" spans="1:47" x14ac:dyDescent="0.3">
      <c r="A5" s="35" t="s">
        <v>66</v>
      </c>
      <c r="B5" s="31"/>
      <c r="C5" s="30">
        <v>20</v>
      </c>
      <c r="D5" s="36" t="s">
        <v>43</v>
      </c>
      <c r="E5" s="29"/>
      <c r="F5" s="29"/>
      <c r="G5" s="36"/>
      <c r="H5" s="36" t="s">
        <v>67</v>
      </c>
      <c r="I5" s="30">
        <f>C7</f>
        <v>1.9</v>
      </c>
      <c r="J5" s="260" t="s">
        <v>68</v>
      </c>
      <c r="K5" s="261"/>
      <c r="L5" s="29"/>
      <c r="M5" s="35" t="s">
        <v>66</v>
      </c>
      <c r="N5" s="31"/>
      <c r="O5" s="30">
        <v>20</v>
      </c>
      <c r="P5" s="36" t="s">
        <v>43</v>
      </c>
      <c r="Q5" s="29"/>
      <c r="R5" s="29"/>
      <c r="S5" s="36"/>
      <c r="T5" s="36" t="s">
        <v>67</v>
      </c>
      <c r="U5" s="30">
        <f>O7</f>
        <v>1.9</v>
      </c>
      <c r="V5" s="260" t="s">
        <v>68</v>
      </c>
      <c r="W5" s="261"/>
      <c r="X5" s="29"/>
      <c r="Y5" s="35" t="s">
        <v>66</v>
      </c>
      <c r="Z5" s="31"/>
      <c r="AA5" s="30">
        <v>20</v>
      </c>
      <c r="AB5" s="36" t="s">
        <v>43</v>
      </c>
      <c r="AC5" s="29"/>
      <c r="AD5" s="29"/>
      <c r="AE5" s="36"/>
      <c r="AF5" s="36" t="s">
        <v>67</v>
      </c>
      <c r="AG5" s="30">
        <f>AA7</f>
        <v>2.9</v>
      </c>
      <c r="AH5" s="260" t="s">
        <v>68</v>
      </c>
      <c r="AI5" s="261"/>
      <c r="AJ5" s="29"/>
      <c r="AK5" s="35" t="s">
        <v>66</v>
      </c>
      <c r="AL5" s="31"/>
      <c r="AM5" s="30">
        <v>20</v>
      </c>
      <c r="AN5" s="36" t="s">
        <v>43</v>
      </c>
      <c r="AO5" s="29"/>
      <c r="AP5" s="29"/>
      <c r="AQ5" s="36"/>
      <c r="AR5" s="36" t="s">
        <v>67</v>
      </c>
      <c r="AS5" s="30">
        <f>AM7</f>
        <v>2.9</v>
      </c>
      <c r="AT5" s="260" t="s">
        <v>68</v>
      </c>
      <c r="AU5" s="261"/>
    </row>
    <row r="6" spans="1:47" ht="15.6" x14ac:dyDescent="0.3">
      <c r="A6" s="35" t="s">
        <v>69</v>
      </c>
      <c r="B6" s="31"/>
      <c r="C6" s="30">
        <v>23.5</v>
      </c>
      <c r="D6" s="36" t="s">
        <v>70</v>
      </c>
      <c r="E6" s="29"/>
      <c r="F6" s="29"/>
      <c r="G6" s="36"/>
      <c r="H6" s="36" t="s">
        <v>71</v>
      </c>
      <c r="I6" s="30">
        <f>D10+D11+D12+D13+D14+D15</f>
        <v>4040</v>
      </c>
      <c r="J6" s="260" t="s">
        <v>68</v>
      </c>
      <c r="K6" s="261"/>
      <c r="L6" s="29"/>
      <c r="M6" s="35" t="s">
        <v>69</v>
      </c>
      <c r="N6" s="31"/>
      <c r="O6" s="30">
        <v>23.5</v>
      </c>
      <c r="P6" s="36" t="s">
        <v>70</v>
      </c>
      <c r="Q6" s="29"/>
      <c r="R6" s="29"/>
      <c r="S6" s="36"/>
      <c r="T6" s="36" t="s">
        <v>71</v>
      </c>
      <c r="U6" s="30">
        <f>P10+P11+P12+P13+P14+P15</f>
        <v>4040</v>
      </c>
      <c r="V6" s="260" t="s">
        <v>68</v>
      </c>
      <c r="W6" s="261"/>
      <c r="X6" s="29"/>
      <c r="Y6" s="35" t="s">
        <v>69</v>
      </c>
      <c r="Z6" s="31"/>
      <c r="AA6" s="30">
        <v>23.5</v>
      </c>
      <c r="AB6" s="36" t="s">
        <v>70</v>
      </c>
      <c r="AC6" s="29"/>
      <c r="AD6" s="29"/>
      <c r="AE6" s="36"/>
      <c r="AF6" s="36" t="s">
        <v>71</v>
      </c>
      <c r="AG6" s="30">
        <f>AB10+AB11+AB12+AB13+AB14+AB15</f>
        <v>4040</v>
      </c>
      <c r="AH6" s="260" t="s">
        <v>68</v>
      </c>
      <c r="AI6" s="261"/>
      <c r="AJ6" s="29"/>
      <c r="AK6" s="35" t="s">
        <v>69</v>
      </c>
      <c r="AL6" s="31"/>
      <c r="AM6" s="30">
        <v>23.5</v>
      </c>
      <c r="AN6" s="36" t="s">
        <v>70</v>
      </c>
      <c r="AO6" s="29"/>
      <c r="AP6" s="29"/>
      <c r="AQ6" s="36"/>
      <c r="AR6" s="36" t="s">
        <v>71</v>
      </c>
      <c r="AS6" s="30">
        <f>AN10+AN11+AN12+AN13+AN14+AN15</f>
        <v>4040</v>
      </c>
      <c r="AT6" s="260" t="s">
        <v>68</v>
      </c>
      <c r="AU6" s="261"/>
    </row>
    <row r="7" spans="1:47" x14ac:dyDescent="0.3">
      <c r="A7" s="35" t="s">
        <v>72</v>
      </c>
      <c r="B7" s="31"/>
      <c r="C7" s="30">
        <v>1.9</v>
      </c>
      <c r="D7" s="36" t="s">
        <v>68</v>
      </c>
      <c r="E7" s="29"/>
      <c r="F7" s="29"/>
      <c r="G7" s="36" t="s">
        <v>73</v>
      </c>
      <c r="H7" s="36"/>
      <c r="I7" s="30">
        <v>2.5</v>
      </c>
      <c r="J7" s="260" t="s">
        <v>74</v>
      </c>
      <c r="K7" s="261"/>
      <c r="L7" s="29"/>
      <c r="M7" s="35" t="s">
        <v>72</v>
      </c>
      <c r="N7" s="31"/>
      <c r="O7" s="30">
        <v>1.9</v>
      </c>
      <c r="P7" s="36" t="s">
        <v>68</v>
      </c>
      <c r="Q7" s="29"/>
      <c r="R7" s="29"/>
      <c r="S7" s="36" t="s">
        <v>73</v>
      </c>
      <c r="T7" s="36"/>
      <c r="U7" s="30">
        <v>2.5</v>
      </c>
      <c r="V7" s="260" t="s">
        <v>74</v>
      </c>
      <c r="W7" s="261"/>
      <c r="X7" s="29"/>
      <c r="Y7" s="35" t="s">
        <v>72</v>
      </c>
      <c r="Z7" s="31"/>
      <c r="AA7" s="30">
        <v>2.9</v>
      </c>
      <c r="AB7" s="36" t="s">
        <v>68</v>
      </c>
      <c r="AC7" s="29"/>
      <c r="AD7" s="29"/>
      <c r="AE7" s="36" t="s">
        <v>73</v>
      </c>
      <c r="AF7" s="36"/>
      <c r="AG7" s="30">
        <v>1</v>
      </c>
      <c r="AH7" s="260" t="s">
        <v>74</v>
      </c>
      <c r="AI7" s="261"/>
      <c r="AJ7" s="29"/>
      <c r="AK7" s="35" t="s">
        <v>72</v>
      </c>
      <c r="AL7" s="31"/>
      <c r="AM7" s="30">
        <v>2.9</v>
      </c>
      <c r="AN7" s="36" t="s">
        <v>68</v>
      </c>
      <c r="AO7" s="29"/>
      <c r="AP7" s="29"/>
      <c r="AQ7" s="36" t="s">
        <v>73</v>
      </c>
      <c r="AR7" s="36"/>
      <c r="AS7" s="30">
        <v>1</v>
      </c>
      <c r="AT7" s="260" t="s">
        <v>74</v>
      </c>
      <c r="AU7" s="261"/>
    </row>
    <row r="8" spans="1:47" x14ac:dyDescent="0.3">
      <c r="A8" s="262"/>
      <c r="B8" s="31"/>
      <c r="C8" s="30"/>
      <c r="D8" s="29"/>
      <c r="E8" s="29"/>
      <c r="F8" s="29"/>
      <c r="G8" s="36" t="s">
        <v>75</v>
      </c>
      <c r="H8" s="36"/>
      <c r="I8" s="30">
        <v>4</v>
      </c>
      <c r="J8" s="260" t="s">
        <v>74</v>
      </c>
      <c r="K8" s="261"/>
      <c r="L8" s="29"/>
      <c r="M8" s="262"/>
      <c r="N8" s="31"/>
      <c r="O8" s="30"/>
      <c r="P8" s="29"/>
      <c r="Q8" s="29"/>
      <c r="R8" s="29"/>
      <c r="S8" s="36" t="s">
        <v>75</v>
      </c>
      <c r="T8" s="36"/>
      <c r="U8" s="30">
        <v>2</v>
      </c>
      <c r="V8" s="260" t="s">
        <v>74</v>
      </c>
      <c r="W8" s="261"/>
      <c r="X8" s="29"/>
      <c r="Y8" s="262"/>
      <c r="Z8" s="31"/>
      <c r="AA8" s="30"/>
      <c r="AB8" s="29"/>
      <c r="AC8" s="29"/>
      <c r="AD8" s="29"/>
      <c r="AE8" s="36" t="s">
        <v>75</v>
      </c>
      <c r="AF8" s="36"/>
      <c r="AG8" s="30">
        <v>4</v>
      </c>
      <c r="AH8" s="260" t="s">
        <v>74</v>
      </c>
      <c r="AI8" s="261"/>
      <c r="AJ8" s="29"/>
      <c r="AK8" s="262"/>
      <c r="AL8" s="31"/>
      <c r="AM8" s="30"/>
      <c r="AN8" s="29"/>
      <c r="AO8" s="29"/>
      <c r="AP8" s="29"/>
      <c r="AQ8" s="36" t="s">
        <v>75</v>
      </c>
      <c r="AR8" s="36"/>
      <c r="AS8" s="30">
        <v>2</v>
      </c>
      <c r="AT8" s="260" t="s">
        <v>74</v>
      </c>
      <c r="AU8" s="261"/>
    </row>
    <row r="9" spans="1:47" x14ac:dyDescent="0.3">
      <c r="A9" s="263" t="s">
        <v>76</v>
      </c>
      <c r="B9" s="32"/>
      <c r="C9" s="33"/>
      <c r="D9" s="36"/>
      <c r="E9" s="36"/>
      <c r="F9" s="29"/>
      <c r="G9" s="36"/>
      <c r="H9" s="36"/>
      <c r="I9" s="36"/>
      <c r="J9" s="260"/>
      <c r="K9" s="261"/>
      <c r="L9" s="29"/>
      <c r="M9" s="263" t="s">
        <v>76</v>
      </c>
      <c r="N9" s="32"/>
      <c r="O9" s="33"/>
      <c r="P9" s="36"/>
      <c r="Q9" s="36"/>
      <c r="R9" s="29"/>
      <c r="S9" s="36"/>
      <c r="T9" s="36"/>
      <c r="U9" s="36"/>
      <c r="V9" s="260"/>
      <c r="W9" s="261"/>
      <c r="X9" s="29"/>
      <c r="Y9" s="263" t="s">
        <v>76</v>
      </c>
      <c r="Z9" s="32"/>
      <c r="AA9" s="33"/>
      <c r="AB9" s="36"/>
      <c r="AC9" s="36"/>
      <c r="AD9" s="29"/>
      <c r="AE9" s="36"/>
      <c r="AF9" s="36"/>
      <c r="AG9" s="36"/>
      <c r="AH9" s="260"/>
      <c r="AI9" s="261"/>
      <c r="AJ9" s="29"/>
      <c r="AK9" s="263" t="s">
        <v>76</v>
      </c>
      <c r="AL9" s="32"/>
      <c r="AM9" s="33"/>
      <c r="AN9" s="36"/>
      <c r="AO9" s="36"/>
      <c r="AP9" s="29"/>
      <c r="AQ9" s="36"/>
      <c r="AR9" s="36"/>
      <c r="AS9" s="36"/>
      <c r="AT9" s="260"/>
      <c r="AU9" s="261"/>
    </row>
    <row r="10" spans="1:47" x14ac:dyDescent="0.3">
      <c r="A10" s="35" t="s">
        <v>77</v>
      </c>
      <c r="B10" s="31"/>
      <c r="C10" s="30"/>
      <c r="D10" s="30">
        <f>600</f>
        <v>600</v>
      </c>
      <c r="E10" s="36" t="s">
        <v>68</v>
      </c>
      <c r="F10" s="29"/>
      <c r="G10" s="34" t="s">
        <v>78</v>
      </c>
      <c r="H10" s="34"/>
      <c r="I10" s="34"/>
      <c r="J10" s="260"/>
      <c r="K10" s="261"/>
      <c r="L10" s="29"/>
      <c r="M10" s="35" t="s">
        <v>77</v>
      </c>
      <c r="N10" s="31"/>
      <c r="O10" s="30"/>
      <c r="P10" s="30">
        <f>600</f>
        <v>600</v>
      </c>
      <c r="Q10" s="36" t="s">
        <v>68</v>
      </c>
      <c r="R10" s="29"/>
      <c r="S10" s="34" t="s">
        <v>78</v>
      </c>
      <c r="T10" s="34"/>
      <c r="U10" s="34"/>
      <c r="V10" s="260"/>
      <c r="W10" s="261"/>
      <c r="X10" s="29"/>
      <c r="Y10" s="35" t="s">
        <v>77</v>
      </c>
      <c r="Z10" s="31"/>
      <c r="AA10" s="30"/>
      <c r="AB10" s="30">
        <f>600</f>
        <v>600</v>
      </c>
      <c r="AC10" s="36" t="s">
        <v>68</v>
      </c>
      <c r="AD10" s="29"/>
      <c r="AE10" s="34" t="s">
        <v>78</v>
      </c>
      <c r="AF10" s="34"/>
      <c r="AG10" s="34"/>
      <c r="AH10" s="260"/>
      <c r="AI10" s="261"/>
      <c r="AJ10" s="29"/>
      <c r="AK10" s="35" t="s">
        <v>77</v>
      </c>
      <c r="AL10" s="31"/>
      <c r="AM10" s="30"/>
      <c r="AN10" s="30">
        <f>600</f>
        <v>600</v>
      </c>
      <c r="AO10" s="36" t="s">
        <v>68</v>
      </c>
      <c r="AP10" s="29"/>
      <c r="AQ10" s="34" t="s">
        <v>78</v>
      </c>
      <c r="AR10" s="34"/>
      <c r="AS10" s="34"/>
      <c r="AT10" s="260"/>
      <c r="AU10" s="261"/>
    </row>
    <row r="11" spans="1:47" x14ac:dyDescent="0.3">
      <c r="A11" s="35" t="s">
        <v>79</v>
      </c>
      <c r="B11" s="31"/>
      <c r="C11" s="30"/>
      <c r="D11" s="30">
        <v>50</v>
      </c>
      <c r="E11" s="36" t="s">
        <v>68</v>
      </c>
      <c r="F11" s="36"/>
      <c r="G11" s="34" t="s">
        <v>80</v>
      </c>
      <c r="H11" s="36"/>
      <c r="I11" s="36"/>
      <c r="J11" s="260"/>
      <c r="K11" s="261"/>
      <c r="L11" s="29"/>
      <c r="M11" s="35" t="s">
        <v>79</v>
      </c>
      <c r="N11" s="31"/>
      <c r="O11" s="30"/>
      <c r="P11" s="30">
        <v>50</v>
      </c>
      <c r="Q11" s="36" t="s">
        <v>68</v>
      </c>
      <c r="R11" s="36"/>
      <c r="S11" s="34" t="s">
        <v>80</v>
      </c>
      <c r="T11" s="36"/>
      <c r="U11" s="36"/>
      <c r="V11" s="260"/>
      <c r="W11" s="261"/>
      <c r="X11" s="29"/>
      <c r="Y11" s="35" t="s">
        <v>79</v>
      </c>
      <c r="Z11" s="31"/>
      <c r="AA11" s="30"/>
      <c r="AB11" s="30">
        <v>50</v>
      </c>
      <c r="AC11" s="36" t="s">
        <v>68</v>
      </c>
      <c r="AD11" s="36"/>
      <c r="AE11" s="34" t="s">
        <v>80</v>
      </c>
      <c r="AF11" s="36"/>
      <c r="AG11" s="36"/>
      <c r="AH11" s="260"/>
      <c r="AI11" s="261"/>
      <c r="AJ11" s="29"/>
      <c r="AK11" s="35" t="s">
        <v>79</v>
      </c>
      <c r="AL11" s="31"/>
      <c r="AM11" s="30"/>
      <c r="AN11" s="30">
        <v>50</v>
      </c>
      <c r="AO11" s="36" t="s">
        <v>68</v>
      </c>
      <c r="AP11" s="36"/>
      <c r="AQ11" s="34" t="s">
        <v>80</v>
      </c>
      <c r="AR11" s="36"/>
      <c r="AS11" s="36"/>
      <c r="AT11" s="260"/>
      <c r="AU11" s="261"/>
    </row>
    <row r="12" spans="1:47" x14ac:dyDescent="0.3">
      <c r="A12" s="35" t="s">
        <v>81</v>
      </c>
      <c r="B12" s="31"/>
      <c r="C12" s="30"/>
      <c r="D12" s="30">
        <v>1500</v>
      </c>
      <c r="E12" s="36" t="s">
        <v>68</v>
      </c>
      <c r="F12" s="36"/>
      <c r="G12" s="34"/>
      <c r="H12" s="36"/>
      <c r="I12" s="36"/>
      <c r="J12" s="260"/>
      <c r="K12" s="261"/>
      <c r="L12" s="29"/>
      <c r="M12" s="35" t="s">
        <v>81</v>
      </c>
      <c r="N12" s="31"/>
      <c r="O12" s="30"/>
      <c r="P12" s="30">
        <v>1500</v>
      </c>
      <c r="Q12" s="36" t="s">
        <v>68</v>
      </c>
      <c r="R12" s="36"/>
      <c r="S12" s="34"/>
      <c r="T12" s="36"/>
      <c r="U12" s="36"/>
      <c r="V12" s="260"/>
      <c r="W12" s="261"/>
      <c r="X12" s="29"/>
      <c r="Y12" s="35" t="s">
        <v>81</v>
      </c>
      <c r="Z12" s="31"/>
      <c r="AA12" s="30"/>
      <c r="AB12" s="30">
        <v>1500</v>
      </c>
      <c r="AC12" s="36" t="s">
        <v>68</v>
      </c>
      <c r="AD12" s="36"/>
      <c r="AE12" s="34"/>
      <c r="AF12" s="36"/>
      <c r="AG12" s="36"/>
      <c r="AH12" s="260"/>
      <c r="AI12" s="261"/>
      <c r="AJ12" s="29"/>
      <c r="AK12" s="35" t="s">
        <v>81</v>
      </c>
      <c r="AL12" s="31"/>
      <c r="AM12" s="30"/>
      <c r="AN12" s="30">
        <v>1500</v>
      </c>
      <c r="AO12" s="36" t="s">
        <v>68</v>
      </c>
      <c r="AP12" s="36"/>
      <c r="AQ12" s="34"/>
      <c r="AR12" s="36"/>
      <c r="AS12" s="36"/>
      <c r="AT12" s="260"/>
      <c r="AU12" s="261"/>
    </row>
    <row r="13" spans="1:47" x14ac:dyDescent="0.3">
      <c r="A13" s="35" t="s">
        <v>82</v>
      </c>
      <c r="B13" s="31"/>
      <c r="C13" s="30"/>
      <c r="D13" s="30">
        <v>150</v>
      </c>
      <c r="E13" s="36" t="s">
        <v>68</v>
      </c>
      <c r="F13" s="36"/>
      <c r="G13" s="34" t="s">
        <v>83</v>
      </c>
      <c r="H13" s="30">
        <f>(($I$7*1000)/24)*(0.4+($C$4/700))</f>
        <v>82.738095238095241</v>
      </c>
      <c r="I13" s="36" t="s">
        <v>43</v>
      </c>
      <c r="J13" s="260"/>
      <c r="K13" s="261"/>
      <c r="L13" s="29"/>
      <c r="M13" s="35" t="s">
        <v>82</v>
      </c>
      <c r="N13" s="31"/>
      <c r="O13" s="30"/>
      <c r="P13" s="30">
        <v>150</v>
      </c>
      <c r="Q13" s="36" t="s">
        <v>68</v>
      </c>
      <c r="R13" s="36"/>
      <c r="S13" s="34" t="s">
        <v>83</v>
      </c>
      <c r="T13" s="30">
        <f>(($I$7*1000)/28)*(0.4+($C$4/700))</f>
        <v>70.91836734693878</v>
      </c>
      <c r="U13" s="36" t="s">
        <v>43</v>
      </c>
      <c r="V13" s="260"/>
      <c r="W13" s="261"/>
      <c r="X13" s="29"/>
      <c r="Y13" s="35" t="s">
        <v>82</v>
      </c>
      <c r="Z13" s="31"/>
      <c r="AA13" s="30"/>
      <c r="AB13" s="30">
        <v>150</v>
      </c>
      <c r="AC13" s="36" t="s">
        <v>68</v>
      </c>
      <c r="AD13" s="36"/>
      <c r="AE13" s="34" t="s">
        <v>83</v>
      </c>
      <c r="AF13" s="30">
        <f>((AG7*1000)/10)*(0.4+($C$4/700))</f>
        <v>79.428571428571431</v>
      </c>
      <c r="AG13" s="36" t="s">
        <v>43</v>
      </c>
      <c r="AH13" s="260"/>
      <c r="AI13" s="261"/>
      <c r="AJ13" s="29"/>
      <c r="AK13" s="35" t="s">
        <v>82</v>
      </c>
      <c r="AL13" s="31"/>
      <c r="AM13" s="30"/>
      <c r="AN13" s="30">
        <v>150</v>
      </c>
      <c r="AO13" s="36" t="s">
        <v>68</v>
      </c>
      <c r="AP13" s="36"/>
      <c r="AQ13" s="34" t="s">
        <v>83</v>
      </c>
      <c r="AR13" s="30">
        <f>((AS7*1000)/10)*(0.4+($C$4/700))</f>
        <v>79.428571428571431</v>
      </c>
      <c r="AS13" s="36" t="s">
        <v>43</v>
      </c>
      <c r="AT13" s="260"/>
      <c r="AU13" s="261"/>
    </row>
    <row r="14" spans="1:47" x14ac:dyDescent="0.3">
      <c r="A14" s="35" t="s">
        <v>84</v>
      </c>
      <c r="B14" s="31"/>
      <c r="C14" s="30"/>
      <c r="D14" s="30">
        <v>240</v>
      </c>
      <c r="E14" s="36" t="s">
        <v>68</v>
      </c>
      <c r="F14" s="36"/>
      <c r="G14" s="33" t="s">
        <v>85</v>
      </c>
      <c r="H14" s="30">
        <v>100</v>
      </c>
      <c r="I14" s="36" t="s">
        <v>43</v>
      </c>
      <c r="J14" s="260"/>
      <c r="K14" s="261"/>
      <c r="L14" s="29"/>
      <c r="M14" s="35" t="s">
        <v>84</v>
      </c>
      <c r="N14" s="31"/>
      <c r="O14" s="30"/>
      <c r="P14" s="30">
        <v>240</v>
      </c>
      <c r="Q14" s="36" t="s">
        <v>68</v>
      </c>
      <c r="R14" s="36"/>
      <c r="S14" s="33" t="s">
        <v>85</v>
      </c>
      <c r="T14" s="30">
        <v>100</v>
      </c>
      <c r="U14" s="36" t="s">
        <v>43</v>
      </c>
      <c r="V14" s="260"/>
      <c r="W14" s="261"/>
      <c r="X14" s="29"/>
      <c r="Y14" s="35" t="s">
        <v>84</v>
      </c>
      <c r="Z14" s="31"/>
      <c r="AA14" s="30"/>
      <c r="AB14" s="30">
        <v>240</v>
      </c>
      <c r="AC14" s="36" t="s">
        <v>68</v>
      </c>
      <c r="AD14" s="36"/>
      <c r="AE14" s="33" t="s">
        <v>85</v>
      </c>
      <c r="AF14" s="30">
        <v>100</v>
      </c>
      <c r="AG14" s="36" t="s">
        <v>43</v>
      </c>
      <c r="AH14" s="260"/>
      <c r="AI14" s="261"/>
      <c r="AJ14" s="29"/>
      <c r="AK14" s="35" t="s">
        <v>84</v>
      </c>
      <c r="AL14" s="31"/>
      <c r="AM14" s="30"/>
      <c r="AN14" s="30">
        <v>240</v>
      </c>
      <c r="AO14" s="36" t="s">
        <v>68</v>
      </c>
      <c r="AP14" s="36"/>
      <c r="AQ14" s="33" t="s">
        <v>85</v>
      </c>
      <c r="AR14" s="30">
        <v>100</v>
      </c>
      <c r="AS14" s="36" t="s">
        <v>43</v>
      </c>
      <c r="AT14" s="260"/>
      <c r="AU14" s="261"/>
    </row>
    <row r="15" spans="1:47" x14ac:dyDescent="0.3">
      <c r="A15" s="35" t="s">
        <v>86</v>
      </c>
      <c r="B15" s="31"/>
      <c r="C15" s="30"/>
      <c r="D15" s="30">
        <v>1500</v>
      </c>
      <c r="E15" s="36" t="s">
        <v>68</v>
      </c>
      <c r="F15" s="36"/>
      <c r="G15" s="36"/>
      <c r="H15" s="36"/>
      <c r="I15" s="36"/>
      <c r="J15" s="260"/>
      <c r="K15" s="261"/>
      <c r="L15" s="29"/>
      <c r="M15" s="35" t="s">
        <v>86</v>
      </c>
      <c r="N15" s="31"/>
      <c r="O15" s="30"/>
      <c r="P15" s="30">
        <v>1500</v>
      </c>
      <c r="Q15" s="36" t="s">
        <v>68</v>
      </c>
      <c r="R15" s="36"/>
      <c r="S15" s="36"/>
      <c r="T15" s="36"/>
      <c r="U15" s="36"/>
      <c r="V15" s="260"/>
      <c r="W15" s="261"/>
      <c r="X15" s="29"/>
      <c r="Y15" s="35" t="s">
        <v>86</v>
      </c>
      <c r="Z15" s="31"/>
      <c r="AA15" s="30"/>
      <c r="AB15" s="30">
        <v>1500</v>
      </c>
      <c r="AC15" s="36" t="s">
        <v>68</v>
      </c>
      <c r="AD15" s="36"/>
      <c r="AE15" s="36"/>
      <c r="AF15" s="36"/>
      <c r="AG15" s="36"/>
      <c r="AH15" s="260"/>
      <c r="AI15" s="261"/>
      <c r="AJ15" s="29"/>
      <c r="AK15" s="35" t="s">
        <v>86</v>
      </c>
      <c r="AL15" s="31"/>
      <c r="AM15" s="30"/>
      <c r="AN15" s="30">
        <v>1500</v>
      </c>
      <c r="AO15" s="36" t="s">
        <v>68</v>
      </c>
      <c r="AP15" s="36"/>
      <c r="AQ15" s="36"/>
      <c r="AR15" s="36"/>
      <c r="AS15" s="36"/>
      <c r="AT15" s="260"/>
      <c r="AU15" s="261"/>
    </row>
    <row r="16" spans="1:47" x14ac:dyDescent="0.3">
      <c r="A16" s="35"/>
      <c r="B16" s="31"/>
      <c r="C16" s="30"/>
      <c r="D16" s="30"/>
      <c r="E16" s="36"/>
      <c r="F16" s="29"/>
      <c r="G16" s="34" t="s">
        <v>87</v>
      </c>
      <c r="H16" s="34"/>
      <c r="I16" s="36"/>
      <c r="J16" s="260"/>
      <c r="K16" s="261"/>
      <c r="L16" s="29"/>
      <c r="M16" s="35"/>
      <c r="N16" s="31"/>
      <c r="O16" s="30"/>
      <c r="P16" s="30"/>
      <c r="Q16" s="36"/>
      <c r="R16" s="29"/>
      <c r="S16" s="34" t="s">
        <v>87</v>
      </c>
      <c r="T16" s="34"/>
      <c r="U16" s="36"/>
      <c r="V16" s="260"/>
      <c r="W16" s="261"/>
      <c r="X16" s="29"/>
      <c r="Y16" s="35"/>
      <c r="Z16" s="31"/>
      <c r="AA16" s="30"/>
      <c r="AB16" s="30"/>
      <c r="AC16" s="36"/>
      <c r="AD16" s="29"/>
      <c r="AE16" s="34" t="s">
        <v>87</v>
      </c>
      <c r="AF16" s="34"/>
      <c r="AG16" s="36"/>
      <c r="AH16" s="260"/>
      <c r="AI16" s="261"/>
      <c r="AJ16" s="29"/>
      <c r="AK16" s="35"/>
      <c r="AL16" s="31"/>
      <c r="AM16" s="30"/>
      <c r="AN16" s="30"/>
      <c r="AO16" s="36"/>
      <c r="AP16" s="29"/>
      <c r="AQ16" s="34" t="s">
        <v>87</v>
      </c>
      <c r="AR16" s="34"/>
      <c r="AS16" s="36"/>
      <c r="AT16" s="260"/>
      <c r="AU16" s="261"/>
    </row>
    <row r="17" spans="1:47" ht="15.6" x14ac:dyDescent="0.3">
      <c r="A17" s="35"/>
      <c r="B17" s="31"/>
      <c r="C17" s="30"/>
      <c r="D17" s="30"/>
      <c r="E17" s="36"/>
      <c r="F17" s="29"/>
      <c r="G17" s="34" t="s">
        <v>88</v>
      </c>
      <c r="H17" s="36" t="s">
        <v>89</v>
      </c>
      <c r="I17" s="36"/>
      <c r="J17" s="264">
        <f>H14-$C$5-(12/2)</f>
        <v>74</v>
      </c>
      <c r="K17" s="261" t="s">
        <v>43</v>
      </c>
      <c r="L17" s="29"/>
      <c r="M17" s="35"/>
      <c r="N17" s="31"/>
      <c r="O17" s="30"/>
      <c r="P17" s="30"/>
      <c r="Q17" s="36"/>
      <c r="R17" s="29"/>
      <c r="S17" s="34" t="s">
        <v>88</v>
      </c>
      <c r="T17" s="36" t="s">
        <v>89</v>
      </c>
      <c r="U17" s="36"/>
      <c r="V17" s="264">
        <f>T14-$C$5-(12/2)</f>
        <v>74</v>
      </c>
      <c r="W17" s="261" t="s">
        <v>43</v>
      </c>
      <c r="X17" s="29"/>
      <c r="Y17" s="35"/>
      <c r="Z17" s="31"/>
      <c r="AA17" s="30"/>
      <c r="AB17" s="30"/>
      <c r="AC17" s="36"/>
      <c r="AD17" s="29"/>
      <c r="AE17" s="34" t="s">
        <v>88</v>
      </c>
      <c r="AF17" s="36" t="s">
        <v>89</v>
      </c>
      <c r="AG17" s="36"/>
      <c r="AH17" s="264">
        <f>AF14-$C$5-(12/2)</f>
        <v>74</v>
      </c>
      <c r="AI17" s="261" t="s">
        <v>43</v>
      </c>
      <c r="AJ17" s="29"/>
      <c r="AK17" s="35"/>
      <c r="AL17" s="31"/>
      <c r="AM17" s="30"/>
      <c r="AN17" s="30"/>
      <c r="AO17" s="36"/>
      <c r="AP17" s="29"/>
      <c r="AQ17" s="34" t="s">
        <v>88</v>
      </c>
      <c r="AR17" s="36" t="s">
        <v>89</v>
      </c>
      <c r="AS17" s="36"/>
      <c r="AT17" s="264">
        <f>AR14-$C$5-(12/2)</f>
        <v>74</v>
      </c>
      <c r="AU17" s="261" t="s">
        <v>43</v>
      </c>
    </row>
    <row r="18" spans="1:47" x14ac:dyDescent="0.3">
      <c r="A18" s="263" t="s">
        <v>71</v>
      </c>
      <c r="B18" s="31" t="s">
        <v>90</v>
      </c>
      <c r="C18" s="30"/>
      <c r="D18" s="30">
        <f>$H$14*($C$6/1000)</f>
        <v>2.35</v>
      </c>
      <c r="E18" s="36" t="s">
        <v>91</v>
      </c>
      <c r="F18" s="29"/>
      <c r="G18" s="29"/>
      <c r="H18" s="29"/>
      <c r="I18" s="29"/>
      <c r="J18" s="258"/>
      <c r="K18" s="259"/>
      <c r="L18" s="29"/>
      <c r="M18" s="263" t="s">
        <v>71</v>
      </c>
      <c r="N18" s="31" t="s">
        <v>90</v>
      </c>
      <c r="O18" s="30"/>
      <c r="P18" s="30">
        <f>$H$14*($C$6/1000)</f>
        <v>2.35</v>
      </c>
      <c r="Q18" s="36" t="s">
        <v>91</v>
      </c>
      <c r="R18" s="29"/>
      <c r="S18" s="29"/>
      <c r="T18" s="29"/>
      <c r="U18" s="29"/>
      <c r="V18" s="258"/>
      <c r="W18" s="259"/>
      <c r="X18" s="29"/>
      <c r="Y18" s="263" t="s">
        <v>71</v>
      </c>
      <c r="Z18" s="31" t="s">
        <v>90</v>
      </c>
      <c r="AA18" s="30"/>
      <c r="AB18" s="30">
        <f>$H$14*($C$6/1000)</f>
        <v>2.35</v>
      </c>
      <c r="AC18" s="36" t="s">
        <v>91</v>
      </c>
      <c r="AD18" s="29"/>
      <c r="AE18" s="29"/>
      <c r="AF18" s="29"/>
      <c r="AG18" s="29"/>
      <c r="AH18" s="258"/>
      <c r="AI18" s="259"/>
      <c r="AJ18" s="29"/>
      <c r="AK18" s="263" t="s">
        <v>71</v>
      </c>
      <c r="AL18" s="31" t="s">
        <v>90</v>
      </c>
      <c r="AM18" s="30"/>
      <c r="AN18" s="30">
        <f>$H$14*($C$6/1000)</f>
        <v>2.35</v>
      </c>
      <c r="AO18" s="36" t="s">
        <v>91</v>
      </c>
      <c r="AP18" s="29"/>
      <c r="AQ18" s="29"/>
      <c r="AR18" s="29"/>
      <c r="AS18" s="29"/>
      <c r="AT18" s="258"/>
      <c r="AU18" s="259"/>
    </row>
    <row r="19" spans="1:47" x14ac:dyDescent="0.3">
      <c r="A19" s="263" t="s">
        <v>92</v>
      </c>
      <c r="B19" s="31" t="s">
        <v>93</v>
      </c>
      <c r="C19" s="30"/>
      <c r="D19" s="30">
        <f>D18+(I6/1000)</f>
        <v>6.3900000000000006</v>
      </c>
      <c r="E19" s="36" t="s">
        <v>91</v>
      </c>
      <c r="F19" s="29"/>
      <c r="G19" s="29"/>
      <c r="H19" s="29"/>
      <c r="I19" s="29"/>
      <c r="J19" s="258"/>
      <c r="K19" s="259"/>
      <c r="L19" s="29"/>
      <c r="M19" s="263" t="s">
        <v>92</v>
      </c>
      <c r="N19" s="31" t="s">
        <v>93</v>
      </c>
      <c r="O19" s="30"/>
      <c r="P19" s="30">
        <f>P18+(U6/1000)</f>
        <v>6.3900000000000006</v>
      </c>
      <c r="Q19" s="36" t="s">
        <v>91</v>
      </c>
      <c r="R19" s="29"/>
      <c r="S19" s="29"/>
      <c r="T19" s="29"/>
      <c r="U19" s="29"/>
      <c r="V19" s="258"/>
      <c r="W19" s="259"/>
      <c r="X19" s="29"/>
      <c r="Y19" s="263" t="s">
        <v>92</v>
      </c>
      <c r="Z19" s="31" t="s">
        <v>93</v>
      </c>
      <c r="AA19" s="30"/>
      <c r="AB19" s="30">
        <f>AB18+(AG6/1000)</f>
        <v>6.3900000000000006</v>
      </c>
      <c r="AC19" s="36" t="s">
        <v>91</v>
      </c>
      <c r="AD19" s="29"/>
      <c r="AE19" s="29"/>
      <c r="AF19" s="29"/>
      <c r="AG19" s="29"/>
      <c r="AH19" s="258"/>
      <c r="AI19" s="259"/>
      <c r="AJ19" s="29"/>
      <c r="AK19" s="263" t="s">
        <v>92</v>
      </c>
      <c r="AL19" s="31" t="s">
        <v>93</v>
      </c>
      <c r="AM19" s="30"/>
      <c r="AN19" s="30">
        <f>AN18+(AS6/1000)</f>
        <v>6.3900000000000006</v>
      </c>
      <c r="AO19" s="36" t="s">
        <v>91</v>
      </c>
      <c r="AP19" s="29"/>
      <c r="AQ19" s="29"/>
      <c r="AR19" s="29"/>
      <c r="AS19" s="29"/>
      <c r="AT19" s="258"/>
      <c r="AU19" s="259"/>
    </row>
    <row r="20" spans="1:47" ht="15.6" x14ac:dyDescent="0.3">
      <c r="A20" s="263" t="s">
        <v>94</v>
      </c>
      <c r="B20" s="31" t="s">
        <v>95</v>
      </c>
      <c r="C20" s="30"/>
      <c r="D20" s="30">
        <f>1.2*(D19)+1.6*(C7/1000)</f>
        <v>7.6710400000000005</v>
      </c>
      <c r="E20" s="36" t="s">
        <v>91</v>
      </c>
      <c r="F20" s="29"/>
      <c r="G20" s="29"/>
      <c r="H20" s="29"/>
      <c r="I20" s="29"/>
      <c r="J20" s="258"/>
      <c r="K20" s="259"/>
      <c r="L20" s="29"/>
      <c r="M20" s="263" t="s">
        <v>94</v>
      </c>
      <c r="N20" s="31" t="s">
        <v>95</v>
      </c>
      <c r="O20" s="30"/>
      <c r="P20" s="30">
        <f>1.2*(P19)+1.6*(O7/1000)</f>
        <v>7.6710400000000005</v>
      </c>
      <c r="Q20" s="36" t="s">
        <v>91</v>
      </c>
      <c r="R20" s="29"/>
      <c r="S20" s="29"/>
      <c r="T20" s="29"/>
      <c r="U20" s="29"/>
      <c r="V20" s="258"/>
      <c r="W20" s="259"/>
      <c r="X20" s="29"/>
      <c r="Y20" s="263" t="s">
        <v>94</v>
      </c>
      <c r="Z20" s="31" t="s">
        <v>95</v>
      </c>
      <c r="AA20" s="30"/>
      <c r="AB20" s="30">
        <f>1.2*(AB19)+1.6*(AA7/1000)</f>
        <v>7.6726400000000003</v>
      </c>
      <c r="AC20" s="36" t="s">
        <v>91</v>
      </c>
      <c r="AD20" s="29"/>
      <c r="AE20" s="29"/>
      <c r="AF20" s="29"/>
      <c r="AG20" s="29"/>
      <c r="AH20" s="258"/>
      <c r="AI20" s="259"/>
      <c r="AJ20" s="29"/>
      <c r="AK20" s="263" t="s">
        <v>94</v>
      </c>
      <c r="AL20" s="31" t="s">
        <v>95</v>
      </c>
      <c r="AM20" s="30"/>
      <c r="AN20" s="30">
        <f>1.2*(AN19)+1.6*(AM7/1000)</f>
        <v>7.6726400000000003</v>
      </c>
      <c r="AO20" s="36" t="s">
        <v>91</v>
      </c>
      <c r="AP20" s="29"/>
      <c r="AQ20" s="29"/>
      <c r="AR20" s="29"/>
      <c r="AS20" s="29"/>
      <c r="AT20" s="258"/>
      <c r="AU20" s="259"/>
    </row>
    <row r="21" spans="1:47" x14ac:dyDescent="0.3">
      <c r="A21" s="479" t="s">
        <v>96</v>
      </c>
      <c r="B21" s="480"/>
      <c r="C21" s="30">
        <f>D20</f>
        <v>7.6710400000000005</v>
      </c>
      <c r="D21" s="36" t="s">
        <v>30</v>
      </c>
      <c r="E21" s="36"/>
      <c r="F21" s="36"/>
      <c r="G21" s="36"/>
      <c r="H21" s="29"/>
      <c r="I21" s="29"/>
      <c r="J21" s="258"/>
      <c r="K21" s="259"/>
      <c r="L21" s="29"/>
      <c r="M21" s="479" t="s">
        <v>96</v>
      </c>
      <c r="N21" s="480"/>
      <c r="O21" s="30">
        <f>P20</f>
        <v>7.6710400000000005</v>
      </c>
      <c r="P21" s="36" t="s">
        <v>30</v>
      </c>
      <c r="Q21" s="36"/>
      <c r="R21" s="36"/>
      <c r="S21" s="36"/>
      <c r="T21" s="29"/>
      <c r="U21" s="29"/>
      <c r="V21" s="258"/>
      <c r="W21" s="259"/>
      <c r="X21" s="29"/>
      <c r="Y21" s="479" t="s">
        <v>96</v>
      </c>
      <c r="Z21" s="480"/>
      <c r="AA21" s="30">
        <f>AB20</f>
        <v>7.6726400000000003</v>
      </c>
      <c r="AB21" s="36" t="s">
        <v>30</v>
      </c>
      <c r="AC21" s="36"/>
      <c r="AD21" s="36"/>
      <c r="AE21" s="36"/>
      <c r="AF21" s="29"/>
      <c r="AG21" s="29"/>
      <c r="AH21" s="258"/>
      <c r="AI21" s="259"/>
      <c r="AJ21" s="29"/>
      <c r="AK21" s="479" t="s">
        <v>96</v>
      </c>
      <c r="AL21" s="480"/>
      <c r="AM21" s="30">
        <f>AN20</f>
        <v>7.6726400000000003</v>
      </c>
      <c r="AN21" s="36" t="s">
        <v>30</v>
      </c>
      <c r="AO21" s="36"/>
      <c r="AP21" s="36"/>
      <c r="AQ21" s="36"/>
      <c r="AR21" s="29"/>
      <c r="AS21" s="29"/>
      <c r="AT21" s="258"/>
      <c r="AU21" s="259"/>
    </row>
    <row r="22" spans="1:47" x14ac:dyDescent="0.3">
      <c r="A22" s="488" t="s">
        <v>97</v>
      </c>
      <c r="B22" s="489"/>
      <c r="C22" s="489"/>
      <c r="D22" s="489"/>
      <c r="E22" s="489"/>
      <c r="F22" s="489"/>
      <c r="G22" s="489"/>
      <c r="H22" s="489"/>
      <c r="I22" s="489"/>
      <c r="J22" s="489"/>
      <c r="K22" s="490"/>
      <c r="L22" s="29"/>
      <c r="M22" s="488" t="s">
        <v>97</v>
      </c>
      <c r="N22" s="489"/>
      <c r="O22" s="489"/>
      <c r="P22" s="489"/>
      <c r="Q22" s="489"/>
      <c r="R22" s="489"/>
      <c r="S22" s="489"/>
      <c r="T22" s="489"/>
      <c r="U22" s="489"/>
      <c r="V22" s="489"/>
      <c r="W22" s="490"/>
      <c r="X22" s="29"/>
      <c r="Y22" s="488" t="s">
        <v>97</v>
      </c>
      <c r="Z22" s="489"/>
      <c r="AA22" s="489"/>
      <c r="AB22" s="489"/>
      <c r="AC22" s="489"/>
      <c r="AD22" s="489"/>
      <c r="AE22" s="489"/>
      <c r="AF22" s="489"/>
      <c r="AG22" s="489"/>
      <c r="AH22" s="489"/>
      <c r="AI22" s="490"/>
      <c r="AJ22" s="29"/>
      <c r="AK22" s="488" t="s">
        <v>97</v>
      </c>
      <c r="AL22" s="489"/>
      <c r="AM22" s="489"/>
      <c r="AN22" s="489"/>
      <c r="AO22" s="489"/>
      <c r="AP22" s="489"/>
      <c r="AQ22" s="489"/>
      <c r="AR22" s="489"/>
      <c r="AS22" s="489"/>
      <c r="AT22" s="489"/>
      <c r="AU22" s="490"/>
    </row>
    <row r="23" spans="1:47" x14ac:dyDescent="0.3">
      <c r="A23" s="263" t="s">
        <v>98</v>
      </c>
      <c r="B23" s="32"/>
      <c r="C23" s="30"/>
      <c r="D23" s="36"/>
      <c r="E23" s="36"/>
      <c r="F23" s="36"/>
      <c r="G23" s="34" t="s">
        <v>99</v>
      </c>
      <c r="H23" s="34"/>
      <c r="I23" s="36"/>
      <c r="J23" s="260"/>
      <c r="K23" s="261"/>
      <c r="L23" s="29"/>
      <c r="M23" s="263" t="s">
        <v>98</v>
      </c>
      <c r="N23" s="32"/>
      <c r="O23" s="30"/>
      <c r="P23" s="36"/>
      <c r="Q23" s="36"/>
      <c r="R23" s="36"/>
      <c r="S23" s="34" t="s">
        <v>99</v>
      </c>
      <c r="T23" s="34"/>
      <c r="U23" s="36"/>
      <c r="V23" s="260"/>
      <c r="W23" s="261"/>
      <c r="X23" s="29"/>
      <c r="Y23" s="479" t="s">
        <v>99</v>
      </c>
      <c r="Z23" s="480"/>
      <c r="AA23" s="36"/>
      <c r="AB23" s="36"/>
      <c r="AC23" s="36"/>
      <c r="AD23" s="36"/>
      <c r="AE23" s="36"/>
      <c r="AF23" s="34" t="s">
        <v>100</v>
      </c>
      <c r="AG23" s="34"/>
      <c r="AH23" s="36" t="s">
        <v>101</v>
      </c>
      <c r="AI23" s="261" t="s">
        <v>102</v>
      </c>
      <c r="AJ23" s="36"/>
      <c r="AK23" s="479" t="s">
        <v>99</v>
      </c>
      <c r="AL23" s="480"/>
      <c r="AM23" s="36"/>
      <c r="AN23" s="36"/>
      <c r="AO23" s="36"/>
      <c r="AP23" s="36"/>
      <c r="AQ23" s="36"/>
      <c r="AR23" s="34" t="s">
        <v>100</v>
      </c>
      <c r="AS23" s="34"/>
      <c r="AT23" s="36" t="s">
        <v>101</v>
      </c>
      <c r="AU23" s="261" t="s">
        <v>102</v>
      </c>
    </row>
    <row r="24" spans="1:47" ht="15" x14ac:dyDescent="0.3">
      <c r="A24" s="35" t="s">
        <v>103</v>
      </c>
      <c r="B24" s="31"/>
      <c r="C24" s="30">
        <f>($D$20*($I$7)^2)/14</f>
        <v>3.4245714285714288</v>
      </c>
      <c r="D24" s="36"/>
      <c r="E24" s="36"/>
      <c r="F24" s="36"/>
      <c r="G24" s="36" t="s">
        <v>104</v>
      </c>
      <c r="H24" s="36"/>
      <c r="I24" s="36"/>
      <c r="J24" s="260"/>
      <c r="K24" s="261"/>
      <c r="L24" s="29"/>
      <c r="M24" s="35" t="s">
        <v>103</v>
      </c>
      <c r="N24" s="31"/>
      <c r="O24" s="30">
        <f>($D$20*($I$7)^2)/14</f>
        <v>3.4245714285714288</v>
      </c>
      <c r="P24" s="36"/>
      <c r="Q24" s="36"/>
      <c r="R24" s="36"/>
      <c r="S24" s="36" t="s">
        <v>104</v>
      </c>
      <c r="T24" s="36"/>
      <c r="U24" s="36"/>
      <c r="V24" s="260"/>
      <c r="W24" s="261"/>
      <c r="X24" s="29"/>
      <c r="Y24" s="35"/>
      <c r="Z24" s="36" t="s">
        <v>104</v>
      </c>
      <c r="AA24" s="36"/>
      <c r="AB24" s="36"/>
      <c r="AC24" s="36"/>
      <c r="AD24" s="36"/>
      <c r="AE24" s="36"/>
      <c r="AF24" s="36"/>
      <c r="AG24" s="34" t="s">
        <v>105</v>
      </c>
      <c r="AH24" s="36">
        <f>0.002</f>
        <v>2E-3</v>
      </c>
      <c r="AI24" s="261"/>
      <c r="AJ24" s="36"/>
      <c r="AK24" s="35"/>
      <c r="AL24" s="36" t="s">
        <v>104</v>
      </c>
      <c r="AM24" s="36"/>
      <c r="AN24" s="36"/>
      <c r="AO24" s="36"/>
      <c r="AP24" s="36"/>
      <c r="AQ24" s="36"/>
      <c r="AR24" s="36"/>
      <c r="AS24" s="34" t="s">
        <v>105</v>
      </c>
      <c r="AT24" s="36">
        <f>0.002</f>
        <v>2E-3</v>
      </c>
      <c r="AU24" s="261"/>
    </row>
    <row r="25" spans="1:47" x14ac:dyDescent="0.3">
      <c r="A25" s="35"/>
      <c r="B25" s="31"/>
      <c r="C25" s="30"/>
      <c r="D25" s="36"/>
      <c r="E25" s="36"/>
      <c r="F25" s="36"/>
      <c r="G25" s="36"/>
      <c r="H25" s="36"/>
      <c r="I25" s="36"/>
      <c r="J25" s="260"/>
      <c r="K25" s="261"/>
      <c r="L25" s="29"/>
      <c r="M25" s="35"/>
      <c r="N25" s="31"/>
      <c r="O25" s="30"/>
      <c r="P25" s="36"/>
      <c r="Q25" s="36"/>
      <c r="R25" s="36"/>
      <c r="S25" s="36"/>
      <c r="T25" s="36"/>
      <c r="U25" s="36"/>
      <c r="V25" s="260"/>
      <c r="W25" s="261"/>
      <c r="X25" s="29"/>
      <c r="Y25" s="35"/>
      <c r="Z25" s="36"/>
      <c r="AA25" s="36"/>
      <c r="AB25" s="36"/>
      <c r="AC25" s="36"/>
      <c r="AD25" s="36"/>
      <c r="AE25" s="36"/>
      <c r="AF25" s="36"/>
      <c r="AG25" s="34" t="s">
        <v>106</v>
      </c>
      <c r="AH25" s="36" t="s">
        <v>107</v>
      </c>
      <c r="AI25" s="261"/>
      <c r="AJ25" s="36"/>
      <c r="AK25" s="35"/>
      <c r="AL25" s="36"/>
      <c r="AM25" s="36"/>
      <c r="AN25" s="36"/>
      <c r="AO25" s="36"/>
      <c r="AP25" s="36"/>
      <c r="AQ25" s="36"/>
      <c r="AR25" s="36"/>
      <c r="AS25" s="34" t="s">
        <v>106</v>
      </c>
      <c r="AT25" s="36" t="s">
        <v>107</v>
      </c>
      <c r="AU25" s="261"/>
    </row>
    <row r="26" spans="1:47" x14ac:dyDescent="0.3">
      <c r="A26" s="35" t="s">
        <v>103</v>
      </c>
      <c r="B26" s="31"/>
      <c r="C26" s="30"/>
      <c r="D26" s="36"/>
      <c r="E26" s="36"/>
      <c r="F26" s="36"/>
      <c r="G26" s="36" t="s">
        <v>104</v>
      </c>
      <c r="H26" s="30">
        <f>($C$21*($I$7)^2)/10</f>
        <v>4.7944000000000004</v>
      </c>
      <c r="I26" s="36"/>
      <c r="J26" s="260"/>
      <c r="K26" s="261"/>
      <c r="L26" s="29"/>
      <c r="M26" s="35" t="s">
        <v>103</v>
      </c>
      <c r="N26" s="31"/>
      <c r="O26" s="30"/>
      <c r="P26" s="36"/>
      <c r="Q26" s="36"/>
      <c r="R26" s="36"/>
      <c r="S26" s="36" t="s">
        <v>104</v>
      </c>
      <c r="T26" s="30">
        <f>($C$21*($I$7)^2)/10</f>
        <v>4.7944000000000004</v>
      </c>
      <c r="U26" s="36"/>
      <c r="V26" s="260"/>
      <c r="W26" s="261"/>
      <c r="X26" s="29"/>
      <c r="Y26" s="35"/>
      <c r="Z26" s="36" t="s">
        <v>104</v>
      </c>
      <c r="AA26" s="36">
        <f>AA21*AG7/2</f>
        <v>3.8363200000000002</v>
      </c>
      <c r="AB26" s="36"/>
      <c r="AC26" s="36"/>
      <c r="AD26" s="36"/>
      <c r="AE26" s="36"/>
      <c r="AF26" s="36"/>
      <c r="AG26" s="34" t="s">
        <v>106</v>
      </c>
      <c r="AH26" s="36">
        <f>AH24*$I$4*$H$14</f>
        <v>200</v>
      </c>
      <c r="AI26" s="261"/>
      <c r="AJ26" s="36"/>
      <c r="AK26" s="35"/>
      <c r="AL26" s="36" t="s">
        <v>104</v>
      </c>
      <c r="AM26" s="36">
        <f>AM21*AS7/2</f>
        <v>3.8363200000000002</v>
      </c>
      <c r="AN26" s="36"/>
      <c r="AO26" s="36"/>
      <c r="AP26" s="36"/>
      <c r="AQ26" s="36"/>
      <c r="AR26" s="36"/>
      <c r="AS26" s="34" t="s">
        <v>106</v>
      </c>
      <c r="AT26" s="36">
        <f>AT24*$I$4*$H$14</f>
        <v>200</v>
      </c>
      <c r="AU26" s="261"/>
    </row>
    <row r="27" spans="1:47" x14ac:dyDescent="0.3">
      <c r="A27" s="35" t="s">
        <v>108</v>
      </c>
      <c r="B27" s="31">
        <f>(C24*10^6)/(0.9*$I$4*($J$17)^2)</f>
        <v>0.69486474891880301</v>
      </c>
      <c r="C27" s="30"/>
      <c r="D27" s="36"/>
      <c r="E27" s="36"/>
      <c r="F27" s="36"/>
      <c r="G27" s="36" t="s">
        <v>104</v>
      </c>
      <c r="H27" s="36"/>
      <c r="I27" s="36"/>
      <c r="J27" s="260"/>
      <c r="K27" s="261"/>
      <c r="L27" s="29"/>
      <c r="M27" s="35" t="s">
        <v>108</v>
      </c>
      <c r="N27" s="31">
        <f>(O24*10^6)/(0.9*$I$4*($J$17)^2)</f>
        <v>0.69486474891880301</v>
      </c>
      <c r="O27" s="30"/>
      <c r="P27" s="36"/>
      <c r="Q27" s="36"/>
      <c r="R27" s="36"/>
      <c r="S27" s="36" t="s">
        <v>104</v>
      </c>
      <c r="T27" s="36"/>
      <c r="U27" s="36"/>
      <c r="V27" s="260"/>
      <c r="W27" s="261"/>
      <c r="X27" s="29"/>
      <c r="Y27" s="35"/>
      <c r="Z27" s="36" t="s">
        <v>104</v>
      </c>
      <c r="AA27" s="36"/>
      <c r="AB27" s="36"/>
      <c r="AC27" s="36"/>
      <c r="AD27" s="36"/>
      <c r="AE27" s="36"/>
      <c r="AF27" s="36"/>
      <c r="AG27" s="34" t="s">
        <v>109</v>
      </c>
      <c r="AH27" s="36">
        <f>(3.141592654*(10)^2)/4</f>
        <v>78.539816349999995</v>
      </c>
      <c r="AI27" s="261"/>
      <c r="AJ27" s="36"/>
      <c r="AK27" s="35"/>
      <c r="AL27" s="36" t="s">
        <v>104</v>
      </c>
      <c r="AM27" s="36"/>
      <c r="AN27" s="36"/>
      <c r="AO27" s="36"/>
      <c r="AP27" s="36"/>
      <c r="AQ27" s="36"/>
      <c r="AR27" s="36"/>
      <c r="AS27" s="34" t="s">
        <v>109</v>
      </c>
      <c r="AT27" s="36">
        <f>(3.141592654*(10)^2)/4</f>
        <v>78.539816349999995</v>
      </c>
      <c r="AU27" s="261"/>
    </row>
    <row r="28" spans="1:47" x14ac:dyDescent="0.3">
      <c r="A28" s="35"/>
      <c r="B28" s="31"/>
      <c r="C28" s="30"/>
      <c r="D28" s="36"/>
      <c r="E28" s="36"/>
      <c r="F28" s="36"/>
      <c r="G28" s="36" t="s">
        <v>108</v>
      </c>
      <c r="H28" s="36">
        <f>(H26*10^6)/(0.9*$I$4*($J$17)^2)</f>
        <v>0.97281064848632415</v>
      </c>
      <c r="I28" s="36"/>
      <c r="J28" s="260"/>
      <c r="K28" s="261"/>
      <c r="L28" s="29"/>
      <c r="M28" s="35"/>
      <c r="N28" s="31"/>
      <c r="O28" s="30"/>
      <c r="P28" s="36"/>
      <c r="Q28" s="36"/>
      <c r="R28" s="36"/>
      <c r="S28" s="36" t="s">
        <v>108</v>
      </c>
      <c r="T28" s="36">
        <f>(T26*10^6)/(0.9*$I$4*($J$17)^2)</f>
        <v>0.97281064848632415</v>
      </c>
      <c r="U28" s="36"/>
      <c r="V28" s="260"/>
      <c r="W28" s="261"/>
      <c r="X28" s="29"/>
      <c r="Y28" s="35"/>
      <c r="Z28" s="36" t="s">
        <v>108</v>
      </c>
      <c r="AA28" s="36">
        <f>(AA26*10^6)/(0.9*$I$4*($J$17)^2)</f>
        <v>0.77841084327570809</v>
      </c>
      <c r="AB28" s="36"/>
      <c r="AC28" s="36"/>
      <c r="AD28" s="36"/>
      <c r="AE28" s="36"/>
      <c r="AF28" s="36"/>
      <c r="AG28" s="34" t="s">
        <v>110</v>
      </c>
      <c r="AH28" s="36"/>
      <c r="AI28" s="261"/>
      <c r="AJ28" s="36"/>
      <c r="AK28" s="35"/>
      <c r="AL28" s="36" t="s">
        <v>108</v>
      </c>
      <c r="AM28" s="36">
        <f>(AM26*10^6)/(0.9*$I$4*($J$17)^2)</f>
        <v>0.77841084327570809</v>
      </c>
      <c r="AN28" s="36"/>
      <c r="AO28" s="36"/>
      <c r="AP28" s="36"/>
      <c r="AQ28" s="36"/>
      <c r="AR28" s="36"/>
      <c r="AS28" s="34" t="s">
        <v>110</v>
      </c>
      <c r="AT28" s="36"/>
      <c r="AU28" s="261"/>
    </row>
    <row r="29" spans="1:47" x14ac:dyDescent="0.3">
      <c r="A29" s="35" t="s">
        <v>111</v>
      </c>
      <c r="B29" s="31"/>
      <c r="C29" s="30"/>
      <c r="D29" s="36"/>
      <c r="E29" s="36"/>
      <c r="F29" s="36"/>
      <c r="G29" s="36"/>
      <c r="H29" s="36"/>
      <c r="I29" s="36"/>
      <c r="J29" s="260"/>
      <c r="K29" s="261"/>
      <c r="L29" s="29"/>
      <c r="M29" s="35" t="s">
        <v>111</v>
      </c>
      <c r="N29" s="31"/>
      <c r="O29" s="30"/>
      <c r="P29" s="36"/>
      <c r="Q29" s="36"/>
      <c r="R29" s="36"/>
      <c r="S29" s="36"/>
      <c r="T29" s="36"/>
      <c r="U29" s="36"/>
      <c r="V29" s="260"/>
      <c r="W29" s="261"/>
      <c r="X29" s="29"/>
      <c r="Y29" s="35"/>
      <c r="Z29" s="36"/>
      <c r="AA29" s="36"/>
      <c r="AB29" s="36"/>
      <c r="AC29" s="36"/>
      <c r="AD29" s="36"/>
      <c r="AE29" s="36"/>
      <c r="AF29" s="36"/>
      <c r="AG29" s="34" t="s">
        <v>112</v>
      </c>
      <c r="AH29" s="36">
        <f>(AH27/AH26)*1000</f>
        <v>392.69908174999995</v>
      </c>
      <c r="AI29" s="261"/>
      <c r="AJ29" s="36"/>
      <c r="AK29" s="35"/>
      <c r="AL29" s="36"/>
      <c r="AM29" s="36"/>
      <c r="AN29" s="36"/>
      <c r="AO29" s="36"/>
      <c r="AP29" s="36"/>
      <c r="AQ29" s="36"/>
      <c r="AR29" s="36"/>
      <c r="AS29" s="34" t="s">
        <v>112</v>
      </c>
      <c r="AT29" s="36">
        <f>(AT27/AT26)*1000</f>
        <v>392.69908174999995</v>
      </c>
      <c r="AU29" s="261"/>
    </row>
    <row r="30" spans="1:47" x14ac:dyDescent="0.3">
      <c r="A30" s="35"/>
      <c r="B30" s="31"/>
      <c r="C30" s="30"/>
      <c r="D30" s="36"/>
      <c r="E30" s="36"/>
      <c r="F30" s="36"/>
      <c r="G30" s="36"/>
      <c r="H30" s="265"/>
      <c r="I30" s="36"/>
      <c r="J30" s="260"/>
      <c r="K30" s="261"/>
      <c r="L30" s="29"/>
      <c r="M30" s="35"/>
      <c r="N30" s="31"/>
      <c r="O30" s="30"/>
      <c r="P30" s="36"/>
      <c r="Q30" s="36"/>
      <c r="R30" s="36"/>
      <c r="S30" s="36"/>
      <c r="T30" s="265"/>
      <c r="U30" s="36"/>
      <c r="V30" s="260"/>
      <c r="W30" s="261"/>
      <c r="X30" s="29"/>
      <c r="Y30" s="35"/>
      <c r="Z30" s="36"/>
      <c r="AA30" s="265"/>
      <c r="AB30" s="36"/>
      <c r="AC30" s="36"/>
      <c r="AD30" s="36"/>
      <c r="AE30" s="36"/>
      <c r="AF30" s="29"/>
      <c r="AG30" s="34" t="s">
        <v>113</v>
      </c>
      <c r="AH30" s="36">
        <v>350</v>
      </c>
      <c r="AI30" s="261" t="s">
        <v>43</v>
      </c>
      <c r="AJ30" s="36"/>
      <c r="AK30" s="35"/>
      <c r="AL30" s="36"/>
      <c r="AM30" s="265"/>
      <c r="AN30" s="36"/>
      <c r="AO30" s="36"/>
      <c r="AP30" s="36"/>
      <c r="AQ30" s="36"/>
      <c r="AR30" s="29"/>
      <c r="AS30" s="34" t="s">
        <v>113</v>
      </c>
      <c r="AT30" s="36">
        <v>390</v>
      </c>
      <c r="AU30" s="261" t="s">
        <v>43</v>
      </c>
    </row>
    <row r="31" spans="1:47" x14ac:dyDescent="0.3">
      <c r="A31" s="266" t="s">
        <v>32</v>
      </c>
      <c r="B31" s="31">
        <f>((0.85*$C$3)/$C$4)*(1-SQRT(1-((2*B27)/(0.85*$C$3))))</f>
        <v>2.5694050575647376E-3</v>
      </c>
      <c r="C31" s="30"/>
      <c r="D31" s="36"/>
      <c r="E31" s="36"/>
      <c r="F31" s="36"/>
      <c r="G31" s="36" t="s">
        <v>111</v>
      </c>
      <c r="H31" s="36"/>
      <c r="I31" s="36"/>
      <c r="J31" s="260"/>
      <c r="K31" s="261"/>
      <c r="L31" s="29"/>
      <c r="M31" s="266" t="s">
        <v>32</v>
      </c>
      <c r="N31" s="31">
        <f>((0.85*$C$3)/$C$4)*(1-SQRT(1-((2*N27)/(0.85*$C$3))))</f>
        <v>2.5694050575647376E-3</v>
      </c>
      <c r="O31" s="30"/>
      <c r="P31" s="36"/>
      <c r="Q31" s="36"/>
      <c r="R31" s="36"/>
      <c r="S31" s="36" t="s">
        <v>111</v>
      </c>
      <c r="T31" s="36"/>
      <c r="U31" s="36"/>
      <c r="V31" s="260"/>
      <c r="W31" s="261"/>
      <c r="X31" s="29"/>
      <c r="Y31" s="35"/>
      <c r="Z31" s="36" t="s">
        <v>111</v>
      </c>
      <c r="AA31" s="36"/>
      <c r="AB31" s="36"/>
      <c r="AC31" s="36"/>
      <c r="AD31" s="36"/>
      <c r="AE31" s="36"/>
      <c r="AF31" s="29"/>
      <c r="AG31" s="29"/>
      <c r="AH31" s="29"/>
      <c r="AI31" s="259"/>
      <c r="AJ31" s="29"/>
      <c r="AK31" s="35"/>
      <c r="AL31" s="36" t="s">
        <v>111</v>
      </c>
      <c r="AM31" s="36"/>
      <c r="AN31" s="36"/>
      <c r="AO31" s="36"/>
      <c r="AP31" s="36"/>
      <c r="AQ31" s="36"/>
      <c r="AR31" s="29"/>
      <c r="AS31" s="29"/>
      <c r="AT31" s="29"/>
      <c r="AU31" s="259"/>
    </row>
    <row r="32" spans="1:47" x14ac:dyDescent="0.3">
      <c r="A32" s="263" t="s">
        <v>114</v>
      </c>
      <c r="B32" s="31"/>
      <c r="C32" s="33" t="s">
        <v>115</v>
      </c>
      <c r="D32" s="36"/>
      <c r="E32" s="36"/>
      <c r="F32" s="29"/>
      <c r="G32" s="267" t="s">
        <v>32</v>
      </c>
      <c r="H32" s="268">
        <f>((0.85*$C$3)/$C$4)*(1-SQRT(1-((2*H28)/(0.85*$C$3))))</f>
        <v>3.6279052551021814E-3</v>
      </c>
      <c r="I32" s="36"/>
      <c r="J32" s="260"/>
      <c r="K32" s="261"/>
      <c r="L32" s="29"/>
      <c r="M32" s="263" t="s">
        <v>114</v>
      </c>
      <c r="N32" s="31"/>
      <c r="O32" s="33" t="s">
        <v>115</v>
      </c>
      <c r="P32" s="36"/>
      <c r="Q32" s="36"/>
      <c r="R32" s="29"/>
      <c r="S32" s="267" t="s">
        <v>32</v>
      </c>
      <c r="T32" s="268">
        <f>((0.85*$C$3)/$C$4)*(1-SQRT(1-((2*T28)/(0.85*$C$3))))</f>
        <v>3.6279052551021814E-3</v>
      </c>
      <c r="U32" s="36"/>
      <c r="V32" s="260"/>
      <c r="W32" s="261"/>
      <c r="X32" s="29"/>
      <c r="Y32" s="35"/>
      <c r="Z32" s="267" t="s">
        <v>32</v>
      </c>
      <c r="AA32" s="268">
        <f>((0.85*AA3)/AA4)*(1-SQRT(1-((2*AA28)/(0.85*AA3))))</f>
        <v>2.8856382243571807E-3</v>
      </c>
      <c r="AB32" s="36"/>
      <c r="AC32" s="36"/>
      <c r="AD32" s="36"/>
      <c r="AE32" s="36"/>
      <c r="AF32" s="34" t="s">
        <v>116</v>
      </c>
      <c r="AG32" s="29"/>
      <c r="AH32" s="29"/>
      <c r="AI32" s="259"/>
      <c r="AJ32" s="29"/>
      <c r="AK32" s="35"/>
      <c r="AL32" s="267" t="s">
        <v>32</v>
      </c>
      <c r="AM32" s="268">
        <f>((0.85*AM3)/AM4)*(1-SQRT(1-((2*AM28)/(0.85*AM3))))</f>
        <v>2.8856382243571807E-3</v>
      </c>
      <c r="AN32" s="36"/>
      <c r="AO32" s="36"/>
      <c r="AP32" s="36"/>
      <c r="AQ32" s="36"/>
      <c r="AR32" s="34" t="s">
        <v>116</v>
      </c>
      <c r="AS32" s="29"/>
      <c r="AT32" s="29"/>
      <c r="AU32" s="259"/>
    </row>
    <row r="33" spans="1:47" x14ac:dyDescent="0.3">
      <c r="A33" s="35" t="s">
        <v>117</v>
      </c>
      <c r="B33" s="31" t="s">
        <v>51</v>
      </c>
      <c r="C33" s="30" t="s">
        <v>118</v>
      </c>
      <c r="D33" s="36"/>
      <c r="E33" s="36"/>
      <c r="F33" s="29"/>
      <c r="G33" s="34" t="s">
        <v>114</v>
      </c>
      <c r="H33" s="36"/>
      <c r="I33" s="36"/>
      <c r="J33" s="260"/>
      <c r="K33" s="261"/>
      <c r="L33" s="29"/>
      <c r="M33" s="35" t="s">
        <v>117</v>
      </c>
      <c r="N33" s="31" t="s">
        <v>51</v>
      </c>
      <c r="O33" s="30" t="s">
        <v>118</v>
      </c>
      <c r="P33" s="36"/>
      <c r="Q33" s="36"/>
      <c r="R33" s="29"/>
      <c r="S33" s="34" t="s">
        <v>114</v>
      </c>
      <c r="T33" s="36"/>
      <c r="U33" s="36"/>
      <c r="V33" s="260"/>
      <c r="W33" s="261"/>
      <c r="X33" s="29"/>
      <c r="Y33" s="35"/>
      <c r="Z33" s="34" t="s">
        <v>114</v>
      </c>
      <c r="AA33" s="36"/>
      <c r="AB33" s="36"/>
      <c r="AC33" s="36"/>
      <c r="AD33" s="36"/>
      <c r="AE33" s="36"/>
      <c r="AF33" s="36"/>
      <c r="AG33" s="36"/>
      <c r="AH33" s="36"/>
      <c r="AI33" s="261"/>
      <c r="AJ33" s="36"/>
      <c r="AK33" s="35"/>
      <c r="AL33" s="34" t="s">
        <v>114</v>
      </c>
      <c r="AM33" s="36"/>
      <c r="AN33" s="36"/>
      <c r="AO33" s="36"/>
      <c r="AP33" s="36"/>
      <c r="AQ33" s="36"/>
      <c r="AR33" s="36"/>
      <c r="AS33" s="36"/>
      <c r="AT33" s="36"/>
      <c r="AU33" s="261"/>
    </row>
    <row r="34" spans="1:47" x14ac:dyDescent="0.3">
      <c r="A34" s="35" t="s">
        <v>117</v>
      </c>
      <c r="B34" s="31">
        <f>1.4/C4</f>
        <v>5.0724637681159417E-3</v>
      </c>
      <c r="C34" s="30"/>
      <c r="D34" s="36"/>
      <c r="E34" s="36"/>
      <c r="F34" s="29"/>
      <c r="G34" s="34" t="s">
        <v>117</v>
      </c>
      <c r="H34" s="36"/>
      <c r="I34" s="34" t="s">
        <v>115</v>
      </c>
      <c r="J34" s="260"/>
      <c r="K34" s="261"/>
      <c r="L34" s="29"/>
      <c r="M34" s="35" t="s">
        <v>117</v>
      </c>
      <c r="N34" s="31">
        <f>1.4/O4</f>
        <v>5.0724637681159417E-3</v>
      </c>
      <c r="O34" s="30"/>
      <c r="P34" s="36"/>
      <c r="Q34" s="36"/>
      <c r="R34" s="29"/>
      <c r="S34" s="34" t="s">
        <v>117</v>
      </c>
      <c r="T34" s="36"/>
      <c r="U34" s="34" t="s">
        <v>115</v>
      </c>
      <c r="V34" s="260"/>
      <c r="W34" s="261"/>
      <c r="X34" s="29"/>
      <c r="Y34" s="35"/>
      <c r="Z34" s="34" t="s">
        <v>117</v>
      </c>
      <c r="AA34" s="36"/>
      <c r="AB34" s="34" t="s">
        <v>115</v>
      </c>
      <c r="AC34" s="36"/>
      <c r="AD34" s="36"/>
      <c r="AE34" s="29"/>
      <c r="AF34" s="36"/>
      <c r="AG34" s="36" t="s">
        <v>119</v>
      </c>
      <c r="AH34" s="36">
        <f>5*AF14</f>
        <v>500</v>
      </c>
      <c r="AI34" s="261"/>
      <c r="AJ34" s="36"/>
      <c r="AK34" s="35"/>
      <c r="AL34" s="34" t="s">
        <v>117</v>
      </c>
      <c r="AM34" s="36"/>
      <c r="AN34" s="34" t="s">
        <v>115</v>
      </c>
      <c r="AO34" s="36"/>
      <c r="AP34" s="36"/>
      <c r="AQ34" s="29"/>
      <c r="AR34" s="36"/>
      <c r="AS34" s="36" t="s">
        <v>119</v>
      </c>
      <c r="AT34" s="36">
        <f>5*AR14</f>
        <v>500</v>
      </c>
      <c r="AU34" s="261"/>
    </row>
    <row r="35" spans="1:47" x14ac:dyDescent="0.3">
      <c r="A35" s="35" t="s">
        <v>120</v>
      </c>
      <c r="B35" s="31">
        <f>IF(B31&gt;B34,B31,B34)</f>
        <v>5.0724637681159417E-3</v>
      </c>
      <c r="C35" s="30" t="s">
        <v>118</v>
      </c>
      <c r="D35" s="36">
        <f>(0.5475*0.85*20.7*0.85*600)/(276*(600+276))</f>
        <v>2.0320312499999996E-2</v>
      </c>
      <c r="E35" s="36"/>
      <c r="F35" s="29"/>
      <c r="G35" s="34" t="s">
        <v>120</v>
      </c>
      <c r="H35" s="36">
        <f>1.4/$C$4</f>
        <v>5.0724637681159417E-3</v>
      </c>
      <c r="I35" s="36" t="s">
        <v>118</v>
      </c>
      <c r="J35" s="260"/>
      <c r="K35" s="261"/>
      <c r="L35" s="29"/>
      <c r="M35" s="35" t="s">
        <v>120</v>
      </c>
      <c r="N35" s="31">
        <f>IF(N31&gt;N34,N31,N34)</f>
        <v>5.0724637681159417E-3</v>
      </c>
      <c r="O35" s="30" t="s">
        <v>118</v>
      </c>
      <c r="P35" s="36">
        <f>(0.5475*0.85*20.7*0.85*600)/(276*(600+276))</f>
        <v>2.0320312499999996E-2</v>
      </c>
      <c r="Q35" s="36"/>
      <c r="R35" s="29"/>
      <c r="S35" s="34" t="s">
        <v>120</v>
      </c>
      <c r="T35" s="36">
        <f>1.4/$C$4</f>
        <v>5.0724637681159417E-3</v>
      </c>
      <c r="U35" s="36" t="s">
        <v>118</v>
      </c>
      <c r="V35" s="260"/>
      <c r="W35" s="261"/>
      <c r="X35" s="29"/>
      <c r="Y35" s="35"/>
      <c r="Z35" s="34" t="s">
        <v>120</v>
      </c>
      <c r="AA35" s="36">
        <f>1.4/$C$4</f>
        <v>5.0724637681159417E-3</v>
      </c>
      <c r="AB35" s="36" t="s">
        <v>118</v>
      </c>
      <c r="AC35" s="36"/>
      <c r="AD35" s="36"/>
      <c r="AE35" s="29"/>
      <c r="AF35" s="36"/>
      <c r="AG35" s="36" t="s">
        <v>121</v>
      </c>
      <c r="AH35" s="36">
        <f>450</f>
        <v>450</v>
      </c>
      <c r="AI35" s="261"/>
      <c r="AJ35" s="36"/>
      <c r="AK35" s="35"/>
      <c r="AL35" s="34" t="s">
        <v>120</v>
      </c>
      <c r="AM35" s="36">
        <f>1.4/$C$4</f>
        <v>5.0724637681159417E-3</v>
      </c>
      <c r="AN35" s="36" t="s">
        <v>118</v>
      </c>
      <c r="AO35" s="36"/>
      <c r="AP35" s="36"/>
      <c r="AQ35" s="29"/>
      <c r="AR35" s="36"/>
      <c r="AS35" s="36" t="s">
        <v>121</v>
      </c>
      <c r="AT35" s="36">
        <f>450</f>
        <v>450</v>
      </c>
      <c r="AU35" s="261"/>
    </row>
    <row r="36" spans="1:47" x14ac:dyDescent="0.3">
      <c r="A36" s="35" t="s">
        <v>122</v>
      </c>
      <c r="B36" s="31"/>
      <c r="C36" s="30"/>
      <c r="D36" s="36"/>
      <c r="E36" s="36"/>
      <c r="F36" s="36"/>
      <c r="G36" s="34" t="s">
        <v>122</v>
      </c>
      <c r="H36" s="36">
        <f>IF(H32&gt;H35,H33,H35)</f>
        <v>5.0724637681159417E-3</v>
      </c>
      <c r="I36" s="36"/>
      <c r="J36" s="260"/>
      <c r="K36" s="261"/>
      <c r="L36" s="29"/>
      <c r="M36" s="35" t="s">
        <v>122</v>
      </c>
      <c r="N36" s="31"/>
      <c r="O36" s="30"/>
      <c r="P36" s="36"/>
      <c r="Q36" s="36"/>
      <c r="R36" s="36"/>
      <c r="S36" s="34" t="s">
        <v>122</v>
      </c>
      <c r="T36" s="36">
        <f>IF(T32&gt;T35,T33,T35)</f>
        <v>5.0724637681159417E-3</v>
      </c>
      <c r="U36" s="36"/>
      <c r="V36" s="260"/>
      <c r="W36" s="261"/>
      <c r="X36" s="29"/>
      <c r="Y36" s="35"/>
      <c r="Z36" s="34" t="s">
        <v>122</v>
      </c>
      <c r="AA36" s="36">
        <f>IF(AA32&gt;AA35,AA33,AA35)</f>
        <v>5.0724637681159417E-3</v>
      </c>
      <c r="AB36" s="36"/>
      <c r="AC36" s="36"/>
      <c r="AD36" s="36"/>
      <c r="AE36" s="29"/>
      <c r="AF36" s="483" t="s">
        <v>130</v>
      </c>
      <c r="AG36" s="483"/>
      <c r="AH36" s="483"/>
      <c r="AI36" s="484"/>
      <c r="AJ36" s="36"/>
      <c r="AK36" s="35"/>
      <c r="AL36" s="34" t="s">
        <v>122</v>
      </c>
      <c r="AM36" s="36">
        <f>IF(AM32&gt;AM35,AM33,AM35)</f>
        <v>5.0724637681159417E-3</v>
      </c>
      <c r="AN36" s="36"/>
      <c r="AO36" s="36"/>
      <c r="AP36" s="36"/>
      <c r="AQ36" s="29"/>
      <c r="AR36" s="483" t="s">
        <v>543</v>
      </c>
      <c r="AS36" s="483"/>
      <c r="AT36" s="483"/>
      <c r="AU36" s="484"/>
    </row>
    <row r="37" spans="1:47" x14ac:dyDescent="0.3">
      <c r="A37" s="263" t="s">
        <v>123</v>
      </c>
      <c r="B37" s="31">
        <f>B35*$I$4*$J$17</f>
        <v>375.36231884057969</v>
      </c>
      <c r="C37" s="30"/>
      <c r="D37" s="36"/>
      <c r="E37" s="36"/>
      <c r="F37" s="36"/>
      <c r="G37" s="34" t="s">
        <v>123</v>
      </c>
      <c r="H37" s="36">
        <f>H36*$I$4*$J$17</f>
        <v>375.36231884057969</v>
      </c>
      <c r="I37" s="36" t="s">
        <v>118</v>
      </c>
      <c r="J37" s="260">
        <f>(0.5475*0.85*20.7*0.85*600)/(276*(600+276))</f>
        <v>2.0320312499999996E-2</v>
      </c>
      <c r="K37" s="261"/>
      <c r="L37" s="29"/>
      <c r="M37" s="263" t="s">
        <v>123</v>
      </c>
      <c r="N37" s="31">
        <f>N35*$I$4*$J$17</f>
        <v>375.36231884057969</v>
      </c>
      <c r="O37" s="30"/>
      <c r="P37" s="36"/>
      <c r="Q37" s="36"/>
      <c r="R37" s="36"/>
      <c r="S37" s="34" t="s">
        <v>123</v>
      </c>
      <c r="T37" s="36">
        <f>T36*$I$4*$J$17</f>
        <v>375.36231884057969</v>
      </c>
      <c r="U37" s="36" t="s">
        <v>118</v>
      </c>
      <c r="V37" s="260">
        <f>(0.5475*0.85*20.7*0.85*600)/(276*(600+276))</f>
        <v>2.0320312499999996E-2</v>
      </c>
      <c r="W37" s="261"/>
      <c r="X37" s="29"/>
      <c r="Y37" s="35"/>
      <c r="Z37" s="34" t="s">
        <v>123</v>
      </c>
      <c r="AA37" s="36">
        <f>AA36*$I$4*$J$17</f>
        <v>375.36231884057969</v>
      </c>
      <c r="AB37" s="36" t="s">
        <v>118</v>
      </c>
      <c r="AC37" s="36">
        <f>(0.5475*0.85*20.7*0.85*600)/(276*(600+276))</f>
        <v>2.0320312499999996E-2</v>
      </c>
      <c r="AD37" s="36"/>
      <c r="AE37" s="29"/>
      <c r="AF37" s="29"/>
      <c r="AG37" s="269"/>
      <c r="AH37" s="269"/>
      <c r="AI37" s="270"/>
      <c r="AJ37" s="36"/>
      <c r="AK37" s="35"/>
      <c r="AL37" s="34" t="s">
        <v>123</v>
      </c>
      <c r="AM37" s="36">
        <f>AM36*$I$4*$J$17</f>
        <v>375.36231884057969</v>
      </c>
      <c r="AN37" s="36" t="s">
        <v>118</v>
      </c>
      <c r="AO37" s="36">
        <f>(0.5475*0.85*20.7*0.85*600)/(276*(600+276))</f>
        <v>2.0320312499999996E-2</v>
      </c>
      <c r="AP37" s="36"/>
      <c r="AQ37" s="29"/>
      <c r="AR37" s="29"/>
      <c r="AS37" s="269"/>
      <c r="AT37" s="269"/>
      <c r="AU37" s="270"/>
    </row>
    <row r="38" spans="1:47" x14ac:dyDescent="0.3">
      <c r="A38" s="263" t="s">
        <v>109</v>
      </c>
      <c r="B38" s="31">
        <f>(3.141592654*(12)^2)/4</f>
        <v>113.097335544</v>
      </c>
      <c r="C38" s="30"/>
      <c r="D38" s="36"/>
      <c r="E38" s="36"/>
      <c r="F38" s="36"/>
      <c r="G38" s="34" t="s">
        <v>109</v>
      </c>
      <c r="H38" s="36">
        <f>(3.141592654*(12)^2)/4</f>
        <v>113.097335544</v>
      </c>
      <c r="I38" s="36"/>
      <c r="J38" s="260"/>
      <c r="K38" s="261"/>
      <c r="L38" s="29"/>
      <c r="M38" s="263" t="s">
        <v>109</v>
      </c>
      <c r="N38" s="31">
        <f>(3.141592654*(12)^2)/4</f>
        <v>113.097335544</v>
      </c>
      <c r="O38" s="30"/>
      <c r="P38" s="36"/>
      <c r="Q38" s="36"/>
      <c r="R38" s="36"/>
      <c r="S38" s="34" t="s">
        <v>109</v>
      </c>
      <c r="T38" s="36">
        <f>(3.141592654*(12)^2)/4</f>
        <v>113.097335544</v>
      </c>
      <c r="U38" s="36"/>
      <c r="V38" s="260"/>
      <c r="W38" s="261"/>
      <c r="X38" s="29"/>
      <c r="Y38" s="35"/>
      <c r="Z38" s="34" t="s">
        <v>109</v>
      </c>
      <c r="AA38" s="36">
        <f>(3.141592654*(12)^2)/4</f>
        <v>113.097335544</v>
      </c>
      <c r="AB38" s="36"/>
      <c r="AC38" s="36"/>
      <c r="AD38" s="36"/>
      <c r="AE38" s="36"/>
      <c r="AF38" s="29"/>
      <c r="AG38" s="29"/>
      <c r="AH38" s="29"/>
      <c r="AI38" s="259"/>
      <c r="AJ38" s="29"/>
      <c r="AK38" s="35"/>
      <c r="AL38" s="34" t="s">
        <v>109</v>
      </c>
      <c r="AM38" s="36">
        <f>(3.141592654*(12)^2)/4</f>
        <v>113.097335544</v>
      </c>
      <c r="AN38" s="36"/>
      <c r="AO38" s="36"/>
      <c r="AP38" s="36"/>
      <c r="AQ38" s="36"/>
      <c r="AR38" s="29"/>
      <c r="AS38" s="29"/>
      <c r="AT38" s="29"/>
      <c r="AU38" s="259"/>
    </row>
    <row r="39" spans="1:47" x14ac:dyDescent="0.3">
      <c r="A39" s="263" t="s">
        <v>110</v>
      </c>
      <c r="B39" s="31"/>
      <c r="C39" s="30"/>
      <c r="D39" s="36"/>
      <c r="E39" s="36"/>
      <c r="F39" s="36"/>
      <c r="G39" s="34" t="s">
        <v>110</v>
      </c>
      <c r="H39" s="29"/>
      <c r="I39" s="36"/>
      <c r="J39" s="260"/>
      <c r="K39" s="261"/>
      <c r="L39" s="29"/>
      <c r="M39" s="263" t="s">
        <v>110</v>
      </c>
      <c r="N39" s="31"/>
      <c r="O39" s="30"/>
      <c r="P39" s="36"/>
      <c r="Q39" s="36"/>
      <c r="R39" s="36"/>
      <c r="S39" s="34" t="s">
        <v>110</v>
      </c>
      <c r="T39" s="36"/>
      <c r="U39" s="36"/>
      <c r="V39" s="260"/>
      <c r="W39" s="261"/>
      <c r="X39" s="29"/>
      <c r="Y39" s="35"/>
      <c r="Z39" s="34" t="s">
        <v>110</v>
      </c>
      <c r="AA39" s="29"/>
      <c r="AB39" s="36"/>
      <c r="AC39" s="36"/>
      <c r="AD39" s="36"/>
      <c r="AE39" s="36"/>
      <c r="AF39" s="29"/>
      <c r="AG39" s="29"/>
      <c r="AH39" s="29"/>
      <c r="AI39" s="259"/>
      <c r="AJ39" s="29"/>
      <c r="AK39" s="35"/>
      <c r="AL39" s="34" t="s">
        <v>110</v>
      </c>
      <c r="AM39" s="29"/>
      <c r="AN39" s="36"/>
      <c r="AO39" s="36"/>
      <c r="AP39" s="36"/>
      <c r="AQ39" s="36"/>
      <c r="AR39" s="29"/>
      <c r="AS39" s="29"/>
      <c r="AT39" s="29"/>
      <c r="AU39" s="259"/>
    </row>
    <row r="40" spans="1:47" x14ac:dyDescent="0.3">
      <c r="A40" s="263" t="s">
        <v>112</v>
      </c>
      <c r="B40" s="31">
        <f>(B38/B37)*1000</f>
        <v>301.30178195119697</v>
      </c>
      <c r="C40" s="30"/>
      <c r="D40" s="36"/>
      <c r="E40" s="36"/>
      <c r="F40" s="36"/>
      <c r="G40" s="34" t="s">
        <v>112</v>
      </c>
      <c r="H40" s="36">
        <f>(H38/H37)*1000</f>
        <v>301.30178195119697</v>
      </c>
      <c r="I40" s="36"/>
      <c r="J40" s="260"/>
      <c r="K40" s="261"/>
      <c r="L40" s="29"/>
      <c r="M40" s="263" t="s">
        <v>112</v>
      </c>
      <c r="N40" s="31">
        <f>(N38/N37)*1000</f>
        <v>301.30178195119697</v>
      </c>
      <c r="O40" s="30"/>
      <c r="P40" s="36"/>
      <c r="Q40" s="36"/>
      <c r="R40" s="36"/>
      <c r="S40" s="34" t="s">
        <v>112</v>
      </c>
      <c r="T40" s="36">
        <f>(T38/T37)*1000</f>
        <v>301.30178195119697</v>
      </c>
      <c r="U40" s="36"/>
      <c r="V40" s="260"/>
      <c r="W40" s="261"/>
      <c r="X40" s="29"/>
      <c r="Y40" s="35"/>
      <c r="Z40" s="34" t="s">
        <v>112</v>
      </c>
      <c r="AA40" s="36">
        <f>(AA38/AA37)*1000</f>
        <v>301.30178195119697</v>
      </c>
      <c r="AB40" s="36"/>
      <c r="AC40" s="36"/>
      <c r="AD40" s="36"/>
      <c r="AE40" s="36"/>
      <c r="AF40" s="29"/>
      <c r="AG40" s="29"/>
      <c r="AH40" s="29"/>
      <c r="AI40" s="259"/>
      <c r="AJ40" s="29"/>
      <c r="AK40" s="35"/>
      <c r="AL40" s="34" t="s">
        <v>112</v>
      </c>
      <c r="AM40" s="36">
        <f>(AM38/AM37)*1000</f>
        <v>301.30178195119697</v>
      </c>
      <c r="AN40" s="36"/>
      <c r="AO40" s="36"/>
      <c r="AP40" s="36"/>
      <c r="AQ40" s="36"/>
      <c r="AR40" s="29"/>
      <c r="AS40" s="29"/>
      <c r="AT40" s="29"/>
      <c r="AU40" s="259"/>
    </row>
    <row r="41" spans="1:47" x14ac:dyDescent="0.3">
      <c r="A41" s="263" t="s">
        <v>113</v>
      </c>
      <c r="B41" s="31">
        <v>300</v>
      </c>
      <c r="C41" s="30" t="s">
        <v>124</v>
      </c>
      <c r="D41" s="36"/>
      <c r="E41" s="36"/>
      <c r="F41" s="36"/>
      <c r="G41" s="34" t="s">
        <v>113</v>
      </c>
      <c r="H41" s="36">
        <v>300</v>
      </c>
      <c r="I41" s="36" t="s">
        <v>43</v>
      </c>
      <c r="J41" s="260"/>
      <c r="K41" s="261"/>
      <c r="L41" s="29"/>
      <c r="M41" s="263" t="s">
        <v>113</v>
      </c>
      <c r="N41" s="31">
        <v>300</v>
      </c>
      <c r="O41" s="30" t="s">
        <v>124</v>
      </c>
      <c r="P41" s="36"/>
      <c r="Q41" s="36"/>
      <c r="R41" s="36"/>
      <c r="S41" s="34" t="s">
        <v>113</v>
      </c>
      <c r="T41" s="36">
        <v>300</v>
      </c>
      <c r="U41" s="36" t="s">
        <v>43</v>
      </c>
      <c r="V41" s="260"/>
      <c r="W41" s="261"/>
      <c r="X41" s="29"/>
      <c r="Y41" s="35"/>
      <c r="Z41" s="34" t="s">
        <v>113</v>
      </c>
      <c r="AA41" s="36">
        <v>250</v>
      </c>
      <c r="AB41" s="36" t="s">
        <v>43</v>
      </c>
      <c r="AC41" s="36"/>
      <c r="AD41" s="36"/>
      <c r="AE41" s="36"/>
      <c r="AF41" s="29"/>
      <c r="AG41" s="29"/>
      <c r="AH41" s="29"/>
      <c r="AI41" s="259"/>
      <c r="AJ41" s="29"/>
      <c r="AK41" s="35"/>
      <c r="AL41" s="34" t="s">
        <v>113</v>
      </c>
      <c r="AM41" s="36">
        <v>300</v>
      </c>
      <c r="AN41" s="36" t="s">
        <v>43</v>
      </c>
      <c r="AO41" s="36"/>
      <c r="AP41" s="36"/>
      <c r="AQ41" s="36"/>
      <c r="AR41" s="29"/>
      <c r="AS41" s="29"/>
      <c r="AT41" s="29"/>
      <c r="AU41" s="259"/>
    </row>
    <row r="42" spans="1:47" x14ac:dyDescent="0.3">
      <c r="A42" s="263" t="s">
        <v>116</v>
      </c>
      <c r="B42" s="31"/>
      <c r="C42" s="30"/>
      <c r="D42" s="36"/>
      <c r="E42" s="36"/>
      <c r="F42" s="36"/>
      <c r="G42" s="34" t="s">
        <v>116</v>
      </c>
      <c r="H42" s="36"/>
      <c r="I42" s="36"/>
      <c r="J42" s="260"/>
      <c r="K42" s="261"/>
      <c r="L42" s="29"/>
      <c r="M42" s="263" t="s">
        <v>116</v>
      </c>
      <c r="N42" s="31"/>
      <c r="O42" s="30"/>
      <c r="P42" s="36"/>
      <c r="Q42" s="36"/>
      <c r="R42" s="36"/>
      <c r="S42" s="34" t="s">
        <v>116</v>
      </c>
      <c r="T42" s="36"/>
      <c r="U42" s="36"/>
      <c r="V42" s="260"/>
      <c r="W42" s="261"/>
      <c r="X42" s="29"/>
      <c r="Y42" s="35"/>
      <c r="Z42" s="34" t="s">
        <v>116</v>
      </c>
      <c r="AA42" s="29"/>
      <c r="AB42" s="36"/>
      <c r="AC42" s="36"/>
      <c r="AD42" s="29"/>
      <c r="AE42" s="36"/>
      <c r="AF42" s="29"/>
      <c r="AG42" s="29"/>
      <c r="AH42" s="29"/>
      <c r="AI42" s="259"/>
      <c r="AJ42" s="29"/>
      <c r="AK42" s="35"/>
      <c r="AL42" s="34" t="s">
        <v>116</v>
      </c>
      <c r="AM42" s="29"/>
      <c r="AN42" s="36"/>
      <c r="AO42" s="36"/>
      <c r="AP42" s="29"/>
      <c r="AQ42" s="36"/>
      <c r="AR42" s="29"/>
      <c r="AS42" s="29"/>
      <c r="AT42" s="29"/>
      <c r="AU42" s="259"/>
    </row>
    <row r="43" spans="1:47" x14ac:dyDescent="0.3">
      <c r="A43" s="35"/>
      <c r="B43" s="31" t="s">
        <v>125</v>
      </c>
      <c r="C43" s="30">
        <f>3*H14</f>
        <v>300</v>
      </c>
      <c r="D43" s="36"/>
      <c r="E43" s="36"/>
      <c r="F43" s="36"/>
      <c r="G43" s="36"/>
      <c r="H43" s="36" t="s">
        <v>126</v>
      </c>
      <c r="I43" s="36">
        <f>3*H14</f>
        <v>300</v>
      </c>
      <c r="J43" s="260"/>
      <c r="K43" s="261"/>
      <c r="L43" s="29"/>
      <c r="M43" s="35"/>
      <c r="N43" s="31" t="s">
        <v>125</v>
      </c>
      <c r="O43" s="30">
        <f>3*T14</f>
        <v>300</v>
      </c>
      <c r="P43" s="36"/>
      <c r="Q43" s="36"/>
      <c r="R43" s="36"/>
      <c r="S43" s="36"/>
      <c r="T43" s="36" t="s">
        <v>126</v>
      </c>
      <c r="U43" s="36">
        <f>3*T14</f>
        <v>300</v>
      </c>
      <c r="V43" s="260"/>
      <c r="W43" s="261"/>
      <c r="X43" s="29"/>
      <c r="Y43" s="262"/>
      <c r="Z43" s="29"/>
      <c r="AA43" s="36" t="s">
        <v>126</v>
      </c>
      <c r="AB43" s="36">
        <f>3*AF14</f>
        <v>300</v>
      </c>
      <c r="AC43" s="36"/>
      <c r="AD43" s="36"/>
      <c r="AE43" s="36"/>
      <c r="AF43" s="29"/>
      <c r="AG43" s="29"/>
      <c r="AH43" s="29"/>
      <c r="AI43" s="259"/>
      <c r="AJ43" s="29"/>
      <c r="AK43" s="262"/>
      <c r="AL43" s="29"/>
      <c r="AM43" s="36" t="s">
        <v>126</v>
      </c>
      <c r="AN43" s="36">
        <f>3*AR14</f>
        <v>300</v>
      </c>
      <c r="AO43" s="36"/>
      <c r="AP43" s="36"/>
      <c r="AQ43" s="36"/>
      <c r="AR43" s="29"/>
      <c r="AS43" s="29"/>
      <c r="AT43" s="29"/>
      <c r="AU43" s="259"/>
    </row>
    <row r="44" spans="1:47" x14ac:dyDescent="0.3">
      <c r="A44" s="35"/>
      <c r="B44" s="31" t="s">
        <v>121</v>
      </c>
      <c r="C44" s="30">
        <f>450</f>
        <v>450</v>
      </c>
      <c r="D44" s="36"/>
      <c r="E44" s="36"/>
      <c r="F44" s="36"/>
      <c r="G44" s="29"/>
      <c r="H44" s="36" t="s">
        <v>121</v>
      </c>
      <c r="I44" s="36">
        <f>450</f>
        <v>450</v>
      </c>
      <c r="J44" s="260"/>
      <c r="K44" s="261"/>
      <c r="L44" s="29"/>
      <c r="M44" s="35"/>
      <c r="N44" s="31" t="s">
        <v>121</v>
      </c>
      <c r="O44" s="30">
        <f>450</f>
        <v>450</v>
      </c>
      <c r="P44" s="36"/>
      <c r="Q44" s="36"/>
      <c r="R44" s="36"/>
      <c r="S44" s="29"/>
      <c r="T44" s="36" t="s">
        <v>121</v>
      </c>
      <c r="U44" s="36">
        <f>450</f>
        <v>450</v>
      </c>
      <c r="V44" s="260"/>
      <c r="W44" s="261"/>
      <c r="X44" s="29"/>
      <c r="Y44" s="35"/>
      <c r="Z44" s="29"/>
      <c r="AA44" s="36" t="s">
        <v>121</v>
      </c>
      <c r="AB44" s="36">
        <f>450</f>
        <v>450</v>
      </c>
      <c r="AC44" s="36"/>
      <c r="AD44" s="36"/>
      <c r="AE44" s="36"/>
      <c r="AF44" s="29"/>
      <c r="AG44" s="29"/>
      <c r="AH44" s="29"/>
      <c r="AI44" s="259"/>
      <c r="AJ44" s="29"/>
      <c r="AK44" s="35"/>
      <c r="AL44" s="29"/>
      <c r="AM44" s="36" t="s">
        <v>121</v>
      </c>
      <c r="AN44" s="36">
        <f>450</f>
        <v>450</v>
      </c>
      <c r="AO44" s="36"/>
      <c r="AP44" s="36"/>
      <c r="AQ44" s="36"/>
      <c r="AR44" s="29"/>
      <c r="AS44" s="29"/>
      <c r="AT44" s="29"/>
      <c r="AU44" s="259"/>
    </row>
    <row r="45" spans="1:47" ht="23.4" customHeight="1" x14ac:dyDescent="0.3">
      <c r="A45" s="485" t="s">
        <v>127</v>
      </c>
      <c r="B45" s="486"/>
      <c r="C45" s="486"/>
      <c r="D45" s="486"/>
      <c r="E45" s="486"/>
      <c r="F45" s="36"/>
      <c r="G45" s="481" t="s">
        <v>128</v>
      </c>
      <c r="H45" s="481"/>
      <c r="I45" s="481"/>
      <c r="J45" s="481"/>
      <c r="K45" s="482"/>
      <c r="L45" s="29"/>
      <c r="M45" s="485" t="s">
        <v>127</v>
      </c>
      <c r="N45" s="486"/>
      <c r="O45" s="486"/>
      <c r="P45" s="486"/>
      <c r="Q45" s="486"/>
      <c r="R45" s="271"/>
      <c r="S45" s="481" t="s">
        <v>128</v>
      </c>
      <c r="T45" s="481"/>
      <c r="U45" s="481"/>
      <c r="V45" s="481"/>
      <c r="W45" s="482"/>
      <c r="X45" s="29"/>
      <c r="Y45" s="487" t="s">
        <v>544</v>
      </c>
      <c r="Z45" s="481"/>
      <c r="AA45" s="481"/>
      <c r="AB45" s="481"/>
      <c r="AC45" s="481"/>
      <c r="AD45" s="481"/>
      <c r="AE45" s="36"/>
      <c r="AF45" s="29"/>
      <c r="AG45" s="29" t="s">
        <v>129</v>
      </c>
      <c r="AH45" s="29"/>
      <c r="AI45" s="259"/>
      <c r="AJ45" s="29"/>
      <c r="AK45" s="487" t="s">
        <v>128</v>
      </c>
      <c r="AL45" s="481"/>
      <c r="AM45" s="481"/>
      <c r="AN45" s="481"/>
      <c r="AO45" s="481"/>
      <c r="AP45" s="481"/>
      <c r="AQ45" s="36"/>
      <c r="AR45" s="29"/>
      <c r="AS45" s="29" t="s">
        <v>129</v>
      </c>
      <c r="AT45" s="29"/>
      <c r="AU45" s="259"/>
    </row>
    <row r="46" spans="1:47" x14ac:dyDescent="0.3">
      <c r="A46" s="479" t="s">
        <v>100</v>
      </c>
      <c r="B46" s="480"/>
      <c r="C46" s="480"/>
      <c r="D46" s="36" t="s">
        <v>102</v>
      </c>
      <c r="E46" s="36"/>
      <c r="F46" s="36"/>
      <c r="G46" s="36"/>
      <c r="H46" s="29"/>
      <c r="I46" s="29"/>
      <c r="J46" s="258"/>
      <c r="K46" s="259"/>
      <c r="L46" s="29"/>
      <c r="M46" s="479" t="s">
        <v>100</v>
      </c>
      <c r="N46" s="480"/>
      <c r="O46" s="480"/>
      <c r="P46" s="36" t="s">
        <v>102</v>
      </c>
      <c r="Q46" s="36"/>
      <c r="R46" s="36"/>
      <c r="S46" s="36"/>
      <c r="T46" s="29"/>
      <c r="U46" s="29"/>
      <c r="V46" s="258"/>
      <c r="W46" s="259"/>
      <c r="X46" s="29"/>
      <c r="Y46" s="262"/>
      <c r="Z46" s="29"/>
      <c r="AA46" s="29"/>
      <c r="AB46" s="29"/>
      <c r="AC46" s="29"/>
      <c r="AD46" s="29"/>
      <c r="AE46" s="29"/>
      <c r="AF46" s="29"/>
      <c r="AG46" s="29"/>
      <c r="AH46" s="29"/>
      <c r="AI46" s="259"/>
      <c r="AJ46" s="29"/>
      <c r="AK46" s="262"/>
      <c r="AL46" s="29"/>
      <c r="AM46" s="29"/>
      <c r="AN46" s="29"/>
      <c r="AO46" s="29"/>
      <c r="AP46" s="29"/>
      <c r="AQ46" s="29"/>
      <c r="AR46" s="29"/>
      <c r="AS46" s="29"/>
      <c r="AT46" s="29"/>
      <c r="AU46" s="259"/>
    </row>
    <row r="47" spans="1:47" ht="15" x14ac:dyDescent="0.3">
      <c r="A47" s="35"/>
      <c r="B47" s="32" t="s">
        <v>105</v>
      </c>
      <c r="C47" s="30">
        <f>0.002</f>
        <v>2E-3</v>
      </c>
      <c r="D47" s="36"/>
      <c r="E47" s="36"/>
      <c r="F47" s="36"/>
      <c r="G47" s="34" t="s">
        <v>116</v>
      </c>
      <c r="H47" s="36"/>
      <c r="I47" s="36"/>
      <c r="J47" s="260"/>
      <c r="K47" s="261"/>
      <c r="L47" s="29"/>
      <c r="M47" s="35"/>
      <c r="N47" s="32" t="s">
        <v>105</v>
      </c>
      <c r="O47" s="30">
        <f>0.002</f>
        <v>2E-3</v>
      </c>
      <c r="P47" s="36"/>
      <c r="Q47" s="36"/>
      <c r="R47" s="36"/>
      <c r="S47" s="34" t="s">
        <v>116</v>
      </c>
      <c r="T47" s="29"/>
      <c r="U47" s="29"/>
      <c r="V47" s="258"/>
      <c r="W47" s="259"/>
      <c r="X47" s="29"/>
      <c r="Y47" s="262"/>
      <c r="Z47" s="29"/>
      <c r="AA47" s="29"/>
      <c r="AB47" s="29"/>
      <c r="AC47" s="29"/>
      <c r="AD47" s="29"/>
      <c r="AE47" s="29"/>
      <c r="AF47" s="29"/>
      <c r="AG47" s="29"/>
      <c r="AH47" s="29"/>
      <c r="AI47" s="259"/>
      <c r="AJ47" s="29"/>
      <c r="AK47" s="262"/>
      <c r="AL47" s="29"/>
      <c r="AM47" s="29"/>
      <c r="AN47" s="29"/>
      <c r="AO47" s="29"/>
      <c r="AP47" s="29"/>
      <c r="AQ47" s="29"/>
      <c r="AR47" s="29"/>
      <c r="AS47" s="29"/>
      <c r="AT47" s="29"/>
      <c r="AU47" s="259"/>
    </row>
    <row r="48" spans="1:47" x14ac:dyDescent="0.3">
      <c r="A48" s="35"/>
      <c r="B48" s="32" t="s">
        <v>106</v>
      </c>
      <c r="C48" s="30" t="s">
        <v>107</v>
      </c>
      <c r="D48" s="36"/>
      <c r="E48" s="36"/>
      <c r="F48" s="36"/>
      <c r="G48" s="36"/>
      <c r="H48" s="36" t="s">
        <v>119</v>
      </c>
      <c r="I48" s="36">
        <f>5*H14</f>
        <v>500</v>
      </c>
      <c r="J48" s="260"/>
      <c r="K48" s="261"/>
      <c r="L48" s="29"/>
      <c r="M48" s="35"/>
      <c r="N48" s="32" t="s">
        <v>106</v>
      </c>
      <c r="O48" s="30" t="s">
        <v>107</v>
      </c>
      <c r="P48" s="36"/>
      <c r="Q48" s="36"/>
      <c r="R48" s="36"/>
      <c r="S48" s="36"/>
      <c r="T48" s="36"/>
      <c r="U48" s="36"/>
      <c r="V48" s="260"/>
      <c r="W48" s="261"/>
      <c r="X48" s="29"/>
      <c r="Y48" s="262"/>
      <c r="Z48" s="29"/>
      <c r="AA48" s="29"/>
      <c r="AB48" s="29"/>
      <c r="AC48" s="29"/>
      <c r="AD48" s="29"/>
      <c r="AE48" s="29"/>
      <c r="AF48" s="29"/>
      <c r="AG48" s="29"/>
      <c r="AH48" s="29"/>
      <c r="AI48" s="259"/>
      <c r="AJ48" s="29"/>
      <c r="AK48" s="262"/>
      <c r="AL48" s="29"/>
      <c r="AM48" s="29"/>
      <c r="AN48" s="29"/>
      <c r="AO48" s="29"/>
      <c r="AP48" s="29"/>
      <c r="AQ48" s="29"/>
      <c r="AR48" s="29"/>
      <c r="AS48" s="29"/>
      <c r="AT48" s="29"/>
      <c r="AU48" s="259"/>
    </row>
    <row r="49" spans="1:47" x14ac:dyDescent="0.3">
      <c r="A49" s="35"/>
      <c r="B49" s="32" t="s">
        <v>106</v>
      </c>
      <c r="C49" s="30">
        <f>C47*$I$4*$H$14</f>
        <v>200</v>
      </c>
      <c r="D49" s="36"/>
      <c r="E49" s="36"/>
      <c r="F49" s="36"/>
      <c r="G49" s="36"/>
      <c r="H49" s="36" t="s">
        <v>121</v>
      </c>
      <c r="I49" s="36">
        <f>450</f>
        <v>450</v>
      </c>
      <c r="J49" s="260"/>
      <c r="K49" s="261"/>
      <c r="L49" s="29"/>
      <c r="M49" s="35"/>
      <c r="N49" s="32" t="s">
        <v>106</v>
      </c>
      <c r="O49" s="30">
        <f>O47*$I$4*$H$14</f>
        <v>200</v>
      </c>
      <c r="P49" s="36"/>
      <c r="Q49" s="36"/>
      <c r="R49" s="36"/>
      <c r="S49" s="36"/>
      <c r="T49" s="36" t="s">
        <v>119</v>
      </c>
      <c r="U49" s="36">
        <f>5*T14</f>
        <v>500</v>
      </c>
      <c r="V49" s="260"/>
      <c r="W49" s="261"/>
      <c r="X49" s="29"/>
      <c r="Y49" s="262"/>
      <c r="Z49" s="29"/>
      <c r="AA49" s="29"/>
      <c r="AB49" s="29"/>
      <c r="AC49" s="29"/>
      <c r="AD49" s="29"/>
      <c r="AE49" s="29"/>
      <c r="AF49" s="29"/>
      <c r="AG49" s="29"/>
      <c r="AH49" s="29"/>
      <c r="AI49" s="259"/>
      <c r="AJ49" s="29"/>
      <c r="AK49" s="262"/>
      <c r="AL49" s="29"/>
      <c r="AM49" s="29"/>
      <c r="AN49" s="29"/>
      <c r="AO49" s="29"/>
      <c r="AP49" s="29"/>
      <c r="AQ49" s="29"/>
      <c r="AR49" s="29"/>
      <c r="AS49" s="29"/>
      <c r="AT49" s="29"/>
      <c r="AU49" s="259"/>
    </row>
    <row r="50" spans="1:47" x14ac:dyDescent="0.3">
      <c r="A50" s="35"/>
      <c r="B50" s="32" t="s">
        <v>109</v>
      </c>
      <c r="C50" s="30">
        <f>(3.141592654*(10)^2)/4</f>
        <v>78.539816349999995</v>
      </c>
      <c r="D50" s="36"/>
      <c r="E50" s="36"/>
      <c r="F50" s="36"/>
      <c r="G50" s="36"/>
      <c r="H50" s="36"/>
      <c r="I50" s="36"/>
      <c r="J50" s="260"/>
      <c r="K50" s="261"/>
      <c r="L50" s="29"/>
      <c r="M50" s="35"/>
      <c r="N50" s="32" t="s">
        <v>109</v>
      </c>
      <c r="O50" s="30">
        <f>(3.141592654*(10)^2)/4</f>
        <v>78.539816349999995</v>
      </c>
      <c r="P50" s="36"/>
      <c r="Q50" s="36"/>
      <c r="R50" s="36"/>
      <c r="S50" s="36"/>
      <c r="T50" s="36" t="s">
        <v>121</v>
      </c>
      <c r="U50" s="36">
        <f>450</f>
        <v>450</v>
      </c>
      <c r="V50" s="260"/>
      <c r="W50" s="261"/>
      <c r="X50" s="29"/>
      <c r="Y50" s="262"/>
      <c r="Z50" s="29"/>
      <c r="AA50" s="29"/>
      <c r="AB50" s="29"/>
      <c r="AC50" s="29"/>
      <c r="AD50" s="29"/>
      <c r="AE50" s="29"/>
      <c r="AF50" s="29"/>
      <c r="AG50" s="29"/>
      <c r="AH50" s="29"/>
      <c r="AI50" s="259"/>
      <c r="AJ50" s="29"/>
      <c r="AK50" s="262"/>
      <c r="AL50" s="29"/>
      <c r="AM50" s="29"/>
      <c r="AN50" s="29"/>
      <c r="AO50" s="29"/>
      <c r="AP50" s="29"/>
      <c r="AQ50" s="29"/>
      <c r="AR50" s="29"/>
      <c r="AS50" s="29"/>
      <c r="AT50" s="29"/>
      <c r="AU50" s="259"/>
    </row>
    <row r="51" spans="1:47" x14ac:dyDescent="0.3">
      <c r="A51" s="35"/>
      <c r="B51" s="32" t="s">
        <v>110</v>
      </c>
      <c r="C51" s="30"/>
      <c r="D51" s="36"/>
      <c r="E51" s="36"/>
      <c r="F51" s="36"/>
      <c r="G51" s="324" t="s">
        <v>130</v>
      </c>
      <c r="H51" s="324"/>
      <c r="I51" s="324"/>
      <c r="J51" s="324"/>
      <c r="K51" s="325"/>
      <c r="L51" s="29"/>
      <c r="M51" s="35"/>
      <c r="N51" s="32" t="s">
        <v>110</v>
      </c>
      <c r="O51" s="30"/>
      <c r="P51" s="36"/>
      <c r="Q51" s="36"/>
      <c r="R51" s="36"/>
      <c r="S51" s="481" t="s">
        <v>130</v>
      </c>
      <c r="T51" s="481"/>
      <c r="U51" s="481"/>
      <c r="V51" s="481"/>
      <c r="W51" s="482"/>
      <c r="X51" s="29"/>
      <c r="Y51" s="262"/>
      <c r="Z51" s="29"/>
      <c r="AA51" s="29"/>
      <c r="AB51" s="29"/>
      <c r="AC51" s="29"/>
      <c r="AD51" s="29"/>
      <c r="AE51" s="29"/>
      <c r="AF51" s="29"/>
      <c r="AG51" s="29"/>
      <c r="AH51" s="29"/>
      <c r="AI51" s="259"/>
      <c r="AJ51" s="29"/>
      <c r="AK51" s="262"/>
      <c r="AL51" s="29"/>
      <c r="AM51" s="29"/>
      <c r="AN51" s="29"/>
      <c r="AO51" s="29"/>
      <c r="AP51" s="29"/>
      <c r="AQ51" s="29"/>
      <c r="AR51" s="29"/>
      <c r="AS51" s="29"/>
      <c r="AT51" s="29"/>
      <c r="AU51" s="259"/>
    </row>
    <row r="52" spans="1:47" ht="15" thickBot="1" x14ac:dyDescent="0.35">
      <c r="A52" s="272"/>
      <c r="B52" s="37" t="s">
        <v>112</v>
      </c>
      <c r="C52" s="38">
        <f>(C50/C49)*1000</f>
        <v>392.69908174999995</v>
      </c>
      <c r="D52" s="38" t="s">
        <v>42</v>
      </c>
      <c r="E52" s="273" t="s">
        <v>131</v>
      </c>
      <c r="F52" s="273"/>
      <c r="G52" s="273"/>
      <c r="H52" s="274"/>
      <c r="I52" s="274"/>
      <c r="J52" s="275"/>
      <c r="K52" s="276"/>
      <c r="L52" s="29"/>
      <c r="M52" s="272"/>
      <c r="N52" s="37" t="s">
        <v>112</v>
      </c>
      <c r="O52" s="38">
        <f>(O50/O49)*1000</f>
        <v>392.69908174999995</v>
      </c>
      <c r="P52" s="38" t="s">
        <v>132</v>
      </c>
      <c r="Q52" s="273" t="s">
        <v>131</v>
      </c>
      <c r="R52" s="273"/>
      <c r="S52" s="273"/>
      <c r="T52" s="274"/>
      <c r="U52" s="274"/>
      <c r="V52" s="274"/>
      <c r="W52" s="276"/>
      <c r="X52" s="29"/>
      <c r="Y52" s="277"/>
      <c r="Z52" s="274"/>
      <c r="AA52" s="274"/>
      <c r="AB52" s="274"/>
      <c r="AC52" s="274"/>
      <c r="AD52" s="274"/>
      <c r="AE52" s="274"/>
      <c r="AF52" s="274"/>
      <c r="AG52" s="274"/>
      <c r="AH52" s="274"/>
      <c r="AI52" s="276"/>
      <c r="AJ52" s="29"/>
      <c r="AK52" s="277"/>
      <c r="AL52" s="274"/>
      <c r="AM52" s="274"/>
      <c r="AN52" s="274"/>
      <c r="AO52" s="274"/>
      <c r="AP52" s="274"/>
      <c r="AQ52" s="274"/>
      <c r="AR52" s="274"/>
      <c r="AS52" s="274"/>
      <c r="AT52" s="274"/>
      <c r="AU52" s="276"/>
    </row>
    <row r="54" spans="1:47" ht="15" thickBot="1" x14ac:dyDescent="0.35"/>
    <row r="55" spans="1:47" ht="19.8" x14ac:dyDescent="0.3">
      <c r="A55" s="428" t="s">
        <v>59</v>
      </c>
      <c r="B55" s="429"/>
      <c r="C55" s="429"/>
      <c r="D55" s="429"/>
      <c r="E55" s="429"/>
      <c r="F55" s="429"/>
      <c r="G55" s="429"/>
      <c r="H55" s="429"/>
      <c r="I55" s="429"/>
      <c r="J55" s="429"/>
      <c r="K55" s="430"/>
      <c r="L55" s="299"/>
      <c r="M55" s="428" t="s">
        <v>60</v>
      </c>
      <c r="N55" s="429"/>
      <c r="O55" s="429"/>
      <c r="P55" s="429"/>
      <c r="Q55" s="429"/>
      <c r="R55" s="429"/>
      <c r="S55" s="429"/>
      <c r="T55" s="429"/>
      <c r="U55" s="429"/>
      <c r="V55" s="429"/>
      <c r="W55" s="430"/>
    </row>
    <row r="56" spans="1:47" x14ac:dyDescent="0.3">
      <c r="A56" s="488" t="s">
        <v>23</v>
      </c>
      <c r="B56" s="495"/>
      <c r="C56" s="495"/>
      <c r="D56" s="495"/>
      <c r="E56" s="495"/>
      <c r="F56" s="495"/>
      <c r="G56" s="495"/>
      <c r="H56" s="495"/>
      <c r="I56" s="495"/>
      <c r="J56" s="495"/>
      <c r="K56" s="496"/>
      <c r="L56" s="29"/>
      <c r="M56" s="488" t="s">
        <v>23</v>
      </c>
      <c r="N56" s="495"/>
      <c r="O56" s="495"/>
      <c r="P56" s="495"/>
      <c r="Q56" s="495"/>
      <c r="R56" s="495"/>
      <c r="S56" s="495"/>
      <c r="T56" s="495"/>
      <c r="U56" s="495"/>
      <c r="V56" s="495"/>
      <c r="W56" s="496"/>
    </row>
    <row r="57" spans="1:47" x14ac:dyDescent="0.3">
      <c r="A57" s="491" t="s">
        <v>61</v>
      </c>
      <c r="B57" s="492"/>
      <c r="C57" s="30">
        <v>20.7</v>
      </c>
      <c r="D57" s="36" t="s">
        <v>25</v>
      </c>
      <c r="E57" s="29"/>
      <c r="F57" s="29"/>
      <c r="G57" s="493" t="s">
        <v>62</v>
      </c>
      <c r="H57" s="493"/>
      <c r="I57" s="493"/>
      <c r="J57" s="493"/>
      <c r="K57" s="494"/>
      <c r="L57" s="29"/>
      <c r="M57" s="491" t="s">
        <v>61</v>
      </c>
      <c r="N57" s="492"/>
      <c r="O57" s="30">
        <v>20.7</v>
      </c>
      <c r="P57" s="36" t="s">
        <v>25</v>
      </c>
      <c r="Q57" s="29"/>
      <c r="R57" s="29"/>
      <c r="S57" s="29"/>
      <c r="T57" s="29"/>
      <c r="U57" s="29"/>
      <c r="V57" s="258"/>
      <c r="W57" s="259"/>
    </row>
    <row r="58" spans="1:47" x14ac:dyDescent="0.3">
      <c r="A58" s="491" t="s">
        <v>63</v>
      </c>
      <c r="B58" s="492"/>
      <c r="C58" s="30">
        <v>276</v>
      </c>
      <c r="D58" s="36" t="s">
        <v>64</v>
      </c>
      <c r="E58" s="29"/>
      <c r="F58" s="29"/>
      <c r="G58" s="36" t="s">
        <v>65</v>
      </c>
      <c r="H58" s="36"/>
      <c r="I58" s="30">
        <v>1000</v>
      </c>
      <c r="J58" s="260" t="s">
        <v>43</v>
      </c>
      <c r="K58" s="261"/>
      <c r="L58" s="29"/>
      <c r="M58" s="491" t="s">
        <v>63</v>
      </c>
      <c r="N58" s="492"/>
      <c r="O58" s="30">
        <v>276</v>
      </c>
      <c r="P58" s="36" t="s">
        <v>64</v>
      </c>
      <c r="Q58" s="29"/>
      <c r="R58" s="29"/>
      <c r="S58" s="36" t="s">
        <v>65</v>
      </c>
      <c r="T58" s="36"/>
      <c r="U58" s="30">
        <v>1000</v>
      </c>
      <c r="V58" s="260" t="s">
        <v>43</v>
      </c>
      <c r="W58" s="261"/>
    </row>
    <row r="59" spans="1:47" x14ac:dyDescent="0.3">
      <c r="A59" s="35" t="s">
        <v>66</v>
      </c>
      <c r="B59" s="31"/>
      <c r="C59" s="30">
        <v>20</v>
      </c>
      <c r="D59" s="36" t="s">
        <v>43</v>
      </c>
      <c r="E59" s="29"/>
      <c r="F59" s="29"/>
      <c r="G59" s="36"/>
      <c r="H59" s="36" t="s">
        <v>67</v>
      </c>
      <c r="I59" s="30">
        <f>C61</f>
        <v>2.9</v>
      </c>
      <c r="J59" s="260" t="s">
        <v>68</v>
      </c>
      <c r="K59" s="261"/>
      <c r="L59" s="29"/>
      <c r="M59" s="35" t="s">
        <v>66</v>
      </c>
      <c r="N59" s="31"/>
      <c r="O59" s="30">
        <v>20</v>
      </c>
      <c r="P59" s="36" t="s">
        <v>43</v>
      </c>
      <c r="Q59" s="29"/>
      <c r="R59" s="29"/>
      <c r="S59" s="36"/>
      <c r="T59" s="36" t="s">
        <v>67</v>
      </c>
      <c r="U59" s="30">
        <f>O61</f>
        <v>2.9</v>
      </c>
      <c r="V59" s="260" t="s">
        <v>68</v>
      </c>
      <c r="W59" s="261"/>
    </row>
    <row r="60" spans="1:47" ht="15.6" x14ac:dyDescent="0.3">
      <c r="A60" s="35" t="s">
        <v>69</v>
      </c>
      <c r="B60" s="31"/>
      <c r="C60" s="30">
        <v>23.5</v>
      </c>
      <c r="D60" s="36" t="s">
        <v>70</v>
      </c>
      <c r="E60" s="29"/>
      <c r="F60" s="29"/>
      <c r="G60" s="36"/>
      <c r="H60" s="36" t="s">
        <v>71</v>
      </c>
      <c r="I60" s="30">
        <f>D64+D65+D66+D67+D68+D69</f>
        <v>4040</v>
      </c>
      <c r="J60" s="260" t="s">
        <v>68</v>
      </c>
      <c r="K60" s="261"/>
      <c r="L60" s="29"/>
      <c r="M60" s="35" t="s">
        <v>69</v>
      </c>
      <c r="N60" s="31"/>
      <c r="O60" s="30">
        <v>23.5</v>
      </c>
      <c r="P60" s="36" t="s">
        <v>70</v>
      </c>
      <c r="Q60" s="29"/>
      <c r="R60" s="29"/>
      <c r="S60" s="36"/>
      <c r="T60" s="36" t="s">
        <v>71</v>
      </c>
      <c r="U60" s="30">
        <f>P64+P65+P66+P67+P68+P69</f>
        <v>4040</v>
      </c>
      <c r="V60" s="260" t="s">
        <v>68</v>
      </c>
      <c r="W60" s="261"/>
    </row>
    <row r="61" spans="1:47" x14ac:dyDescent="0.3">
      <c r="A61" s="35" t="s">
        <v>72</v>
      </c>
      <c r="B61" s="31"/>
      <c r="C61" s="30">
        <v>2.9</v>
      </c>
      <c r="D61" s="36" t="s">
        <v>68</v>
      </c>
      <c r="E61" s="29"/>
      <c r="F61" s="29"/>
      <c r="G61" s="36" t="s">
        <v>73</v>
      </c>
      <c r="H61" s="36"/>
      <c r="I61" s="30">
        <v>2.5</v>
      </c>
      <c r="J61" s="260" t="s">
        <v>74</v>
      </c>
      <c r="K61" s="261"/>
      <c r="L61" s="29"/>
      <c r="M61" s="35" t="s">
        <v>72</v>
      </c>
      <c r="N61" s="31"/>
      <c r="O61" s="30">
        <v>2.9</v>
      </c>
      <c r="P61" s="36" t="s">
        <v>68</v>
      </c>
      <c r="Q61" s="29"/>
      <c r="R61" s="29"/>
      <c r="S61" s="36" t="s">
        <v>73</v>
      </c>
      <c r="T61" s="36"/>
      <c r="U61" s="30">
        <v>2.5</v>
      </c>
      <c r="V61" s="260" t="s">
        <v>74</v>
      </c>
      <c r="W61" s="261"/>
    </row>
    <row r="62" spans="1:47" x14ac:dyDescent="0.3">
      <c r="A62" s="262"/>
      <c r="B62" s="31"/>
      <c r="C62" s="30"/>
      <c r="D62" s="29"/>
      <c r="E62" s="29"/>
      <c r="F62" s="29"/>
      <c r="G62" s="36" t="s">
        <v>75</v>
      </c>
      <c r="H62" s="36"/>
      <c r="I62" s="30">
        <v>4</v>
      </c>
      <c r="J62" s="260" t="s">
        <v>74</v>
      </c>
      <c r="K62" s="261"/>
      <c r="L62" s="29"/>
      <c r="M62" s="262"/>
      <c r="N62" s="31"/>
      <c r="O62" s="30"/>
      <c r="P62" s="29"/>
      <c r="Q62" s="29"/>
      <c r="R62" s="29"/>
      <c r="S62" s="36" t="s">
        <v>75</v>
      </c>
      <c r="T62" s="36"/>
      <c r="U62" s="30">
        <v>2</v>
      </c>
      <c r="V62" s="260" t="s">
        <v>74</v>
      </c>
      <c r="W62" s="261"/>
    </row>
    <row r="63" spans="1:47" x14ac:dyDescent="0.3">
      <c r="A63" s="263" t="s">
        <v>76</v>
      </c>
      <c r="B63" s="32"/>
      <c r="C63" s="33"/>
      <c r="D63" s="36"/>
      <c r="E63" s="36"/>
      <c r="F63" s="29"/>
      <c r="G63" s="36"/>
      <c r="H63" s="36"/>
      <c r="I63" s="36"/>
      <c r="J63" s="260"/>
      <c r="K63" s="261"/>
      <c r="L63" s="29"/>
      <c r="M63" s="263" t="s">
        <v>76</v>
      </c>
      <c r="N63" s="32"/>
      <c r="O63" s="33"/>
      <c r="P63" s="36"/>
      <c r="Q63" s="36"/>
      <c r="R63" s="29"/>
      <c r="S63" s="36"/>
      <c r="T63" s="36"/>
      <c r="U63" s="36"/>
      <c r="V63" s="260"/>
      <c r="W63" s="261"/>
    </row>
    <row r="64" spans="1:47" x14ac:dyDescent="0.3">
      <c r="A64" s="35" t="s">
        <v>77</v>
      </c>
      <c r="B64" s="31"/>
      <c r="C64" s="30"/>
      <c r="D64" s="30">
        <f>600</f>
        <v>600</v>
      </c>
      <c r="E64" s="36" t="s">
        <v>68</v>
      </c>
      <c r="F64" s="29"/>
      <c r="G64" s="34" t="s">
        <v>78</v>
      </c>
      <c r="H64" s="34"/>
      <c r="I64" s="34"/>
      <c r="J64" s="260"/>
      <c r="K64" s="261"/>
      <c r="L64" s="29"/>
      <c r="M64" s="35" t="s">
        <v>77</v>
      </c>
      <c r="N64" s="31"/>
      <c r="O64" s="30"/>
      <c r="P64" s="30">
        <f>600</f>
        <v>600</v>
      </c>
      <c r="Q64" s="36" t="s">
        <v>68</v>
      </c>
      <c r="R64" s="29"/>
      <c r="S64" s="34" t="s">
        <v>78</v>
      </c>
      <c r="T64" s="34"/>
      <c r="U64" s="34"/>
      <c r="V64" s="260"/>
      <c r="W64" s="261"/>
    </row>
    <row r="65" spans="1:23" x14ac:dyDescent="0.3">
      <c r="A65" s="35" t="s">
        <v>79</v>
      </c>
      <c r="B65" s="31"/>
      <c r="C65" s="30"/>
      <c r="D65" s="30">
        <v>50</v>
      </c>
      <c r="E65" s="36" t="s">
        <v>68</v>
      </c>
      <c r="F65" s="36"/>
      <c r="G65" s="34" t="s">
        <v>80</v>
      </c>
      <c r="H65" s="36"/>
      <c r="I65" s="36"/>
      <c r="J65" s="260"/>
      <c r="K65" s="261"/>
      <c r="L65" s="29"/>
      <c r="M65" s="35" t="s">
        <v>79</v>
      </c>
      <c r="N65" s="31"/>
      <c r="O65" s="30"/>
      <c r="P65" s="30">
        <v>50</v>
      </c>
      <c r="Q65" s="36" t="s">
        <v>68</v>
      </c>
      <c r="R65" s="36"/>
      <c r="S65" s="34" t="s">
        <v>80</v>
      </c>
      <c r="T65" s="36"/>
      <c r="U65" s="36"/>
      <c r="V65" s="260"/>
      <c r="W65" s="261"/>
    </row>
    <row r="66" spans="1:23" x14ac:dyDescent="0.3">
      <c r="A66" s="35" t="s">
        <v>81</v>
      </c>
      <c r="B66" s="31"/>
      <c r="C66" s="30"/>
      <c r="D66" s="30">
        <v>1500</v>
      </c>
      <c r="E66" s="36" t="s">
        <v>68</v>
      </c>
      <c r="F66" s="36"/>
      <c r="G66" s="34"/>
      <c r="H66" s="36"/>
      <c r="I66" s="36"/>
      <c r="J66" s="260"/>
      <c r="K66" s="261"/>
      <c r="L66" s="29"/>
      <c r="M66" s="35" t="s">
        <v>81</v>
      </c>
      <c r="N66" s="31"/>
      <c r="O66" s="30"/>
      <c r="P66" s="30">
        <v>1500</v>
      </c>
      <c r="Q66" s="36" t="s">
        <v>68</v>
      </c>
      <c r="R66" s="36"/>
      <c r="S66" s="34"/>
      <c r="T66" s="36"/>
      <c r="U66" s="36"/>
      <c r="V66" s="260"/>
      <c r="W66" s="261"/>
    </row>
    <row r="67" spans="1:23" x14ac:dyDescent="0.3">
      <c r="A67" s="35" t="s">
        <v>82</v>
      </c>
      <c r="B67" s="31"/>
      <c r="C67" s="30"/>
      <c r="D67" s="30">
        <v>150</v>
      </c>
      <c r="E67" s="36" t="s">
        <v>68</v>
      </c>
      <c r="F67" s="36"/>
      <c r="G67" s="34" t="s">
        <v>83</v>
      </c>
      <c r="H67" s="30">
        <f>(($I$7*1000)/24)*(0.4+($C$4/700))</f>
        <v>82.738095238095241</v>
      </c>
      <c r="I67" s="36" t="s">
        <v>43</v>
      </c>
      <c r="J67" s="260"/>
      <c r="K67" s="261"/>
      <c r="L67" s="29"/>
      <c r="M67" s="35" t="s">
        <v>82</v>
      </c>
      <c r="N67" s="31"/>
      <c r="O67" s="30"/>
      <c r="P67" s="30">
        <v>150</v>
      </c>
      <c r="Q67" s="36" t="s">
        <v>68</v>
      </c>
      <c r="R67" s="36"/>
      <c r="S67" s="34" t="s">
        <v>83</v>
      </c>
      <c r="T67" s="30">
        <f>(($I$7*1000)/28)*(0.4+($C$4/700))</f>
        <v>70.91836734693878</v>
      </c>
      <c r="U67" s="36" t="s">
        <v>43</v>
      </c>
      <c r="V67" s="260"/>
      <c r="W67" s="261"/>
    </row>
    <row r="68" spans="1:23" x14ac:dyDescent="0.3">
      <c r="A68" s="35" t="s">
        <v>84</v>
      </c>
      <c r="B68" s="31"/>
      <c r="C68" s="30"/>
      <c r="D68" s="30">
        <v>240</v>
      </c>
      <c r="E68" s="36" t="s">
        <v>68</v>
      </c>
      <c r="F68" s="36"/>
      <c r="G68" s="33" t="s">
        <v>85</v>
      </c>
      <c r="H68" s="30">
        <v>100</v>
      </c>
      <c r="I68" s="36" t="s">
        <v>43</v>
      </c>
      <c r="J68" s="260"/>
      <c r="K68" s="261"/>
      <c r="L68" s="29"/>
      <c r="M68" s="35" t="s">
        <v>84</v>
      </c>
      <c r="N68" s="31"/>
      <c r="O68" s="30"/>
      <c r="P68" s="30">
        <v>240</v>
      </c>
      <c r="Q68" s="36" t="s">
        <v>68</v>
      </c>
      <c r="R68" s="36"/>
      <c r="S68" s="33" t="s">
        <v>85</v>
      </c>
      <c r="T68" s="30">
        <v>100</v>
      </c>
      <c r="U68" s="36" t="s">
        <v>43</v>
      </c>
      <c r="V68" s="260"/>
      <c r="W68" s="261"/>
    </row>
    <row r="69" spans="1:23" x14ac:dyDescent="0.3">
      <c r="A69" s="35" t="s">
        <v>86</v>
      </c>
      <c r="B69" s="31"/>
      <c r="C69" s="30"/>
      <c r="D69" s="30">
        <v>1500</v>
      </c>
      <c r="E69" s="36" t="s">
        <v>68</v>
      </c>
      <c r="F69" s="36"/>
      <c r="G69" s="36"/>
      <c r="H69" s="36"/>
      <c r="I69" s="36"/>
      <c r="J69" s="260"/>
      <c r="K69" s="261"/>
      <c r="L69" s="29"/>
      <c r="M69" s="35" t="s">
        <v>86</v>
      </c>
      <c r="N69" s="31"/>
      <c r="O69" s="30"/>
      <c r="P69" s="30">
        <v>1500</v>
      </c>
      <c r="Q69" s="36" t="s">
        <v>68</v>
      </c>
      <c r="R69" s="36"/>
      <c r="S69" s="36"/>
      <c r="T69" s="36"/>
      <c r="U69" s="36"/>
      <c r="V69" s="260"/>
      <c r="W69" s="261"/>
    </row>
    <row r="70" spans="1:23" x14ac:dyDescent="0.3">
      <c r="A70" s="35"/>
      <c r="B70" s="31"/>
      <c r="C70" s="30"/>
      <c r="D70" s="30"/>
      <c r="E70" s="36"/>
      <c r="F70" s="29"/>
      <c r="G70" s="34" t="s">
        <v>87</v>
      </c>
      <c r="H70" s="34"/>
      <c r="I70" s="36"/>
      <c r="J70" s="260"/>
      <c r="K70" s="261"/>
      <c r="L70" s="29"/>
      <c r="M70" s="35"/>
      <c r="N70" s="31"/>
      <c r="O70" s="30"/>
      <c r="P70" s="30"/>
      <c r="Q70" s="36"/>
      <c r="R70" s="29"/>
      <c r="S70" s="34" t="s">
        <v>87</v>
      </c>
      <c r="T70" s="34"/>
      <c r="U70" s="36"/>
      <c r="V70" s="260"/>
      <c r="W70" s="261"/>
    </row>
    <row r="71" spans="1:23" ht="15.6" x14ac:dyDescent="0.3">
      <c r="A71" s="35"/>
      <c r="B71" s="31"/>
      <c r="C71" s="30"/>
      <c r="D71" s="30"/>
      <c r="E71" s="36"/>
      <c r="F71" s="29"/>
      <c r="G71" s="34" t="s">
        <v>88</v>
      </c>
      <c r="H71" s="36" t="s">
        <v>89</v>
      </c>
      <c r="I71" s="36"/>
      <c r="J71" s="264">
        <f>H68-$C$5-(12/2)</f>
        <v>74</v>
      </c>
      <c r="K71" s="261" t="s">
        <v>43</v>
      </c>
      <c r="L71" s="29"/>
      <c r="M71" s="35"/>
      <c r="N71" s="31"/>
      <c r="O71" s="30"/>
      <c r="P71" s="30"/>
      <c r="Q71" s="36"/>
      <c r="R71" s="29"/>
      <c r="S71" s="34" t="s">
        <v>88</v>
      </c>
      <c r="T71" s="36" t="s">
        <v>89</v>
      </c>
      <c r="U71" s="36"/>
      <c r="V71" s="264">
        <f>T68-$C$5-(12/2)</f>
        <v>74</v>
      </c>
      <c r="W71" s="261" t="s">
        <v>43</v>
      </c>
    </row>
    <row r="72" spans="1:23" x14ac:dyDescent="0.3">
      <c r="A72" s="263" t="s">
        <v>71</v>
      </c>
      <c r="B72" s="31" t="s">
        <v>90</v>
      </c>
      <c r="C72" s="30"/>
      <c r="D72" s="30">
        <f>$H$14*($C$6/1000)</f>
        <v>2.35</v>
      </c>
      <c r="E72" s="36" t="s">
        <v>91</v>
      </c>
      <c r="F72" s="29"/>
      <c r="G72" s="29"/>
      <c r="H72" s="29"/>
      <c r="I72" s="29"/>
      <c r="J72" s="258"/>
      <c r="K72" s="259"/>
      <c r="L72" s="29"/>
      <c r="M72" s="263" t="s">
        <v>71</v>
      </c>
      <c r="N72" s="31" t="s">
        <v>90</v>
      </c>
      <c r="O72" s="30"/>
      <c r="P72" s="30">
        <f>$H$14*($C$6/1000)</f>
        <v>2.35</v>
      </c>
      <c r="Q72" s="36" t="s">
        <v>91</v>
      </c>
      <c r="R72" s="29"/>
      <c r="S72" s="29"/>
      <c r="T72" s="29"/>
      <c r="U72" s="29"/>
      <c r="V72" s="258"/>
      <c r="W72" s="259"/>
    </row>
    <row r="73" spans="1:23" x14ac:dyDescent="0.3">
      <c r="A73" s="263" t="s">
        <v>92</v>
      </c>
      <c r="B73" s="31" t="s">
        <v>93</v>
      </c>
      <c r="C73" s="30"/>
      <c r="D73" s="30">
        <f>D72+(I60/1000)</f>
        <v>6.3900000000000006</v>
      </c>
      <c r="E73" s="36" t="s">
        <v>91</v>
      </c>
      <c r="F73" s="29"/>
      <c r="G73" s="29"/>
      <c r="H73" s="29"/>
      <c r="I73" s="29"/>
      <c r="J73" s="258"/>
      <c r="K73" s="259"/>
      <c r="L73" s="29"/>
      <c r="M73" s="263" t="s">
        <v>92</v>
      </c>
      <c r="N73" s="31" t="s">
        <v>93</v>
      </c>
      <c r="O73" s="30"/>
      <c r="P73" s="30">
        <f>P72+(U60/1000)</f>
        <v>6.3900000000000006</v>
      </c>
      <c r="Q73" s="36" t="s">
        <v>91</v>
      </c>
      <c r="R73" s="29"/>
      <c r="S73" s="29"/>
      <c r="T73" s="29"/>
      <c r="U73" s="29"/>
      <c r="V73" s="258"/>
      <c r="W73" s="259"/>
    </row>
    <row r="74" spans="1:23" ht="15.6" x14ac:dyDescent="0.3">
      <c r="A74" s="263" t="s">
        <v>94</v>
      </c>
      <c r="B74" s="31" t="s">
        <v>95</v>
      </c>
      <c r="C74" s="30"/>
      <c r="D74" s="30">
        <f>1.2*(D73)+1.6*(C61/1000)</f>
        <v>7.6726400000000003</v>
      </c>
      <c r="E74" s="36" t="s">
        <v>91</v>
      </c>
      <c r="F74" s="29"/>
      <c r="G74" s="29"/>
      <c r="H74" s="29"/>
      <c r="I74" s="29"/>
      <c r="J74" s="258"/>
      <c r="K74" s="259"/>
      <c r="L74" s="29"/>
      <c r="M74" s="263" t="s">
        <v>94</v>
      </c>
      <c r="N74" s="31" t="s">
        <v>95</v>
      </c>
      <c r="O74" s="30"/>
      <c r="P74" s="30">
        <f>1.2*(P73)+1.6*(O61/1000)</f>
        <v>7.6726400000000003</v>
      </c>
      <c r="Q74" s="36" t="s">
        <v>91</v>
      </c>
      <c r="R74" s="29"/>
      <c r="S74" s="29"/>
      <c r="T74" s="29"/>
      <c r="U74" s="29"/>
      <c r="V74" s="258"/>
      <c r="W74" s="259"/>
    </row>
    <row r="75" spans="1:23" x14ac:dyDescent="0.3">
      <c r="A75" s="479" t="s">
        <v>96</v>
      </c>
      <c r="B75" s="480"/>
      <c r="C75" s="30">
        <f>D74</f>
        <v>7.6726400000000003</v>
      </c>
      <c r="D75" s="36" t="s">
        <v>30</v>
      </c>
      <c r="E75" s="36"/>
      <c r="F75" s="36"/>
      <c r="G75" s="36"/>
      <c r="H75" s="29"/>
      <c r="I75" s="29"/>
      <c r="J75" s="258"/>
      <c r="K75" s="259"/>
      <c r="L75" s="29"/>
      <c r="M75" s="479" t="s">
        <v>96</v>
      </c>
      <c r="N75" s="480"/>
      <c r="O75" s="30">
        <f>P74</f>
        <v>7.6726400000000003</v>
      </c>
      <c r="P75" s="36" t="s">
        <v>30</v>
      </c>
      <c r="Q75" s="36"/>
      <c r="R75" s="36"/>
      <c r="S75" s="36"/>
      <c r="T75" s="29"/>
      <c r="U75" s="29"/>
      <c r="V75" s="258"/>
      <c r="W75" s="259"/>
    </row>
    <row r="76" spans="1:23" x14ac:dyDescent="0.3">
      <c r="A76" s="488" t="s">
        <v>97</v>
      </c>
      <c r="B76" s="489"/>
      <c r="C76" s="489"/>
      <c r="D76" s="489"/>
      <c r="E76" s="489"/>
      <c r="F76" s="489"/>
      <c r="G76" s="489"/>
      <c r="H76" s="489"/>
      <c r="I76" s="489"/>
      <c r="J76" s="489"/>
      <c r="K76" s="490"/>
      <c r="L76" s="29"/>
      <c r="M76" s="488" t="s">
        <v>97</v>
      </c>
      <c r="N76" s="489"/>
      <c r="O76" s="489"/>
      <c r="P76" s="489"/>
      <c r="Q76" s="489"/>
      <c r="R76" s="489"/>
      <c r="S76" s="489"/>
      <c r="T76" s="489"/>
      <c r="U76" s="489"/>
      <c r="V76" s="489"/>
      <c r="W76" s="490"/>
    </row>
    <row r="77" spans="1:23" x14ac:dyDescent="0.3">
      <c r="A77" s="263" t="s">
        <v>98</v>
      </c>
      <c r="B77" s="32"/>
      <c r="C77" s="30"/>
      <c r="D77" s="36"/>
      <c r="E77" s="36"/>
      <c r="F77" s="36"/>
      <c r="G77" s="34" t="s">
        <v>99</v>
      </c>
      <c r="H77" s="34"/>
      <c r="I77" s="36"/>
      <c r="J77" s="260"/>
      <c r="K77" s="261"/>
      <c r="L77" s="29"/>
      <c r="M77" s="263" t="s">
        <v>98</v>
      </c>
      <c r="N77" s="32"/>
      <c r="O77" s="30"/>
      <c r="P77" s="36"/>
      <c r="Q77" s="36"/>
      <c r="R77" s="36"/>
      <c r="S77" s="34" t="s">
        <v>99</v>
      </c>
      <c r="T77" s="34"/>
      <c r="U77" s="36"/>
      <c r="V77" s="260"/>
      <c r="W77" s="261"/>
    </row>
    <row r="78" spans="1:23" x14ac:dyDescent="0.3">
      <c r="A78" s="35" t="s">
        <v>103</v>
      </c>
      <c r="B78" s="31"/>
      <c r="C78" s="30">
        <f>($D$20*($I$7)^2)/14</f>
        <v>3.4245714285714288</v>
      </c>
      <c r="D78" s="36"/>
      <c r="E78" s="36"/>
      <c r="F78" s="36"/>
      <c r="G78" s="36" t="s">
        <v>104</v>
      </c>
      <c r="H78" s="36"/>
      <c r="I78" s="36"/>
      <c r="J78" s="260"/>
      <c r="K78" s="261"/>
      <c r="L78" s="29"/>
      <c r="M78" s="35" t="s">
        <v>103</v>
      </c>
      <c r="N78" s="31"/>
      <c r="O78" s="30">
        <f>($D$20*($I$7)^2)/14</f>
        <v>3.4245714285714288</v>
      </c>
      <c r="P78" s="36"/>
      <c r="Q78" s="36"/>
      <c r="R78" s="36"/>
      <c r="S78" s="36" t="s">
        <v>104</v>
      </c>
      <c r="T78" s="36"/>
      <c r="U78" s="36"/>
      <c r="V78" s="260"/>
      <c r="W78" s="261"/>
    </row>
    <row r="79" spans="1:23" x14ac:dyDescent="0.3">
      <c r="A79" s="35"/>
      <c r="B79" s="31"/>
      <c r="C79" s="30"/>
      <c r="D79" s="36"/>
      <c r="E79" s="36"/>
      <c r="F79" s="36"/>
      <c r="G79" s="36"/>
      <c r="H79" s="36"/>
      <c r="I79" s="36"/>
      <c r="J79" s="260"/>
      <c r="K79" s="261"/>
      <c r="L79" s="29"/>
      <c r="M79" s="35"/>
      <c r="N79" s="31"/>
      <c r="O79" s="30"/>
      <c r="P79" s="36"/>
      <c r="Q79" s="36"/>
      <c r="R79" s="36"/>
      <c r="S79" s="36"/>
      <c r="T79" s="36"/>
      <c r="U79" s="36"/>
      <c r="V79" s="260"/>
      <c r="W79" s="261"/>
    </row>
    <row r="80" spans="1:23" x14ac:dyDescent="0.3">
      <c r="A80" s="35" t="s">
        <v>103</v>
      </c>
      <c r="B80" s="31"/>
      <c r="C80" s="30"/>
      <c r="D80" s="36"/>
      <c r="E80" s="36"/>
      <c r="F80" s="36"/>
      <c r="G80" s="36" t="s">
        <v>104</v>
      </c>
      <c r="H80" s="30">
        <f>($C$21*($I$7)^2)/10</f>
        <v>4.7944000000000004</v>
      </c>
      <c r="I80" s="36"/>
      <c r="J80" s="260"/>
      <c r="K80" s="261"/>
      <c r="L80" s="29"/>
      <c r="M80" s="35" t="s">
        <v>103</v>
      </c>
      <c r="N80" s="31"/>
      <c r="O80" s="30"/>
      <c r="P80" s="36"/>
      <c r="Q80" s="36"/>
      <c r="R80" s="36"/>
      <c r="S80" s="36" t="s">
        <v>104</v>
      </c>
      <c r="T80" s="30">
        <f>($C$21*($I$7)^2)/10</f>
        <v>4.7944000000000004</v>
      </c>
      <c r="U80" s="36"/>
      <c r="V80" s="260"/>
      <c r="W80" s="261"/>
    </row>
    <row r="81" spans="1:23" x14ac:dyDescent="0.3">
      <c r="A81" s="35" t="s">
        <v>108</v>
      </c>
      <c r="B81" s="31">
        <f>(C78*10^6)/(0.9*$I$4*($J$17)^2)</f>
        <v>0.69486474891880301</v>
      </c>
      <c r="C81" s="30"/>
      <c r="D81" s="36"/>
      <c r="E81" s="36"/>
      <c r="F81" s="36"/>
      <c r="G81" s="36" t="s">
        <v>104</v>
      </c>
      <c r="H81" s="36"/>
      <c r="I81" s="36"/>
      <c r="J81" s="260"/>
      <c r="K81" s="261"/>
      <c r="L81" s="29"/>
      <c r="M81" s="35" t="s">
        <v>108</v>
      </c>
      <c r="N81" s="31">
        <f>(O78*10^6)/(0.9*$I$4*($J$17)^2)</f>
        <v>0.69486474891880301</v>
      </c>
      <c r="O81" s="30"/>
      <c r="P81" s="36"/>
      <c r="Q81" s="36"/>
      <c r="R81" s="36"/>
      <c r="S81" s="36" t="s">
        <v>104</v>
      </c>
      <c r="T81" s="36"/>
      <c r="U81" s="36"/>
      <c r="V81" s="260"/>
      <c r="W81" s="261"/>
    </row>
    <row r="82" spans="1:23" x14ac:dyDescent="0.3">
      <c r="A82" s="35"/>
      <c r="B82" s="31"/>
      <c r="C82" s="30"/>
      <c r="D82" s="36"/>
      <c r="E82" s="36"/>
      <c r="F82" s="36"/>
      <c r="G82" s="36" t="s">
        <v>108</v>
      </c>
      <c r="H82" s="36">
        <f>(H80*10^6)/(0.9*$I$4*($J$17)^2)</f>
        <v>0.97281064848632415</v>
      </c>
      <c r="I82" s="36"/>
      <c r="J82" s="260"/>
      <c r="K82" s="261"/>
      <c r="L82" s="29"/>
      <c r="M82" s="35"/>
      <c r="N82" s="31"/>
      <c r="O82" s="30"/>
      <c r="P82" s="36"/>
      <c r="Q82" s="36"/>
      <c r="R82" s="36"/>
      <c r="S82" s="36" t="s">
        <v>108</v>
      </c>
      <c r="T82" s="36">
        <f>(T80*10^6)/(0.9*$I$4*($J$17)^2)</f>
        <v>0.97281064848632415</v>
      </c>
      <c r="U82" s="36"/>
      <c r="V82" s="260"/>
      <c r="W82" s="261"/>
    </row>
    <row r="83" spans="1:23" x14ac:dyDescent="0.3">
      <c r="A83" s="35" t="s">
        <v>111</v>
      </c>
      <c r="B83" s="31"/>
      <c r="C83" s="30"/>
      <c r="D83" s="36"/>
      <c r="E83" s="36"/>
      <c r="F83" s="36"/>
      <c r="G83" s="36"/>
      <c r="H83" s="36"/>
      <c r="I83" s="36"/>
      <c r="J83" s="260"/>
      <c r="K83" s="261"/>
      <c r="L83" s="29"/>
      <c r="M83" s="35" t="s">
        <v>111</v>
      </c>
      <c r="N83" s="31"/>
      <c r="O83" s="30"/>
      <c r="P83" s="36"/>
      <c r="Q83" s="36"/>
      <c r="R83" s="36"/>
      <c r="S83" s="36"/>
      <c r="T83" s="36"/>
      <c r="U83" s="36"/>
      <c r="V83" s="260"/>
      <c r="W83" s="261"/>
    </row>
    <row r="84" spans="1:23" x14ac:dyDescent="0.3">
      <c r="A84" s="35"/>
      <c r="B84" s="31"/>
      <c r="C84" s="30"/>
      <c r="D84" s="36"/>
      <c r="E84" s="36"/>
      <c r="F84" s="36"/>
      <c r="G84" s="36"/>
      <c r="H84" s="265"/>
      <c r="I84" s="36"/>
      <c r="J84" s="260"/>
      <c r="K84" s="261"/>
      <c r="L84" s="29"/>
      <c r="M84" s="35"/>
      <c r="N84" s="31"/>
      <c r="O84" s="30"/>
      <c r="P84" s="36"/>
      <c r="Q84" s="36"/>
      <c r="R84" s="36"/>
      <c r="S84" s="36"/>
      <c r="T84" s="265"/>
      <c r="U84" s="36"/>
      <c r="V84" s="260"/>
      <c r="W84" s="261"/>
    </row>
    <row r="85" spans="1:23" x14ac:dyDescent="0.3">
      <c r="A85" s="266" t="s">
        <v>32</v>
      </c>
      <c r="B85" s="31">
        <f>((0.85*$C$3)/$C$4)*(1-SQRT(1-((2*B81)/(0.85*$C$3))))</f>
        <v>2.5694050575647376E-3</v>
      </c>
      <c r="C85" s="30"/>
      <c r="D85" s="36"/>
      <c r="E85" s="36"/>
      <c r="F85" s="36"/>
      <c r="G85" s="36" t="s">
        <v>111</v>
      </c>
      <c r="H85" s="36"/>
      <c r="I85" s="36"/>
      <c r="J85" s="260"/>
      <c r="K85" s="261"/>
      <c r="L85" s="29"/>
      <c r="M85" s="266" t="s">
        <v>32</v>
      </c>
      <c r="N85" s="31">
        <f>((0.85*$C$3)/$C$4)*(1-SQRT(1-((2*N81)/(0.85*$C$3))))</f>
        <v>2.5694050575647376E-3</v>
      </c>
      <c r="O85" s="30"/>
      <c r="P85" s="36"/>
      <c r="Q85" s="36"/>
      <c r="R85" s="36"/>
      <c r="S85" s="36" t="s">
        <v>111</v>
      </c>
      <c r="T85" s="36"/>
      <c r="U85" s="36"/>
      <c r="V85" s="260"/>
      <c r="W85" s="261"/>
    </row>
    <row r="86" spans="1:23" x14ac:dyDescent="0.3">
      <c r="A86" s="263" t="s">
        <v>114</v>
      </c>
      <c r="B86" s="31"/>
      <c r="C86" s="33" t="s">
        <v>115</v>
      </c>
      <c r="D86" s="36"/>
      <c r="E86" s="36"/>
      <c r="F86" s="29"/>
      <c r="G86" s="267" t="s">
        <v>32</v>
      </c>
      <c r="H86" s="268">
        <f>((0.85*$C$3)/$C$4)*(1-SQRT(1-((2*H82)/(0.85*$C$3))))</f>
        <v>3.6279052551021814E-3</v>
      </c>
      <c r="I86" s="36"/>
      <c r="J86" s="260"/>
      <c r="K86" s="261"/>
      <c r="L86" s="29"/>
      <c r="M86" s="263" t="s">
        <v>114</v>
      </c>
      <c r="N86" s="31"/>
      <c r="O86" s="33" t="s">
        <v>115</v>
      </c>
      <c r="P86" s="36"/>
      <c r="Q86" s="36"/>
      <c r="R86" s="29"/>
      <c r="S86" s="267" t="s">
        <v>32</v>
      </c>
      <c r="T86" s="268">
        <f>((0.85*$C$3)/$C$4)*(1-SQRT(1-((2*T82)/(0.85*$C$3))))</f>
        <v>3.6279052551021814E-3</v>
      </c>
      <c r="U86" s="36"/>
      <c r="V86" s="260"/>
      <c r="W86" s="261"/>
    </row>
    <row r="87" spans="1:23" x14ac:dyDescent="0.3">
      <c r="A87" s="35" t="s">
        <v>117</v>
      </c>
      <c r="B87" s="31" t="s">
        <v>51</v>
      </c>
      <c r="C87" s="30" t="s">
        <v>118</v>
      </c>
      <c r="D87" s="36"/>
      <c r="E87" s="36"/>
      <c r="F87" s="29"/>
      <c r="G87" s="34" t="s">
        <v>114</v>
      </c>
      <c r="H87" s="36"/>
      <c r="I87" s="36"/>
      <c r="J87" s="260"/>
      <c r="K87" s="261"/>
      <c r="L87" s="29"/>
      <c r="M87" s="35" t="s">
        <v>117</v>
      </c>
      <c r="N87" s="31" t="s">
        <v>51</v>
      </c>
      <c r="O87" s="30" t="s">
        <v>118</v>
      </c>
      <c r="P87" s="36"/>
      <c r="Q87" s="36"/>
      <c r="R87" s="29"/>
      <c r="S87" s="34" t="s">
        <v>114</v>
      </c>
      <c r="T87" s="36"/>
      <c r="U87" s="36"/>
      <c r="V87" s="260"/>
      <c r="W87" s="261"/>
    </row>
    <row r="88" spans="1:23" x14ac:dyDescent="0.3">
      <c r="A88" s="35" t="s">
        <v>117</v>
      </c>
      <c r="B88" s="31">
        <f>1.4/C58</f>
        <v>5.0724637681159417E-3</v>
      </c>
      <c r="C88" s="30"/>
      <c r="D88" s="36"/>
      <c r="E88" s="36"/>
      <c r="F88" s="29"/>
      <c r="G88" s="34" t="s">
        <v>117</v>
      </c>
      <c r="H88" s="36"/>
      <c r="I88" s="34" t="s">
        <v>115</v>
      </c>
      <c r="J88" s="260"/>
      <c r="K88" s="261"/>
      <c r="L88" s="29"/>
      <c r="M88" s="35" t="s">
        <v>117</v>
      </c>
      <c r="N88" s="31">
        <f>1.4/O58</f>
        <v>5.0724637681159417E-3</v>
      </c>
      <c r="O88" s="30"/>
      <c r="P88" s="36"/>
      <c r="Q88" s="36"/>
      <c r="R88" s="29"/>
      <c r="S88" s="34" t="s">
        <v>117</v>
      </c>
      <c r="T88" s="36"/>
      <c r="U88" s="34" t="s">
        <v>115</v>
      </c>
      <c r="V88" s="260"/>
      <c r="W88" s="261"/>
    </row>
    <row r="89" spans="1:23" x14ac:dyDescent="0.3">
      <c r="A89" s="35" t="s">
        <v>120</v>
      </c>
      <c r="B89" s="31">
        <f>IF(B85&gt;B88,B85,B88)</f>
        <v>5.0724637681159417E-3</v>
      </c>
      <c r="C89" s="30" t="s">
        <v>118</v>
      </c>
      <c r="D89" s="36">
        <f>(0.5475*0.85*20.7*0.85*600)/(276*(600+276))</f>
        <v>2.0320312499999996E-2</v>
      </c>
      <c r="E89" s="36"/>
      <c r="F89" s="29"/>
      <c r="G89" s="34" t="s">
        <v>120</v>
      </c>
      <c r="H89" s="36">
        <f>1.4/$C$4</f>
        <v>5.0724637681159417E-3</v>
      </c>
      <c r="I89" s="36" t="s">
        <v>118</v>
      </c>
      <c r="J89" s="260"/>
      <c r="K89" s="261"/>
      <c r="L89" s="29"/>
      <c r="M89" s="35" t="s">
        <v>120</v>
      </c>
      <c r="N89" s="31">
        <f>IF(N85&gt;N88,N85,N88)</f>
        <v>5.0724637681159417E-3</v>
      </c>
      <c r="O89" s="30" t="s">
        <v>118</v>
      </c>
      <c r="P89" s="36">
        <f>(0.5475*0.85*20.7*0.85*600)/(276*(600+276))</f>
        <v>2.0320312499999996E-2</v>
      </c>
      <c r="Q89" s="36"/>
      <c r="R89" s="29"/>
      <c r="S89" s="34" t="s">
        <v>120</v>
      </c>
      <c r="T89" s="36">
        <f>1.4/$C$4</f>
        <v>5.0724637681159417E-3</v>
      </c>
      <c r="U89" s="36" t="s">
        <v>118</v>
      </c>
      <c r="V89" s="260"/>
      <c r="W89" s="261"/>
    </row>
    <row r="90" spans="1:23" x14ac:dyDescent="0.3">
      <c r="A90" s="35" t="s">
        <v>122</v>
      </c>
      <c r="B90" s="31"/>
      <c r="C90" s="30"/>
      <c r="D90" s="36"/>
      <c r="E90" s="36"/>
      <c r="F90" s="36"/>
      <c r="G90" s="34" t="s">
        <v>122</v>
      </c>
      <c r="H90" s="36">
        <f>IF(H86&gt;H89,H87,H89)</f>
        <v>5.0724637681159417E-3</v>
      </c>
      <c r="I90" s="36"/>
      <c r="J90" s="260"/>
      <c r="K90" s="261"/>
      <c r="L90" s="29"/>
      <c r="M90" s="35" t="s">
        <v>122</v>
      </c>
      <c r="N90" s="31"/>
      <c r="O90" s="30"/>
      <c r="P90" s="36"/>
      <c r="Q90" s="36"/>
      <c r="R90" s="36"/>
      <c r="S90" s="34" t="s">
        <v>122</v>
      </c>
      <c r="T90" s="36">
        <f>IF(T86&gt;T89,T87,T89)</f>
        <v>5.0724637681159417E-3</v>
      </c>
      <c r="U90" s="36"/>
      <c r="V90" s="260"/>
      <c r="W90" s="261"/>
    </row>
    <row r="91" spans="1:23" x14ac:dyDescent="0.3">
      <c r="A91" s="263" t="s">
        <v>123</v>
      </c>
      <c r="B91" s="31">
        <f>B89*$I$4*$J$17</f>
        <v>375.36231884057969</v>
      </c>
      <c r="C91" s="30"/>
      <c r="D91" s="36"/>
      <c r="E91" s="36"/>
      <c r="F91" s="36"/>
      <c r="G91" s="34" t="s">
        <v>123</v>
      </c>
      <c r="H91" s="36">
        <f>H90*$I$4*$J$17</f>
        <v>375.36231884057969</v>
      </c>
      <c r="I91" s="36" t="s">
        <v>118</v>
      </c>
      <c r="J91" s="260">
        <f>(0.5475*0.85*20.7*0.85*600)/(276*(600+276))</f>
        <v>2.0320312499999996E-2</v>
      </c>
      <c r="K91" s="261"/>
      <c r="L91" s="29"/>
      <c r="M91" s="263" t="s">
        <v>123</v>
      </c>
      <c r="N91" s="31">
        <f>N89*$I$4*$J$17</f>
        <v>375.36231884057969</v>
      </c>
      <c r="O91" s="30"/>
      <c r="P91" s="36"/>
      <c r="Q91" s="36"/>
      <c r="R91" s="36"/>
      <c r="S91" s="34" t="s">
        <v>123</v>
      </c>
      <c r="T91" s="36">
        <f>T90*$I$4*$J$17</f>
        <v>375.36231884057969</v>
      </c>
      <c r="U91" s="36" t="s">
        <v>118</v>
      </c>
      <c r="V91" s="260">
        <f>(0.5475*0.85*20.7*0.85*600)/(276*(600+276))</f>
        <v>2.0320312499999996E-2</v>
      </c>
      <c r="W91" s="261"/>
    </row>
    <row r="92" spans="1:23" x14ac:dyDescent="0.3">
      <c r="A92" s="263" t="s">
        <v>109</v>
      </c>
      <c r="B92" s="31">
        <f>(3.141592654*(12)^2)/4</f>
        <v>113.097335544</v>
      </c>
      <c r="C92" s="30"/>
      <c r="D92" s="36"/>
      <c r="E92" s="36"/>
      <c r="F92" s="36"/>
      <c r="G92" s="34" t="s">
        <v>109</v>
      </c>
      <c r="H92" s="36">
        <f>(3.141592654*(12)^2)/4</f>
        <v>113.097335544</v>
      </c>
      <c r="I92" s="36"/>
      <c r="J92" s="260"/>
      <c r="K92" s="261"/>
      <c r="L92" s="29"/>
      <c r="M92" s="263" t="s">
        <v>109</v>
      </c>
      <c r="N92" s="31">
        <f>(3.141592654*(12)^2)/4</f>
        <v>113.097335544</v>
      </c>
      <c r="O92" s="30"/>
      <c r="P92" s="36"/>
      <c r="Q92" s="36"/>
      <c r="R92" s="36"/>
      <c r="S92" s="34" t="s">
        <v>109</v>
      </c>
      <c r="T92" s="36">
        <f>(3.141592654*(12)^2)/4</f>
        <v>113.097335544</v>
      </c>
      <c r="U92" s="36"/>
      <c r="V92" s="260"/>
      <c r="W92" s="261"/>
    </row>
    <row r="93" spans="1:23" x14ac:dyDescent="0.3">
      <c r="A93" s="263" t="s">
        <v>110</v>
      </c>
      <c r="B93" s="31"/>
      <c r="C93" s="30"/>
      <c r="D93" s="36"/>
      <c r="E93" s="36"/>
      <c r="F93" s="36"/>
      <c r="G93" s="34" t="s">
        <v>110</v>
      </c>
      <c r="H93" s="29"/>
      <c r="I93" s="36"/>
      <c r="J93" s="260"/>
      <c r="K93" s="261"/>
      <c r="L93" s="29"/>
      <c r="M93" s="263" t="s">
        <v>110</v>
      </c>
      <c r="N93" s="31"/>
      <c r="O93" s="30"/>
      <c r="P93" s="36"/>
      <c r="Q93" s="36"/>
      <c r="R93" s="36"/>
      <c r="S93" s="34" t="s">
        <v>110</v>
      </c>
      <c r="T93" s="36"/>
      <c r="U93" s="36"/>
      <c r="V93" s="260"/>
      <c r="W93" s="261"/>
    </row>
    <row r="94" spans="1:23" x14ac:dyDescent="0.3">
      <c r="A94" s="263" t="s">
        <v>112</v>
      </c>
      <c r="B94" s="31">
        <f>(B92/B91)*1000</f>
        <v>301.30178195119697</v>
      </c>
      <c r="C94" s="30"/>
      <c r="D94" s="36"/>
      <c r="E94" s="36"/>
      <c r="F94" s="36"/>
      <c r="G94" s="34" t="s">
        <v>112</v>
      </c>
      <c r="H94" s="36">
        <f>(H92/H91)*1000</f>
        <v>301.30178195119697</v>
      </c>
      <c r="I94" s="36"/>
      <c r="J94" s="260"/>
      <c r="K94" s="261"/>
      <c r="L94" s="29"/>
      <c r="M94" s="263" t="s">
        <v>112</v>
      </c>
      <c r="N94" s="31">
        <f>(N92/N91)*1000</f>
        <v>301.30178195119697</v>
      </c>
      <c r="O94" s="30"/>
      <c r="P94" s="36"/>
      <c r="Q94" s="36"/>
      <c r="R94" s="36"/>
      <c r="S94" s="34" t="s">
        <v>112</v>
      </c>
      <c r="T94" s="36">
        <f>(T92/T91)*1000</f>
        <v>301.30178195119697</v>
      </c>
      <c r="U94" s="36"/>
      <c r="V94" s="260"/>
      <c r="W94" s="261"/>
    </row>
    <row r="95" spans="1:23" x14ac:dyDescent="0.3">
      <c r="A95" s="263" t="s">
        <v>113</v>
      </c>
      <c r="B95" s="31">
        <v>300</v>
      </c>
      <c r="C95" s="30" t="s">
        <v>124</v>
      </c>
      <c r="D95" s="36"/>
      <c r="E95" s="36"/>
      <c r="F95" s="36"/>
      <c r="G95" s="34" t="s">
        <v>113</v>
      </c>
      <c r="H95" s="36">
        <v>300</v>
      </c>
      <c r="I95" s="36" t="s">
        <v>43</v>
      </c>
      <c r="J95" s="260"/>
      <c r="K95" s="261"/>
      <c r="L95" s="29"/>
      <c r="M95" s="263" t="s">
        <v>113</v>
      </c>
      <c r="N95" s="31">
        <v>300</v>
      </c>
      <c r="O95" s="30" t="s">
        <v>124</v>
      </c>
      <c r="P95" s="36"/>
      <c r="Q95" s="36"/>
      <c r="R95" s="36"/>
      <c r="S95" s="34" t="s">
        <v>113</v>
      </c>
      <c r="T95" s="36">
        <v>300</v>
      </c>
      <c r="U95" s="36" t="s">
        <v>43</v>
      </c>
      <c r="V95" s="260"/>
      <c r="W95" s="261"/>
    </row>
    <row r="96" spans="1:23" x14ac:dyDescent="0.3">
      <c r="A96" s="263" t="s">
        <v>116</v>
      </c>
      <c r="B96" s="31"/>
      <c r="C96" s="30"/>
      <c r="D96" s="36"/>
      <c r="E96" s="36"/>
      <c r="F96" s="36"/>
      <c r="G96" s="34" t="s">
        <v>116</v>
      </c>
      <c r="H96" s="36"/>
      <c r="I96" s="36"/>
      <c r="J96" s="260"/>
      <c r="K96" s="261"/>
      <c r="L96" s="29"/>
      <c r="M96" s="263" t="s">
        <v>116</v>
      </c>
      <c r="N96" s="31"/>
      <c r="O96" s="30"/>
      <c r="P96" s="36"/>
      <c r="Q96" s="36"/>
      <c r="R96" s="36"/>
      <c r="S96" s="34" t="s">
        <v>116</v>
      </c>
      <c r="T96" s="36"/>
      <c r="U96" s="36"/>
      <c r="V96" s="260"/>
      <c r="W96" s="261"/>
    </row>
    <row r="97" spans="1:23" x14ac:dyDescent="0.3">
      <c r="A97" s="35"/>
      <c r="B97" s="31" t="s">
        <v>125</v>
      </c>
      <c r="C97" s="30">
        <f>3*H68</f>
        <v>300</v>
      </c>
      <c r="D97" s="36"/>
      <c r="E97" s="36"/>
      <c r="F97" s="36"/>
      <c r="G97" s="36"/>
      <c r="H97" s="36" t="s">
        <v>126</v>
      </c>
      <c r="I97" s="36">
        <f>3*H68</f>
        <v>300</v>
      </c>
      <c r="J97" s="260"/>
      <c r="K97" s="261"/>
      <c r="L97" s="29"/>
      <c r="M97" s="35"/>
      <c r="N97" s="31" t="s">
        <v>125</v>
      </c>
      <c r="O97" s="30">
        <f>3*T68</f>
        <v>300</v>
      </c>
      <c r="P97" s="36"/>
      <c r="Q97" s="36"/>
      <c r="R97" s="36"/>
      <c r="S97" s="36"/>
      <c r="T97" s="36" t="s">
        <v>126</v>
      </c>
      <c r="U97" s="36">
        <f>3*T68</f>
        <v>300</v>
      </c>
      <c r="V97" s="260"/>
      <c r="W97" s="261"/>
    </row>
    <row r="98" spans="1:23" x14ac:dyDescent="0.3">
      <c r="A98" s="35"/>
      <c r="B98" s="31" t="s">
        <v>121</v>
      </c>
      <c r="C98" s="30">
        <f>450</f>
        <v>450</v>
      </c>
      <c r="D98" s="36"/>
      <c r="E98" s="36"/>
      <c r="F98" s="36"/>
      <c r="G98" s="29"/>
      <c r="H98" s="36" t="s">
        <v>121</v>
      </c>
      <c r="I98" s="36">
        <f>450</f>
        <v>450</v>
      </c>
      <c r="J98" s="260"/>
      <c r="K98" s="261"/>
      <c r="L98" s="29"/>
      <c r="M98" s="35"/>
      <c r="N98" s="31" t="s">
        <v>121</v>
      </c>
      <c r="O98" s="30">
        <f>450</f>
        <v>450</v>
      </c>
      <c r="P98" s="36"/>
      <c r="Q98" s="36"/>
      <c r="R98" s="36"/>
      <c r="S98" s="29"/>
      <c r="T98" s="36" t="s">
        <v>121</v>
      </c>
      <c r="U98" s="36">
        <f>450</f>
        <v>450</v>
      </c>
      <c r="V98" s="260"/>
      <c r="W98" s="261"/>
    </row>
    <row r="99" spans="1:23" x14ac:dyDescent="0.3">
      <c r="A99" s="485" t="s">
        <v>127</v>
      </c>
      <c r="B99" s="486"/>
      <c r="C99" s="486"/>
      <c r="D99" s="486"/>
      <c r="E99" s="486"/>
      <c r="F99" s="36"/>
      <c r="G99" s="481" t="s">
        <v>128</v>
      </c>
      <c r="H99" s="481"/>
      <c r="I99" s="481"/>
      <c r="J99" s="481"/>
      <c r="K99" s="482"/>
      <c r="L99" s="29"/>
      <c r="M99" s="485" t="s">
        <v>127</v>
      </c>
      <c r="N99" s="486"/>
      <c r="O99" s="486"/>
      <c r="P99" s="486"/>
      <c r="Q99" s="486"/>
      <c r="R99" s="271"/>
      <c r="S99" s="481" t="s">
        <v>128</v>
      </c>
      <c r="T99" s="481"/>
      <c r="U99" s="481"/>
      <c r="V99" s="481"/>
      <c r="W99" s="482"/>
    </row>
    <row r="100" spans="1:23" x14ac:dyDescent="0.3">
      <c r="A100" s="479" t="s">
        <v>100</v>
      </c>
      <c r="B100" s="480"/>
      <c r="C100" s="480"/>
      <c r="D100" s="36" t="s">
        <v>102</v>
      </c>
      <c r="E100" s="36"/>
      <c r="F100" s="36"/>
      <c r="G100" s="36"/>
      <c r="H100" s="29"/>
      <c r="I100" s="29"/>
      <c r="J100" s="258"/>
      <c r="K100" s="259"/>
      <c r="L100" s="29"/>
      <c r="M100" s="479" t="s">
        <v>100</v>
      </c>
      <c r="N100" s="480"/>
      <c r="O100" s="480"/>
      <c r="P100" s="36" t="s">
        <v>102</v>
      </c>
      <c r="Q100" s="36"/>
      <c r="R100" s="36"/>
      <c r="S100" s="36"/>
      <c r="T100" s="29"/>
      <c r="U100" s="29"/>
      <c r="V100" s="258"/>
      <c r="W100" s="259"/>
    </row>
    <row r="101" spans="1:23" ht="15" x14ac:dyDescent="0.3">
      <c r="A101" s="35"/>
      <c r="B101" s="32" t="s">
        <v>105</v>
      </c>
      <c r="C101" s="30">
        <f>0.002</f>
        <v>2E-3</v>
      </c>
      <c r="D101" s="36"/>
      <c r="E101" s="36"/>
      <c r="F101" s="36"/>
      <c r="G101" s="34" t="s">
        <v>116</v>
      </c>
      <c r="H101" s="36"/>
      <c r="I101" s="36"/>
      <c r="J101" s="260"/>
      <c r="K101" s="261"/>
      <c r="L101" s="29"/>
      <c r="M101" s="35"/>
      <c r="N101" s="32" t="s">
        <v>105</v>
      </c>
      <c r="O101" s="30">
        <f>0.002</f>
        <v>2E-3</v>
      </c>
      <c r="P101" s="36"/>
      <c r="Q101" s="36"/>
      <c r="R101" s="36"/>
      <c r="S101" s="34" t="s">
        <v>116</v>
      </c>
      <c r="T101" s="29"/>
      <c r="U101" s="29"/>
      <c r="V101" s="258"/>
      <c r="W101" s="259"/>
    </row>
    <row r="102" spans="1:23" x14ac:dyDescent="0.3">
      <c r="A102" s="35"/>
      <c r="B102" s="32" t="s">
        <v>106</v>
      </c>
      <c r="C102" s="30" t="s">
        <v>107</v>
      </c>
      <c r="D102" s="36"/>
      <c r="E102" s="36"/>
      <c r="F102" s="36"/>
      <c r="G102" s="36"/>
      <c r="H102" s="36" t="s">
        <v>119</v>
      </c>
      <c r="I102" s="36">
        <f>5*H68</f>
        <v>500</v>
      </c>
      <c r="J102" s="260"/>
      <c r="K102" s="261"/>
      <c r="L102" s="29"/>
      <c r="M102" s="35"/>
      <c r="N102" s="32" t="s">
        <v>106</v>
      </c>
      <c r="O102" s="30" t="s">
        <v>107</v>
      </c>
      <c r="P102" s="36"/>
      <c r="Q102" s="36"/>
      <c r="R102" s="36"/>
      <c r="S102" s="36"/>
      <c r="T102" s="36"/>
      <c r="U102" s="36"/>
      <c r="V102" s="260"/>
      <c r="W102" s="261"/>
    </row>
    <row r="103" spans="1:23" x14ac:dyDescent="0.3">
      <c r="A103" s="35"/>
      <c r="B103" s="32" t="s">
        <v>106</v>
      </c>
      <c r="C103" s="30">
        <f>C101*$I$4*$H$14</f>
        <v>200</v>
      </c>
      <c r="D103" s="36"/>
      <c r="E103" s="36"/>
      <c r="F103" s="36"/>
      <c r="G103" s="36"/>
      <c r="H103" s="36" t="s">
        <v>121</v>
      </c>
      <c r="I103" s="36">
        <f>450</f>
        <v>450</v>
      </c>
      <c r="J103" s="260"/>
      <c r="K103" s="261"/>
      <c r="L103" s="29"/>
      <c r="M103" s="35"/>
      <c r="N103" s="32" t="s">
        <v>106</v>
      </c>
      <c r="O103" s="30">
        <f>O101*$I$4*$H$14</f>
        <v>200</v>
      </c>
      <c r="P103" s="36"/>
      <c r="Q103" s="36"/>
      <c r="R103" s="36"/>
      <c r="S103" s="36"/>
      <c r="T103" s="36" t="s">
        <v>119</v>
      </c>
      <c r="U103" s="36">
        <f>5*T68</f>
        <v>500</v>
      </c>
      <c r="V103" s="260"/>
      <c r="W103" s="261"/>
    </row>
    <row r="104" spans="1:23" x14ac:dyDescent="0.3">
      <c r="A104" s="35"/>
      <c r="B104" s="32" t="s">
        <v>109</v>
      </c>
      <c r="C104" s="30">
        <f>(3.141592654*(10)^2)/4</f>
        <v>78.539816349999995</v>
      </c>
      <c r="D104" s="36"/>
      <c r="E104" s="36"/>
      <c r="F104" s="36"/>
      <c r="G104" s="36"/>
      <c r="H104" s="36"/>
      <c r="I104" s="36"/>
      <c r="J104" s="260"/>
      <c r="K104" s="261"/>
      <c r="L104" s="29"/>
      <c r="M104" s="35"/>
      <c r="N104" s="32" t="s">
        <v>109</v>
      </c>
      <c r="O104" s="30">
        <f>(3.141592654*(10)^2)/4</f>
        <v>78.539816349999995</v>
      </c>
      <c r="P104" s="36"/>
      <c r="Q104" s="36"/>
      <c r="R104" s="36"/>
      <c r="S104" s="36"/>
      <c r="T104" s="36" t="s">
        <v>121</v>
      </c>
      <c r="U104" s="36">
        <f>450</f>
        <v>450</v>
      </c>
      <c r="V104" s="260"/>
      <c r="W104" s="261"/>
    </row>
    <row r="105" spans="1:23" x14ac:dyDescent="0.3">
      <c r="A105" s="35"/>
      <c r="B105" s="32" t="s">
        <v>110</v>
      </c>
      <c r="C105" s="30"/>
      <c r="D105" s="36"/>
      <c r="E105" s="36"/>
      <c r="F105" s="36"/>
      <c r="G105" s="324" t="s">
        <v>130</v>
      </c>
      <c r="H105" s="324"/>
      <c r="I105" s="324"/>
      <c r="J105" s="324"/>
      <c r="K105" s="325"/>
      <c r="L105" s="29"/>
      <c r="M105" s="35"/>
      <c r="N105" s="32" t="s">
        <v>110</v>
      </c>
      <c r="O105" s="30"/>
      <c r="P105" s="36"/>
      <c r="Q105" s="36"/>
      <c r="R105" s="36"/>
      <c r="S105" s="481" t="s">
        <v>130</v>
      </c>
      <c r="T105" s="481"/>
      <c r="U105" s="481"/>
      <c r="V105" s="481"/>
      <c r="W105" s="482"/>
    </row>
    <row r="106" spans="1:23" ht="15" thickBot="1" x14ac:dyDescent="0.35">
      <c r="A106" s="272"/>
      <c r="B106" s="37" t="s">
        <v>112</v>
      </c>
      <c r="C106" s="38">
        <f>(C104/C103)*1000</f>
        <v>392.69908174999995</v>
      </c>
      <c r="D106" s="38" t="s">
        <v>42</v>
      </c>
      <c r="E106" s="273" t="s">
        <v>131</v>
      </c>
      <c r="F106" s="273"/>
      <c r="G106" s="273"/>
      <c r="H106" s="274"/>
      <c r="I106" s="274"/>
      <c r="J106" s="275"/>
      <c r="K106" s="276"/>
      <c r="L106" s="29"/>
      <c r="M106" s="272"/>
      <c r="N106" s="37" t="s">
        <v>112</v>
      </c>
      <c r="O106" s="38">
        <f>(O104/O103)*1000</f>
        <v>392.69908174999995</v>
      </c>
      <c r="P106" s="38" t="s">
        <v>132</v>
      </c>
      <c r="Q106" s="273" t="s">
        <v>131</v>
      </c>
      <c r="R106" s="273"/>
      <c r="S106" s="273"/>
      <c r="T106" s="274"/>
      <c r="U106" s="274"/>
      <c r="V106" s="274"/>
      <c r="W106" s="276"/>
    </row>
  </sheetData>
  <mergeCells count="58">
    <mergeCell ref="S105:W105"/>
    <mergeCell ref="A99:E99"/>
    <mergeCell ref="G99:K99"/>
    <mergeCell ref="M99:Q99"/>
    <mergeCell ref="S99:W99"/>
    <mergeCell ref="A100:C100"/>
    <mergeCell ref="M100:O100"/>
    <mergeCell ref="A58:B58"/>
    <mergeCell ref="M58:N58"/>
    <mergeCell ref="A75:B75"/>
    <mergeCell ref="M75:N75"/>
    <mergeCell ref="A76:K76"/>
    <mergeCell ref="M76:W76"/>
    <mergeCell ref="A55:K55"/>
    <mergeCell ref="M55:W55"/>
    <mergeCell ref="A56:K56"/>
    <mergeCell ref="M56:W56"/>
    <mergeCell ref="A57:B57"/>
    <mergeCell ref="G57:K57"/>
    <mergeCell ref="M57:N57"/>
    <mergeCell ref="A1:K1"/>
    <mergeCell ref="M1:W1"/>
    <mergeCell ref="Y1:AI1"/>
    <mergeCell ref="AK1:AU1"/>
    <mergeCell ref="A2:K2"/>
    <mergeCell ref="M2:W2"/>
    <mergeCell ref="Y2:AI2"/>
    <mergeCell ref="AK2:AU2"/>
    <mergeCell ref="A3:B3"/>
    <mergeCell ref="M3:N3"/>
    <mergeCell ref="Y3:Z3"/>
    <mergeCell ref="AK3:AL3"/>
    <mergeCell ref="A4:B4"/>
    <mergeCell ref="M4:N4"/>
    <mergeCell ref="Y4:Z4"/>
    <mergeCell ref="AK4:AL4"/>
    <mergeCell ref="G3:K3"/>
    <mergeCell ref="A21:B21"/>
    <mergeCell ref="M21:N21"/>
    <mergeCell ref="Y21:Z21"/>
    <mergeCell ref="AK21:AL21"/>
    <mergeCell ref="A22:K22"/>
    <mergeCell ref="M22:W22"/>
    <mergeCell ref="Y22:AI22"/>
    <mergeCell ref="AK22:AU22"/>
    <mergeCell ref="AR36:AU36"/>
    <mergeCell ref="A45:E45"/>
    <mergeCell ref="G45:K45"/>
    <mergeCell ref="M45:Q45"/>
    <mergeCell ref="S45:W45"/>
    <mergeCell ref="Y45:AD45"/>
    <mergeCell ref="AK45:AP45"/>
    <mergeCell ref="A46:C46"/>
    <mergeCell ref="M46:O46"/>
    <mergeCell ref="S51:W51"/>
    <mergeCell ref="Y23:Z23"/>
    <mergeCell ref="AK23:AL23"/>
    <mergeCell ref="AF36:AI36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80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O32"/>
  <sheetViews>
    <sheetView showGridLines="0" view="pageBreakPreview" zoomScale="55" zoomScaleNormal="70" zoomScaleSheetLayoutView="55" workbookViewId="0">
      <selection activeCell="L15" sqref="L15"/>
    </sheetView>
  </sheetViews>
  <sheetFormatPr defaultRowHeight="14.4" x14ac:dyDescent="0.3"/>
  <cols>
    <col min="1" max="1" width="20.6640625" style="42" customWidth="1"/>
    <col min="2" max="2" width="10.44140625" bestFit="1" customWidth="1"/>
    <col min="3" max="3" width="9" bestFit="1" customWidth="1"/>
    <col min="4" max="4" width="3.5546875" bestFit="1" customWidth="1"/>
    <col min="5" max="5" width="7.6640625" bestFit="1" customWidth="1"/>
    <col min="6" max="6" width="20.6640625" customWidth="1"/>
    <col min="7" max="7" width="9.33203125" bestFit="1" customWidth="1"/>
    <col min="8" max="8" width="9" bestFit="1" customWidth="1"/>
    <col min="9" max="9" width="3.5546875" bestFit="1" customWidth="1"/>
    <col min="10" max="10" width="7.6640625" bestFit="1" customWidth="1"/>
    <col min="11" max="11" width="20.6640625" customWidth="1"/>
    <col min="12" max="12" width="9.33203125" bestFit="1" customWidth="1"/>
    <col min="13" max="13" width="9" bestFit="1" customWidth="1"/>
    <col min="14" max="14" width="3.5546875" bestFit="1" customWidth="1"/>
    <col min="15" max="15" width="7.6640625" bestFit="1" customWidth="1"/>
  </cols>
  <sheetData>
    <row r="1" spans="1:15" s="355" customFormat="1" ht="19.8" x14ac:dyDescent="0.4">
      <c r="A1" s="432" t="s">
        <v>545</v>
      </c>
      <c r="B1" s="433"/>
      <c r="C1" s="433"/>
      <c r="D1" s="433"/>
      <c r="E1" s="434"/>
      <c r="F1" s="432" t="s">
        <v>545</v>
      </c>
      <c r="G1" s="433"/>
      <c r="H1" s="433"/>
      <c r="I1" s="433"/>
      <c r="J1" s="434"/>
      <c r="K1" s="432" t="s">
        <v>545</v>
      </c>
      <c r="L1" s="433"/>
      <c r="M1" s="433"/>
      <c r="N1" s="433"/>
      <c r="O1" s="434"/>
    </row>
    <row r="2" spans="1:15" x14ac:dyDescent="0.3">
      <c r="A2" s="499" t="s">
        <v>411</v>
      </c>
      <c r="B2" s="500"/>
      <c r="C2" s="500"/>
      <c r="D2" s="500"/>
      <c r="E2" s="501"/>
      <c r="F2" s="499" t="s">
        <v>412</v>
      </c>
      <c r="G2" s="500"/>
      <c r="H2" s="500"/>
      <c r="I2" s="500"/>
      <c r="J2" s="501"/>
      <c r="K2" s="499" t="s">
        <v>533</v>
      </c>
      <c r="L2" s="500"/>
      <c r="M2" s="500"/>
      <c r="N2" s="500"/>
      <c r="O2" s="501"/>
    </row>
    <row r="3" spans="1:15" x14ac:dyDescent="0.3">
      <c r="A3" s="449" t="s">
        <v>413</v>
      </c>
      <c r="B3" s="438"/>
      <c r="C3" s="438"/>
      <c r="D3" s="438"/>
      <c r="E3" s="169">
        <v>23.544</v>
      </c>
      <c r="F3" s="449" t="s">
        <v>413</v>
      </c>
      <c r="G3" s="438"/>
      <c r="H3" s="438"/>
      <c r="I3" s="438"/>
      <c r="J3" s="169">
        <v>23.544</v>
      </c>
      <c r="K3" s="449" t="s">
        <v>413</v>
      </c>
      <c r="L3" s="438"/>
      <c r="M3" s="438"/>
      <c r="N3" s="438"/>
      <c r="O3" s="169">
        <v>23.544</v>
      </c>
    </row>
    <row r="4" spans="1:15" x14ac:dyDescent="0.3">
      <c r="A4" s="68" t="s">
        <v>414</v>
      </c>
      <c r="B4" s="438">
        <v>3.2</v>
      </c>
      <c r="C4" s="438"/>
      <c r="D4" s="69" t="s">
        <v>74</v>
      </c>
      <c r="E4" s="169"/>
      <c r="F4" s="68" t="s">
        <v>414</v>
      </c>
      <c r="G4" s="438">
        <v>3.2</v>
      </c>
      <c r="H4" s="438"/>
      <c r="I4" s="69" t="s">
        <v>74</v>
      </c>
      <c r="J4" s="169"/>
      <c r="K4" s="68" t="s">
        <v>414</v>
      </c>
      <c r="L4" s="438">
        <v>3.2</v>
      </c>
      <c r="M4" s="438"/>
      <c r="N4" s="69" t="s">
        <v>74</v>
      </c>
      <c r="O4" s="169"/>
    </row>
    <row r="5" spans="1:15" x14ac:dyDescent="0.3">
      <c r="A5" s="68" t="s">
        <v>415</v>
      </c>
      <c r="B5" s="438">
        <v>3.2</v>
      </c>
      <c r="C5" s="438"/>
      <c r="D5" s="69" t="s">
        <v>74</v>
      </c>
      <c r="E5" s="169"/>
      <c r="F5" s="68" t="s">
        <v>415</v>
      </c>
      <c r="G5" s="438">
        <v>3.2</v>
      </c>
      <c r="H5" s="438"/>
      <c r="I5" s="69" t="s">
        <v>74</v>
      </c>
      <c r="J5" s="169"/>
      <c r="K5" s="68" t="s">
        <v>415</v>
      </c>
      <c r="L5" s="438">
        <v>1.5</v>
      </c>
      <c r="M5" s="438"/>
      <c r="N5" s="69" t="s">
        <v>74</v>
      </c>
      <c r="O5" s="169"/>
    </row>
    <row r="6" spans="1:15" x14ac:dyDescent="0.3">
      <c r="A6" s="68" t="s">
        <v>416</v>
      </c>
      <c r="B6" s="438">
        <v>0.15</v>
      </c>
      <c r="C6" s="438"/>
      <c r="D6" s="69" t="s">
        <v>74</v>
      </c>
      <c r="E6" s="169"/>
      <c r="F6" s="68" t="s">
        <v>416</v>
      </c>
      <c r="G6" s="438">
        <v>0.1</v>
      </c>
      <c r="H6" s="438"/>
      <c r="I6" s="69" t="s">
        <v>74</v>
      </c>
      <c r="J6" s="169"/>
      <c r="K6" s="68" t="s">
        <v>416</v>
      </c>
      <c r="L6" s="438">
        <v>0.1</v>
      </c>
      <c r="M6" s="438"/>
      <c r="N6" s="69" t="s">
        <v>74</v>
      </c>
      <c r="O6" s="169"/>
    </row>
    <row r="7" spans="1:15" x14ac:dyDescent="0.3">
      <c r="A7" s="68" t="s">
        <v>417</v>
      </c>
      <c r="B7" s="438">
        <v>6</v>
      </c>
      <c r="C7" s="438"/>
      <c r="D7" s="69" t="s">
        <v>74</v>
      </c>
      <c r="E7" s="169"/>
      <c r="F7" s="68" t="s">
        <v>417</v>
      </c>
      <c r="G7" s="438">
        <v>6</v>
      </c>
      <c r="H7" s="438"/>
      <c r="I7" s="69" t="s">
        <v>74</v>
      </c>
      <c r="J7" s="169"/>
      <c r="K7" s="68" t="s">
        <v>417</v>
      </c>
      <c r="L7" s="438">
        <v>6</v>
      </c>
      <c r="M7" s="438"/>
      <c r="N7" s="69" t="s">
        <v>74</v>
      </c>
      <c r="O7" s="169"/>
    </row>
    <row r="8" spans="1:15" x14ac:dyDescent="0.3">
      <c r="A8" s="68" t="s">
        <v>392</v>
      </c>
      <c r="B8" s="69">
        <v>0.1</v>
      </c>
      <c r="C8" s="69"/>
      <c r="D8" s="69" t="s">
        <v>74</v>
      </c>
      <c r="E8" s="170"/>
      <c r="F8" s="68" t="s">
        <v>392</v>
      </c>
      <c r="G8" s="69">
        <v>0.1</v>
      </c>
      <c r="H8" s="69"/>
      <c r="I8" s="69" t="s">
        <v>74</v>
      </c>
      <c r="J8" s="170"/>
      <c r="K8" s="68" t="s">
        <v>392</v>
      </c>
      <c r="L8" s="69">
        <v>0.1</v>
      </c>
      <c r="M8" s="69"/>
      <c r="N8" s="69" t="s">
        <v>74</v>
      </c>
      <c r="O8" s="170"/>
    </row>
    <row r="9" spans="1:15" x14ac:dyDescent="0.3">
      <c r="A9" s="68" t="s">
        <v>418</v>
      </c>
      <c r="B9" s="69">
        <v>6</v>
      </c>
      <c r="C9" s="69"/>
      <c r="D9" s="69" t="s">
        <v>74</v>
      </c>
      <c r="E9" s="170"/>
      <c r="F9" s="68" t="s">
        <v>418</v>
      </c>
      <c r="G9" s="69">
        <v>6</v>
      </c>
      <c r="H9" s="69"/>
      <c r="I9" s="69" t="s">
        <v>74</v>
      </c>
      <c r="J9" s="170"/>
      <c r="K9" s="68" t="s">
        <v>418</v>
      </c>
      <c r="L9" s="69">
        <v>6</v>
      </c>
      <c r="M9" s="69"/>
      <c r="N9" s="69" t="s">
        <v>74</v>
      </c>
      <c r="O9" s="170"/>
    </row>
    <row r="10" spans="1:15" x14ac:dyDescent="0.3">
      <c r="A10" s="68" t="s">
        <v>243</v>
      </c>
      <c r="B10" s="69">
        <v>0</v>
      </c>
      <c r="C10" s="69"/>
      <c r="D10" s="69"/>
      <c r="E10" s="170"/>
      <c r="F10" s="68" t="s">
        <v>243</v>
      </c>
      <c r="G10" s="69">
        <v>6</v>
      </c>
      <c r="H10" s="69"/>
      <c r="I10" s="69"/>
      <c r="J10" s="170"/>
      <c r="K10" s="68" t="s">
        <v>243</v>
      </c>
      <c r="L10" s="69">
        <v>6</v>
      </c>
      <c r="M10" s="69"/>
      <c r="N10" s="69"/>
      <c r="O10" s="170"/>
    </row>
    <row r="11" spans="1:15" x14ac:dyDescent="0.3">
      <c r="A11" s="68" t="s">
        <v>419</v>
      </c>
      <c r="B11" s="69">
        <v>2</v>
      </c>
      <c r="C11" s="69"/>
      <c r="D11" s="69" t="s">
        <v>74</v>
      </c>
      <c r="E11" s="170"/>
      <c r="F11" s="68" t="s">
        <v>419</v>
      </c>
      <c r="G11" s="69">
        <v>2</v>
      </c>
      <c r="H11" s="69"/>
      <c r="I11" s="69" t="s">
        <v>74</v>
      </c>
      <c r="J11" s="170"/>
      <c r="K11" s="68" t="s">
        <v>419</v>
      </c>
      <c r="L11" s="69">
        <v>2</v>
      </c>
      <c r="M11" s="69"/>
      <c r="N11" s="69" t="s">
        <v>74</v>
      </c>
      <c r="O11" s="170"/>
    </row>
    <row r="12" spans="1:15" x14ac:dyDescent="0.3">
      <c r="A12" s="68" t="s">
        <v>420</v>
      </c>
      <c r="B12" s="69">
        <v>0.3</v>
      </c>
      <c r="C12" s="69">
        <v>0.3</v>
      </c>
      <c r="D12" s="69" t="s">
        <v>74</v>
      </c>
      <c r="E12" s="169"/>
      <c r="F12" s="68" t="s">
        <v>420</v>
      </c>
      <c r="G12" s="69">
        <v>0.3</v>
      </c>
      <c r="H12" s="69">
        <v>0.3</v>
      </c>
      <c r="I12" s="69" t="s">
        <v>74</v>
      </c>
      <c r="J12" s="169"/>
      <c r="K12" s="68" t="s">
        <v>420</v>
      </c>
      <c r="L12" s="69">
        <v>0.3</v>
      </c>
      <c r="M12" s="69">
        <v>0.3</v>
      </c>
      <c r="N12" s="69" t="s">
        <v>74</v>
      </c>
      <c r="O12" s="169"/>
    </row>
    <row r="13" spans="1:15" x14ac:dyDescent="0.3">
      <c r="A13" s="68" t="s">
        <v>421</v>
      </c>
      <c r="B13" s="69">
        <v>0.25</v>
      </c>
      <c r="C13" s="69">
        <v>0.4</v>
      </c>
      <c r="D13" s="69" t="s">
        <v>74</v>
      </c>
      <c r="E13" s="169">
        <v>0.35</v>
      </c>
      <c r="F13" s="68" t="s">
        <v>421</v>
      </c>
      <c r="G13" s="69">
        <v>0.25</v>
      </c>
      <c r="H13" s="69">
        <v>0.4</v>
      </c>
      <c r="I13" s="69" t="s">
        <v>74</v>
      </c>
      <c r="J13" s="169">
        <v>0.35</v>
      </c>
      <c r="K13" s="68" t="s">
        <v>421</v>
      </c>
      <c r="L13" s="69">
        <v>0.25</v>
      </c>
      <c r="M13" s="69">
        <v>0.4</v>
      </c>
      <c r="N13" s="69" t="s">
        <v>74</v>
      </c>
      <c r="O13" s="169">
        <v>0.35</v>
      </c>
    </row>
    <row r="14" spans="1:15" x14ac:dyDescent="0.3">
      <c r="A14" s="68" t="s">
        <v>422</v>
      </c>
      <c r="B14" s="69">
        <v>0.2</v>
      </c>
      <c r="C14" s="69">
        <v>0.3</v>
      </c>
      <c r="D14" s="69" t="s">
        <v>74</v>
      </c>
      <c r="E14" s="169"/>
      <c r="F14" s="68" t="s">
        <v>422</v>
      </c>
      <c r="G14" s="69">
        <v>0.2</v>
      </c>
      <c r="H14" s="69">
        <v>0.3</v>
      </c>
      <c r="I14" s="69" t="s">
        <v>74</v>
      </c>
      <c r="J14" s="169"/>
      <c r="K14" s="68" t="s">
        <v>422</v>
      </c>
      <c r="L14" s="69">
        <v>0.2</v>
      </c>
      <c r="M14" s="69">
        <v>0.3</v>
      </c>
      <c r="N14" s="69" t="s">
        <v>74</v>
      </c>
      <c r="O14" s="169"/>
    </row>
    <row r="15" spans="1:15" x14ac:dyDescent="0.3">
      <c r="A15" s="68" t="s">
        <v>423</v>
      </c>
      <c r="B15" s="69">
        <v>6</v>
      </c>
      <c r="C15" s="69" t="s">
        <v>74</v>
      </c>
      <c r="D15" s="69"/>
      <c r="E15" s="169"/>
      <c r="F15" s="68" t="s">
        <v>423</v>
      </c>
      <c r="G15" s="69">
        <v>6</v>
      </c>
      <c r="H15" s="69" t="s">
        <v>74</v>
      </c>
      <c r="I15" s="69"/>
      <c r="J15" s="169"/>
      <c r="K15" s="68" t="s">
        <v>423</v>
      </c>
      <c r="L15" s="69">
        <v>6</v>
      </c>
      <c r="M15" s="69" t="s">
        <v>74</v>
      </c>
      <c r="N15" s="69"/>
      <c r="O15" s="169"/>
    </row>
    <row r="16" spans="1:15" x14ac:dyDescent="0.3">
      <c r="A16" s="497" t="s">
        <v>424</v>
      </c>
      <c r="B16" s="498"/>
      <c r="C16" s="498"/>
      <c r="D16" s="498"/>
      <c r="E16" s="169"/>
      <c r="F16" s="497" t="s">
        <v>424</v>
      </c>
      <c r="G16" s="498"/>
      <c r="H16" s="498"/>
      <c r="I16" s="498"/>
      <c r="J16" s="169"/>
      <c r="K16" s="497" t="s">
        <v>424</v>
      </c>
      <c r="L16" s="498"/>
      <c r="M16" s="498"/>
      <c r="N16" s="498"/>
      <c r="O16" s="169"/>
    </row>
    <row r="17" spans="1:15" x14ac:dyDescent="0.3">
      <c r="A17" s="68" t="s">
        <v>425</v>
      </c>
      <c r="B17" s="438">
        <f>(B4*B6*B7*E3)</f>
        <v>67.806719999999999</v>
      </c>
      <c r="C17" s="438"/>
      <c r="D17" s="69" t="s">
        <v>137</v>
      </c>
      <c r="E17" s="169"/>
      <c r="F17" s="68" t="s">
        <v>425</v>
      </c>
      <c r="G17" s="438">
        <f>(G4*G6*G7*J3)</f>
        <v>45.204480000000011</v>
      </c>
      <c r="H17" s="438"/>
      <c r="I17" s="69" t="s">
        <v>137</v>
      </c>
      <c r="J17" s="169"/>
      <c r="K17" s="68" t="s">
        <v>425</v>
      </c>
      <c r="L17" s="438">
        <f>(L4*L6*L7*O3)</f>
        <v>45.204480000000011</v>
      </c>
      <c r="M17" s="438"/>
      <c r="N17" s="69" t="s">
        <v>137</v>
      </c>
      <c r="O17" s="169"/>
    </row>
    <row r="18" spans="1:15" x14ac:dyDescent="0.3">
      <c r="A18" s="68" t="s">
        <v>421</v>
      </c>
      <c r="B18" s="438">
        <f>(E3*E13*B13*B15)</f>
        <v>12.360599999999998</v>
      </c>
      <c r="C18" s="438"/>
      <c r="D18" s="69" t="s">
        <v>137</v>
      </c>
      <c r="E18" s="169"/>
      <c r="F18" s="68" t="s">
        <v>421</v>
      </c>
      <c r="G18" s="438">
        <f>(J3*J13*G13*G15)</f>
        <v>12.360599999999998</v>
      </c>
      <c r="H18" s="438"/>
      <c r="I18" s="69" t="s">
        <v>137</v>
      </c>
      <c r="J18" s="169"/>
      <c r="K18" s="68" t="s">
        <v>421</v>
      </c>
      <c r="L18" s="438">
        <f>(O3*O13*L13*L15)</f>
        <v>12.360599999999998</v>
      </c>
      <c r="M18" s="438"/>
      <c r="N18" s="69" t="s">
        <v>137</v>
      </c>
      <c r="O18" s="169"/>
    </row>
    <row r="19" spans="1:15" x14ac:dyDescent="0.3">
      <c r="A19" s="68" t="s">
        <v>420</v>
      </c>
      <c r="B19" s="438">
        <f>(E3*B4*C12*B12*B4)</f>
        <v>21.698150399999999</v>
      </c>
      <c r="C19" s="438"/>
      <c r="D19" s="69" t="s">
        <v>137</v>
      </c>
      <c r="E19" s="169"/>
      <c r="F19" s="68" t="s">
        <v>420</v>
      </c>
      <c r="G19" s="438">
        <f>(J3*G4*H12*G12*G4)</f>
        <v>21.698150399999999</v>
      </c>
      <c r="H19" s="438"/>
      <c r="I19" s="69" t="s">
        <v>137</v>
      </c>
      <c r="J19" s="169"/>
      <c r="K19" s="68" t="s">
        <v>420</v>
      </c>
      <c r="L19" s="438">
        <f>(O3*L4*M12*L12*L4)</f>
        <v>21.698150399999999</v>
      </c>
      <c r="M19" s="438"/>
      <c r="N19" s="69" t="s">
        <v>137</v>
      </c>
      <c r="O19" s="169"/>
    </row>
    <row r="20" spans="1:15" x14ac:dyDescent="0.3">
      <c r="A20" s="308" t="s">
        <v>426</v>
      </c>
      <c r="B20" s="329">
        <f>SUM(B17:B19)</f>
        <v>101.86547039999999</v>
      </c>
      <c r="C20" s="330"/>
      <c r="D20" s="172" t="s">
        <v>137</v>
      </c>
      <c r="E20" s="169"/>
      <c r="F20" s="308" t="s">
        <v>426</v>
      </c>
      <c r="G20" s="329">
        <f>SUM(G17:G19)</f>
        <v>79.263230400000012</v>
      </c>
      <c r="H20" s="330"/>
      <c r="I20" s="172" t="s">
        <v>137</v>
      </c>
      <c r="J20" s="169"/>
      <c r="K20" s="308" t="s">
        <v>426</v>
      </c>
      <c r="L20" s="329">
        <f>SUM(L17:L19)</f>
        <v>79.263230400000012</v>
      </c>
      <c r="M20" s="330"/>
      <c r="N20" s="172" t="s">
        <v>137</v>
      </c>
      <c r="O20" s="169"/>
    </row>
    <row r="21" spans="1:15" x14ac:dyDescent="0.3">
      <c r="A21" s="497" t="s">
        <v>427</v>
      </c>
      <c r="B21" s="498"/>
      <c r="C21" s="498"/>
      <c r="D21" s="498"/>
      <c r="E21" s="169"/>
      <c r="F21" s="497" t="s">
        <v>427</v>
      </c>
      <c r="G21" s="498"/>
      <c r="H21" s="498"/>
      <c r="I21" s="498"/>
      <c r="J21" s="169"/>
      <c r="K21" s="497" t="s">
        <v>427</v>
      </c>
      <c r="L21" s="498"/>
      <c r="M21" s="498"/>
      <c r="N21" s="498"/>
      <c r="O21" s="169"/>
    </row>
    <row r="22" spans="1:15" x14ac:dyDescent="0.3">
      <c r="A22" s="68" t="s">
        <v>425</v>
      </c>
      <c r="B22" s="69">
        <f>(E3*B4*B6*B7)</f>
        <v>67.806719999999999</v>
      </c>
      <c r="C22" s="69"/>
      <c r="D22" s="69" t="s">
        <v>137</v>
      </c>
      <c r="E22" s="169"/>
      <c r="F22" s="68" t="s">
        <v>425</v>
      </c>
      <c r="G22" s="69">
        <f>(J3*G4*G6*G7)</f>
        <v>45.204480000000004</v>
      </c>
      <c r="H22" s="69"/>
      <c r="I22" s="69" t="s">
        <v>137</v>
      </c>
      <c r="J22" s="169"/>
      <c r="K22" s="68" t="s">
        <v>425</v>
      </c>
      <c r="L22" s="69">
        <f>(O3*L4*L6*L7)</f>
        <v>45.204480000000004</v>
      </c>
      <c r="M22" s="69"/>
      <c r="N22" s="69" t="s">
        <v>137</v>
      </c>
      <c r="O22" s="169"/>
    </row>
    <row r="23" spans="1:15" x14ac:dyDescent="0.3">
      <c r="A23" s="68" t="s">
        <v>428</v>
      </c>
      <c r="B23" s="69">
        <f>(E3*B9*B8*B11)</f>
        <v>28.252800000000004</v>
      </c>
      <c r="C23" s="69"/>
      <c r="D23" s="69" t="s">
        <v>137</v>
      </c>
      <c r="E23" s="169"/>
      <c r="F23" s="68" t="s">
        <v>428</v>
      </c>
      <c r="G23" s="69">
        <f>(J3*G9*G8*G11)+(G8*G10*J3)</f>
        <v>42.379200000000004</v>
      </c>
      <c r="H23" s="69"/>
      <c r="I23" s="69" t="s">
        <v>137</v>
      </c>
      <c r="J23" s="169"/>
      <c r="K23" s="68" t="s">
        <v>428</v>
      </c>
      <c r="L23" s="69">
        <f>(O3*L9*L8*L11)+(L8*L10*O3)</f>
        <v>42.379200000000004</v>
      </c>
      <c r="M23" s="69"/>
      <c r="N23" s="69" t="s">
        <v>137</v>
      </c>
      <c r="O23" s="169"/>
    </row>
    <row r="24" spans="1:15" x14ac:dyDescent="0.3">
      <c r="A24" s="68" t="s">
        <v>421</v>
      </c>
      <c r="B24" s="69">
        <f>(E3*B13*B15*C13)</f>
        <v>14.126400000000002</v>
      </c>
      <c r="C24" s="69"/>
      <c r="D24" s="69" t="s">
        <v>137</v>
      </c>
      <c r="E24" s="169"/>
      <c r="F24" s="68" t="s">
        <v>421</v>
      </c>
      <c r="G24" s="69">
        <f>(J3*G13*G15*H13)</f>
        <v>14.126400000000002</v>
      </c>
      <c r="H24" s="69"/>
      <c r="I24" s="69" t="s">
        <v>137</v>
      </c>
      <c r="J24" s="169"/>
      <c r="K24" s="68" t="s">
        <v>421</v>
      </c>
      <c r="L24" s="69">
        <f>(O3*L13*L15*M13)</f>
        <v>14.126400000000002</v>
      </c>
      <c r="M24" s="69"/>
      <c r="N24" s="69" t="s">
        <v>137</v>
      </c>
      <c r="O24" s="169"/>
    </row>
    <row r="25" spans="1:15" x14ac:dyDescent="0.3">
      <c r="A25" s="68" t="s">
        <v>420</v>
      </c>
      <c r="B25" s="69">
        <f>(E3*B4*B12*C12*B5)</f>
        <v>21.698150399999999</v>
      </c>
      <c r="C25" s="69"/>
      <c r="D25" s="69" t="s">
        <v>137</v>
      </c>
      <c r="E25" s="169"/>
      <c r="F25" s="68" t="s">
        <v>420</v>
      </c>
      <c r="G25" s="69">
        <f>(J3*G4*G12*H12*G5)</f>
        <v>21.698150399999999</v>
      </c>
      <c r="H25" s="69"/>
      <c r="I25" s="69" t="s">
        <v>137</v>
      </c>
      <c r="J25" s="169"/>
      <c r="K25" s="68" t="s">
        <v>420</v>
      </c>
      <c r="L25" s="69">
        <f>(O3*L4*L12*M12*L5)</f>
        <v>10.171007999999999</v>
      </c>
      <c r="M25" s="69"/>
      <c r="N25" s="69" t="s">
        <v>137</v>
      </c>
      <c r="O25" s="169"/>
    </row>
    <row r="26" spans="1:15" x14ac:dyDescent="0.3">
      <c r="A26" s="308" t="s">
        <v>426</v>
      </c>
      <c r="B26" s="330">
        <f>SUM(B22:B25)</f>
        <v>131.88407040000001</v>
      </c>
      <c r="C26" s="330"/>
      <c r="D26" s="172" t="s">
        <v>137</v>
      </c>
      <c r="E26" s="169"/>
      <c r="F26" s="308" t="s">
        <v>426</v>
      </c>
      <c r="G26" s="330">
        <f>SUM(G22:G25)</f>
        <v>123.40823040000002</v>
      </c>
      <c r="H26" s="330"/>
      <c r="I26" s="172" t="s">
        <v>137</v>
      </c>
      <c r="J26" s="169"/>
      <c r="K26" s="308" t="s">
        <v>426</v>
      </c>
      <c r="L26" s="330">
        <f>SUM(L22:L25)</f>
        <v>111.88108800000002</v>
      </c>
      <c r="M26" s="330"/>
      <c r="N26" s="172" t="s">
        <v>137</v>
      </c>
      <c r="O26" s="169"/>
    </row>
    <row r="27" spans="1:15" x14ac:dyDescent="0.3">
      <c r="A27" s="327" t="s">
        <v>290</v>
      </c>
      <c r="B27" s="328"/>
      <c r="C27" s="328"/>
      <c r="D27" s="328"/>
      <c r="E27" s="169"/>
      <c r="F27" s="327" t="s">
        <v>290</v>
      </c>
      <c r="G27" s="328"/>
      <c r="H27" s="328"/>
      <c r="I27" s="328"/>
      <c r="J27" s="169"/>
      <c r="K27" s="327" t="s">
        <v>290</v>
      </c>
      <c r="L27" s="328"/>
      <c r="M27" s="328"/>
      <c r="N27" s="328"/>
      <c r="O27" s="169"/>
    </row>
    <row r="28" spans="1:15" x14ac:dyDescent="0.3">
      <c r="A28" s="68" t="s">
        <v>425</v>
      </c>
      <c r="B28" s="69">
        <f>(E3*B5*B6*B7)</f>
        <v>67.806719999999999</v>
      </c>
      <c r="C28" s="69"/>
      <c r="D28" s="69" t="s">
        <v>137</v>
      </c>
      <c r="E28" s="169"/>
      <c r="F28" s="68" t="s">
        <v>425</v>
      </c>
      <c r="G28" s="69">
        <f>(J3*G5*G6*G7)</f>
        <v>45.204480000000004</v>
      </c>
      <c r="H28" s="69"/>
      <c r="I28" s="69" t="s">
        <v>137</v>
      </c>
      <c r="J28" s="169"/>
      <c r="K28" s="68" t="s">
        <v>425</v>
      </c>
      <c r="L28" s="69">
        <f>(O3*L5*L6*L7)</f>
        <v>21.189600000000002</v>
      </c>
      <c r="M28" s="69"/>
      <c r="N28" s="69" t="s">
        <v>137</v>
      </c>
      <c r="O28" s="169"/>
    </row>
    <row r="29" spans="1:15" x14ac:dyDescent="0.3">
      <c r="A29" s="68" t="s">
        <v>429</v>
      </c>
      <c r="B29" s="173">
        <f>(E3*B8*B9*B11)</f>
        <v>28.252800000000001</v>
      </c>
      <c r="C29" s="173"/>
      <c r="D29" s="69" t="s">
        <v>137</v>
      </c>
      <c r="E29" s="169"/>
      <c r="F29" s="68" t="s">
        <v>429</v>
      </c>
      <c r="G29" s="173">
        <f>(J3*G8*G9*G11)</f>
        <v>28.252800000000001</v>
      </c>
      <c r="H29" s="173"/>
      <c r="I29" s="69" t="s">
        <v>137</v>
      </c>
      <c r="J29" s="169"/>
      <c r="K29" s="68" t="s">
        <v>429</v>
      </c>
      <c r="L29" s="173">
        <f>(O3*L8*L9*L11)</f>
        <v>28.252800000000001</v>
      </c>
      <c r="M29" s="173"/>
      <c r="N29" s="69" t="s">
        <v>137</v>
      </c>
      <c r="O29" s="169"/>
    </row>
    <row r="30" spans="1:15" x14ac:dyDescent="0.3">
      <c r="A30" s="68" t="s">
        <v>421</v>
      </c>
      <c r="B30" s="69">
        <f>(E3*C14*B15*B14)</f>
        <v>8.4758399999999998</v>
      </c>
      <c r="C30" s="69"/>
      <c r="D30" s="69" t="s">
        <v>137</v>
      </c>
      <c r="E30" s="169"/>
      <c r="F30" s="68" t="s">
        <v>421</v>
      </c>
      <c r="G30" s="69">
        <f>(J3*H14*G15*G14)</f>
        <v>8.4758399999999998</v>
      </c>
      <c r="H30" s="69"/>
      <c r="I30" s="69" t="s">
        <v>137</v>
      </c>
      <c r="J30" s="169"/>
      <c r="K30" s="68" t="s">
        <v>421</v>
      </c>
      <c r="L30" s="69">
        <f>(O3*M14*L15*L14)</f>
        <v>8.4758399999999998</v>
      </c>
      <c r="M30" s="69"/>
      <c r="N30" s="69" t="s">
        <v>137</v>
      </c>
      <c r="O30" s="169"/>
    </row>
    <row r="31" spans="1:15" x14ac:dyDescent="0.3">
      <c r="A31" s="68" t="s">
        <v>420</v>
      </c>
      <c r="B31" s="174">
        <f>E3*B5*B12*B4*C12</f>
        <v>21.698150399999999</v>
      </c>
      <c r="C31" s="174"/>
      <c r="D31" s="69" t="s">
        <v>137</v>
      </c>
      <c r="E31" s="169"/>
      <c r="F31" s="68" t="s">
        <v>420</v>
      </c>
      <c r="G31" s="174">
        <f>J3*G5*G12*G4*H12</f>
        <v>21.698150399999999</v>
      </c>
      <c r="H31" s="174"/>
      <c r="I31" s="69" t="s">
        <v>137</v>
      </c>
      <c r="J31" s="169"/>
      <c r="K31" s="68" t="s">
        <v>420</v>
      </c>
      <c r="L31" s="174">
        <f>O3*L5*L12*L4*M12</f>
        <v>10.171008000000002</v>
      </c>
      <c r="M31" s="174"/>
      <c r="N31" s="69" t="s">
        <v>137</v>
      </c>
      <c r="O31" s="169"/>
    </row>
    <row r="32" spans="1:15" ht="15" thickBot="1" x14ac:dyDescent="0.35">
      <c r="A32" s="331" t="s">
        <v>426</v>
      </c>
      <c r="B32" s="332">
        <f>SUM(B28:C31)</f>
        <v>126.2335104</v>
      </c>
      <c r="C32" s="332"/>
      <c r="D32" s="175" t="s">
        <v>137</v>
      </c>
      <c r="E32" s="176"/>
      <c r="F32" s="331" t="s">
        <v>426</v>
      </c>
      <c r="G32" s="332">
        <f>SUM(G28:H31)</f>
        <v>103.63127040000001</v>
      </c>
      <c r="H32" s="332"/>
      <c r="I32" s="175" t="s">
        <v>137</v>
      </c>
      <c r="J32" s="176"/>
      <c r="K32" s="331" t="s">
        <v>426</v>
      </c>
      <c r="L32" s="332">
        <f>SUM(L28:M31)</f>
        <v>68.089248000000012</v>
      </c>
      <c r="M32" s="332"/>
      <c r="N32" s="175" t="s">
        <v>137</v>
      </c>
      <c r="O32" s="176"/>
    </row>
  </sheetData>
  <mergeCells count="36">
    <mergeCell ref="A1:E1"/>
    <mergeCell ref="F1:J1"/>
    <mergeCell ref="K1:O1"/>
    <mergeCell ref="A2:E2"/>
    <mergeCell ref="F2:J2"/>
    <mergeCell ref="K2:O2"/>
    <mergeCell ref="A3:D3"/>
    <mergeCell ref="F3:I3"/>
    <mergeCell ref="K3:N3"/>
    <mergeCell ref="B4:C4"/>
    <mergeCell ref="G4:H4"/>
    <mergeCell ref="L4:M4"/>
    <mergeCell ref="B5:C5"/>
    <mergeCell ref="G5:H5"/>
    <mergeCell ref="L5:M5"/>
    <mergeCell ref="B6:C6"/>
    <mergeCell ref="G6:H6"/>
    <mergeCell ref="L6:M6"/>
    <mergeCell ref="B7:C7"/>
    <mergeCell ref="G7:H7"/>
    <mergeCell ref="L7:M7"/>
    <mergeCell ref="A16:D16"/>
    <mergeCell ref="F16:I16"/>
    <mergeCell ref="K16:N16"/>
    <mergeCell ref="B17:C17"/>
    <mergeCell ref="G17:H17"/>
    <mergeCell ref="L17:M17"/>
    <mergeCell ref="B18:C18"/>
    <mergeCell ref="G18:H18"/>
    <mergeCell ref="L18:M18"/>
    <mergeCell ref="B19:C19"/>
    <mergeCell ref="G19:H19"/>
    <mergeCell ref="L19:M19"/>
    <mergeCell ref="A21:D21"/>
    <mergeCell ref="F21:I21"/>
    <mergeCell ref="K21:N21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89" orientation="landscape" horizont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D72"/>
  <sheetViews>
    <sheetView showGridLines="0" view="pageBreakPreview" zoomScaleNormal="70" zoomScaleSheetLayoutView="100" workbookViewId="0">
      <selection activeCell="D53" sqref="D53"/>
    </sheetView>
  </sheetViews>
  <sheetFormatPr defaultColWidth="8.88671875" defaultRowHeight="13.8" x14ac:dyDescent="0.25"/>
  <cols>
    <col min="1" max="1" width="20.5546875" style="62" bestFit="1" customWidth="1"/>
    <col min="2" max="2" width="11.44140625" style="62" customWidth="1"/>
    <col min="3" max="3" width="11.6640625" style="62" customWidth="1"/>
    <col min="4" max="4" width="10.33203125" style="62" customWidth="1"/>
    <col min="5" max="5" width="11" style="62" customWidth="1"/>
    <col min="6" max="6" width="11.33203125" style="62" customWidth="1"/>
    <col min="7" max="7" width="15.6640625" style="62" customWidth="1"/>
    <col min="8" max="8" width="9.6640625" style="62" customWidth="1"/>
    <col min="9" max="9" width="12.88671875" style="62" bestFit="1" customWidth="1"/>
    <col min="10" max="10" width="8.88671875" style="62"/>
    <col min="11" max="11" width="17.33203125" style="62" bestFit="1" customWidth="1"/>
    <col min="12" max="12" width="11.88671875" style="111" customWidth="1"/>
    <col min="13" max="13" width="14.109375" style="69" customWidth="1"/>
    <col min="14" max="14" width="11.33203125" style="62" bestFit="1" customWidth="1"/>
    <col min="15" max="15" width="11" style="62" bestFit="1" customWidth="1"/>
    <col min="16" max="16" width="12.109375" style="62" bestFit="1" customWidth="1"/>
    <col min="17" max="17" width="11.33203125" style="111" customWidth="1"/>
    <col min="18" max="18" width="10.33203125" style="62" bestFit="1" customWidth="1"/>
    <col min="19" max="19" width="12.88671875" style="62" bestFit="1" customWidth="1"/>
    <col min="20" max="20" width="8.88671875" style="62"/>
    <col min="21" max="21" width="21" style="62" bestFit="1" customWidth="1"/>
    <col min="22" max="22" width="16.6640625" style="62" bestFit="1" customWidth="1"/>
    <col min="23" max="23" width="18.6640625" style="62" bestFit="1" customWidth="1"/>
    <col min="24" max="24" width="19" style="62" bestFit="1" customWidth="1"/>
    <col min="25" max="25" width="11.6640625" style="62" bestFit="1" customWidth="1"/>
    <col min="26" max="26" width="22.5546875" style="62" bestFit="1" customWidth="1"/>
    <col min="27" max="27" width="13.6640625" style="62" customWidth="1"/>
    <col min="28" max="28" width="16.33203125" style="62" bestFit="1" customWidth="1"/>
    <col min="29" max="29" width="10.5546875" style="62" bestFit="1" customWidth="1"/>
    <col min="30" max="30" width="9.44140625" style="62" bestFit="1" customWidth="1"/>
    <col min="31" max="33" width="8.88671875" style="62"/>
    <col min="34" max="34" width="21.5546875" style="62" bestFit="1" customWidth="1"/>
    <col min="35" max="16384" width="8.88671875" style="62"/>
  </cols>
  <sheetData>
    <row r="1" spans="1:9" ht="18.600000000000001" x14ac:dyDescent="0.3">
      <c r="A1" s="503" t="s">
        <v>550</v>
      </c>
      <c r="B1" s="504"/>
      <c r="C1" s="504"/>
      <c r="D1" s="504"/>
      <c r="E1" s="504"/>
      <c r="F1" s="504"/>
      <c r="G1" s="504"/>
      <c r="H1" s="504"/>
      <c r="I1" s="505"/>
    </row>
    <row r="2" spans="1:9" x14ac:dyDescent="0.25">
      <c r="A2" s="499" t="s">
        <v>8</v>
      </c>
      <c r="B2" s="500"/>
      <c r="C2" s="500"/>
      <c r="D2" s="500"/>
      <c r="E2" s="500"/>
      <c r="F2" s="500"/>
      <c r="G2" s="500"/>
      <c r="H2" s="500"/>
      <c r="I2" s="501"/>
    </row>
    <row r="3" spans="1:9" x14ac:dyDescent="0.25">
      <c r="A3" s="112" t="s">
        <v>276</v>
      </c>
      <c r="I3" s="65"/>
    </row>
    <row r="4" spans="1:9" s="87" customFormat="1" ht="30" customHeight="1" x14ac:dyDescent="0.25">
      <c r="A4" s="287" t="s">
        <v>0</v>
      </c>
      <c r="B4" s="288" t="s">
        <v>278</v>
      </c>
      <c r="C4" s="288" t="s">
        <v>279</v>
      </c>
      <c r="D4" s="288" t="s">
        <v>284</v>
      </c>
      <c r="E4" s="289" t="s">
        <v>280</v>
      </c>
      <c r="F4" s="289" t="s">
        <v>281</v>
      </c>
      <c r="G4" s="289" t="s">
        <v>287</v>
      </c>
      <c r="H4" s="289" t="s">
        <v>282</v>
      </c>
      <c r="I4" s="290" t="s">
        <v>283</v>
      </c>
    </row>
    <row r="5" spans="1:9" x14ac:dyDescent="0.25">
      <c r="A5" s="291" t="s">
        <v>292</v>
      </c>
      <c r="B5" s="292">
        <v>23.544</v>
      </c>
      <c r="C5" s="292"/>
      <c r="D5" s="292">
        <v>0.4</v>
      </c>
      <c r="E5" s="292">
        <v>0.2</v>
      </c>
      <c r="F5" s="292">
        <v>10</v>
      </c>
      <c r="G5" s="292"/>
      <c r="H5" s="292"/>
      <c r="I5" s="293">
        <f>PRODUCT(B5:H5)</f>
        <v>18.8352</v>
      </c>
    </row>
    <row r="6" spans="1:9" x14ac:dyDescent="0.25">
      <c r="A6" s="115" t="s">
        <v>264</v>
      </c>
      <c r="B6" s="77"/>
      <c r="C6" s="77">
        <v>3.3</v>
      </c>
      <c r="D6" s="77">
        <v>3.2</v>
      </c>
      <c r="E6" s="77"/>
      <c r="F6" s="77">
        <v>11</v>
      </c>
      <c r="G6" s="77"/>
      <c r="H6" s="77"/>
      <c r="I6" s="116">
        <f t="shared" ref="I6:I8" si="0">PRODUCT(B6:H6)</f>
        <v>116.16000000000001</v>
      </c>
    </row>
    <row r="7" spans="1:9" x14ac:dyDescent="0.25">
      <c r="A7" s="115" t="s">
        <v>286</v>
      </c>
      <c r="B7" s="77">
        <v>23.544</v>
      </c>
      <c r="C7" s="77"/>
      <c r="D7" s="77"/>
      <c r="E7" s="77"/>
      <c r="F7" s="77"/>
      <c r="G7" s="77">
        <v>0.36899999999999999</v>
      </c>
      <c r="H7" s="77">
        <v>2</v>
      </c>
      <c r="I7" s="116">
        <f t="shared" si="0"/>
        <v>17.375471999999998</v>
      </c>
    </row>
    <row r="8" spans="1:9" x14ac:dyDescent="0.25">
      <c r="A8" s="115" t="s">
        <v>293</v>
      </c>
      <c r="B8" s="77">
        <v>23.544</v>
      </c>
      <c r="C8" s="77"/>
      <c r="D8" s="77">
        <v>0.25</v>
      </c>
      <c r="E8" s="77">
        <v>0.25</v>
      </c>
      <c r="F8" s="77">
        <v>3.2</v>
      </c>
      <c r="G8" s="77"/>
      <c r="H8" s="77">
        <v>4</v>
      </c>
      <c r="I8" s="116">
        <f t="shared" si="0"/>
        <v>18.8352</v>
      </c>
    </row>
    <row r="9" spans="1:9" ht="14.4" thickBot="1" x14ac:dyDescent="0.3">
      <c r="A9" s="80"/>
      <c r="G9" s="502" t="s">
        <v>285</v>
      </c>
      <c r="H9" s="502"/>
      <c r="I9" s="333">
        <f>SUM(I5:I8)</f>
        <v>171.205872</v>
      </c>
    </row>
    <row r="10" spans="1:9" x14ac:dyDescent="0.25">
      <c r="A10" s="112" t="s">
        <v>148</v>
      </c>
      <c r="I10" s="65"/>
    </row>
    <row r="11" spans="1:9" s="87" customFormat="1" ht="30" customHeight="1" x14ac:dyDescent="0.25">
      <c r="A11" s="294" t="s">
        <v>0</v>
      </c>
      <c r="B11" s="288" t="s">
        <v>278</v>
      </c>
      <c r="C11" s="288" t="s">
        <v>279</v>
      </c>
      <c r="D11" s="288" t="s">
        <v>284</v>
      </c>
      <c r="E11" s="288" t="s">
        <v>280</v>
      </c>
      <c r="F11" s="288" t="s">
        <v>281</v>
      </c>
      <c r="G11" s="288" t="s">
        <v>287</v>
      </c>
      <c r="H11" s="288" t="s">
        <v>282</v>
      </c>
      <c r="I11" s="295" t="s">
        <v>283</v>
      </c>
    </row>
    <row r="12" spans="1:9" x14ac:dyDescent="0.25">
      <c r="A12" s="115" t="s">
        <v>294</v>
      </c>
      <c r="B12" s="77">
        <v>23.544</v>
      </c>
      <c r="C12" s="77"/>
      <c r="D12" s="77">
        <v>0.45</v>
      </c>
      <c r="E12" s="77">
        <v>0.2</v>
      </c>
      <c r="F12" s="77">
        <v>10</v>
      </c>
      <c r="G12" s="77"/>
      <c r="H12" s="77"/>
      <c r="I12" s="116">
        <f>PRODUCT(B12:H12)</f>
        <v>21.189600000000006</v>
      </c>
    </row>
    <row r="13" spans="1:9" x14ac:dyDescent="0.25">
      <c r="A13" s="115" t="s">
        <v>264</v>
      </c>
      <c r="B13" s="77"/>
      <c r="C13" s="77">
        <v>3.3</v>
      </c>
      <c r="D13" s="77">
        <v>3.2</v>
      </c>
      <c r="E13" s="77"/>
      <c r="F13" s="77">
        <v>11</v>
      </c>
      <c r="G13" s="77"/>
      <c r="H13" s="77"/>
      <c r="I13" s="116">
        <f t="shared" ref="I13:I15" si="1">PRODUCT(B13:H13)</f>
        <v>116.16000000000001</v>
      </c>
    </row>
    <row r="14" spans="1:9" x14ac:dyDescent="0.25">
      <c r="A14" s="115" t="s">
        <v>288</v>
      </c>
      <c r="B14" s="77">
        <v>23.544</v>
      </c>
      <c r="C14" s="77"/>
      <c r="D14" s="77">
        <v>4</v>
      </c>
      <c r="E14" s="77">
        <v>2.5</v>
      </c>
      <c r="F14" s="77">
        <v>0.1</v>
      </c>
      <c r="G14" s="77"/>
      <c r="H14" s="77">
        <v>2</v>
      </c>
      <c r="I14" s="116">
        <f t="shared" si="1"/>
        <v>47.088000000000001</v>
      </c>
    </row>
    <row r="15" spans="1:9" x14ac:dyDescent="0.25">
      <c r="A15" s="115" t="s">
        <v>286</v>
      </c>
      <c r="B15" s="77">
        <v>23.544</v>
      </c>
      <c r="C15" s="77"/>
      <c r="D15" s="77"/>
      <c r="E15" s="77"/>
      <c r="F15" s="77"/>
      <c r="G15" s="77">
        <v>0.36899999999999999</v>
      </c>
      <c r="H15" s="77">
        <v>4</v>
      </c>
      <c r="I15" s="116">
        <f t="shared" si="1"/>
        <v>34.750943999999997</v>
      </c>
    </row>
    <row r="16" spans="1:9" x14ac:dyDescent="0.25">
      <c r="A16" s="115" t="s">
        <v>293</v>
      </c>
      <c r="B16" s="77">
        <v>23.544</v>
      </c>
      <c r="C16" s="77"/>
      <c r="D16" s="77">
        <v>0.25</v>
      </c>
      <c r="E16" s="77">
        <v>0.25</v>
      </c>
      <c r="F16" s="77">
        <v>3.2</v>
      </c>
      <c r="G16" s="77"/>
      <c r="H16" s="77"/>
      <c r="I16" s="116">
        <f>PRODUCT(B16:H16)</f>
        <v>4.7088000000000001</v>
      </c>
    </row>
    <row r="17" spans="1:30" ht="14.4" thickBot="1" x14ac:dyDescent="0.3">
      <c r="A17" s="80"/>
      <c r="G17" s="502" t="s">
        <v>285</v>
      </c>
      <c r="H17" s="502"/>
      <c r="I17" s="333">
        <f>SUM(I12:I16)</f>
        <v>223.897344</v>
      </c>
    </row>
    <row r="18" spans="1:30" x14ac:dyDescent="0.25">
      <c r="A18" s="112" t="s">
        <v>290</v>
      </c>
      <c r="I18" s="65"/>
    </row>
    <row r="19" spans="1:30" s="87" customFormat="1" ht="30" customHeight="1" x14ac:dyDescent="0.25">
      <c r="A19" s="294" t="s">
        <v>0</v>
      </c>
      <c r="B19" s="288" t="s">
        <v>278</v>
      </c>
      <c r="C19" s="288" t="s">
        <v>279</v>
      </c>
      <c r="D19" s="288" t="s">
        <v>284</v>
      </c>
      <c r="E19" s="288" t="s">
        <v>280</v>
      </c>
      <c r="F19" s="288" t="s">
        <v>281</v>
      </c>
      <c r="G19" s="288" t="s">
        <v>287</v>
      </c>
      <c r="H19" s="288" t="s">
        <v>282</v>
      </c>
      <c r="I19" s="295" t="s">
        <v>283</v>
      </c>
    </row>
    <row r="20" spans="1:30" x14ac:dyDescent="0.25">
      <c r="A20" s="115" t="s">
        <v>295</v>
      </c>
      <c r="B20" s="77">
        <v>23.544</v>
      </c>
      <c r="C20" s="77"/>
      <c r="D20" s="77">
        <v>0.45</v>
      </c>
      <c r="E20" s="77">
        <v>0.2</v>
      </c>
      <c r="F20" s="77">
        <v>10</v>
      </c>
      <c r="G20" s="77"/>
      <c r="H20" s="77"/>
      <c r="I20" s="116">
        <f>PRODUCT(B20:H20)</f>
        <v>21.189600000000006</v>
      </c>
    </row>
    <row r="21" spans="1:30" x14ac:dyDescent="0.25">
      <c r="A21" s="115" t="s">
        <v>264</v>
      </c>
      <c r="B21" s="77"/>
      <c r="C21" s="77">
        <v>3.3</v>
      </c>
      <c r="D21" s="77">
        <v>3.2</v>
      </c>
      <c r="E21" s="77"/>
      <c r="F21" s="77">
        <v>11</v>
      </c>
      <c r="G21" s="77"/>
      <c r="H21" s="77"/>
      <c r="I21" s="116">
        <f t="shared" ref="I21:I22" si="2">PRODUCT(B21:H21)</f>
        <v>116.16000000000001</v>
      </c>
    </row>
    <row r="22" spans="1:30" x14ac:dyDescent="0.25">
      <c r="A22" s="115" t="s">
        <v>288</v>
      </c>
      <c r="B22" s="77">
        <v>23.544</v>
      </c>
      <c r="C22" s="77"/>
      <c r="D22" s="77">
        <v>4</v>
      </c>
      <c r="E22" s="77">
        <v>2.5</v>
      </c>
      <c r="F22" s="77">
        <v>0.1</v>
      </c>
      <c r="G22" s="77"/>
      <c r="H22" s="77">
        <v>2</v>
      </c>
      <c r="I22" s="116">
        <f t="shared" si="2"/>
        <v>47.088000000000001</v>
      </c>
    </row>
    <row r="23" spans="1:30" x14ac:dyDescent="0.25">
      <c r="A23" s="115" t="s">
        <v>293</v>
      </c>
      <c r="B23" s="77">
        <v>23.544</v>
      </c>
      <c r="C23" s="77"/>
      <c r="D23" s="77">
        <v>0.25</v>
      </c>
      <c r="E23" s="77">
        <v>0.25</v>
      </c>
      <c r="F23" s="77">
        <v>3.2</v>
      </c>
      <c r="G23" s="77"/>
      <c r="H23" s="77">
        <v>4</v>
      </c>
      <c r="I23" s="116">
        <f>PRODUCT(B23:H23)</f>
        <v>18.8352</v>
      </c>
    </row>
    <row r="24" spans="1:30" ht="14.4" thickBot="1" x14ac:dyDescent="0.3">
      <c r="A24" s="76"/>
      <c r="B24" s="78"/>
      <c r="C24" s="78"/>
      <c r="D24" s="78"/>
      <c r="E24" s="78"/>
      <c r="F24" s="78"/>
      <c r="G24" s="502" t="s">
        <v>285</v>
      </c>
      <c r="H24" s="502"/>
      <c r="I24" s="333">
        <f>SUM(I20:I23)</f>
        <v>203.27280000000002</v>
      </c>
      <c r="Z24" s="92" t="s">
        <v>285</v>
      </c>
      <c r="AD24" s="92">
        <f>SUM(I20:I23)</f>
        <v>203.27280000000002</v>
      </c>
    </row>
    <row r="25" spans="1:30" ht="18.600000000000001" x14ac:dyDescent="0.3">
      <c r="A25" s="432" t="s">
        <v>550</v>
      </c>
      <c r="B25" s="433"/>
      <c r="C25" s="433"/>
      <c r="D25" s="433"/>
      <c r="E25" s="433"/>
      <c r="F25" s="433"/>
      <c r="G25" s="433"/>
      <c r="H25" s="433"/>
      <c r="I25" s="434"/>
    </row>
    <row r="26" spans="1:30" x14ac:dyDescent="0.25">
      <c r="A26" s="499" t="s">
        <v>21</v>
      </c>
      <c r="B26" s="500"/>
      <c r="C26" s="500"/>
      <c r="D26" s="500"/>
      <c r="E26" s="500"/>
      <c r="F26" s="500"/>
      <c r="G26" s="500"/>
      <c r="H26" s="500"/>
      <c r="I26" s="501"/>
    </row>
    <row r="27" spans="1:30" x14ac:dyDescent="0.25">
      <c r="A27" s="112" t="s">
        <v>276</v>
      </c>
      <c r="B27" s="111"/>
      <c r="G27" s="111"/>
      <c r="I27" s="65"/>
    </row>
    <row r="28" spans="1:30" s="119" customFormat="1" ht="27.6" x14ac:dyDescent="0.3">
      <c r="A28" s="287" t="s">
        <v>0</v>
      </c>
      <c r="B28" s="288" t="s">
        <v>278</v>
      </c>
      <c r="C28" s="288" t="s">
        <v>279</v>
      </c>
      <c r="D28" s="289" t="s">
        <v>284</v>
      </c>
      <c r="E28" s="289" t="s">
        <v>280</v>
      </c>
      <c r="F28" s="289" t="s">
        <v>281</v>
      </c>
      <c r="G28" s="288" t="s">
        <v>287</v>
      </c>
      <c r="H28" s="289" t="s">
        <v>282</v>
      </c>
      <c r="I28" s="290" t="s">
        <v>283</v>
      </c>
      <c r="L28" s="296"/>
      <c r="M28" s="118"/>
      <c r="Q28" s="296"/>
    </row>
    <row r="29" spans="1:30" x14ac:dyDescent="0.25">
      <c r="A29" s="115" t="s">
        <v>292</v>
      </c>
      <c r="B29" s="114">
        <v>23.544</v>
      </c>
      <c r="C29" s="77"/>
      <c r="D29" s="77">
        <v>0.4</v>
      </c>
      <c r="E29" s="77">
        <v>0.2</v>
      </c>
      <c r="F29" s="77">
        <v>10</v>
      </c>
      <c r="G29" s="114"/>
      <c r="H29" s="77"/>
      <c r="I29" s="116">
        <f>PRODUCT(B29:H29)</f>
        <v>18.8352</v>
      </c>
    </row>
    <row r="30" spans="1:30" x14ac:dyDescent="0.25">
      <c r="A30" s="115" t="s">
        <v>286</v>
      </c>
      <c r="B30" s="114">
        <v>23.544</v>
      </c>
      <c r="C30" s="77"/>
      <c r="D30" s="77"/>
      <c r="E30" s="77"/>
      <c r="F30" s="77"/>
      <c r="G30" s="114">
        <v>0.36899999999999999</v>
      </c>
      <c r="H30" s="77">
        <v>2</v>
      </c>
      <c r="I30" s="116">
        <f t="shared" ref="I30:I31" si="3">PRODUCT(B30:H30)</f>
        <v>17.375471999999998</v>
      </c>
    </row>
    <row r="31" spans="1:30" x14ac:dyDescent="0.25">
      <c r="A31" s="115" t="s">
        <v>300</v>
      </c>
      <c r="B31" s="114">
        <v>23.544</v>
      </c>
      <c r="C31" s="77"/>
      <c r="D31" s="77">
        <v>0.25</v>
      </c>
      <c r="E31" s="77">
        <v>0.25</v>
      </c>
      <c r="F31" s="77">
        <v>3.2</v>
      </c>
      <c r="G31" s="114"/>
      <c r="H31" s="77">
        <v>4</v>
      </c>
      <c r="I31" s="116">
        <f t="shared" si="3"/>
        <v>18.8352</v>
      </c>
    </row>
    <row r="32" spans="1:30" ht="14.4" thickBot="1" x14ac:dyDescent="0.3">
      <c r="A32" s="80"/>
      <c r="B32" s="111"/>
      <c r="G32" s="502" t="s">
        <v>285</v>
      </c>
      <c r="H32" s="502"/>
      <c r="I32" s="333">
        <f>SUM(I28:I31)</f>
        <v>55.045872000000003</v>
      </c>
    </row>
    <row r="33" spans="1:17" x14ac:dyDescent="0.25">
      <c r="A33" s="112" t="s">
        <v>148</v>
      </c>
      <c r="B33" s="111"/>
      <c r="G33" s="111"/>
      <c r="I33" s="65"/>
    </row>
    <row r="34" spans="1:17" s="119" customFormat="1" ht="27.6" x14ac:dyDescent="0.3">
      <c r="A34" s="287" t="s">
        <v>0</v>
      </c>
      <c r="B34" s="288" t="s">
        <v>278</v>
      </c>
      <c r="C34" s="288" t="s">
        <v>279</v>
      </c>
      <c r="D34" s="289" t="s">
        <v>284</v>
      </c>
      <c r="E34" s="289" t="s">
        <v>280</v>
      </c>
      <c r="F34" s="289" t="s">
        <v>281</v>
      </c>
      <c r="G34" s="288" t="s">
        <v>287</v>
      </c>
      <c r="H34" s="289" t="s">
        <v>282</v>
      </c>
      <c r="I34" s="290" t="s">
        <v>283</v>
      </c>
      <c r="L34" s="296"/>
      <c r="M34" s="118"/>
      <c r="Q34" s="296"/>
    </row>
    <row r="35" spans="1:17" x14ac:dyDescent="0.25">
      <c r="A35" s="115" t="s">
        <v>294</v>
      </c>
      <c r="B35" s="114">
        <v>23.544</v>
      </c>
      <c r="C35" s="77"/>
      <c r="D35" s="77">
        <v>0.45</v>
      </c>
      <c r="E35" s="77">
        <v>0.2</v>
      </c>
      <c r="F35" s="77">
        <v>10</v>
      </c>
      <c r="G35" s="114"/>
      <c r="H35" s="77"/>
      <c r="I35" s="116">
        <f>PRODUCT(B35:H35)</f>
        <v>21.189600000000006</v>
      </c>
    </row>
    <row r="36" spans="1:17" x14ac:dyDescent="0.25">
      <c r="A36" s="115" t="s">
        <v>266</v>
      </c>
      <c r="B36" s="114"/>
      <c r="C36" s="77">
        <v>3.17</v>
      </c>
      <c r="D36" s="77">
        <v>3.2</v>
      </c>
      <c r="E36" s="77"/>
      <c r="F36" s="77">
        <v>4</v>
      </c>
      <c r="G36" s="114"/>
      <c r="H36" s="77"/>
      <c r="I36" s="116">
        <f t="shared" ref="I36:I38" si="4">PRODUCT(B36:H36)</f>
        <v>40.576000000000001</v>
      </c>
    </row>
    <row r="37" spans="1:17" x14ac:dyDescent="0.25">
      <c r="A37" s="115" t="s">
        <v>288</v>
      </c>
      <c r="B37" s="114">
        <v>23.544</v>
      </c>
      <c r="C37" s="77"/>
      <c r="D37" s="77">
        <v>4</v>
      </c>
      <c r="E37" s="77">
        <v>2.5</v>
      </c>
      <c r="F37" s="77">
        <v>0.1</v>
      </c>
      <c r="G37" s="114"/>
      <c r="H37" s="77">
        <v>4</v>
      </c>
      <c r="I37" s="116">
        <f t="shared" si="4"/>
        <v>94.176000000000002</v>
      </c>
    </row>
    <row r="38" spans="1:17" x14ac:dyDescent="0.25">
      <c r="A38" s="115" t="s">
        <v>286</v>
      </c>
      <c r="B38" s="114">
        <v>23.544</v>
      </c>
      <c r="C38" s="77"/>
      <c r="D38" s="77"/>
      <c r="E38" s="77"/>
      <c r="F38" s="77"/>
      <c r="G38" s="114">
        <v>0.36899999999999999</v>
      </c>
      <c r="H38" s="77">
        <v>2</v>
      </c>
      <c r="I38" s="116">
        <f t="shared" si="4"/>
        <v>17.375471999999998</v>
      </c>
    </row>
    <row r="39" spans="1:17" x14ac:dyDescent="0.25">
      <c r="A39" s="115" t="s">
        <v>296</v>
      </c>
      <c r="B39" s="114">
        <v>23.544</v>
      </c>
      <c r="C39" s="77"/>
      <c r="D39" s="77">
        <v>0.25</v>
      </c>
      <c r="E39" s="77">
        <v>0.25</v>
      </c>
      <c r="F39" s="77">
        <v>3.2</v>
      </c>
      <c r="G39" s="114"/>
      <c r="H39" s="77">
        <v>4</v>
      </c>
      <c r="I39" s="116">
        <f>PRODUCT(B39:H39)</f>
        <v>18.8352</v>
      </c>
    </row>
    <row r="40" spans="1:17" ht="14.4" thickBot="1" x14ac:dyDescent="0.3">
      <c r="A40" s="80"/>
      <c r="B40" s="111"/>
      <c r="G40" s="502" t="s">
        <v>285</v>
      </c>
      <c r="H40" s="502"/>
      <c r="I40" s="333">
        <f>SUM(I35:I39)</f>
        <v>192.15227199999998</v>
      </c>
    </row>
    <row r="41" spans="1:17" x14ac:dyDescent="0.25">
      <c r="A41" s="112" t="s">
        <v>290</v>
      </c>
      <c r="B41" s="111"/>
      <c r="G41" s="111"/>
      <c r="I41" s="65"/>
    </row>
    <row r="42" spans="1:17" s="119" customFormat="1" ht="27.6" x14ac:dyDescent="0.3">
      <c r="A42" s="287" t="s">
        <v>0</v>
      </c>
      <c r="B42" s="288" t="s">
        <v>278</v>
      </c>
      <c r="C42" s="288" t="s">
        <v>279</v>
      </c>
      <c r="D42" s="289" t="s">
        <v>284</v>
      </c>
      <c r="E42" s="289" t="s">
        <v>280</v>
      </c>
      <c r="F42" s="289" t="s">
        <v>281</v>
      </c>
      <c r="G42" s="288" t="s">
        <v>287</v>
      </c>
      <c r="H42" s="289" t="s">
        <v>282</v>
      </c>
      <c r="I42" s="290" t="s">
        <v>283</v>
      </c>
      <c r="L42" s="296"/>
      <c r="M42" s="118"/>
      <c r="Q42" s="296"/>
    </row>
    <row r="43" spans="1:17" x14ac:dyDescent="0.25">
      <c r="A43" s="115" t="s">
        <v>295</v>
      </c>
      <c r="B43" s="114">
        <v>23.544</v>
      </c>
      <c r="C43" s="77"/>
      <c r="D43" s="77">
        <v>0.45</v>
      </c>
      <c r="E43" s="77">
        <v>0.2</v>
      </c>
      <c r="F43" s="77">
        <v>10</v>
      </c>
      <c r="G43" s="114"/>
      <c r="H43" s="77"/>
      <c r="I43" s="116">
        <f>PRODUCT(B43:H43)</f>
        <v>21.189600000000006</v>
      </c>
    </row>
    <row r="44" spans="1:17" x14ac:dyDescent="0.25">
      <c r="A44" s="115" t="s">
        <v>266</v>
      </c>
      <c r="B44" s="114"/>
      <c r="C44" s="77">
        <v>3.17</v>
      </c>
      <c r="D44" s="77">
        <v>3.2</v>
      </c>
      <c r="E44" s="77"/>
      <c r="F44" s="77">
        <f>1.5+2</f>
        <v>3.5</v>
      </c>
      <c r="G44" s="114"/>
      <c r="H44" s="77"/>
      <c r="I44" s="116">
        <f t="shared" ref="I44:I45" si="5">PRODUCT(B44:H44)</f>
        <v>35.503999999999998</v>
      </c>
    </row>
    <row r="45" spans="1:17" x14ac:dyDescent="0.25">
      <c r="A45" s="115" t="s">
        <v>288</v>
      </c>
      <c r="B45" s="114">
        <v>23.544</v>
      </c>
      <c r="C45" s="77"/>
      <c r="D45" s="77">
        <v>4</v>
      </c>
      <c r="E45" s="77">
        <v>2.5</v>
      </c>
      <c r="F45" s="77">
        <v>0.1</v>
      </c>
      <c r="G45" s="114"/>
      <c r="H45" s="77">
        <v>4</v>
      </c>
      <c r="I45" s="116">
        <f t="shared" si="5"/>
        <v>94.176000000000002</v>
      </c>
    </row>
    <row r="46" spans="1:17" x14ac:dyDescent="0.25">
      <c r="A46" s="115" t="s">
        <v>277</v>
      </c>
      <c r="B46" s="114">
        <v>23.544</v>
      </c>
      <c r="C46" s="77"/>
      <c r="D46" s="77">
        <v>0.25</v>
      </c>
      <c r="E46" s="77">
        <v>0.25</v>
      </c>
      <c r="F46" s="77">
        <v>3.2</v>
      </c>
      <c r="G46" s="114"/>
      <c r="H46" s="77">
        <v>3</v>
      </c>
      <c r="I46" s="116">
        <f>PRODUCT(B46:H46)</f>
        <v>14.1264</v>
      </c>
    </row>
    <row r="47" spans="1:17" ht="14.4" thickBot="1" x14ac:dyDescent="0.3">
      <c r="A47" s="76"/>
      <c r="B47" s="113"/>
      <c r="C47" s="78"/>
      <c r="D47" s="78"/>
      <c r="E47" s="78"/>
      <c r="F47" s="78"/>
      <c r="G47" s="502" t="s">
        <v>285</v>
      </c>
      <c r="H47" s="502"/>
      <c r="I47" s="333">
        <f>SUM(I43:I46)</f>
        <v>164.99599999999998</v>
      </c>
    </row>
    <row r="48" spans="1:17" ht="18.600000000000001" x14ac:dyDescent="0.3">
      <c r="A48" s="432" t="s">
        <v>550</v>
      </c>
      <c r="B48" s="433"/>
      <c r="C48" s="433"/>
      <c r="D48" s="433"/>
      <c r="E48" s="433"/>
      <c r="F48" s="433"/>
      <c r="G48" s="433"/>
      <c r="H48" s="433"/>
      <c r="I48" s="434"/>
    </row>
    <row r="49" spans="1:17" x14ac:dyDescent="0.25">
      <c r="A49" s="499" t="s">
        <v>22</v>
      </c>
      <c r="B49" s="500"/>
      <c r="C49" s="500"/>
      <c r="D49" s="500"/>
      <c r="E49" s="500"/>
      <c r="F49" s="500"/>
      <c r="G49" s="500"/>
      <c r="H49" s="500"/>
      <c r="I49" s="501"/>
    </row>
    <row r="50" spans="1:17" x14ac:dyDescent="0.25">
      <c r="A50" s="112" t="s">
        <v>276</v>
      </c>
      <c r="B50" s="111"/>
      <c r="G50" s="111"/>
      <c r="I50" s="65"/>
    </row>
    <row r="51" spans="1:17" s="119" customFormat="1" ht="27.6" x14ac:dyDescent="0.3">
      <c r="A51" s="287" t="s">
        <v>0</v>
      </c>
      <c r="B51" s="288" t="s">
        <v>278</v>
      </c>
      <c r="C51" s="288" t="s">
        <v>279</v>
      </c>
      <c r="D51" s="289" t="s">
        <v>284</v>
      </c>
      <c r="E51" s="289" t="s">
        <v>280</v>
      </c>
      <c r="F51" s="289" t="s">
        <v>281</v>
      </c>
      <c r="G51" s="288" t="s">
        <v>287</v>
      </c>
      <c r="H51" s="289" t="s">
        <v>282</v>
      </c>
      <c r="I51" s="290" t="s">
        <v>283</v>
      </c>
      <c r="L51" s="296"/>
      <c r="M51" s="118"/>
      <c r="Q51" s="296"/>
    </row>
    <row r="52" spans="1:17" x14ac:dyDescent="0.25">
      <c r="A52" s="115" t="s">
        <v>292</v>
      </c>
      <c r="B52" s="114">
        <v>23.544</v>
      </c>
      <c r="C52" s="77"/>
      <c r="D52" s="77">
        <v>0.4</v>
      </c>
      <c r="E52" s="77">
        <v>0.2</v>
      </c>
      <c r="F52" s="77">
        <v>10</v>
      </c>
      <c r="G52" s="114"/>
      <c r="H52" s="77"/>
      <c r="I52" s="116">
        <f>PRODUCT(B52:H52)</f>
        <v>18.8352</v>
      </c>
    </row>
    <row r="53" spans="1:17" x14ac:dyDescent="0.25">
      <c r="A53" s="115" t="s">
        <v>264</v>
      </c>
      <c r="B53" s="77"/>
      <c r="C53" s="77">
        <v>3.3</v>
      </c>
      <c r="D53" s="77">
        <v>3.2</v>
      </c>
      <c r="E53" s="77"/>
      <c r="F53" s="77">
        <v>10</v>
      </c>
      <c r="G53" s="77"/>
      <c r="H53" s="77"/>
      <c r="I53" s="116">
        <f t="shared" ref="I53" si="6">PRODUCT(B53:H53)</f>
        <v>105.60000000000001</v>
      </c>
    </row>
    <row r="54" spans="1:17" x14ac:dyDescent="0.25">
      <c r="A54" s="115" t="s">
        <v>293</v>
      </c>
      <c r="B54" s="77">
        <v>23.544</v>
      </c>
      <c r="C54" s="77"/>
      <c r="D54" s="77">
        <v>0.25</v>
      </c>
      <c r="E54" s="77">
        <v>0.25</v>
      </c>
      <c r="F54" s="77">
        <v>3.2</v>
      </c>
      <c r="G54" s="77"/>
      <c r="H54" s="77">
        <v>4</v>
      </c>
      <c r="I54" s="116">
        <f>PRODUCT(B54:H54)</f>
        <v>18.8352</v>
      </c>
    </row>
    <row r="55" spans="1:17" ht="14.4" thickBot="1" x14ac:dyDescent="0.3">
      <c r="A55" s="80"/>
      <c r="G55" s="502" t="s">
        <v>285</v>
      </c>
      <c r="H55" s="502"/>
      <c r="I55" s="333">
        <f>SUM(I51:I54)</f>
        <v>143.2704</v>
      </c>
    </row>
    <row r="56" spans="1:17" x14ac:dyDescent="0.25">
      <c r="A56" s="112" t="s">
        <v>148</v>
      </c>
      <c r="B56" s="111"/>
      <c r="G56" s="111"/>
      <c r="I56" s="65"/>
    </row>
    <row r="57" spans="1:17" s="119" customFormat="1" ht="27.6" x14ac:dyDescent="0.3">
      <c r="A57" s="287" t="s">
        <v>0</v>
      </c>
      <c r="B57" s="288" t="s">
        <v>278</v>
      </c>
      <c r="C57" s="288" t="s">
        <v>279</v>
      </c>
      <c r="D57" s="289" t="s">
        <v>284</v>
      </c>
      <c r="E57" s="289" t="s">
        <v>280</v>
      </c>
      <c r="F57" s="289" t="s">
        <v>281</v>
      </c>
      <c r="G57" s="288" t="s">
        <v>287</v>
      </c>
      <c r="H57" s="289" t="s">
        <v>282</v>
      </c>
      <c r="I57" s="290" t="s">
        <v>283</v>
      </c>
      <c r="L57" s="296"/>
      <c r="M57" s="118"/>
      <c r="Q57" s="296"/>
    </row>
    <row r="58" spans="1:17" x14ac:dyDescent="0.25">
      <c r="A58" s="115" t="s">
        <v>294</v>
      </c>
      <c r="B58" s="114">
        <v>23.544</v>
      </c>
      <c r="C58" s="77"/>
      <c r="D58" s="77">
        <v>0.45</v>
      </c>
      <c r="E58" s="77">
        <v>0.2</v>
      </c>
      <c r="F58" s="77">
        <v>10</v>
      </c>
      <c r="G58" s="114"/>
      <c r="H58" s="77"/>
      <c r="I58" s="116">
        <f>PRODUCT(B58:H58)</f>
        <v>21.189600000000006</v>
      </c>
    </row>
    <row r="59" spans="1:17" x14ac:dyDescent="0.25">
      <c r="A59" s="115" t="s">
        <v>264</v>
      </c>
      <c r="B59" s="77"/>
      <c r="C59" s="77">
        <v>3.3</v>
      </c>
      <c r="D59" s="77">
        <v>3.2</v>
      </c>
      <c r="E59" s="77"/>
      <c r="F59" s="77">
        <v>10</v>
      </c>
      <c r="G59" s="77"/>
      <c r="H59" s="77"/>
      <c r="I59" s="116">
        <f t="shared" ref="I59" si="7">PRODUCT(B59:H59)</f>
        <v>105.60000000000001</v>
      </c>
    </row>
    <row r="60" spans="1:17" x14ac:dyDescent="0.25">
      <c r="A60" s="115" t="s">
        <v>288</v>
      </c>
      <c r="B60" s="114">
        <v>23.544</v>
      </c>
      <c r="C60" s="77"/>
      <c r="D60" s="77">
        <v>4</v>
      </c>
      <c r="E60" s="77">
        <v>2.5</v>
      </c>
      <c r="F60" s="77">
        <v>0.1</v>
      </c>
      <c r="G60" s="114"/>
      <c r="H60" s="77">
        <v>2</v>
      </c>
      <c r="I60" s="116">
        <f t="shared" ref="I60:I63" si="8">PRODUCT(B60:H60)</f>
        <v>47.088000000000001</v>
      </c>
    </row>
    <row r="61" spans="1:17" x14ac:dyDescent="0.25">
      <c r="A61" s="115" t="s">
        <v>297</v>
      </c>
      <c r="B61" s="114">
        <v>23.544</v>
      </c>
      <c r="C61" s="77"/>
      <c r="D61" s="77">
        <v>4</v>
      </c>
      <c r="E61" s="77">
        <v>1</v>
      </c>
      <c r="F61" s="77">
        <v>0.1</v>
      </c>
      <c r="G61" s="114"/>
      <c r="H61" s="77">
        <v>2</v>
      </c>
      <c r="I61" s="116">
        <f t="shared" si="8"/>
        <v>18.8352</v>
      </c>
    </row>
    <row r="62" spans="1:17" x14ac:dyDescent="0.25">
      <c r="A62" s="115" t="s">
        <v>298</v>
      </c>
      <c r="B62" s="114">
        <v>23.544</v>
      </c>
      <c r="C62" s="77"/>
      <c r="D62" s="77">
        <v>2</v>
      </c>
      <c r="E62" s="77">
        <v>1</v>
      </c>
      <c r="F62" s="77">
        <v>0.1</v>
      </c>
      <c r="G62" s="114"/>
      <c r="H62" s="77">
        <v>1</v>
      </c>
      <c r="I62" s="116">
        <f t="shared" si="8"/>
        <v>4.7088000000000001</v>
      </c>
    </row>
    <row r="63" spans="1:17" x14ac:dyDescent="0.25">
      <c r="A63" s="115" t="s">
        <v>286</v>
      </c>
      <c r="B63" s="114">
        <v>23.544</v>
      </c>
      <c r="C63" s="77"/>
      <c r="D63" s="77"/>
      <c r="E63" s="77"/>
      <c r="F63" s="77"/>
      <c r="G63" s="114">
        <v>0.36899999999999999</v>
      </c>
      <c r="H63" s="77">
        <v>2</v>
      </c>
      <c r="I63" s="116">
        <f t="shared" si="8"/>
        <v>17.375471999999998</v>
      </c>
    </row>
    <row r="64" spans="1:17" x14ac:dyDescent="0.25">
      <c r="A64" s="115" t="s">
        <v>293</v>
      </c>
      <c r="B64" s="114">
        <v>23.544</v>
      </c>
      <c r="C64" s="77"/>
      <c r="D64" s="77">
        <v>0.25</v>
      </c>
      <c r="E64" s="77">
        <v>0.25</v>
      </c>
      <c r="F64" s="77">
        <v>3.2</v>
      </c>
      <c r="G64" s="114"/>
      <c r="H64" s="77">
        <v>4</v>
      </c>
      <c r="I64" s="116">
        <f>PRODUCT(B64:H64)</f>
        <v>18.8352</v>
      </c>
    </row>
    <row r="65" spans="1:17" ht="14.4" thickBot="1" x14ac:dyDescent="0.3">
      <c r="A65" s="80"/>
      <c r="B65" s="111"/>
      <c r="G65" s="502" t="s">
        <v>285</v>
      </c>
      <c r="H65" s="502"/>
      <c r="I65" s="333">
        <f>SUM(I58:I64)</f>
        <v>233.632272</v>
      </c>
    </row>
    <row r="66" spans="1:17" x14ac:dyDescent="0.25">
      <c r="A66" s="112" t="s">
        <v>290</v>
      </c>
      <c r="B66" s="111"/>
      <c r="G66" s="111"/>
      <c r="I66" s="65"/>
    </row>
    <row r="67" spans="1:17" s="119" customFormat="1" ht="27.6" x14ac:dyDescent="0.3">
      <c r="A67" s="287" t="s">
        <v>0</v>
      </c>
      <c r="B67" s="288" t="s">
        <v>278</v>
      </c>
      <c r="C67" s="288" t="s">
        <v>279</v>
      </c>
      <c r="D67" s="289" t="s">
        <v>284</v>
      </c>
      <c r="E67" s="289" t="s">
        <v>280</v>
      </c>
      <c r="F67" s="289" t="s">
        <v>281</v>
      </c>
      <c r="G67" s="288" t="s">
        <v>287</v>
      </c>
      <c r="H67" s="289" t="s">
        <v>282</v>
      </c>
      <c r="I67" s="290" t="s">
        <v>283</v>
      </c>
      <c r="L67" s="296"/>
      <c r="M67" s="118"/>
      <c r="Q67" s="296"/>
    </row>
    <row r="68" spans="1:17" x14ac:dyDescent="0.25">
      <c r="A68" s="115" t="s">
        <v>295</v>
      </c>
      <c r="B68" s="114">
        <v>23.544</v>
      </c>
      <c r="C68" s="77"/>
      <c r="D68" s="77">
        <v>0.45</v>
      </c>
      <c r="E68" s="77">
        <v>0.2</v>
      </c>
      <c r="F68" s="77">
        <v>10</v>
      </c>
      <c r="G68" s="114"/>
      <c r="H68" s="77"/>
      <c r="I68" s="116">
        <f>PRODUCT(B68:H68)</f>
        <v>21.189600000000006</v>
      </c>
    </row>
    <row r="69" spans="1:17" x14ac:dyDescent="0.25">
      <c r="A69" s="115" t="s">
        <v>264</v>
      </c>
      <c r="B69" s="77"/>
      <c r="C69" s="77">
        <v>3.3</v>
      </c>
      <c r="D69" s="77">
        <v>3.2</v>
      </c>
      <c r="E69" s="77"/>
      <c r="F69" s="77">
        <v>10</v>
      </c>
      <c r="G69" s="77"/>
      <c r="H69" s="77"/>
      <c r="I69" s="116">
        <f t="shared" ref="I69" si="9">PRODUCT(B69:H69)</f>
        <v>105.60000000000001</v>
      </c>
    </row>
    <row r="70" spans="1:17" x14ac:dyDescent="0.25">
      <c r="A70" s="115" t="s">
        <v>288</v>
      </c>
      <c r="B70" s="114">
        <v>23.544</v>
      </c>
      <c r="C70" s="77"/>
      <c r="D70" s="77">
        <v>4</v>
      </c>
      <c r="E70" s="77">
        <v>2.5</v>
      </c>
      <c r="F70" s="77">
        <v>0.1</v>
      </c>
      <c r="G70" s="114"/>
      <c r="H70" s="77">
        <v>2</v>
      </c>
      <c r="I70" s="116">
        <f t="shared" ref="I70" si="10">PRODUCT(B70:H70)</f>
        <v>47.088000000000001</v>
      </c>
    </row>
    <row r="71" spans="1:17" x14ac:dyDescent="0.25">
      <c r="A71" s="115" t="s">
        <v>277</v>
      </c>
      <c r="B71" s="114">
        <v>23.544</v>
      </c>
      <c r="C71" s="77"/>
      <c r="D71" s="77">
        <v>0.25</v>
      </c>
      <c r="E71" s="77">
        <v>0.25</v>
      </c>
      <c r="F71" s="77">
        <v>3.2</v>
      </c>
      <c r="G71" s="114"/>
      <c r="H71" s="77">
        <v>2</v>
      </c>
      <c r="I71" s="116">
        <f>PRODUCT(B71:H71)</f>
        <v>9.4176000000000002</v>
      </c>
    </row>
    <row r="72" spans="1:17" ht="14.4" thickBot="1" x14ac:dyDescent="0.3">
      <c r="A72" s="76"/>
      <c r="B72" s="113"/>
      <c r="C72" s="78"/>
      <c r="D72" s="78"/>
      <c r="E72" s="78"/>
      <c r="F72" s="78"/>
      <c r="G72" s="502" t="s">
        <v>285</v>
      </c>
      <c r="H72" s="502"/>
      <c r="I72" s="333">
        <f>SUM(I68:I71)</f>
        <v>183.29519999999999</v>
      </c>
    </row>
  </sheetData>
  <mergeCells count="15">
    <mergeCell ref="A25:I25"/>
    <mergeCell ref="A26:I26"/>
    <mergeCell ref="A1:I1"/>
    <mergeCell ref="A2:I2"/>
    <mergeCell ref="G9:H9"/>
    <mergeCell ref="G24:H24"/>
    <mergeCell ref="G17:H17"/>
    <mergeCell ref="G72:H72"/>
    <mergeCell ref="G65:H65"/>
    <mergeCell ref="G55:H55"/>
    <mergeCell ref="G40:H40"/>
    <mergeCell ref="G32:H32"/>
    <mergeCell ref="G47:H47"/>
    <mergeCell ref="A48:I48"/>
    <mergeCell ref="A49:I49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66" orientation="portrait" horizontalDpi="429496729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81"/>
  <sheetViews>
    <sheetView showGridLines="0" view="pageBreakPreview" topLeftCell="A23" zoomScale="85" zoomScaleNormal="40" zoomScaleSheetLayoutView="85" workbookViewId="0">
      <selection activeCell="G4" sqref="G4"/>
    </sheetView>
  </sheetViews>
  <sheetFormatPr defaultColWidth="8.88671875" defaultRowHeight="13.8" x14ac:dyDescent="0.25"/>
  <cols>
    <col min="1" max="3" width="8.88671875" style="62"/>
    <col min="4" max="4" width="10.44140625" style="62" bestFit="1" customWidth="1"/>
    <col min="5" max="5" width="11.5546875" style="62" bestFit="1" customWidth="1"/>
    <col min="6" max="6" width="11.33203125" style="62" bestFit="1" customWidth="1"/>
    <col min="7" max="7" width="12.33203125" style="62" bestFit="1" customWidth="1"/>
    <col min="8" max="12" width="8.88671875" style="62"/>
    <col min="13" max="13" width="4" style="62" customWidth="1"/>
    <col min="14" max="14" width="13.33203125" style="62" customWidth="1"/>
    <col min="15" max="16" width="8.88671875" style="62"/>
    <col min="17" max="17" width="11.109375" style="62" bestFit="1" customWidth="1"/>
    <col min="18" max="18" width="12.33203125" style="62" bestFit="1" customWidth="1"/>
    <col min="19" max="19" width="14.109375" style="62" bestFit="1" customWidth="1"/>
    <col min="20" max="20" width="13.33203125" style="62" customWidth="1"/>
    <col min="21" max="25" width="8.88671875" style="62"/>
    <col min="26" max="26" width="4.33203125" style="62" customWidth="1"/>
    <col min="27" max="29" width="8.88671875" style="62"/>
    <col min="30" max="30" width="10.44140625" style="62" bestFit="1" customWidth="1"/>
    <col min="31" max="31" width="11.5546875" style="62" bestFit="1" customWidth="1"/>
    <col min="32" max="32" width="11.33203125" style="62" bestFit="1" customWidth="1"/>
    <col min="33" max="33" width="10.44140625" style="62" bestFit="1" customWidth="1"/>
    <col min="34" max="16384" width="8.88671875" style="62"/>
  </cols>
  <sheetData>
    <row r="1" spans="1:25" ht="19.8" x14ac:dyDescent="0.25">
      <c r="A1" s="428" t="s">
        <v>301</v>
      </c>
      <c r="B1" s="527"/>
      <c r="C1" s="527"/>
      <c r="D1" s="527"/>
      <c r="E1" s="527"/>
      <c r="F1" s="527"/>
      <c r="G1" s="527"/>
      <c r="H1" s="527"/>
      <c r="I1" s="527"/>
      <c r="J1" s="527"/>
      <c r="K1" s="527"/>
      <c r="L1" s="528"/>
      <c r="N1" s="428" t="s">
        <v>324</v>
      </c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8"/>
    </row>
    <row r="2" spans="1:25" ht="23.4" x14ac:dyDescent="0.25">
      <c r="A2" s="117" t="s">
        <v>330</v>
      </c>
      <c r="B2" s="518">
        <f>'[1]LOADS FOR EQ'!B20</f>
        <v>101.86547039999999</v>
      </c>
      <c r="C2" s="518"/>
      <c r="D2" s="119" t="s">
        <v>137</v>
      </c>
      <c r="E2" s="120"/>
      <c r="F2" s="120"/>
      <c r="G2" s="120"/>
      <c r="H2" s="120"/>
      <c r="I2" s="120"/>
      <c r="J2" s="120"/>
      <c r="K2" s="120"/>
      <c r="L2" s="121"/>
      <c r="N2" s="117" t="s">
        <v>330</v>
      </c>
      <c r="O2" s="518">
        <v>171.205872</v>
      </c>
      <c r="P2" s="518"/>
      <c r="Q2" s="119" t="s">
        <v>137</v>
      </c>
      <c r="R2" s="120"/>
      <c r="S2" s="120"/>
      <c r="T2" s="120"/>
      <c r="U2" s="120"/>
      <c r="V2" s="120"/>
      <c r="W2" s="120"/>
      <c r="X2" s="120"/>
      <c r="Y2" s="121"/>
    </row>
    <row r="3" spans="1:25" ht="17.399999999999999" x14ac:dyDescent="0.25">
      <c r="A3" s="117" t="s">
        <v>331</v>
      </c>
      <c r="B3" s="518">
        <f>'[1]LOADS FOR EQ'!B26</f>
        <v>131.88407040000001</v>
      </c>
      <c r="C3" s="518"/>
      <c r="D3" s="119" t="s">
        <v>137</v>
      </c>
      <c r="E3" s="119"/>
      <c r="F3" s="119" t="s">
        <v>332</v>
      </c>
      <c r="G3" s="118">
        <f>SUM(B24:B26)</f>
        <v>7.9</v>
      </c>
      <c r="H3" s="119" t="s">
        <v>74</v>
      </c>
      <c r="I3" s="119"/>
      <c r="J3" s="119"/>
      <c r="K3" s="119"/>
      <c r="L3" s="124"/>
      <c r="N3" s="117" t="s">
        <v>331</v>
      </c>
      <c r="O3" s="518">
        <v>228.897344</v>
      </c>
      <c r="P3" s="518"/>
      <c r="Q3" s="119" t="s">
        <v>137</v>
      </c>
      <c r="R3" s="119"/>
      <c r="S3" s="119" t="s">
        <v>332</v>
      </c>
      <c r="T3" s="118">
        <f>SUM(O24:O26)</f>
        <v>7.9</v>
      </c>
      <c r="U3" s="119" t="s">
        <v>74</v>
      </c>
      <c r="V3" s="119"/>
      <c r="W3" s="119"/>
      <c r="X3" s="119"/>
      <c r="Y3" s="124"/>
    </row>
    <row r="4" spans="1:25" ht="17.399999999999999" x14ac:dyDescent="0.25">
      <c r="A4" s="117" t="s">
        <v>333</v>
      </c>
      <c r="B4" s="518">
        <f>'[1]LOADS FOR EQ'!B32</f>
        <v>126.2335104</v>
      </c>
      <c r="C4" s="518"/>
      <c r="D4" s="119" t="s">
        <v>137</v>
      </c>
      <c r="E4" s="119"/>
      <c r="F4" s="119" t="s">
        <v>334</v>
      </c>
      <c r="G4" s="376">
        <f>SUM(B2:C4)</f>
        <v>359.98305119999998</v>
      </c>
      <c r="H4" s="119" t="s">
        <v>137</v>
      </c>
      <c r="I4" s="119"/>
      <c r="J4" s="119"/>
      <c r="K4" s="119"/>
      <c r="L4" s="124"/>
      <c r="N4" s="117" t="s">
        <v>333</v>
      </c>
      <c r="O4" s="518">
        <v>203.27279999999999</v>
      </c>
      <c r="P4" s="518"/>
      <c r="Q4" s="119" t="s">
        <v>137</v>
      </c>
      <c r="R4" s="119"/>
      <c r="S4" s="119" t="s">
        <v>334</v>
      </c>
      <c r="T4" s="126">
        <f>SUM(O2:P4)</f>
        <v>603.37601599999994</v>
      </c>
      <c r="U4" s="119" t="s">
        <v>137</v>
      </c>
      <c r="V4" s="119"/>
      <c r="W4" s="119"/>
      <c r="X4" s="119"/>
      <c r="Y4" s="124"/>
    </row>
    <row r="5" spans="1:25" x14ac:dyDescent="0.25">
      <c r="A5" s="63"/>
      <c r="E5" s="119"/>
      <c r="I5" s="119"/>
      <c r="J5" s="119"/>
      <c r="K5" s="119"/>
      <c r="L5" s="124"/>
      <c r="N5" s="63"/>
      <c r="R5" s="119"/>
      <c r="V5" s="119"/>
      <c r="W5" s="119"/>
      <c r="X5" s="119"/>
      <c r="Y5" s="124"/>
    </row>
    <row r="6" spans="1:25" x14ac:dyDescent="0.25">
      <c r="A6" s="526" t="s">
        <v>304</v>
      </c>
      <c r="B6" s="518"/>
      <c r="C6" s="518"/>
      <c r="D6" s="119"/>
      <c r="E6" s="119"/>
      <c r="F6" s="119" t="s">
        <v>305</v>
      </c>
      <c r="G6" s="118">
        <v>1</v>
      </c>
      <c r="H6" s="119" t="s">
        <v>306</v>
      </c>
      <c r="I6" s="118">
        <v>0.4</v>
      </c>
      <c r="J6" s="119"/>
      <c r="K6" s="119"/>
      <c r="L6" s="124"/>
      <c r="N6" s="526" t="s">
        <v>304</v>
      </c>
      <c r="O6" s="518"/>
      <c r="P6" s="518"/>
      <c r="Q6" s="119"/>
      <c r="R6" s="119"/>
      <c r="S6" s="119" t="s">
        <v>305</v>
      </c>
      <c r="T6" s="118">
        <v>1</v>
      </c>
      <c r="U6" s="119" t="s">
        <v>306</v>
      </c>
      <c r="V6" s="118">
        <v>0.4</v>
      </c>
      <c r="W6" s="119"/>
      <c r="X6" s="119"/>
      <c r="Y6" s="124"/>
    </row>
    <row r="7" spans="1:25" ht="17.399999999999999" x14ac:dyDescent="0.25">
      <c r="A7" s="526" t="s">
        <v>308</v>
      </c>
      <c r="B7" s="518"/>
      <c r="C7" s="518"/>
      <c r="D7" s="518"/>
      <c r="E7" s="119"/>
      <c r="F7" s="119" t="s">
        <v>309</v>
      </c>
      <c r="G7" s="118">
        <v>8.5</v>
      </c>
      <c r="H7" s="119" t="s">
        <v>335</v>
      </c>
      <c r="I7" s="118">
        <v>7.3099999999999998E-2</v>
      </c>
      <c r="J7" s="119"/>
      <c r="K7" s="119"/>
      <c r="L7" s="124"/>
      <c r="N7" s="526" t="s">
        <v>308</v>
      </c>
      <c r="O7" s="518"/>
      <c r="P7" s="518"/>
      <c r="Q7" s="518"/>
      <c r="R7" s="119"/>
      <c r="S7" s="119" t="s">
        <v>309</v>
      </c>
      <c r="T7" s="118">
        <v>8.5</v>
      </c>
      <c r="U7" s="119" t="s">
        <v>335</v>
      </c>
      <c r="V7" s="118">
        <v>7.3099999999999998E-2</v>
      </c>
      <c r="W7" s="119"/>
      <c r="X7" s="119"/>
      <c r="Y7" s="124"/>
    </row>
    <row r="8" spans="1:25" ht="17.399999999999999" x14ac:dyDescent="0.25">
      <c r="A8" s="117" t="s">
        <v>336</v>
      </c>
      <c r="B8" s="119"/>
      <c r="C8" s="119"/>
      <c r="D8" s="119"/>
      <c r="E8" s="119"/>
      <c r="F8" s="119" t="s">
        <v>337</v>
      </c>
      <c r="G8" s="128" t="s">
        <v>32</v>
      </c>
      <c r="H8" s="128">
        <f>0.44*G10</f>
        <v>0.44</v>
      </c>
      <c r="I8" s="119"/>
      <c r="J8" s="119"/>
      <c r="K8" s="119"/>
      <c r="L8" s="124"/>
      <c r="N8" s="117" t="s">
        <v>336</v>
      </c>
      <c r="O8" s="119"/>
      <c r="P8" s="119"/>
      <c r="Q8" s="119"/>
      <c r="R8" s="119"/>
      <c r="S8" s="119" t="s">
        <v>337</v>
      </c>
      <c r="T8" s="128" t="s">
        <v>32</v>
      </c>
      <c r="U8" s="128">
        <f>0.44*T10</f>
        <v>0.44</v>
      </c>
      <c r="V8" s="119"/>
      <c r="W8" s="119"/>
      <c r="X8" s="119"/>
      <c r="Y8" s="124"/>
    </row>
    <row r="9" spans="1:25" ht="17.399999999999999" x14ac:dyDescent="0.25">
      <c r="A9" s="526" t="s">
        <v>310</v>
      </c>
      <c r="B9" s="518"/>
      <c r="C9" s="518"/>
      <c r="D9" s="119"/>
      <c r="E9" s="119"/>
      <c r="F9" s="119" t="s">
        <v>338</v>
      </c>
      <c r="G9" s="128" t="s">
        <v>32</v>
      </c>
      <c r="H9" s="128">
        <f>0.64*I10</f>
        <v>0.76800000000000002</v>
      </c>
      <c r="I9" s="119"/>
      <c r="J9" s="119"/>
      <c r="K9" s="119"/>
      <c r="L9" s="124"/>
      <c r="N9" s="526" t="s">
        <v>310</v>
      </c>
      <c r="O9" s="518"/>
      <c r="P9" s="518"/>
      <c r="Q9" s="119"/>
      <c r="R9" s="119"/>
      <c r="S9" s="119" t="s">
        <v>338</v>
      </c>
      <c r="T9" s="128" t="s">
        <v>32</v>
      </c>
      <c r="U9" s="128">
        <f>0.64*V10</f>
        <v>0.76800000000000002</v>
      </c>
      <c r="V9" s="119"/>
      <c r="W9" s="119"/>
      <c r="X9" s="119"/>
      <c r="Y9" s="124"/>
    </row>
    <row r="10" spans="1:25" ht="17.399999999999999" x14ac:dyDescent="0.25">
      <c r="A10" s="526" t="s">
        <v>312</v>
      </c>
      <c r="B10" s="518"/>
      <c r="C10" s="518"/>
      <c r="D10" s="119"/>
      <c r="E10" s="119"/>
      <c r="F10" s="119" t="s">
        <v>339</v>
      </c>
      <c r="G10" s="118">
        <v>1</v>
      </c>
      <c r="H10" s="119" t="s">
        <v>340</v>
      </c>
      <c r="I10" s="118">
        <v>1.2</v>
      </c>
      <c r="J10" s="119"/>
      <c r="K10" s="119"/>
      <c r="L10" s="124"/>
      <c r="N10" s="526" t="s">
        <v>312</v>
      </c>
      <c r="O10" s="518"/>
      <c r="P10" s="518"/>
      <c r="Q10" s="119"/>
      <c r="R10" s="119"/>
      <c r="S10" s="119" t="s">
        <v>339</v>
      </c>
      <c r="T10" s="118">
        <v>1</v>
      </c>
      <c r="U10" s="119" t="s">
        <v>340</v>
      </c>
      <c r="V10" s="118">
        <v>1.2</v>
      </c>
      <c r="W10" s="119"/>
      <c r="X10" s="119"/>
      <c r="Y10" s="124"/>
    </row>
    <row r="11" spans="1:25" x14ac:dyDescent="0.25">
      <c r="A11" s="117" t="s">
        <v>313</v>
      </c>
      <c r="B11" s="119"/>
      <c r="C11" s="119"/>
      <c r="D11" s="119"/>
      <c r="E11" s="119"/>
      <c r="J11" s="119"/>
      <c r="K11" s="119"/>
      <c r="L11" s="124"/>
      <c r="N11" s="117" t="s">
        <v>313</v>
      </c>
      <c r="O11" s="119"/>
      <c r="P11" s="119"/>
      <c r="Q11" s="119"/>
      <c r="R11" s="119"/>
      <c r="W11" s="119"/>
      <c r="X11" s="119"/>
      <c r="Y11" s="124"/>
    </row>
    <row r="12" spans="1:25" x14ac:dyDescent="0.25">
      <c r="A12" s="525"/>
      <c r="B12" s="516"/>
      <c r="C12" s="516" t="s">
        <v>32</v>
      </c>
      <c r="D12" s="524">
        <f>I7*POWER(G3,3/4)</f>
        <v>0.3444591260898523</v>
      </c>
      <c r="E12" s="517" t="s">
        <v>314</v>
      </c>
      <c r="F12" s="516"/>
      <c r="G12" s="516"/>
      <c r="H12" s="516"/>
      <c r="I12" s="119"/>
      <c r="J12" s="119"/>
      <c r="K12" s="119"/>
      <c r="L12" s="124"/>
      <c r="N12" s="525"/>
      <c r="O12" s="516"/>
      <c r="P12" s="516" t="s">
        <v>32</v>
      </c>
      <c r="Q12" s="524">
        <f>V7*POWER(T3,3/4)</f>
        <v>0.3444591260898523</v>
      </c>
      <c r="R12" s="517" t="s">
        <v>314</v>
      </c>
      <c r="S12" s="516"/>
      <c r="T12" s="516"/>
      <c r="U12" s="516"/>
      <c r="V12" s="119"/>
      <c r="W12" s="119"/>
      <c r="X12" s="119"/>
      <c r="Y12" s="124"/>
    </row>
    <row r="13" spans="1:25" x14ac:dyDescent="0.25">
      <c r="A13" s="525"/>
      <c r="B13" s="516"/>
      <c r="C13" s="516"/>
      <c r="D13" s="524"/>
      <c r="E13" s="517"/>
      <c r="F13" s="516"/>
      <c r="G13" s="516"/>
      <c r="H13" s="516"/>
      <c r="I13" s="119"/>
      <c r="J13" s="119"/>
      <c r="K13" s="119"/>
      <c r="L13" s="124"/>
      <c r="N13" s="525"/>
      <c r="O13" s="516"/>
      <c r="P13" s="516"/>
      <c r="Q13" s="524"/>
      <c r="R13" s="517"/>
      <c r="S13" s="516"/>
      <c r="T13" s="516"/>
      <c r="U13" s="516"/>
      <c r="V13" s="119"/>
      <c r="W13" s="119"/>
      <c r="X13" s="119"/>
      <c r="Y13" s="124"/>
    </row>
    <row r="14" spans="1:25" x14ac:dyDescent="0.25">
      <c r="A14" s="525"/>
      <c r="B14" s="516"/>
      <c r="C14" s="516" t="s">
        <v>32</v>
      </c>
      <c r="D14" s="524">
        <f>(H9*G6*G4)/(D12*G7)</f>
        <v>94.424925879640369</v>
      </c>
      <c r="E14" s="517" t="s">
        <v>137</v>
      </c>
      <c r="F14" s="516"/>
      <c r="G14" s="516"/>
      <c r="H14" s="517" t="s">
        <v>32</v>
      </c>
      <c r="I14" s="516">
        <f>0.11*H8*G6*G4</f>
        <v>17.423179678079997</v>
      </c>
      <c r="J14" s="518" t="s">
        <v>137</v>
      </c>
      <c r="L14" s="124"/>
      <c r="N14" s="525"/>
      <c r="O14" s="516"/>
      <c r="P14" s="516" t="s">
        <v>32</v>
      </c>
      <c r="Q14" s="524">
        <f>(U9*T6*T4)/(Q12*T7)</f>
        <v>158.26782788364983</v>
      </c>
      <c r="R14" s="517" t="s">
        <v>137</v>
      </c>
      <c r="S14" s="516"/>
      <c r="T14" s="516"/>
      <c r="U14" s="517" t="s">
        <v>32</v>
      </c>
      <c r="V14" s="516">
        <f>0.11*U8*T6*T4</f>
        <v>29.203399174399998</v>
      </c>
      <c r="W14" s="518" t="s">
        <v>137</v>
      </c>
      <c r="Y14" s="124"/>
    </row>
    <row r="15" spans="1:25" x14ac:dyDescent="0.25">
      <c r="A15" s="525"/>
      <c r="B15" s="516"/>
      <c r="C15" s="516"/>
      <c r="D15" s="524"/>
      <c r="E15" s="517"/>
      <c r="F15" s="516"/>
      <c r="G15" s="516"/>
      <c r="H15" s="517"/>
      <c r="I15" s="516"/>
      <c r="J15" s="518"/>
      <c r="L15" s="124"/>
      <c r="N15" s="525"/>
      <c r="O15" s="516"/>
      <c r="P15" s="516"/>
      <c r="Q15" s="524"/>
      <c r="R15" s="517"/>
      <c r="S15" s="516"/>
      <c r="T15" s="516"/>
      <c r="U15" s="517"/>
      <c r="V15" s="516"/>
      <c r="W15" s="518"/>
      <c r="Y15" s="124"/>
    </row>
    <row r="16" spans="1:25" x14ac:dyDescent="0.25">
      <c r="A16" s="117"/>
      <c r="B16" s="119"/>
      <c r="C16" s="128"/>
      <c r="D16" s="119"/>
      <c r="E16" s="119"/>
      <c r="F16" s="119"/>
      <c r="G16" s="119"/>
      <c r="H16" s="119" t="s">
        <v>315</v>
      </c>
      <c r="I16" s="119"/>
      <c r="J16" s="119"/>
      <c r="L16" s="124"/>
      <c r="N16" s="117"/>
      <c r="O16" s="119"/>
      <c r="P16" s="128"/>
      <c r="Q16" s="119"/>
      <c r="R16" s="119"/>
      <c r="S16" s="119"/>
      <c r="T16" s="119"/>
      <c r="U16" s="119" t="s">
        <v>315</v>
      </c>
      <c r="V16" s="119"/>
      <c r="W16" s="119"/>
      <c r="Y16" s="124"/>
    </row>
    <row r="17" spans="1:25" x14ac:dyDescent="0.25">
      <c r="A17" s="525"/>
      <c r="B17" s="516"/>
      <c r="C17" s="516" t="s">
        <v>32</v>
      </c>
      <c r="D17" s="524">
        <f>(2.5*H8*G6*G4)/G7</f>
        <v>46.586041920000007</v>
      </c>
      <c r="E17" s="517" t="s">
        <v>137</v>
      </c>
      <c r="F17" s="516"/>
      <c r="G17" s="516"/>
      <c r="H17" s="517" t="s">
        <v>32</v>
      </c>
      <c r="I17" s="516">
        <f>(0.8*I6*I10*G6*G4)/G7</f>
        <v>16.262763724800003</v>
      </c>
      <c r="J17" s="518" t="s">
        <v>137</v>
      </c>
      <c r="L17" s="124"/>
      <c r="N17" s="525"/>
      <c r="O17" s="516"/>
      <c r="P17" s="516" t="s">
        <v>32</v>
      </c>
      <c r="Q17" s="524">
        <f>(2.5*U8*T6*T4)/T7</f>
        <v>78.083955011764715</v>
      </c>
      <c r="R17" s="517" t="s">
        <v>137</v>
      </c>
      <c r="S17" s="516"/>
      <c r="T17" s="516"/>
      <c r="U17" s="517" t="s">
        <v>32</v>
      </c>
      <c r="V17" s="516">
        <f>(0.8*V6*V10*T6*T4)/T7</f>
        <v>27.258398840470591</v>
      </c>
      <c r="W17" s="518" t="s">
        <v>137</v>
      </c>
      <c r="Y17" s="124"/>
    </row>
    <row r="18" spans="1:25" x14ac:dyDescent="0.25">
      <c r="A18" s="525"/>
      <c r="B18" s="516"/>
      <c r="C18" s="516"/>
      <c r="D18" s="524"/>
      <c r="E18" s="517"/>
      <c r="F18" s="516"/>
      <c r="G18" s="516"/>
      <c r="H18" s="517"/>
      <c r="I18" s="516"/>
      <c r="J18" s="518"/>
      <c r="L18" s="124"/>
      <c r="N18" s="525"/>
      <c r="O18" s="516"/>
      <c r="P18" s="516"/>
      <c r="Q18" s="524"/>
      <c r="R18" s="517"/>
      <c r="S18" s="516"/>
      <c r="T18" s="516"/>
      <c r="U18" s="517"/>
      <c r="V18" s="516"/>
      <c r="W18" s="518"/>
      <c r="Y18" s="124"/>
    </row>
    <row r="19" spans="1:25" x14ac:dyDescent="0.25">
      <c r="A19" s="117" t="s">
        <v>316</v>
      </c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24"/>
      <c r="N19" s="117" t="s">
        <v>316</v>
      </c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24"/>
    </row>
    <row r="20" spans="1:25" x14ac:dyDescent="0.25">
      <c r="A20" s="347" t="s">
        <v>317</v>
      </c>
      <c r="B20" s="348">
        <f>D17</f>
        <v>46.586041920000007</v>
      </c>
      <c r="C20" s="349" t="s">
        <v>137</v>
      </c>
      <c r="D20" s="349"/>
      <c r="E20" s="119"/>
      <c r="F20" s="119"/>
      <c r="G20" s="119"/>
      <c r="H20" s="119"/>
      <c r="I20" s="119"/>
      <c r="J20" s="119"/>
      <c r="K20" s="119"/>
      <c r="L20" s="124"/>
      <c r="N20" s="347" t="s">
        <v>317</v>
      </c>
      <c r="O20" s="348">
        <f>Q17</f>
        <v>78.083955011764715</v>
      </c>
      <c r="P20" s="349" t="s">
        <v>137</v>
      </c>
      <c r="Q20" s="349"/>
      <c r="R20" s="119"/>
      <c r="S20" s="119"/>
      <c r="T20" s="119"/>
      <c r="U20" s="119"/>
      <c r="V20" s="119"/>
      <c r="W20" s="119"/>
      <c r="X20" s="119"/>
      <c r="Y20" s="124"/>
    </row>
    <row r="21" spans="1:25" x14ac:dyDescent="0.25">
      <c r="A21" s="117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24"/>
      <c r="N21" s="117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24"/>
    </row>
    <row r="22" spans="1:25" x14ac:dyDescent="0.25">
      <c r="A22" s="510" t="s">
        <v>318</v>
      </c>
      <c r="B22" s="512" t="s">
        <v>319</v>
      </c>
      <c r="C22" s="512" t="s">
        <v>341</v>
      </c>
      <c r="D22" s="512" t="s">
        <v>342</v>
      </c>
      <c r="E22" s="512" t="s">
        <v>343</v>
      </c>
      <c r="F22" s="129" t="s">
        <v>320</v>
      </c>
      <c r="G22" s="506" t="s">
        <v>344</v>
      </c>
      <c r="H22" s="514"/>
      <c r="I22" s="506" t="s">
        <v>321</v>
      </c>
      <c r="J22" s="514"/>
      <c r="K22" s="506" t="s">
        <v>322</v>
      </c>
      <c r="L22" s="507"/>
      <c r="N22" s="510" t="s">
        <v>318</v>
      </c>
      <c r="O22" s="512" t="s">
        <v>319</v>
      </c>
      <c r="P22" s="512" t="s">
        <v>341</v>
      </c>
      <c r="Q22" s="512" t="s">
        <v>342</v>
      </c>
      <c r="R22" s="512" t="s">
        <v>343</v>
      </c>
      <c r="S22" s="129" t="s">
        <v>320</v>
      </c>
      <c r="T22" s="506" t="s">
        <v>344</v>
      </c>
      <c r="U22" s="514"/>
      <c r="V22" s="506" t="s">
        <v>321</v>
      </c>
      <c r="W22" s="514"/>
      <c r="X22" s="506" t="s">
        <v>322</v>
      </c>
      <c r="Y22" s="507"/>
    </row>
    <row r="23" spans="1:25" x14ac:dyDescent="0.25">
      <c r="A23" s="511"/>
      <c r="B23" s="513"/>
      <c r="C23" s="513"/>
      <c r="D23" s="513"/>
      <c r="E23" s="513"/>
      <c r="F23" s="130" t="s">
        <v>345</v>
      </c>
      <c r="G23" s="508"/>
      <c r="H23" s="515"/>
      <c r="I23" s="508"/>
      <c r="J23" s="515"/>
      <c r="K23" s="508"/>
      <c r="L23" s="509"/>
      <c r="N23" s="511"/>
      <c r="O23" s="513"/>
      <c r="P23" s="513"/>
      <c r="Q23" s="513"/>
      <c r="R23" s="513"/>
      <c r="S23" s="130" t="s">
        <v>345</v>
      </c>
      <c r="T23" s="508"/>
      <c r="U23" s="515"/>
      <c r="V23" s="508"/>
      <c r="W23" s="515"/>
      <c r="X23" s="508"/>
      <c r="Y23" s="509"/>
    </row>
    <row r="24" spans="1:25" x14ac:dyDescent="0.25">
      <c r="A24" s="131">
        <v>2</v>
      </c>
      <c r="B24" s="132">
        <v>3.2</v>
      </c>
      <c r="C24" s="132">
        <f>SUM(B24:B26)</f>
        <v>7.9</v>
      </c>
      <c r="D24" s="133">
        <f>(B4)</f>
        <v>126.2335104</v>
      </c>
      <c r="E24" s="133">
        <f>D24*C24</f>
        <v>997.24473216000001</v>
      </c>
      <c r="F24" s="134">
        <f>E24/E27</f>
        <v>0.56344755092381604</v>
      </c>
      <c r="G24" s="519">
        <f>F24*B20</f>
        <v>26.248791227058234</v>
      </c>
      <c r="H24" s="521"/>
      <c r="I24" s="519">
        <f>I25-G25</f>
        <v>26.248791227058238</v>
      </c>
      <c r="J24" s="521"/>
      <c r="K24" s="519">
        <f>I24*B24</f>
        <v>83.996131926586372</v>
      </c>
      <c r="L24" s="520"/>
      <c r="N24" s="131" t="s">
        <v>430</v>
      </c>
      <c r="O24" s="132">
        <v>3.2</v>
      </c>
      <c r="P24" s="132">
        <f>SUM(O24:O26)</f>
        <v>7.9</v>
      </c>
      <c r="Q24" s="133">
        <f>(O4)</f>
        <v>203.27279999999999</v>
      </c>
      <c r="R24" s="133">
        <f>Q24*P24</f>
        <v>1605.8551199999999</v>
      </c>
      <c r="S24" s="134">
        <f>R24/R27</f>
        <v>0.54649149574919242</v>
      </c>
      <c r="T24" s="519">
        <f>S24*O20</f>
        <v>42.672217368391948</v>
      </c>
      <c r="U24" s="521"/>
      <c r="V24" s="519">
        <f>V25-T25</f>
        <v>42.672217368391941</v>
      </c>
      <c r="W24" s="521"/>
      <c r="X24" s="519">
        <f>V24*O24</f>
        <v>136.55109557885422</v>
      </c>
      <c r="Y24" s="520"/>
    </row>
    <row r="25" spans="1:25" x14ac:dyDescent="0.25">
      <c r="A25" s="131">
        <v>1</v>
      </c>
      <c r="B25" s="132">
        <v>3.2</v>
      </c>
      <c r="C25" s="132">
        <f>B25+B26</f>
        <v>4.7</v>
      </c>
      <c r="D25" s="133">
        <f>(B3)</f>
        <v>131.88407040000001</v>
      </c>
      <c r="E25" s="133">
        <f>D25*C25</f>
        <v>619.85513088000005</v>
      </c>
      <c r="F25" s="134">
        <f>E25/E27</f>
        <v>0.35022080754983836</v>
      </c>
      <c r="G25" s="519">
        <f>F25*B20</f>
        <v>16.315401221773026</v>
      </c>
      <c r="H25" s="521"/>
      <c r="I25" s="519">
        <f>I26-G26</f>
        <v>42.564192448831264</v>
      </c>
      <c r="J25" s="521"/>
      <c r="K25" s="519">
        <f>K24+(I25*B25)</f>
        <v>220.20154776284642</v>
      </c>
      <c r="L25" s="520"/>
      <c r="N25" s="131">
        <v>2</v>
      </c>
      <c r="O25" s="132">
        <v>3.2</v>
      </c>
      <c r="P25" s="132">
        <f>O25+O26</f>
        <v>4.7</v>
      </c>
      <c r="Q25" s="133">
        <f>(O3)</f>
        <v>228.897344</v>
      </c>
      <c r="R25" s="133">
        <f>Q25*P25</f>
        <v>1075.8175168</v>
      </c>
      <c r="S25" s="134">
        <f>R25/R27</f>
        <v>0.36611342865676078</v>
      </c>
      <c r="T25" s="519">
        <f>S25*O20</f>
        <v>28.58758449243744</v>
      </c>
      <c r="U25" s="521"/>
      <c r="V25" s="519">
        <f>V26-T26</f>
        <v>71.259801860829384</v>
      </c>
      <c r="W25" s="521"/>
      <c r="X25" s="519">
        <f>X24+(V25*O25)</f>
        <v>364.58246153350825</v>
      </c>
      <c r="Y25" s="520"/>
    </row>
    <row r="26" spans="1:25" x14ac:dyDescent="0.25">
      <c r="A26" s="131" t="s">
        <v>323</v>
      </c>
      <c r="B26" s="132">
        <v>1.5</v>
      </c>
      <c r="C26" s="132">
        <f>B26</f>
        <v>1.5</v>
      </c>
      <c r="D26" s="133">
        <f>B2</f>
        <v>101.86547039999999</v>
      </c>
      <c r="E26" s="133">
        <f>D26*C26</f>
        <v>152.79820559999999</v>
      </c>
      <c r="F26" s="134">
        <f>E26/E27</f>
        <v>8.6331641526345648E-2</v>
      </c>
      <c r="G26" s="519">
        <f>F26*B20</f>
        <v>4.0218494711687516</v>
      </c>
      <c r="H26" s="521"/>
      <c r="I26" s="519">
        <f>G27</f>
        <v>46.586041920000014</v>
      </c>
      <c r="J26" s="521"/>
      <c r="K26" s="519">
        <f>K25+(I26*B26)</f>
        <v>290.08061064284641</v>
      </c>
      <c r="L26" s="520"/>
      <c r="N26" s="131">
        <v>1</v>
      </c>
      <c r="O26" s="132">
        <v>1.5</v>
      </c>
      <c r="P26" s="132">
        <f>O26</f>
        <v>1.5</v>
      </c>
      <c r="Q26" s="133">
        <f>O2</f>
        <v>171.205872</v>
      </c>
      <c r="R26" s="133">
        <f>Q26*P26</f>
        <v>256.808808</v>
      </c>
      <c r="S26" s="134">
        <f>R26/R27</f>
        <v>8.7395075594046856E-2</v>
      </c>
      <c r="T26" s="519">
        <f>S26*O20</f>
        <v>6.8241531509353308</v>
      </c>
      <c r="U26" s="521"/>
      <c r="V26" s="519">
        <f>T27</f>
        <v>78.083955011764715</v>
      </c>
      <c r="W26" s="521"/>
      <c r="X26" s="519">
        <f>X25+(V26*O26)</f>
        <v>481.70839405115532</v>
      </c>
      <c r="Y26" s="520"/>
    </row>
    <row r="27" spans="1:25" ht="14.4" thickBot="1" x14ac:dyDescent="0.3">
      <c r="A27" s="137"/>
      <c r="B27" s="138"/>
      <c r="C27" s="138"/>
      <c r="D27" s="139">
        <f>SUM(D24:D26)</f>
        <v>359.98305120000003</v>
      </c>
      <c r="E27" s="139">
        <f>SUM(E24:E26)</f>
        <v>1769.89806864</v>
      </c>
      <c r="F27" s="140">
        <f>SUM(F24:F26)</f>
        <v>1</v>
      </c>
      <c r="G27" s="522">
        <f>SUM(G24:G26)</f>
        <v>46.586041920000014</v>
      </c>
      <c r="H27" s="523"/>
      <c r="I27" s="138"/>
      <c r="J27" s="138"/>
      <c r="K27" s="138"/>
      <c r="L27" s="141"/>
      <c r="N27" s="137"/>
      <c r="O27" s="138"/>
      <c r="P27" s="138"/>
      <c r="Q27" s="139">
        <f>SUM(Q24:Q26)</f>
        <v>603.37601599999994</v>
      </c>
      <c r="R27" s="139">
        <f>SUM(R24:R26)</f>
        <v>2938.4814447999997</v>
      </c>
      <c r="S27" s="140">
        <f>SUM(S24:S26)</f>
        <v>1</v>
      </c>
      <c r="T27" s="522">
        <f>SUM(T24:T26)</f>
        <v>78.083955011764715</v>
      </c>
      <c r="U27" s="523"/>
      <c r="V27" s="138"/>
      <c r="W27" s="138"/>
      <c r="X27" s="138"/>
      <c r="Y27" s="141"/>
    </row>
    <row r="28" spans="1:25" s="356" customFormat="1" ht="19.8" x14ac:dyDescent="0.35">
      <c r="A28" s="428" t="s">
        <v>302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8"/>
      <c r="N28" s="428" t="s">
        <v>325</v>
      </c>
      <c r="O28" s="527"/>
      <c r="P28" s="527"/>
      <c r="Q28" s="527"/>
      <c r="R28" s="527"/>
      <c r="S28" s="527"/>
      <c r="T28" s="527"/>
      <c r="U28" s="527"/>
      <c r="V28" s="527"/>
      <c r="W28" s="527"/>
      <c r="X28" s="527"/>
      <c r="Y28" s="528"/>
    </row>
    <row r="29" spans="1:25" ht="23.4" x14ac:dyDescent="0.25">
      <c r="A29" s="117" t="s">
        <v>330</v>
      </c>
      <c r="B29" s="535">
        <f>'[1]LOADS FOR EQ'!H20</f>
        <v>79.263230400000012</v>
      </c>
      <c r="C29" s="535"/>
      <c r="D29" s="122" t="s">
        <v>137</v>
      </c>
      <c r="E29" s="123"/>
      <c r="F29" s="120"/>
      <c r="G29" s="120"/>
      <c r="H29" s="120"/>
      <c r="I29" s="120"/>
      <c r="J29" s="120"/>
      <c r="K29" s="120"/>
      <c r="L29" s="121"/>
      <c r="N29" s="117" t="s">
        <v>330</v>
      </c>
      <c r="O29" s="518">
        <v>55.045872000000003</v>
      </c>
      <c r="P29" s="518"/>
      <c r="Q29" s="119" t="s">
        <v>137</v>
      </c>
      <c r="R29" s="120"/>
      <c r="S29" s="120"/>
      <c r="T29" s="120"/>
      <c r="U29" s="120"/>
      <c r="V29" s="120"/>
      <c r="W29" s="120"/>
      <c r="X29" s="120"/>
      <c r="Y29" s="121"/>
    </row>
    <row r="30" spans="1:25" ht="17.399999999999999" x14ac:dyDescent="0.25">
      <c r="A30" s="117" t="s">
        <v>331</v>
      </c>
      <c r="B30" s="535">
        <f>'[1]LOADS FOR EQ'!H26</f>
        <v>123.40823040000002</v>
      </c>
      <c r="C30" s="535"/>
      <c r="D30" s="122" t="s">
        <v>137</v>
      </c>
      <c r="E30" s="125"/>
      <c r="F30" s="119" t="s">
        <v>332</v>
      </c>
      <c r="G30" s="118">
        <f>SUM(B51:B53)</f>
        <v>7.9</v>
      </c>
      <c r="H30" s="119" t="s">
        <v>74</v>
      </c>
      <c r="I30" s="119"/>
      <c r="J30" s="119"/>
      <c r="K30" s="119"/>
      <c r="L30" s="124"/>
      <c r="N30" s="117" t="s">
        <v>331</v>
      </c>
      <c r="O30" s="518">
        <v>192.15227199999998</v>
      </c>
      <c r="P30" s="518"/>
      <c r="Q30" s="119" t="s">
        <v>137</v>
      </c>
      <c r="R30" s="119"/>
      <c r="S30" s="119" t="s">
        <v>332</v>
      </c>
      <c r="T30" s="118">
        <f>SUM(O51:O53)</f>
        <v>7.9</v>
      </c>
      <c r="U30" s="119" t="s">
        <v>74</v>
      </c>
      <c r="V30" s="119"/>
      <c r="W30" s="119"/>
      <c r="X30" s="119"/>
      <c r="Y30" s="124"/>
    </row>
    <row r="31" spans="1:25" ht="17.399999999999999" x14ac:dyDescent="0.25">
      <c r="A31" s="117" t="s">
        <v>333</v>
      </c>
      <c r="B31" s="535">
        <f>'[1]LOADS FOR EQ'!H32</f>
        <v>103.63127040000001</v>
      </c>
      <c r="C31" s="535"/>
      <c r="D31" s="122" t="s">
        <v>137</v>
      </c>
      <c r="E31" s="125"/>
      <c r="F31" s="119" t="s">
        <v>334</v>
      </c>
      <c r="G31" s="127">
        <f>SUM(B29:C31)</f>
        <v>306.30273120000004</v>
      </c>
      <c r="H31" s="119" t="s">
        <v>137</v>
      </c>
      <c r="I31" s="119"/>
      <c r="J31" s="119"/>
      <c r="K31" s="119"/>
      <c r="L31" s="124"/>
      <c r="N31" s="117" t="s">
        <v>333</v>
      </c>
      <c r="O31" s="518">
        <v>164.99599999999998</v>
      </c>
      <c r="P31" s="518"/>
      <c r="Q31" s="119" t="s">
        <v>137</v>
      </c>
      <c r="R31" s="119"/>
      <c r="S31" s="119" t="s">
        <v>334</v>
      </c>
      <c r="T31" s="126">
        <f>SUM(O29:P31)</f>
        <v>412.19414399999994</v>
      </c>
      <c r="U31" s="119" t="s">
        <v>137</v>
      </c>
      <c r="V31" s="119"/>
      <c r="W31" s="119"/>
      <c r="X31" s="119"/>
      <c r="Y31" s="124"/>
    </row>
    <row r="32" spans="1:25" x14ac:dyDescent="0.25">
      <c r="A32" s="63"/>
      <c r="D32" s="106"/>
      <c r="E32" s="125"/>
      <c r="I32" s="119"/>
      <c r="J32" s="119"/>
      <c r="K32" s="119"/>
      <c r="L32" s="124"/>
      <c r="N32" s="63"/>
      <c r="R32" s="119"/>
      <c r="V32" s="119"/>
      <c r="W32" s="119"/>
      <c r="X32" s="119"/>
      <c r="Y32" s="124"/>
    </row>
    <row r="33" spans="1:25" x14ac:dyDescent="0.25">
      <c r="A33" s="526" t="s">
        <v>307</v>
      </c>
      <c r="B33" s="518"/>
      <c r="C33" s="518"/>
      <c r="D33" s="122"/>
      <c r="E33" s="125"/>
      <c r="F33" s="119" t="s">
        <v>305</v>
      </c>
      <c r="G33" s="118">
        <v>1</v>
      </c>
      <c r="H33" s="119" t="s">
        <v>306</v>
      </c>
      <c r="I33" s="118">
        <v>0.4</v>
      </c>
      <c r="J33" s="119"/>
      <c r="K33" s="119"/>
      <c r="L33" s="124"/>
      <c r="N33" s="526" t="s">
        <v>304</v>
      </c>
      <c r="O33" s="518"/>
      <c r="P33" s="518"/>
      <c r="Q33" s="119"/>
      <c r="R33" s="119"/>
      <c r="S33" s="119" t="s">
        <v>305</v>
      </c>
      <c r="T33" s="118">
        <v>1</v>
      </c>
      <c r="U33" s="119" t="s">
        <v>306</v>
      </c>
      <c r="V33" s="118">
        <v>0.4</v>
      </c>
      <c r="W33" s="119"/>
      <c r="X33" s="119"/>
      <c r="Y33" s="124"/>
    </row>
    <row r="34" spans="1:25" ht="17.399999999999999" x14ac:dyDescent="0.25">
      <c r="A34" s="526" t="s">
        <v>308</v>
      </c>
      <c r="B34" s="518"/>
      <c r="C34" s="518"/>
      <c r="D34" s="518"/>
      <c r="E34" s="125"/>
      <c r="F34" s="119" t="s">
        <v>309</v>
      </c>
      <c r="G34" s="118">
        <v>8.5</v>
      </c>
      <c r="H34" s="119" t="s">
        <v>335</v>
      </c>
      <c r="I34" s="118">
        <v>7.3099999999999998E-2</v>
      </c>
      <c r="J34" s="119"/>
      <c r="K34" s="119"/>
      <c r="L34" s="124"/>
      <c r="N34" s="526" t="s">
        <v>308</v>
      </c>
      <c r="O34" s="518"/>
      <c r="P34" s="518"/>
      <c r="Q34" s="518"/>
      <c r="R34" s="119"/>
      <c r="S34" s="119" t="s">
        <v>309</v>
      </c>
      <c r="T34" s="118">
        <v>8.5</v>
      </c>
      <c r="U34" s="119" t="s">
        <v>335</v>
      </c>
      <c r="V34" s="118">
        <v>7.3099999999999998E-2</v>
      </c>
      <c r="W34" s="119"/>
      <c r="X34" s="119"/>
      <c r="Y34" s="124"/>
    </row>
    <row r="35" spans="1:25" ht="17.399999999999999" x14ac:dyDescent="0.25">
      <c r="A35" s="117" t="s">
        <v>336</v>
      </c>
      <c r="B35" s="119"/>
      <c r="C35" s="119"/>
      <c r="D35" s="122"/>
      <c r="E35" s="125"/>
      <c r="F35" s="119" t="s">
        <v>337</v>
      </c>
      <c r="G35" s="128" t="s">
        <v>32</v>
      </c>
      <c r="H35" s="128">
        <f>0.44*G37</f>
        <v>0.44</v>
      </c>
      <c r="I35" s="119"/>
      <c r="J35" s="119"/>
      <c r="K35" s="119"/>
      <c r="L35" s="124"/>
      <c r="N35" s="117" t="s">
        <v>336</v>
      </c>
      <c r="O35" s="119"/>
      <c r="P35" s="119"/>
      <c r="Q35" s="119"/>
      <c r="R35" s="119"/>
      <c r="S35" s="119" t="s">
        <v>337</v>
      </c>
      <c r="T35" s="128" t="s">
        <v>32</v>
      </c>
      <c r="U35" s="128">
        <f>0.44*T37</f>
        <v>0.44</v>
      </c>
      <c r="V35" s="119"/>
      <c r="W35" s="119"/>
      <c r="X35" s="119"/>
      <c r="Y35" s="124"/>
    </row>
    <row r="36" spans="1:25" ht="17.399999999999999" x14ac:dyDescent="0.25">
      <c r="A36" s="526" t="s">
        <v>311</v>
      </c>
      <c r="B36" s="518"/>
      <c r="C36" s="518"/>
      <c r="D36" s="122"/>
      <c r="E36" s="125"/>
      <c r="F36" s="119" t="s">
        <v>338</v>
      </c>
      <c r="G36" s="128" t="s">
        <v>32</v>
      </c>
      <c r="H36" s="128">
        <f>0.64*I37</f>
        <v>0.76800000000000002</v>
      </c>
      <c r="I36" s="119"/>
      <c r="J36" s="119"/>
      <c r="K36" s="119"/>
      <c r="L36" s="124"/>
      <c r="N36" s="526" t="s">
        <v>310</v>
      </c>
      <c r="O36" s="518"/>
      <c r="P36" s="518"/>
      <c r="Q36" s="119"/>
      <c r="R36" s="119"/>
      <c r="S36" s="119" t="s">
        <v>338</v>
      </c>
      <c r="T36" s="128" t="s">
        <v>32</v>
      </c>
      <c r="U36" s="128">
        <f>0.64*V37</f>
        <v>0.76800000000000002</v>
      </c>
      <c r="V36" s="119"/>
      <c r="W36" s="119"/>
      <c r="X36" s="119"/>
      <c r="Y36" s="124"/>
    </row>
    <row r="37" spans="1:25" ht="17.399999999999999" x14ac:dyDescent="0.25">
      <c r="A37" s="526" t="s">
        <v>312</v>
      </c>
      <c r="B37" s="518"/>
      <c r="C37" s="518"/>
      <c r="D37" s="122"/>
      <c r="E37" s="125"/>
      <c r="F37" s="119" t="s">
        <v>339</v>
      </c>
      <c r="G37" s="118">
        <v>1</v>
      </c>
      <c r="H37" s="119" t="s">
        <v>340</v>
      </c>
      <c r="I37" s="118">
        <v>1.2</v>
      </c>
      <c r="J37" s="119"/>
      <c r="K37" s="119"/>
      <c r="L37" s="124"/>
      <c r="N37" s="526" t="s">
        <v>312</v>
      </c>
      <c r="O37" s="518"/>
      <c r="P37" s="518"/>
      <c r="Q37" s="119"/>
      <c r="R37" s="119"/>
      <c r="S37" s="119" t="s">
        <v>339</v>
      </c>
      <c r="T37" s="118">
        <v>1</v>
      </c>
      <c r="U37" s="119" t="s">
        <v>340</v>
      </c>
      <c r="V37" s="118">
        <v>1.2</v>
      </c>
      <c r="W37" s="119"/>
      <c r="X37" s="119"/>
      <c r="Y37" s="124"/>
    </row>
    <row r="38" spans="1:25" x14ac:dyDescent="0.25">
      <c r="A38" s="117" t="s">
        <v>313</v>
      </c>
      <c r="B38" s="119"/>
      <c r="C38" s="119"/>
      <c r="D38" s="122"/>
      <c r="E38" s="125"/>
      <c r="J38" s="119"/>
      <c r="K38" s="119"/>
      <c r="L38" s="124"/>
      <c r="N38" s="117" t="s">
        <v>313</v>
      </c>
      <c r="O38" s="119"/>
      <c r="P38" s="119"/>
      <c r="Q38" s="119"/>
      <c r="R38" s="119"/>
      <c r="W38" s="119"/>
      <c r="X38" s="119"/>
      <c r="Y38" s="124"/>
    </row>
    <row r="39" spans="1:25" x14ac:dyDescent="0.25">
      <c r="A39" s="525"/>
      <c r="B39" s="516"/>
      <c r="C39" s="516" t="s">
        <v>32</v>
      </c>
      <c r="D39" s="533">
        <f>I34*POWER(G30,3/4)</f>
        <v>0.3444591260898523</v>
      </c>
      <c r="E39" s="534" t="s">
        <v>314</v>
      </c>
      <c r="F39" s="516"/>
      <c r="G39" s="516"/>
      <c r="H39" s="516"/>
      <c r="I39" s="119"/>
      <c r="J39" s="119"/>
      <c r="K39" s="119"/>
      <c r="L39" s="124"/>
      <c r="N39" s="525"/>
      <c r="O39" s="516"/>
      <c r="P39" s="516" t="s">
        <v>32</v>
      </c>
      <c r="Q39" s="524">
        <f>V34*POWER(T30,3/4)</f>
        <v>0.3444591260898523</v>
      </c>
      <c r="R39" s="517" t="s">
        <v>314</v>
      </c>
      <c r="S39" s="516"/>
      <c r="T39" s="516"/>
      <c r="U39" s="516"/>
      <c r="V39" s="119"/>
      <c r="W39" s="119"/>
      <c r="X39" s="119"/>
      <c r="Y39" s="124"/>
    </row>
    <row r="40" spans="1:25" x14ac:dyDescent="0.25">
      <c r="A40" s="525"/>
      <c r="B40" s="516"/>
      <c r="C40" s="516"/>
      <c r="D40" s="533"/>
      <c r="E40" s="534"/>
      <c r="F40" s="516"/>
      <c r="G40" s="516"/>
      <c r="H40" s="516"/>
      <c r="I40" s="119"/>
      <c r="J40" s="119"/>
      <c r="K40" s="119"/>
      <c r="L40" s="124"/>
      <c r="N40" s="525"/>
      <c r="O40" s="516"/>
      <c r="P40" s="516"/>
      <c r="Q40" s="524"/>
      <c r="R40" s="517"/>
      <c r="S40" s="516"/>
      <c r="T40" s="516"/>
      <c r="U40" s="516"/>
      <c r="V40" s="119"/>
      <c r="W40" s="119"/>
      <c r="X40" s="119"/>
      <c r="Y40" s="124"/>
    </row>
    <row r="41" spans="1:25" x14ac:dyDescent="0.25">
      <c r="A41" s="525"/>
      <c r="B41" s="516"/>
      <c r="C41" s="516" t="s">
        <v>32</v>
      </c>
      <c r="D41" s="533">
        <f>(H36*G33*G31)/(D39*G34)</f>
        <v>80.344373419465626</v>
      </c>
      <c r="E41" s="534" t="s">
        <v>137</v>
      </c>
      <c r="F41" s="516"/>
      <c r="G41" s="516"/>
      <c r="H41" s="517" t="s">
        <v>32</v>
      </c>
      <c r="I41" s="516">
        <f>0.11*H35*G33*G31</f>
        <v>14.825052190080001</v>
      </c>
      <c r="J41" s="518" t="s">
        <v>137</v>
      </c>
      <c r="L41" s="124"/>
      <c r="N41" s="525"/>
      <c r="O41" s="516"/>
      <c r="P41" s="516" t="s">
        <v>32</v>
      </c>
      <c r="Q41" s="524">
        <f>(U36*T33*T31)/(Q39*T34)</f>
        <v>108.12009444744049</v>
      </c>
      <c r="R41" s="517" t="s">
        <v>137</v>
      </c>
      <c r="S41" s="516"/>
      <c r="T41" s="516"/>
      <c r="U41" s="517" t="s">
        <v>32</v>
      </c>
      <c r="V41" s="516">
        <f>0.11*U35*T33*T31</f>
        <v>19.950196569599996</v>
      </c>
      <c r="W41" s="518" t="s">
        <v>137</v>
      </c>
      <c r="Y41" s="124"/>
    </row>
    <row r="42" spans="1:25" x14ac:dyDescent="0.25">
      <c r="A42" s="525"/>
      <c r="B42" s="516"/>
      <c r="C42" s="516"/>
      <c r="D42" s="533"/>
      <c r="E42" s="534"/>
      <c r="F42" s="516"/>
      <c r="G42" s="516"/>
      <c r="H42" s="517"/>
      <c r="I42" s="516"/>
      <c r="J42" s="518"/>
      <c r="L42" s="124"/>
      <c r="N42" s="525"/>
      <c r="O42" s="516"/>
      <c r="P42" s="516"/>
      <c r="Q42" s="524"/>
      <c r="R42" s="517"/>
      <c r="S42" s="516"/>
      <c r="T42" s="516"/>
      <c r="U42" s="517"/>
      <c r="V42" s="516"/>
      <c r="W42" s="518"/>
      <c r="Y42" s="124"/>
    </row>
    <row r="43" spans="1:25" x14ac:dyDescent="0.25">
      <c r="A43" s="117"/>
      <c r="B43" s="119"/>
      <c r="C43" s="128"/>
      <c r="D43" s="122"/>
      <c r="E43" s="125"/>
      <c r="F43" s="119"/>
      <c r="G43" s="119"/>
      <c r="H43" s="119" t="s">
        <v>315</v>
      </c>
      <c r="I43" s="119"/>
      <c r="J43" s="119"/>
      <c r="L43" s="124"/>
      <c r="N43" s="117"/>
      <c r="O43" s="119"/>
      <c r="P43" s="128"/>
      <c r="Q43" s="119"/>
      <c r="R43" s="119"/>
      <c r="S43" s="119"/>
      <c r="T43" s="119"/>
      <c r="U43" s="119" t="s">
        <v>315</v>
      </c>
      <c r="V43" s="119"/>
      <c r="W43" s="119"/>
      <c r="Y43" s="124"/>
    </row>
    <row r="44" spans="1:25" x14ac:dyDescent="0.25">
      <c r="A44" s="525"/>
      <c r="B44" s="516"/>
      <c r="C44" s="516" t="s">
        <v>32</v>
      </c>
      <c r="D44" s="533">
        <f>(2.5*H35*G33*G31)/G34</f>
        <v>39.639176978823535</v>
      </c>
      <c r="E44" s="534" t="s">
        <v>137</v>
      </c>
      <c r="F44" s="516"/>
      <c r="G44" s="516"/>
      <c r="H44" s="517" t="s">
        <v>32</v>
      </c>
      <c r="I44" s="516">
        <f>(0.8*I33*I37*G33*G31)/G34</f>
        <v>13.837676327152947</v>
      </c>
      <c r="J44" s="518" t="s">
        <v>137</v>
      </c>
      <c r="L44" s="124"/>
      <c r="N44" s="525"/>
      <c r="O44" s="516"/>
      <c r="P44" s="516" t="s">
        <v>32</v>
      </c>
      <c r="Q44" s="524">
        <f>(2.5*U35*T33*T31)/T34</f>
        <v>53.342771576470582</v>
      </c>
      <c r="R44" s="517" t="s">
        <v>137</v>
      </c>
      <c r="S44" s="516"/>
      <c r="T44" s="516"/>
      <c r="U44" s="517" t="s">
        <v>32</v>
      </c>
      <c r="V44" s="516">
        <f>(0.8*V33*V37*T33*T31)/T34</f>
        <v>18.621476623058825</v>
      </c>
      <c r="W44" s="518" t="s">
        <v>137</v>
      </c>
      <c r="Y44" s="124"/>
    </row>
    <row r="45" spans="1:25" x14ac:dyDescent="0.25">
      <c r="A45" s="525"/>
      <c r="B45" s="516"/>
      <c r="C45" s="516"/>
      <c r="D45" s="533"/>
      <c r="E45" s="534"/>
      <c r="F45" s="516"/>
      <c r="G45" s="516"/>
      <c r="H45" s="517"/>
      <c r="I45" s="516"/>
      <c r="J45" s="518"/>
      <c r="L45" s="124"/>
      <c r="N45" s="525"/>
      <c r="O45" s="516"/>
      <c r="P45" s="516"/>
      <c r="Q45" s="524"/>
      <c r="R45" s="517"/>
      <c r="S45" s="516"/>
      <c r="T45" s="516"/>
      <c r="U45" s="517"/>
      <c r="V45" s="516"/>
      <c r="W45" s="518"/>
      <c r="Y45" s="124"/>
    </row>
    <row r="46" spans="1:25" x14ac:dyDescent="0.25">
      <c r="A46" s="117" t="s">
        <v>316</v>
      </c>
      <c r="B46" s="119"/>
      <c r="C46" s="119"/>
      <c r="D46" s="122"/>
      <c r="E46" s="125"/>
      <c r="F46" s="119"/>
      <c r="G46" s="119"/>
      <c r="H46" s="119"/>
      <c r="I46" s="119"/>
      <c r="J46" s="119"/>
      <c r="K46" s="119"/>
      <c r="L46" s="124"/>
      <c r="N46" s="117" t="s">
        <v>316</v>
      </c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24"/>
    </row>
    <row r="47" spans="1:25" x14ac:dyDescent="0.25">
      <c r="A47" s="347" t="s">
        <v>317</v>
      </c>
      <c r="B47" s="348">
        <f>D44</f>
        <v>39.639176978823535</v>
      </c>
      <c r="C47" s="349" t="s">
        <v>137</v>
      </c>
      <c r="D47" s="350"/>
      <c r="E47" s="125"/>
      <c r="F47" s="119"/>
      <c r="G47" s="119"/>
      <c r="H47" s="119"/>
      <c r="I47" s="119"/>
      <c r="J47" s="119"/>
      <c r="K47" s="119"/>
      <c r="L47" s="124"/>
      <c r="N47" s="347" t="s">
        <v>317</v>
      </c>
      <c r="O47" s="348">
        <f>Q44</f>
        <v>53.342771576470582</v>
      </c>
      <c r="P47" s="349" t="s">
        <v>137</v>
      </c>
      <c r="Q47" s="349"/>
      <c r="R47" s="119"/>
      <c r="S47" s="119"/>
      <c r="T47" s="119"/>
      <c r="U47" s="119"/>
      <c r="V47" s="119"/>
      <c r="W47" s="119"/>
      <c r="X47" s="119"/>
      <c r="Y47" s="124"/>
    </row>
    <row r="48" spans="1:25" x14ac:dyDescent="0.25">
      <c r="A48" s="117"/>
      <c r="B48" s="119"/>
      <c r="C48" s="119"/>
      <c r="D48" s="122"/>
      <c r="E48" s="125"/>
      <c r="F48" s="119"/>
      <c r="G48" s="119"/>
      <c r="H48" s="119"/>
      <c r="I48" s="119"/>
      <c r="J48" s="119"/>
      <c r="K48" s="119"/>
      <c r="L48" s="124"/>
      <c r="N48" s="117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24"/>
    </row>
    <row r="49" spans="1:25" x14ac:dyDescent="0.25">
      <c r="A49" s="510" t="s">
        <v>318</v>
      </c>
      <c r="B49" s="512" t="s">
        <v>319</v>
      </c>
      <c r="C49" s="512" t="s">
        <v>341</v>
      </c>
      <c r="D49" s="529" t="s">
        <v>342</v>
      </c>
      <c r="E49" s="531" t="s">
        <v>343</v>
      </c>
      <c r="F49" s="129" t="s">
        <v>320</v>
      </c>
      <c r="G49" s="506" t="s">
        <v>344</v>
      </c>
      <c r="H49" s="514"/>
      <c r="I49" s="506" t="s">
        <v>321</v>
      </c>
      <c r="J49" s="514"/>
      <c r="K49" s="506" t="s">
        <v>322</v>
      </c>
      <c r="L49" s="507"/>
      <c r="N49" s="510" t="s">
        <v>318</v>
      </c>
      <c r="O49" s="512" t="s">
        <v>319</v>
      </c>
      <c r="P49" s="512" t="s">
        <v>341</v>
      </c>
      <c r="Q49" s="512" t="s">
        <v>342</v>
      </c>
      <c r="R49" s="512" t="s">
        <v>343</v>
      </c>
      <c r="S49" s="129" t="s">
        <v>320</v>
      </c>
      <c r="T49" s="506" t="s">
        <v>344</v>
      </c>
      <c r="U49" s="514"/>
      <c r="V49" s="506" t="s">
        <v>321</v>
      </c>
      <c r="W49" s="514"/>
      <c r="X49" s="506" t="s">
        <v>322</v>
      </c>
      <c r="Y49" s="507"/>
    </row>
    <row r="50" spans="1:25" x14ac:dyDescent="0.25">
      <c r="A50" s="511"/>
      <c r="B50" s="513"/>
      <c r="C50" s="513"/>
      <c r="D50" s="530"/>
      <c r="E50" s="532"/>
      <c r="F50" s="130" t="s">
        <v>345</v>
      </c>
      <c r="G50" s="508"/>
      <c r="H50" s="515"/>
      <c r="I50" s="508"/>
      <c r="J50" s="515"/>
      <c r="K50" s="508"/>
      <c r="L50" s="509"/>
      <c r="N50" s="511"/>
      <c r="O50" s="513"/>
      <c r="P50" s="513"/>
      <c r="Q50" s="513"/>
      <c r="R50" s="513"/>
      <c r="S50" s="130" t="s">
        <v>345</v>
      </c>
      <c r="T50" s="508"/>
      <c r="U50" s="515"/>
      <c r="V50" s="508"/>
      <c r="W50" s="515"/>
      <c r="X50" s="508"/>
      <c r="Y50" s="509"/>
    </row>
    <row r="51" spans="1:25" x14ac:dyDescent="0.25">
      <c r="A51" s="177" t="s">
        <v>289</v>
      </c>
      <c r="B51" s="132">
        <v>3.2</v>
      </c>
      <c r="C51" s="132">
        <f>SUM(B51:B53)</f>
        <v>7.9</v>
      </c>
      <c r="D51" s="135">
        <f>(B31)</f>
        <v>103.63127040000001</v>
      </c>
      <c r="E51" s="136">
        <f>D51*C51</f>
        <v>818.68703616000005</v>
      </c>
      <c r="F51" s="134">
        <f>E51/E54</f>
        <v>0.53946147308808234</v>
      </c>
      <c r="G51" s="519">
        <f>F51*B47</f>
        <v>21.383808804995347</v>
      </c>
      <c r="H51" s="521"/>
      <c r="I51" s="519">
        <f>I52-G52</f>
        <v>21.383808804995351</v>
      </c>
      <c r="J51" s="521"/>
      <c r="K51" s="519">
        <f>I51*B51</f>
        <v>68.428188175985127</v>
      </c>
      <c r="L51" s="520"/>
      <c r="N51" s="131" t="s">
        <v>430</v>
      </c>
      <c r="O51" s="132">
        <v>3.2</v>
      </c>
      <c r="P51" s="132">
        <f>SUM(O51:O53)</f>
        <v>7.9</v>
      </c>
      <c r="Q51" s="133">
        <f>(O31)</f>
        <v>164.99599999999998</v>
      </c>
      <c r="R51" s="133">
        <f>Q51*P51</f>
        <v>1303.4684</v>
      </c>
      <c r="S51" s="134">
        <f>R51/R54</f>
        <v>0.56941081032376073</v>
      </c>
      <c r="T51" s="519">
        <f>S51*O47</f>
        <v>30.373950788273387</v>
      </c>
      <c r="U51" s="521"/>
      <c r="V51" s="519">
        <f>V52-T52</f>
        <v>30.373950788273387</v>
      </c>
      <c r="W51" s="521"/>
      <c r="X51" s="519">
        <f>V51*O51</f>
        <v>97.196642522474846</v>
      </c>
      <c r="Y51" s="520"/>
    </row>
    <row r="52" spans="1:25" x14ac:dyDescent="0.25">
      <c r="A52" s="131">
        <v>2</v>
      </c>
      <c r="B52" s="132">
        <v>3.2</v>
      </c>
      <c r="C52" s="132">
        <f>B52+B53</f>
        <v>4.7</v>
      </c>
      <c r="D52" s="135">
        <f>(B30)</f>
        <v>123.40823040000002</v>
      </c>
      <c r="E52" s="136">
        <f>D52*C52</f>
        <v>580.01868288000014</v>
      </c>
      <c r="F52" s="134">
        <f>E52/E54</f>
        <v>0.38219456185929274</v>
      </c>
      <c r="G52" s="519">
        <f>F52*B47</f>
        <v>15.149877877884425</v>
      </c>
      <c r="H52" s="521"/>
      <c r="I52" s="519">
        <f>I53-G53</f>
        <v>36.533686682879775</v>
      </c>
      <c r="J52" s="521"/>
      <c r="K52" s="519">
        <f>K51+(I52*B52)</f>
        <v>185.3359855612004</v>
      </c>
      <c r="L52" s="520"/>
      <c r="N52" s="131">
        <v>2</v>
      </c>
      <c r="O52" s="132">
        <v>3.2</v>
      </c>
      <c r="P52" s="132">
        <f>O52+O53</f>
        <v>4.7</v>
      </c>
      <c r="Q52" s="133">
        <f>(O30)</f>
        <v>192.15227199999998</v>
      </c>
      <c r="R52" s="133">
        <f>Q52*P52</f>
        <v>903.11567839999998</v>
      </c>
      <c r="S52" s="134">
        <f>R52/R54</f>
        <v>0.39451959882866122</v>
      </c>
      <c r="T52" s="519">
        <f>S52*O47</f>
        <v>21.044768842758085</v>
      </c>
      <c r="U52" s="521"/>
      <c r="V52" s="519">
        <f>V53-T53</f>
        <v>51.418719631031472</v>
      </c>
      <c r="W52" s="521"/>
      <c r="X52" s="519">
        <f>X51+(V52*O52)</f>
        <v>261.73654534177558</v>
      </c>
      <c r="Y52" s="520"/>
    </row>
    <row r="53" spans="1:25" x14ac:dyDescent="0.25">
      <c r="A53" s="131">
        <v>1</v>
      </c>
      <c r="B53" s="132">
        <v>1.5</v>
      </c>
      <c r="C53" s="132">
        <f>B53</f>
        <v>1.5</v>
      </c>
      <c r="D53" s="135">
        <f>B29</f>
        <v>79.263230400000012</v>
      </c>
      <c r="E53" s="136">
        <f>D53*C53</f>
        <v>118.89484560000002</v>
      </c>
      <c r="F53" s="134">
        <f>E53/E54</f>
        <v>7.834396505262492E-2</v>
      </c>
      <c r="G53" s="519">
        <f>F53*B47</f>
        <v>3.1054902959437651</v>
      </c>
      <c r="H53" s="521"/>
      <c r="I53" s="519">
        <f>G54</f>
        <v>39.639176978823542</v>
      </c>
      <c r="J53" s="521"/>
      <c r="K53" s="519">
        <f>K52+(I53*B53)</f>
        <v>244.7947510294357</v>
      </c>
      <c r="L53" s="520"/>
      <c r="N53" s="131">
        <v>1</v>
      </c>
      <c r="O53" s="132">
        <v>1.5</v>
      </c>
      <c r="P53" s="132">
        <f>O53</f>
        <v>1.5</v>
      </c>
      <c r="Q53" s="133">
        <f>O29</f>
        <v>55.045872000000003</v>
      </c>
      <c r="R53" s="133">
        <f>Q53*P53</f>
        <v>82.568808000000004</v>
      </c>
      <c r="S53" s="134">
        <f>R53/R54</f>
        <v>3.6069590847577909E-2</v>
      </c>
      <c r="T53" s="519">
        <f>S53*O47</f>
        <v>1.9240519454391023</v>
      </c>
      <c r="U53" s="521"/>
      <c r="V53" s="519">
        <f>T54</f>
        <v>53.342771576470575</v>
      </c>
      <c r="W53" s="521"/>
      <c r="X53" s="519">
        <f>X52+(V53*O53)</f>
        <v>341.75070270648143</v>
      </c>
      <c r="Y53" s="520"/>
    </row>
    <row r="54" spans="1:25" ht="14.4" thickBot="1" x14ac:dyDescent="0.3">
      <c r="A54" s="137"/>
      <c r="B54" s="138"/>
      <c r="C54" s="138"/>
      <c r="D54" s="142">
        <f>SUM(D51:D53)</f>
        <v>306.30273120000004</v>
      </c>
      <c r="E54" s="143">
        <f>SUM(E51:E53)</f>
        <v>1517.6005646400001</v>
      </c>
      <c r="F54" s="140">
        <f>SUM(F51:F53)</f>
        <v>1</v>
      </c>
      <c r="G54" s="522">
        <f>SUM(G51:G53)</f>
        <v>39.639176978823542</v>
      </c>
      <c r="H54" s="523"/>
      <c r="I54" s="138"/>
      <c r="J54" s="138"/>
      <c r="K54" s="138"/>
      <c r="L54" s="141"/>
      <c r="N54" s="137"/>
      <c r="O54" s="138"/>
      <c r="P54" s="138"/>
      <c r="Q54" s="139">
        <f>SUM(Q51:Q53)</f>
        <v>412.19414399999994</v>
      </c>
      <c r="R54" s="139">
        <f>SUM(R51:R53)</f>
        <v>2289.1528864000002</v>
      </c>
      <c r="S54" s="140">
        <f>SUM(S51:S53)</f>
        <v>0.99999999999999978</v>
      </c>
      <c r="T54" s="522">
        <f>SUM(T51:T53)</f>
        <v>53.342771576470575</v>
      </c>
      <c r="U54" s="523"/>
      <c r="V54" s="138"/>
      <c r="W54" s="138"/>
      <c r="X54" s="138"/>
      <c r="Y54" s="141"/>
    </row>
    <row r="55" spans="1:25" s="354" customFormat="1" ht="19.8" x14ac:dyDescent="0.35">
      <c r="A55" s="428" t="s">
        <v>303</v>
      </c>
      <c r="B55" s="527"/>
      <c r="C55" s="527"/>
      <c r="D55" s="527"/>
      <c r="E55" s="527"/>
      <c r="F55" s="527"/>
      <c r="G55" s="527"/>
      <c r="H55" s="527"/>
      <c r="I55" s="527"/>
      <c r="J55" s="527"/>
      <c r="K55" s="527"/>
      <c r="L55" s="528"/>
      <c r="N55" s="428" t="s">
        <v>326</v>
      </c>
      <c r="O55" s="527"/>
      <c r="P55" s="527"/>
      <c r="Q55" s="527"/>
      <c r="R55" s="527"/>
      <c r="S55" s="527"/>
      <c r="T55" s="527"/>
      <c r="U55" s="527"/>
      <c r="V55" s="527"/>
      <c r="W55" s="527"/>
      <c r="X55" s="527"/>
      <c r="Y55" s="528"/>
    </row>
    <row r="56" spans="1:25" ht="23.4" x14ac:dyDescent="0.25">
      <c r="A56" s="117" t="s">
        <v>330</v>
      </c>
      <c r="B56" s="535">
        <f>'[1]LOADS FOR EQ'!N20</f>
        <v>79.263230400000012</v>
      </c>
      <c r="C56" s="535"/>
      <c r="D56" s="122" t="s">
        <v>137</v>
      </c>
      <c r="E56" s="123"/>
      <c r="F56" s="120"/>
      <c r="G56" s="120"/>
      <c r="H56" s="120"/>
      <c r="I56" s="120"/>
      <c r="J56" s="120"/>
      <c r="K56" s="120"/>
      <c r="L56" s="121"/>
      <c r="N56" s="117" t="s">
        <v>330</v>
      </c>
      <c r="O56" s="518">
        <v>143.2704</v>
      </c>
      <c r="P56" s="518"/>
      <c r="Q56" s="119" t="s">
        <v>137</v>
      </c>
      <c r="R56" s="120"/>
      <c r="S56" s="120"/>
      <c r="T56" s="120"/>
      <c r="U56" s="120"/>
      <c r="V56" s="120"/>
      <c r="W56" s="120"/>
      <c r="X56" s="120"/>
      <c r="Y56" s="121"/>
    </row>
    <row r="57" spans="1:25" ht="17.399999999999999" x14ac:dyDescent="0.25">
      <c r="A57" s="117" t="s">
        <v>331</v>
      </c>
      <c r="B57" s="535">
        <f>'[1]LOADS FOR EQ'!N26</f>
        <v>111.88108800000002</v>
      </c>
      <c r="C57" s="535"/>
      <c r="D57" s="122" t="s">
        <v>137</v>
      </c>
      <c r="E57" s="125"/>
      <c r="F57" s="119" t="s">
        <v>332</v>
      </c>
      <c r="G57" s="118">
        <f>SUM(B78:B80)</f>
        <v>7.9</v>
      </c>
      <c r="H57" s="119" t="s">
        <v>74</v>
      </c>
      <c r="I57" s="119"/>
      <c r="J57" s="119"/>
      <c r="K57" s="119"/>
      <c r="L57" s="124"/>
      <c r="N57" s="117" t="s">
        <v>331</v>
      </c>
      <c r="O57" s="518">
        <v>233.632272</v>
      </c>
      <c r="P57" s="518"/>
      <c r="Q57" s="119" t="s">
        <v>137</v>
      </c>
      <c r="R57" s="119"/>
      <c r="S57" s="119" t="s">
        <v>332</v>
      </c>
      <c r="T57" s="118">
        <f>SUM(O78:O80)</f>
        <v>7.9</v>
      </c>
      <c r="U57" s="119" t="s">
        <v>74</v>
      </c>
      <c r="V57" s="119"/>
      <c r="W57" s="119"/>
      <c r="X57" s="119"/>
      <c r="Y57" s="124"/>
    </row>
    <row r="58" spans="1:25" ht="17.399999999999999" x14ac:dyDescent="0.25">
      <c r="A58" s="117" t="s">
        <v>333</v>
      </c>
      <c r="B58" s="535">
        <f>'[1]LOADS FOR EQ'!N32</f>
        <v>68.089248000000012</v>
      </c>
      <c r="C58" s="535"/>
      <c r="D58" s="122" t="s">
        <v>137</v>
      </c>
      <c r="E58" s="125"/>
      <c r="F58" s="119" t="s">
        <v>334</v>
      </c>
      <c r="G58" s="127">
        <f>SUM(B56:C58)</f>
        <v>259.23356640000003</v>
      </c>
      <c r="H58" s="119" t="s">
        <v>137</v>
      </c>
      <c r="I58" s="119"/>
      <c r="J58" s="119"/>
      <c r="K58" s="119"/>
      <c r="L58" s="124"/>
      <c r="N58" s="117" t="s">
        <v>333</v>
      </c>
      <c r="O58" s="518">
        <v>183.29519999999999</v>
      </c>
      <c r="P58" s="518"/>
      <c r="Q58" s="119" t="s">
        <v>137</v>
      </c>
      <c r="R58" s="119"/>
      <c r="S58" s="119" t="s">
        <v>334</v>
      </c>
      <c r="T58" s="126">
        <f>SUM(O56:P58)</f>
        <v>560.19787199999996</v>
      </c>
      <c r="U58" s="119" t="s">
        <v>137</v>
      </c>
      <c r="V58" s="119"/>
      <c r="W58" s="119"/>
      <c r="X58" s="119"/>
      <c r="Y58" s="124"/>
    </row>
    <row r="59" spans="1:25" x14ac:dyDescent="0.25">
      <c r="A59" s="63"/>
      <c r="D59" s="106"/>
      <c r="E59" s="125"/>
      <c r="I59" s="119"/>
      <c r="J59" s="119"/>
      <c r="K59" s="119"/>
      <c r="L59" s="124"/>
      <c r="N59" s="63"/>
      <c r="R59" s="119"/>
      <c r="V59" s="119"/>
      <c r="W59" s="119"/>
      <c r="X59" s="119"/>
      <c r="Y59" s="124"/>
    </row>
    <row r="60" spans="1:25" x14ac:dyDescent="0.25">
      <c r="A60" s="526" t="s">
        <v>307</v>
      </c>
      <c r="B60" s="518"/>
      <c r="C60" s="518"/>
      <c r="D60" s="122"/>
      <c r="E60" s="125"/>
      <c r="F60" s="119" t="s">
        <v>305</v>
      </c>
      <c r="G60" s="118">
        <v>1</v>
      </c>
      <c r="H60" s="119" t="s">
        <v>306</v>
      </c>
      <c r="I60" s="118">
        <v>0.4</v>
      </c>
      <c r="J60" s="119"/>
      <c r="K60" s="119"/>
      <c r="L60" s="124"/>
      <c r="N60" s="526" t="s">
        <v>304</v>
      </c>
      <c r="O60" s="518"/>
      <c r="P60" s="518"/>
      <c r="Q60" s="119"/>
      <c r="R60" s="119"/>
      <c r="S60" s="119" t="s">
        <v>305</v>
      </c>
      <c r="T60" s="118">
        <v>1</v>
      </c>
      <c r="U60" s="119" t="s">
        <v>306</v>
      </c>
      <c r="V60" s="118">
        <v>0.4</v>
      </c>
      <c r="W60" s="119"/>
      <c r="X60" s="119"/>
      <c r="Y60" s="124"/>
    </row>
    <row r="61" spans="1:25" ht="17.399999999999999" x14ac:dyDescent="0.25">
      <c r="A61" s="526" t="s">
        <v>308</v>
      </c>
      <c r="B61" s="518"/>
      <c r="C61" s="518"/>
      <c r="D61" s="518"/>
      <c r="E61" s="125"/>
      <c r="F61" s="119" t="s">
        <v>309</v>
      </c>
      <c r="G61" s="118">
        <v>8.5</v>
      </c>
      <c r="H61" s="119" t="s">
        <v>335</v>
      </c>
      <c r="I61" s="118">
        <v>7.3099999999999998E-2</v>
      </c>
      <c r="J61" s="119"/>
      <c r="K61" s="119"/>
      <c r="L61" s="124"/>
      <c r="N61" s="526" t="s">
        <v>308</v>
      </c>
      <c r="O61" s="518"/>
      <c r="P61" s="518"/>
      <c r="Q61" s="518"/>
      <c r="R61" s="119"/>
      <c r="S61" s="119" t="s">
        <v>309</v>
      </c>
      <c r="T61" s="118">
        <v>8.5</v>
      </c>
      <c r="U61" s="119" t="s">
        <v>335</v>
      </c>
      <c r="V61" s="118">
        <v>7.3099999999999998E-2</v>
      </c>
      <c r="W61" s="119"/>
      <c r="X61" s="119"/>
      <c r="Y61" s="124"/>
    </row>
    <row r="62" spans="1:25" ht="17.399999999999999" x14ac:dyDescent="0.25">
      <c r="A62" s="117" t="s">
        <v>336</v>
      </c>
      <c r="B62" s="119"/>
      <c r="C62" s="119"/>
      <c r="D62" s="122"/>
      <c r="E62" s="125"/>
      <c r="F62" s="119" t="s">
        <v>337</v>
      </c>
      <c r="G62" s="128" t="s">
        <v>32</v>
      </c>
      <c r="H62" s="128">
        <f>0.44*G64</f>
        <v>0.44</v>
      </c>
      <c r="I62" s="119"/>
      <c r="J62" s="119"/>
      <c r="K62" s="119"/>
      <c r="L62" s="124"/>
      <c r="N62" s="117" t="s">
        <v>336</v>
      </c>
      <c r="O62" s="119"/>
      <c r="P62" s="119"/>
      <c r="Q62" s="119"/>
      <c r="R62" s="119"/>
      <c r="S62" s="119" t="s">
        <v>337</v>
      </c>
      <c r="T62" s="128" t="s">
        <v>32</v>
      </c>
      <c r="U62" s="128">
        <f>0.44*T64</f>
        <v>0.44</v>
      </c>
      <c r="V62" s="119"/>
      <c r="W62" s="119"/>
      <c r="X62" s="119"/>
      <c r="Y62" s="124"/>
    </row>
    <row r="63" spans="1:25" ht="17.399999999999999" x14ac:dyDescent="0.25">
      <c r="A63" s="526" t="s">
        <v>311</v>
      </c>
      <c r="B63" s="518"/>
      <c r="C63" s="518"/>
      <c r="D63" s="122"/>
      <c r="E63" s="125"/>
      <c r="F63" s="119" t="s">
        <v>338</v>
      </c>
      <c r="G63" s="128" t="s">
        <v>32</v>
      </c>
      <c r="H63" s="128">
        <f>0.64*I64</f>
        <v>0.76800000000000002</v>
      </c>
      <c r="I63" s="119"/>
      <c r="J63" s="119"/>
      <c r="K63" s="119"/>
      <c r="L63" s="124"/>
      <c r="N63" s="526" t="s">
        <v>310</v>
      </c>
      <c r="O63" s="518"/>
      <c r="P63" s="518"/>
      <c r="Q63" s="119"/>
      <c r="R63" s="119"/>
      <c r="S63" s="119" t="s">
        <v>338</v>
      </c>
      <c r="T63" s="128" t="s">
        <v>32</v>
      </c>
      <c r="U63" s="128">
        <f>0.64*V64</f>
        <v>0.76800000000000002</v>
      </c>
      <c r="V63" s="119"/>
      <c r="W63" s="119"/>
      <c r="X63" s="119"/>
      <c r="Y63" s="124"/>
    </row>
    <row r="64" spans="1:25" ht="17.399999999999999" x14ac:dyDescent="0.25">
      <c r="A64" s="526" t="s">
        <v>312</v>
      </c>
      <c r="B64" s="518"/>
      <c r="C64" s="518"/>
      <c r="D64" s="122"/>
      <c r="E64" s="125"/>
      <c r="F64" s="119" t="s">
        <v>339</v>
      </c>
      <c r="G64" s="118">
        <v>1</v>
      </c>
      <c r="H64" s="119" t="s">
        <v>340</v>
      </c>
      <c r="I64" s="118">
        <v>1.2</v>
      </c>
      <c r="J64" s="119"/>
      <c r="K64" s="119"/>
      <c r="L64" s="124"/>
      <c r="N64" s="526" t="s">
        <v>312</v>
      </c>
      <c r="O64" s="518"/>
      <c r="P64" s="518"/>
      <c r="Q64" s="119"/>
      <c r="R64" s="119"/>
      <c r="S64" s="119" t="s">
        <v>339</v>
      </c>
      <c r="T64" s="118">
        <v>1</v>
      </c>
      <c r="U64" s="119" t="s">
        <v>340</v>
      </c>
      <c r="V64" s="118">
        <v>1.2</v>
      </c>
      <c r="W64" s="119"/>
      <c r="X64" s="119"/>
      <c r="Y64" s="124"/>
    </row>
    <row r="65" spans="1:25" x14ac:dyDescent="0.25">
      <c r="A65" s="117" t="s">
        <v>313</v>
      </c>
      <c r="B65" s="119"/>
      <c r="C65" s="119"/>
      <c r="D65" s="122"/>
      <c r="E65" s="125"/>
      <c r="J65" s="119"/>
      <c r="K65" s="119"/>
      <c r="L65" s="124"/>
      <c r="N65" s="117" t="s">
        <v>313</v>
      </c>
      <c r="O65" s="119"/>
      <c r="P65" s="119"/>
      <c r="Q65" s="119"/>
      <c r="R65" s="119"/>
      <c r="W65" s="119"/>
      <c r="X65" s="119"/>
      <c r="Y65" s="124"/>
    </row>
    <row r="66" spans="1:25" x14ac:dyDescent="0.25">
      <c r="A66" s="525"/>
      <c r="B66" s="516"/>
      <c r="C66" s="516" t="s">
        <v>32</v>
      </c>
      <c r="D66" s="533">
        <f>I61*POWER(G57,3/4)</f>
        <v>0.3444591260898523</v>
      </c>
      <c r="E66" s="534" t="s">
        <v>314</v>
      </c>
      <c r="F66" s="516"/>
      <c r="G66" s="516"/>
      <c r="H66" s="516"/>
      <c r="I66" s="119"/>
      <c r="J66" s="119"/>
      <c r="K66" s="119"/>
      <c r="L66" s="124"/>
      <c r="N66" s="525"/>
      <c r="O66" s="516"/>
      <c r="P66" s="516" t="s">
        <v>32</v>
      </c>
      <c r="Q66" s="524">
        <f>V61*POWER(T57,3/4)</f>
        <v>0.3444591260898523</v>
      </c>
      <c r="R66" s="517" t="s">
        <v>314</v>
      </c>
      <c r="S66" s="516"/>
      <c r="T66" s="516"/>
      <c r="U66" s="516"/>
      <c r="V66" s="119"/>
      <c r="W66" s="119"/>
      <c r="X66" s="119"/>
      <c r="Y66" s="124"/>
    </row>
    <row r="67" spans="1:25" x14ac:dyDescent="0.25">
      <c r="A67" s="525"/>
      <c r="B67" s="516"/>
      <c r="C67" s="516"/>
      <c r="D67" s="533"/>
      <c r="E67" s="534"/>
      <c r="F67" s="516"/>
      <c r="G67" s="516"/>
      <c r="H67" s="516"/>
      <c r="I67" s="119"/>
      <c r="J67" s="119"/>
      <c r="K67" s="119"/>
      <c r="L67" s="124"/>
      <c r="N67" s="525"/>
      <c r="O67" s="516"/>
      <c r="P67" s="516"/>
      <c r="Q67" s="524"/>
      <c r="R67" s="517"/>
      <c r="S67" s="516"/>
      <c r="T67" s="516"/>
      <c r="U67" s="516"/>
      <c r="V67" s="119"/>
      <c r="W67" s="119"/>
      <c r="X67" s="119"/>
      <c r="Y67" s="124"/>
    </row>
    <row r="68" spans="1:25" x14ac:dyDescent="0.25">
      <c r="A68" s="525"/>
      <c r="B68" s="516"/>
      <c r="C68" s="516" t="s">
        <v>32</v>
      </c>
      <c r="D68" s="533">
        <f>(H63*G60*G58)/(D66*G61)</f>
        <v>67.99795215701765</v>
      </c>
      <c r="E68" s="534" t="s">
        <v>137</v>
      </c>
      <c r="F68" s="516"/>
      <c r="G68" s="516"/>
      <c r="H68" s="517" t="s">
        <v>32</v>
      </c>
      <c r="I68" s="516">
        <f>0.11*H62*G60*G58</f>
        <v>12.546904613760001</v>
      </c>
      <c r="J68" s="518" t="s">
        <v>137</v>
      </c>
      <c r="L68" s="124"/>
      <c r="N68" s="525"/>
      <c r="O68" s="516"/>
      <c r="P68" s="516" t="s">
        <v>32</v>
      </c>
      <c r="Q68" s="524">
        <f>(U63*T60*T58)/(Q66*T61)</f>
        <v>146.94203620198735</v>
      </c>
      <c r="R68" s="517" t="s">
        <v>137</v>
      </c>
      <c r="S68" s="516"/>
      <c r="T68" s="516"/>
      <c r="U68" s="517" t="s">
        <v>32</v>
      </c>
      <c r="V68" s="516">
        <f>0.11*U62*T60*T58</f>
        <v>27.113577004799996</v>
      </c>
      <c r="W68" s="518" t="s">
        <v>137</v>
      </c>
      <c r="Y68" s="124"/>
    </row>
    <row r="69" spans="1:25" x14ac:dyDescent="0.25">
      <c r="A69" s="525"/>
      <c r="B69" s="516"/>
      <c r="C69" s="516"/>
      <c r="D69" s="533"/>
      <c r="E69" s="534"/>
      <c r="F69" s="516"/>
      <c r="G69" s="516"/>
      <c r="H69" s="517"/>
      <c r="I69" s="516"/>
      <c r="J69" s="518"/>
      <c r="L69" s="124"/>
      <c r="N69" s="525"/>
      <c r="O69" s="516"/>
      <c r="P69" s="516"/>
      <c r="Q69" s="524"/>
      <c r="R69" s="517"/>
      <c r="S69" s="516"/>
      <c r="T69" s="516"/>
      <c r="U69" s="517"/>
      <c r="V69" s="516"/>
      <c r="W69" s="518"/>
      <c r="Y69" s="124"/>
    </row>
    <row r="70" spans="1:25" x14ac:dyDescent="0.25">
      <c r="A70" s="117"/>
      <c r="B70" s="119"/>
      <c r="C70" s="128"/>
      <c r="D70" s="122"/>
      <c r="E70" s="125"/>
      <c r="F70" s="119"/>
      <c r="G70" s="119"/>
      <c r="H70" s="119" t="s">
        <v>315</v>
      </c>
      <c r="I70" s="119"/>
      <c r="J70" s="119"/>
      <c r="L70" s="124"/>
      <c r="N70" s="117"/>
      <c r="O70" s="119"/>
      <c r="P70" s="128"/>
      <c r="Q70" s="119"/>
      <c r="R70" s="119"/>
      <c r="S70" s="119"/>
      <c r="T70" s="119"/>
      <c r="U70" s="119" t="s">
        <v>315</v>
      </c>
      <c r="V70" s="119"/>
      <c r="W70" s="119"/>
      <c r="Y70" s="124"/>
    </row>
    <row r="71" spans="1:25" x14ac:dyDescent="0.25">
      <c r="A71" s="525"/>
      <c r="B71" s="516"/>
      <c r="C71" s="516" t="s">
        <v>32</v>
      </c>
      <c r="D71" s="533">
        <f>(2.5*H62*G60*G58)/G61</f>
        <v>33.547873298823532</v>
      </c>
      <c r="E71" s="534" t="s">
        <v>137</v>
      </c>
      <c r="F71" s="516"/>
      <c r="G71" s="516"/>
      <c r="H71" s="517" t="s">
        <v>32</v>
      </c>
      <c r="I71" s="516">
        <f>(0.8*I60*I64*G60*G58)/G61</f>
        <v>11.711257587952943</v>
      </c>
      <c r="J71" s="518" t="s">
        <v>137</v>
      </c>
      <c r="L71" s="124"/>
      <c r="N71" s="525"/>
      <c r="O71" s="516"/>
      <c r="P71" s="516" t="s">
        <v>32</v>
      </c>
      <c r="Q71" s="524">
        <f>(2.5*U62*T60*T58)/T61</f>
        <v>72.496195199999988</v>
      </c>
      <c r="R71" s="517" t="s">
        <v>137</v>
      </c>
      <c r="S71" s="516"/>
      <c r="T71" s="516"/>
      <c r="U71" s="517" t="s">
        <v>32</v>
      </c>
      <c r="V71" s="516">
        <f>(0.8*V60*V64*T60*T58)/T61</f>
        <v>25.307762688</v>
      </c>
      <c r="W71" s="518" t="s">
        <v>137</v>
      </c>
      <c r="Y71" s="124"/>
    </row>
    <row r="72" spans="1:25" x14ac:dyDescent="0.25">
      <c r="A72" s="525"/>
      <c r="B72" s="516"/>
      <c r="C72" s="516"/>
      <c r="D72" s="533"/>
      <c r="E72" s="534"/>
      <c r="F72" s="516"/>
      <c r="G72" s="516"/>
      <c r="H72" s="517"/>
      <c r="I72" s="516"/>
      <c r="J72" s="518"/>
      <c r="L72" s="124"/>
      <c r="N72" s="525"/>
      <c r="O72" s="516"/>
      <c r="P72" s="516"/>
      <c r="Q72" s="524"/>
      <c r="R72" s="517"/>
      <c r="S72" s="516"/>
      <c r="T72" s="516"/>
      <c r="U72" s="517"/>
      <c r="V72" s="516"/>
      <c r="W72" s="518"/>
      <c r="Y72" s="124"/>
    </row>
    <row r="73" spans="1:25" x14ac:dyDescent="0.25">
      <c r="A73" s="117" t="s">
        <v>316</v>
      </c>
      <c r="B73" s="119"/>
      <c r="C73" s="119"/>
      <c r="D73" s="122"/>
      <c r="E73" s="125"/>
      <c r="F73" s="119"/>
      <c r="G73" s="119"/>
      <c r="H73" s="119"/>
      <c r="I73" s="119"/>
      <c r="J73" s="119"/>
      <c r="K73" s="119"/>
      <c r="L73" s="124"/>
      <c r="N73" s="117" t="s">
        <v>316</v>
      </c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24"/>
    </row>
    <row r="74" spans="1:25" x14ac:dyDescent="0.25">
      <c r="A74" s="347" t="s">
        <v>317</v>
      </c>
      <c r="B74" s="348">
        <f>D71</f>
        <v>33.547873298823532</v>
      </c>
      <c r="C74" s="349" t="s">
        <v>137</v>
      </c>
      <c r="D74" s="350"/>
      <c r="E74" s="125"/>
      <c r="F74" s="119"/>
      <c r="G74" s="119"/>
      <c r="H74" s="119"/>
      <c r="I74" s="119"/>
      <c r="J74" s="119"/>
      <c r="K74" s="119"/>
      <c r="L74" s="124"/>
      <c r="N74" s="347" t="s">
        <v>317</v>
      </c>
      <c r="O74" s="348">
        <f>Q71</f>
        <v>72.496195199999988</v>
      </c>
      <c r="P74" s="349" t="s">
        <v>137</v>
      </c>
      <c r="Q74" s="349"/>
      <c r="R74" s="119"/>
      <c r="S74" s="119"/>
      <c r="T74" s="119"/>
      <c r="U74" s="119"/>
      <c r="V74" s="119"/>
      <c r="W74" s="119"/>
      <c r="X74" s="119"/>
      <c r="Y74" s="124"/>
    </row>
    <row r="75" spans="1:25" x14ac:dyDescent="0.25">
      <c r="A75" s="117"/>
      <c r="B75" s="119"/>
      <c r="C75" s="119"/>
      <c r="D75" s="122"/>
      <c r="E75" s="125"/>
      <c r="F75" s="119"/>
      <c r="G75" s="119"/>
      <c r="H75" s="119"/>
      <c r="I75" s="119"/>
      <c r="J75" s="119"/>
      <c r="K75" s="119"/>
      <c r="L75" s="124"/>
      <c r="N75" s="117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24"/>
    </row>
    <row r="76" spans="1:25" x14ac:dyDescent="0.25">
      <c r="A76" s="510" t="s">
        <v>318</v>
      </c>
      <c r="B76" s="512" t="s">
        <v>319</v>
      </c>
      <c r="C76" s="512" t="s">
        <v>341</v>
      </c>
      <c r="D76" s="529" t="s">
        <v>342</v>
      </c>
      <c r="E76" s="531" t="s">
        <v>343</v>
      </c>
      <c r="F76" s="129" t="s">
        <v>320</v>
      </c>
      <c r="G76" s="506" t="s">
        <v>344</v>
      </c>
      <c r="H76" s="514"/>
      <c r="I76" s="506" t="s">
        <v>321</v>
      </c>
      <c r="J76" s="514"/>
      <c r="K76" s="506" t="s">
        <v>322</v>
      </c>
      <c r="L76" s="507"/>
      <c r="N76" s="510" t="s">
        <v>318</v>
      </c>
      <c r="O76" s="512" t="s">
        <v>319</v>
      </c>
      <c r="P76" s="512" t="s">
        <v>341</v>
      </c>
      <c r="Q76" s="512" t="s">
        <v>342</v>
      </c>
      <c r="R76" s="512" t="s">
        <v>343</v>
      </c>
      <c r="S76" s="129" t="s">
        <v>320</v>
      </c>
      <c r="T76" s="506" t="s">
        <v>344</v>
      </c>
      <c r="U76" s="514"/>
      <c r="V76" s="506" t="s">
        <v>321</v>
      </c>
      <c r="W76" s="514"/>
      <c r="X76" s="506" t="s">
        <v>322</v>
      </c>
      <c r="Y76" s="507"/>
    </row>
    <row r="77" spans="1:25" x14ac:dyDescent="0.25">
      <c r="A77" s="511"/>
      <c r="B77" s="513"/>
      <c r="C77" s="513"/>
      <c r="D77" s="530"/>
      <c r="E77" s="532"/>
      <c r="F77" s="130" t="s">
        <v>345</v>
      </c>
      <c r="G77" s="508"/>
      <c r="H77" s="515"/>
      <c r="I77" s="508"/>
      <c r="J77" s="515"/>
      <c r="K77" s="508"/>
      <c r="L77" s="509"/>
      <c r="N77" s="511"/>
      <c r="O77" s="513"/>
      <c r="P77" s="513"/>
      <c r="Q77" s="513"/>
      <c r="R77" s="513"/>
      <c r="S77" s="130" t="s">
        <v>345</v>
      </c>
      <c r="T77" s="508"/>
      <c r="U77" s="515"/>
      <c r="V77" s="508"/>
      <c r="W77" s="515"/>
      <c r="X77" s="508"/>
      <c r="Y77" s="509"/>
    </row>
    <row r="78" spans="1:25" x14ac:dyDescent="0.25">
      <c r="A78" s="131" t="s">
        <v>289</v>
      </c>
      <c r="B78" s="132">
        <v>3.2</v>
      </c>
      <c r="C78" s="132">
        <f>SUM(B78:B80)</f>
        <v>7.9</v>
      </c>
      <c r="D78" s="135">
        <f>(B58)</f>
        <v>68.089248000000012</v>
      </c>
      <c r="E78" s="136">
        <f>D78*C78</f>
        <v>537.9050592000001</v>
      </c>
      <c r="F78" s="134">
        <f>E78/E81</f>
        <v>0.45483375836881929</v>
      </c>
      <c r="G78" s="519">
        <f>F78*B74</f>
        <v>15.258705297784866</v>
      </c>
      <c r="H78" s="521"/>
      <c r="I78" s="519">
        <f>I79-G79</f>
        <v>15.258705297784871</v>
      </c>
      <c r="J78" s="521"/>
      <c r="K78" s="519">
        <f>I78*B78</f>
        <v>48.827856952911588</v>
      </c>
      <c r="L78" s="520"/>
      <c r="N78" s="131" t="s">
        <v>430</v>
      </c>
      <c r="O78" s="132">
        <v>3.2</v>
      </c>
      <c r="P78" s="132">
        <f>SUM(O78:O80)</f>
        <v>7.9</v>
      </c>
      <c r="Q78" s="133">
        <f>(O58)</f>
        <v>183.29519999999999</v>
      </c>
      <c r="R78" s="133">
        <f>Q78*P78</f>
        <v>1448.03208</v>
      </c>
      <c r="S78" s="134">
        <f>R78/R81</f>
        <v>0.52445750522161649</v>
      </c>
      <c r="T78" s="519">
        <f>S78*O74</f>
        <v>38.021173672651322</v>
      </c>
      <c r="U78" s="521"/>
      <c r="V78" s="519">
        <f>V79-T79</f>
        <v>38.021173672651315</v>
      </c>
      <c r="W78" s="521"/>
      <c r="X78" s="519">
        <f>V78*O78</f>
        <v>121.66775575248421</v>
      </c>
      <c r="Y78" s="520"/>
    </row>
    <row r="79" spans="1:25" x14ac:dyDescent="0.25">
      <c r="A79" s="131">
        <v>2</v>
      </c>
      <c r="B79" s="132">
        <v>3.2</v>
      </c>
      <c r="C79" s="132">
        <f>B79+B80</f>
        <v>4.7</v>
      </c>
      <c r="D79" s="135">
        <f>(B57)</f>
        <v>111.88108800000002</v>
      </c>
      <c r="E79" s="136">
        <f>D79*C79</f>
        <v>525.84111360000009</v>
      </c>
      <c r="F79" s="134">
        <f>E79/E81</f>
        <v>0.44463290670520844</v>
      </c>
      <c r="G79" s="519">
        <f>F79*B74</f>
        <v>14.916488418633957</v>
      </c>
      <c r="H79" s="521"/>
      <c r="I79" s="519">
        <f>I80-G80</f>
        <v>30.175193716418828</v>
      </c>
      <c r="J79" s="521"/>
      <c r="K79" s="519">
        <f>K78+(I79*B79)</f>
        <v>145.38847684545186</v>
      </c>
      <c r="L79" s="520"/>
      <c r="N79" s="131">
        <v>2</v>
      </c>
      <c r="O79" s="132">
        <v>3.2</v>
      </c>
      <c r="P79" s="132">
        <f>O79+O80</f>
        <v>4.7</v>
      </c>
      <c r="Q79" s="133">
        <f>(O57)</f>
        <v>233.632272</v>
      </c>
      <c r="R79" s="133">
        <f>Q79*P79</f>
        <v>1098.0716784000001</v>
      </c>
      <c r="S79" s="134">
        <f>R79/R81</f>
        <v>0.39770661227904375</v>
      </c>
      <c r="T79" s="519">
        <f>S79*O74</f>
        <v>28.832216196112267</v>
      </c>
      <c r="U79" s="521"/>
      <c r="V79" s="519">
        <f>V80-T80</f>
        <v>66.853389868763585</v>
      </c>
      <c r="W79" s="521"/>
      <c r="X79" s="519">
        <f>X78+(V79*O79)</f>
        <v>335.59860333252772</v>
      </c>
      <c r="Y79" s="520"/>
    </row>
    <row r="80" spans="1:25" x14ac:dyDescent="0.25">
      <c r="A80" s="131">
        <v>1</v>
      </c>
      <c r="B80" s="132">
        <v>1.5</v>
      </c>
      <c r="C80" s="132">
        <f>B80</f>
        <v>1.5</v>
      </c>
      <c r="D80" s="135">
        <f>B56</f>
        <v>79.263230400000012</v>
      </c>
      <c r="E80" s="136">
        <f>D80*C80</f>
        <v>118.89484560000002</v>
      </c>
      <c r="F80" s="134">
        <f>E80/E81</f>
        <v>0.10053333492597215</v>
      </c>
      <c r="G80" s="519">
        <f>F80*B74</f>
        <v>3.3726795824047042</v>
      </c>
      <c r="H80" s="521"/>
      <c r="I80" s="519">
        <f>G81</f>
        <v>33.547873298823532</v>
      </c>
      <c r="J80" s="521"/>
      <c r="K80" s="519">
        <f>K79+(I80*B80)</f>
        <v>195.71028679368715</v>
      </c>
      <c r="L80" s="520"/>
      <c r="N80" s="131">
        <v>1</v>
      </c>
      <c r="O80" s="132">
        <v>1.5</v>
      </c>
      <c r="P80" s="132">
        <f>O80</f>
        <v>1.5</v>
      </c>
      <c r="Q80" s="133">
        <f>O56</f>
        <v>143.2704</v>
      </c>
      <c r="R80" s="133">
        <f>Q80*P80</f>
        <v>214.90559999999999</v>
      </c>
      <c r="S80" s="134">
        <f>R80/R81</f>
        <v>7.7835882499339801E-2</v>
      </c>
      <c r="T80" s="519">
        <f>S80*O74</f>
        <v>5.642805331236401</v>
      </c>
      <c r="U80" s="521"/>
      <c r="V80" s="519">
        <f>T81</f>
        <v>72.496195199999988</v>
      </c>
      <c r="W80" s="521"/>
      <c r="X80" s="519">
        <f>X79+(V80*O80)</f>
        <v>444.3428961325277</v>
      </c>
      <c r="Y80" s="520"/>
    </row>
    <row r="81" spans="1:25" ht="14.4" thickBot="1" x14ac:dyDescent="0.3">
      <c r="A81" s="137"/>
      <c r="B81" s="138"/>
      <c r="C81" s="138"/>
      <c r="D81" s="142">
        <f>SUM(D78:D80)</f>
        <v>259.23356640000003</v>
      </c>
      <c r="E81" s="143">
        <f>SUM(E78:E80)</f>
        <v>1182.6410184000003</v>
      </c>
      <c r="F81" s="140">
        <f>SUM(F78:F80)</f>
        <v>0.99999999999999989</v>
      </c>
      <c r="G81" s="522">
        <f>SUM(G78:G80)</f>
        <v>33.547873298823532</v>
      </c>
      <c r="H81" s="523"/>
      <c r="I81" s="138"/>
      <c r="J81" s="138"/>
      <c r="K81" s="138"/>
      <c r="L81" s="141"/>
      <c r="N81" s="137"/>
      <c r="O81" s="138"/>
      <c r="P81" s="138"/>
      <c r="Q81" s="139">
        <f>SUM(Q78:Q80)</f>
        <v>560.19787199999996</v>
      </c>
      <c r="R81" s="139">
        <f>SUM(R78:R80)</f>
        <v>2761.0093584000001</v>
      </c>
      <c r="S81" s="140">
        <f>SUM(S78:S80)</f>
        <v>1</v>
      </c>
      <c r="T81" s="522">
        <f>SUM(T78:T80)</f>
        <v>72.496195199999988</v>
      </c>
      <c r="U81" s="523"/>
      <c r="V81" s="138"/>
      <c r="W81" s="138"/>
      <c r="X81" s="138"/>
      <c r="Y81" s="141"/>
    </row>
  </sheetData>
  <mergeCells count="282">
    <mergeCell ref="A1:L1"/>
    <mergeCell ref="A28:L28"/>
    <mergeCell ref="A55:L55"/>
    <mergeCell ref="B2:C2"/>
    <mergeCell ref="B29:C29"/>
    <mergeCell ref="B56:C56"/>
    <mergeCell ref="A6:C6"/>
    <mergeCell ref="A33:C33"/>
    <mergeCell ref="A60:C60"/>
    <mergeCell ref="A7:D7"/>
    <mergeCell ref="A34:D34"/>
    <mergeCell ref="E12:E13"/>
    <mergeCell ref="F12:H13"/>
    <mergeCell ref="K22:L23"/>
    <mergeCell ref="B3:C3"/>
    <mergeCell ref="B30:C30"/>
    <mergeCell ref="B57:C57"/>
    <mergeCell ref="B4:C4"/>
    <mergeCell ref="B31:C31"/>
    <mergeCell ref="B58:C58"/>
    <mergeCell ref="A12:B13"/>
    <mergeCell ref="C12:C13"/>
    <mergeCell ref="D12:D13"/>
    <mergeCell ref="A39:B40"/>
    <mergeCell ref="A9:C9"/>
    <mergeCell ref="A36:C36"/>
    <mergeCell ref="A10:C10"/>
    <mergeCell ref="A37:C37"/>
    <mergeCell ref="J14:J15"/>
    <mergeCell ref="A41:B42"/>
    <mergeCell ref="C41:C42"/>
    <mergeCell ref="D41:D42"/>
    <mergeCell ref="E41:E42"/>
    <mergeCell ref="F41:G42"/>
    <mergeCell ref="I14:I15"/>
    <mergeCell ref="I22:J23"/>
    <mergeCell ref="I41:I42"/>
    <mergeCell ref="J41:J42"/>
    <mergeCell ref="F66:H67"/>
    <mergeCell ref="A14:B15"/>
    <mergeCell ref="C14:C15"/>
    <mergeCell ref="D14:D15"/>
    <mergeCell ref="E14:E15"/>
    <mergeCell ref="F14:G15"/>
    <mergeCell ref="H14:H15"/>
    <mergeCell ref="C39:C40"/>
    <mergeCell ref="D39:D40"/>
    <mergeCell ref="E39:E40"/>
    <mergeCell ref="F39:H40"/>
    <mergeCell ref="A66:B67"/>
    <mergeCell ref="C66:C67"/>
    <mergeCell ref="A64:C64"/>
    <mergeCell ref="A22:A23"/>
    <mergeCell ref="B22:B23"/>
    <mergeCell ref="C22:C23"/>
    <mergeCell ref="D22:D23"/>
    <mergeCell ref="E22:E23"/>
    <mergeCell ref="G22:H23"/>
    <mergeCell ref="A49:A50"/>
    <mergeCell ref="A63:C63"/>
    <mergeCell ref="A61:D61"/>
    <mergeCell ref="I71:I72"/>
    <mergeCell ref="E44:E45"/>
    <mergeCell ref="F44:G45"/>
    <mergeCell ref="H44:H45"/>
    <mergeCell ref="I44:I45"/>
    <mergeCell ref="J44:J45"/>
    <mergeCell ref="A71:B72"/>
    <mergeCell ref="H17:H18"/>
    <mergeCell ref="I17:I18"/>
    <mergeCell ref="J17:J18"/>
    <mergeCell ref="A44:B45"/>
    <mergeCell ref="C44:C45"/>
    <mergeCell ref="D44:D45"/>
    <mergeCell ref="E68:E69"/>
    <mergeCell ref="F68:G69"/>
    <mergeCell ref="H68:H69"/>
    <mergeCell ref="I68:I69"/>
    <mergeCell ref="J68:J69"/>
    <mergeCell ref="A17:B18"/>
    <mergeCell ref="C17:C18"/>
    <mergeCell ref="D17:D18"/>
    <mergeCell ref="E17:E18"/>
    <mergeCell ref="F17:G18"/>
    <mergeCell ref="H41:H42"/>
    <mergeCell ref="A76:A77"/>
    <mergeCell ref="B76:B77"/>
    <mergeCell ref="C76:C77"/>
    <mergeCell ref="D76:D77"/>
    <mergeCell ref="E76:E77"/>
    <mergeCell ref="B49:B50"/>
    <mergeCell ref="C49:C50"/>
    <mergeCell ref="D49:D50"/>
    <mergeCell ref="E49:E50"/>
    <mergeCell ref="C71:C72"/>
    <mergeCell ref="D71:D72"/>
    <mergeCell ref="E71:E72"/>
    <mergeCell ref="A68:B69"/>
    <mergeCell ref="C68:C69"/>
    <mergeCell ref="D68:D69"/>
    <mergeCell ref="D66:D67"/>
    <mergeCell ref="E66:E67"/>
    <mergeCell ref="N1:Y1"/>
    <mergeCell ref="N28:Y28"/>
    <mergeCell ref="N55:Y55"/>
    <mergeCell ref="K79:L79"/>
    <mergeCell ref="G26:H26"/>
    <mergeCell ref="I26:J26"/>
    <mergeCell ref="K26:L26"/>
    <mergeCell ref="G53:H53"/>
    <mergeCell ref="I53:J53"/>
    <mergeCell ref="K53:L53"/>
    <mergeCell ref="I78:J78"/>
    <mergeCell ref="K78:L78"/>
    <mergeCell ref="G25:H25"/>
    <mergeCell ref="I25:J25"/>
    <mergeCell ref="K25:L25"/>
    <mergeCell ref="G52:H52"/>
    <mergeCell ref="I52:J52"/>
    <mergeCell ref="K52:L52"/>
    <mergeCell ref="G79:H79"/>
    <mergeCell ref="I79:J79"/>
    <mergeCell ref="G76:H77"/>
    <mergeCell ref="I76:J77"/>
    <mergeCell ref="K76:L77"/>
    <mergeCell ref="G24:H24"/>
    <mergeCell ref="O2:P2"/>
    <mergeCell ref="O29:P29"/>
    <mergeCell ref="O56:P56"/>
    <mergeCell ref="O3:P3"/>
    <mergeCell ref="O30:P30"/>
    <mergeCell ref="O57:P57"/>
    <mergeCell ref="G27:H27"/>
    <mergeCell ref="G54:H54"/>
    <mergeCell ref="G81:H81"/>
    <mergeCell ref="G80:H80"/>
    <mergeCell ref="I80:J80"/>
    <mergeCell ref="K80:L80"/>
    <mergeCell ref="I24:J24"/>
    <mergeCell ref="K24:L24"/>
    <mergeCell ref="G51:H51"/>
    <mergeCell ref="I51:J51"/>
    <mergeCell ref="K51:L51"/>
    <mergeCell ref="G78:H78"/>
    <mergeCell ref="K49:L50"/>
    <mergeCell ref="G49:H50"/>
    <mergeCell ref="I49:J50"/>
    <mergeCell ref="J71:J72"/>
    <mergeCell ref="F71:G72"/>
    <mergeCell ref="H71:H72"/>
    <mergeCell ref="N7:Q7"/>
    <mergeCell ref="N34:Q34"/>
    <mergeCell ref="N61:Q61"/>
    <mergeCell ref="N9:P9"/>
    <mergeCell ref="N36:P36"/>
    <mergeCell ref="N63:P63"/>
    <mergeCell ref="O4:P4"/>
    <mergeCell ref="O31:P31"/>
    <mergeCell ref="O58:P58"/>
    <mergeCell ref="N6:P6"/>
    <mergeCell ref="N33:P33"/>
    <mergeCell ref="N60:P60"/>
    <mergeCell ref="P14:P15"/>
    <mergeCell ref="Q14:Q15"/>
    <mergeCell ref="W14:W15"/>
    <mergeCell ref="Q39:Q40"/>
    <mergeCell ref="R39:R40"/>
    <mergeCell ref="S39:U40"/>
    <mergeCell ref="N66:O67"/>
    <mergeCell ref="P66:P67"/>
    <mergeCell ref="Q66:Q67"/>
    <mergeCell ref="N10:P10"/>
    <mergeCell ref="N37:P37"/>
    <mergeCell ref="N64:P64"/>
    <mergeCell ref="N12:O13"/>
    <mergeCell ref="P12:P13"/>
    <mergeCell ref="Q12:Q13"/>
    <mergeCell ref="R12:R13"/>
    <mergeCell ref="S12:U13"/>
    <mergeCell ref="N39:O40"/>
    <mergeCell ref="P39:P40"/>
    <mergeCell ref="N41:O42"/>
    <mergeCell ref="P41:P42"/>
    <mergeCell ref="Q41:Q42"/>
    <mergeCell ref="R41:R42"/>
    <mergeCell ref="S41:T42"/>
    <mergeCell ref="U41:U42"/>
    <mergeCell ref="N14:O15"/>
    <mergeCell ref="R14:R15"/>
    <mergeCell ref="S14:T15"/>
    <mergeCell ref="U14:U15"/>
    <mergeCell ref="N71:O72"/>
    <mergeCell ref="P71:P72"/>
    <mergeCell ref="V14:V15"/>
    <mergeCell ref="V17:V18"/>
    <mergeCell ref="W17:W18"/>
    <mergeCell ref="N44:O45"/>
    <mergeCell ref="P44:P45"/>
    <mergeCell ref="Q44:Q45"/>
    <mergeCell ref="R44:R45"/>
    <mergeCell ref="S68:T69"/>
    <mergeCell ref="U68:U69"/>
    <mergeCell ref="V68:V69"/>
    <mergeCell ref="W68:W69"/>
    <mergeCell ref="N17:O18"/>
    <mergeCell ref="P17:P18"/>
    <mergeCell ref="Q17:Q18"/>
    <mergeCell ref="R17:R18"/>
    <mergeCell ref="S17:T18"/>
    <mergeCell ref="U17:U18"/>
    <mergeCell ref="V41:V42"/>
    <mergeCell ref="W41:W42"/>
    <mergeCell ref="N76:N77"/>
    <mergeCell ref="O76:O77"/>
    <mergeCell ref="V22:W23"/>
    <mergeCell ref="Q71:Q72"/>
    <mergeCell ref="R71:R72"/>
    <mergeCell ref="S71:T72"/>
    <mergeCell ref="U71:U72"/>
    <mergeCell ref="V71:V72"/>
    <mergeCell ref="W71:W72"/>
    <mergeCell ref="P76:P77"/>
    <mergeCell ref="Q76:Q77"/>
    <mergeCell ref="R76:R77"/>
    <mergeCell ref="T76:U77"/>
    <mergeCell ref="V76:W77"/>
    <mergeCell ref="R66:R67"/>
    <mergeCell ref="S66:U67"/>
    <mergeCell ref="T52:U52"/>
    <mergeCell ref="V52:W52"/>
    <mergeCell ref="V24:W24"/>
    <mergeCell ref="T24:U24"/>
    <mergeCell ref="V26:W26"/>
    <mergeCell ref="N68:O69"/>
    <mergeCell ref="P68:P69"/>
    <mergeCell ref="Q68:Q69"/>
    <mergeCell ref="T81:U81"/>
    <mergeCell ref="V79:W79"/>
    <mergeCell ref="X79:Y79"/>
    <mergeCell ref="T53:U53"/>
    <mergeCell ref="V53:W53"/>
    <mergeCell ref="X53:Y53"/>
    <mergeCell ref="T80:U80"/>
    <mergeCell ref="V80:W80"/>
    <mergeCell ref="T78:U78"/>
    <mergeCell ref="V78:W78"/>
    <mergeCell ref="X78:Y78"/>
    <mergeCell ref="T79:U79"/>
    <mergeCell ref="X80:Y80"/>
    <mergeCell ref="X76:Y77"/>
    <mergeCell ref="R68:R69"/>
    <mergeCell ref="T25:U25"/>
    <mergeCell ref="V25:W25"/>
    <mergeCell ref="X52:Y52"/>
    <mergeCell ref="T51:U51"/>
    <mergeCell ref="V51:W51"/>
    <mergeCell ref="X51:Y51"/>
    <mergeCell ref="T27:U27"/>
    <mergeCell ref="T54:U54"/>
    <mergeCell ref="X22:Y23"/>
    <mergeCell ref="N49:N50"/>
    <mergeCell ref="O49:O50"/>
    <mergeCell ref="P49:P50"/>
    <mergeCell ref="Q49:Q50"/>
    <mergeCell ref="N22:N23"/>
    <mergeCell ref="O22:O23"/>
    <mergeCell ref="P22:P23"/>
    <mergeCell ref="Q22:Q23"/>
    <mergeCell ref="R22:R23"/>
    <mergeCell ref="T22:U23"/>
    <mergeCell ref="S44:T45"/>
    <mergeCell ref="U44:U45"/>
    <mergeCell ref="V44:V45"/>
    <mergeCell ref="W44:W45"/>
    <mergeCell ref="R49:R50"/>
    <mergeCell ref="T49:U50"/>
    <mergeCell ref="V49:W50"/>
    <mergeCell ref="X49:Y50"/>
    <mergeCell ref="X25:Y25"/>
    <mergeCell ref="X26:Y26"/>
    <mergeCell ref="X24:Y24"/>
    <mergeCell ref="T26:U26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61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BC87"/>
  <sheetViews>
    <sheetView showGridLines="0" view="pageBreakPreview" zoomScale="55" zoomScaleNormal="55" zoomScaleSheetLayoutView="55" workbookViewId="0">
      <selection activeCell="E9" sqref="E9"/>
    </sheetView>
  </sheetViews>
  <sheetFormatPr defaultRowHeight="14.4" x14ac:dyDescent="0.3"/>
  <cols>
    <col min="1" max="1" width="6.6640625" customWidth="1"/>
    <col min="2" max="2" width="5.5546875" bestFit="1" customWidth="1"/>
    <col min="3" max="3" width="2.88671875" bestFit="1" customWidth="1"/>
    <col min="16" max="16" width="4" customWidth="1"/>
    <col min="18" max="18" width="17.88671875" bestFit="1" customWidth="1"/>
    <col min="20" max="20" width="11" bestFit="1" customWidth="1"/>
    <col min="21" max="21" width="5" bestFit="1" customWidth="1"/>
    <col min="22" max="22" width="2.88671875" bestFit="1" customWidth="1"/>
    <col min="35" max="35" width="10.33203125" bestFit="1" customWidth="1"/>
    <col min="40" max="40" width="2.33203125" customWidth="1"/>
    <col min="41" max="41" width="11.109375" style="42" bestFit="1" customWidth="1"/>
    <col min="42" max="42" width="3.109375" bestFit="1" customWidth="1"/>
    <col min="43" max="43" width="13.6640625" style="42" bestFit="1" customWidth="1"/>
    <col min="44" max="44" width="4" bestFit="1" customWidth="1"/>
  </cols>
  <sheetData>
    <row r="1" spans="1:44" s="355" customFormat="1" ht="19.8" x14ac:dyDescent="0.4">
      <c r="A1" s="538" t="s">
        <v>346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39"/>
      <c r="R1" s="540"/>
      <c r="T1" s="538" t="s">
        <v>432</v>
      </c>
      <c r="U1" s="539"/>
      <c r="V1" s="539"/>
      <c r="W1" s="539"/>
      <c r="X1" s="539"/>
      <c r="Y1" s="539"/>
      <c r="Z1" s="539"/>
      <c r="AA1" s="539"/>
      <c r="AB1" s="539"/>
      <c r="AC1" s="539"/>
      <c r="AD1" s="539"/>
      <c r="AE1" s="539"/>
      <c r="AF1" s="539"/>
      <c r="AG1" s="539"/>
      <c r="AH1" s="539"/>
      <c r="AI1" s="539"/>
      <c r="AJ1" s="539"/>
      <c r="AK1" s="539"/>
      <c r="AL1" s="539"/>
      <c r="AM1" s="539"/>
      <c r="AN1" s="539"/>
      <c r="AO1" s="539"/>
      <c r="AP1" s="539"/>
      <c r="AQ1" s="539"/>
      <c r="AR1" s="540"/>
    </row>
    <row r="2" spans="1:44" x14ac:dyDescent="0.3">
      <c r="A2" s="145"/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6"/>
      <c r="T2" s="190"/>
      <c r="U2" s="191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9"/>
      <c r="AP2" s="92"/>
      <c r="AQ2" s="69"/>
      <c r="AR2" s="169"/>
    </row>
    <row r="3" spans="1:44" x14ac:dyDescent="0.3">
      <c r="A3" s="147"/>
      <c r="B3" s="183"/>
      <c r="C3" s="183"/>
      <c r="D3" s="183"/>
      <c r="E3" s="183"/>
      <c r="F3" s="183"/>
      <c r="G3" s="184">
        <v>2.5</v>
      </c>
      <c r="H3" s="183" t="s">
        <v>74</v>
      </c>
      <c r="I3" s="183"/>
      <c r="J3" s="183"/>
      <c r="K3" s="183"/>
      <c r="L3" s="184">
        <v>2.5</v>
      </c>
      <c r="M3" s="183" t="s">
        <v>74</v>
      </c>
      <c r="N3" s="183"/>
      <c r="O3" s="144"/>
      <c r="P3" s="144"/>
      <c r="Q3" s="144"/>
      <c r="R3" s="146"/>
      <c r="T3" s="192"/>
      <c r="U3" s="193"/>
      <c r="V3" s="193"/>
      <c r="W3" s="193"/>
      <c r="X3" s="193"/>
      <c r="Y3" s="193"/>
      <c r="Z3" s="194">
        <v>4</v>
      </c>
      <c r="AA3" s="193" t="s">
        <v>74</v>
      </c>
      <c r="AB3" s="193"/>
      <c r="AC3" s="193"/>
      <c r="AD3" s="193"/>
      <c r="AE3" s="194">
        <v>2</v>
      </c>
      <c r="AF3" s="193" t="s">
        <v>74</v>
      </c>
      <c r="AG3" s="193"/>
      <c r="AH3" s="193"/>
      <c r="AI3" s="193"/>
      <c r="AJ3" s="194">
        <v>4</v>
      </c>
      <c r="AK3" s="193" t="s">
        <v>74</v>
      </c>
      <c r="AL3" s="193"/>
      <c r="AM3" s="62"/>
      <c r="AN3" s="62"/>
      <c r="AO3" s="69"/>
      <c r="AP3" s="92"/>
      <c r="AQ3" s="69"/>
      <c r="AR3" s="169"/>
    </row>
    <row r="4" spans="1:44" ht="15" thickBot="1" x14ac:dyDescent="0.35">
      <c r="A4" s="147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44"/>
      <c r="P4" s="144"/>
      <c r="Q4" s="144"/>
      <c r="R4" s="146"/>
      <c r="T4" s="195">
        <v>42.672199999999997</v>
      </c>
      <c r="U4" s="193" t="s">
        <v>138</v>
      </c>
      <c r="V4" s="193"/>
      <c r="W4" s="193"/>
      <c r="X4" s="196"/>
      <c r="Y4" s="196"/>
      <c r="Z4" s="196"/>
      <c r="AA4" s="196"/>
      <c r="AB4" s="196"/>
      <c r="AC4" s="193"/>
      <c r="AD4" s="193"/>
      <c r="AE4" s="193"/>
      <c r="AF4" s="193"/>
      <c r="AG4" s="196"/>
      <c r="AH4" s="193"/>
      <c r="AI4" s="193"/>
      <c r="AJ4" s="193"/>
      <c r="AK4" s="193"/>
      <c r="AL4" s="196"/>
      <c r="AM4" s="62"/>
      <c r="AN4" s="62"/>
      <c r="AO4" s="69"/>
      <c r="AP4" s="92"/>
      <c r="AQ4" s="69"/>
      <c r="AR4" s="169"/>
    </row>
    <row r="5" spans="1:44" ht="15" thickBot="1" x14ac:dyDescent="0.35">
      <c r="A5" s="147">
        <v>26.25</v>
      </c>
      <c r="B5" s="183" t="s">
        <v>138</v>
      </c>
      <c r="C5" s="183"/>
      <c r="D5" s="183"/>
      <c r="E5" s="148"/>
      <c r="F5" s="148"/>
      <c r="G5" s="148"/>
      <c r="H5" s="148"/>
      <c r="I5" s="148"/>
      <c r="J5" s="183"/>
      <c r="K5" s="183"/>
      <c r="L5" s="183"/>
      <c r="M5" s="183"/>
      <c r="N5" s="148"/>
      <c r="O5" s="144"/>
      <c r="P5" s="144"/>
      <c r="Q5" s="144"/>
      <c r="R5" s="146"/>
      <c r="T5" s="192"/>
      <c r="U5" s="193"/>
      <c r="V5" s="193"/>
      <c r="W5" s="193"/>
      <c r="X5" s="197">
        <f>X8*U8/2</f>
        <v>11.379253333333333</v>
      </c>
      <c r="Y5" s="198">
        <f>X5</f>
        <v>11.379253333333333</v>
      </c>
      <c r="Z5" s="199">
        <f>Y5/(Z3/2)</f>
        <v>5.6896266666666664</v>
      </c>
      <c r="AA5" s="198">
        <f>Y5</f>
        <v>11.379253333333333</v>
      </c>
      <c r="AB5" s="200"/>
      <c r="AC5" s="197">
        <f>AC8*U8/2</f>
        <v>22.758506666666666</v>
      </c>
      <c r="AD5" s="198">
        <f>AC5-AA5</f>
        <v>11.379253333333333</v>
      </c>
      <c r="AE5" s="199">
        <f>AD5/(AE3/2)</f>
        <v>11.379253333333333</v>
      </c>
      <c r="AF5" s="198">
        <f>AD5</f>
        <v>11.379253333333333</v>
      </c>
      <c r="AG5" s="201"/>
      <c r="AH5" s="202">
        <f>AH8*U8/2</f>
        <v>22.758506666666666</v>
      </c>
      <c r="AI5" s="152">
        <f>AH5-AF5</f>
        <v>11.379253333333333</v>
      </c>
      <c r="AJ5" s="199">
        <f>AI5/(AJ3/2)</f>
        <v>5.6896266666666664</v>
      </c>
      <c r="AK5" s="198">
        <f>AI5</f>
        <v>11.379253333333333</v>
      </c>
      <c r="AL5" s="201"/>
      <c r="AM5" s="203">
        <f>AM8*U8/2</f>
        <v>11.379253333333333</v>
      </c>
      <c r="AN5" s="62"/>
      <c r="AO5" s="69">
        <f>T4</f>
        <v>42.672199999999997</v>
      </c>
      <c r="AP5" s="90" t="s">
        <v>32</v>
      </c>
      <c r="AQ5" s="204" t="s">
        <v>433</v>
      </c>
      <c r="AR5" s="169"/>
    </row>
    <row r="6" spans="1:44" x14ac:dyDescent="0.3">
      <c r="A6" s="147"/>
      <c r="B6" s="183"/>
      <c r="C6" s="183"/>
      <c r="D6" s="183"/>
      <c r="E6" s="149">
        <f>E9*B9/2</f>
        <v>10.5</v>
      </c>
      <c r="F6" s="186">
        <f>E6</f>
        <v>10.5</v>
      </c>
      <c r="G6" s="187">
        <f>F6/(G3/2)</f>
        <v>8.4</v>
      </c>
      <c r="H6" s="186">
        <f>F6</f>
        <v>10.5</v>
      </c>
      <c r="I6" s="150"/>
      <c r="J6" s="151">
        <f>J9*B9/2</f>
        <v>21</v>
      </c>
      <c r="K6" s="152">
        <f>J6-H6</f>
        <v>10.5</v>
      </c>
      <c r="L6" s="153">
        <f>K6/(L3/2)</f>
        <v>8.4</v>
      </c>
      <c r="M6" s="152">
        <f>K6</f>
        <v>10.5</v>
      </c>
      <c r="N6" s="154"/>
      <c r="O6" s="149">
        <f>O9*B9/2</f>
        <v>10.5</v>
      </c>
      <c r="P6" s="183"/>
      <c r="Q6" s="183"/>
      <c r="R6" s="150"/>
      <c r="T6" s="192"/>
      <c r="U6" s="193"/>
      <c r="V6" s="193"/>
      <c r="W6" s="193"/>
      <c r="X6" s="192"/>
      <c r="Y6" s="205"/>
      <c r="Z6" s="193"/>
      <c r="AA6" s="205"/>
      <c r="AB6" s="193"/>
      <c r="AC6" s="192"/>
      <c r="AD6" s="205"/>
      <c r="AE6" s="193"/>
      <c r="AF6" s="205"/>
      <c r="AG6" s="206"/>
      <c r="AH6" s="193"/>
      <c r="AI6" s="205"/>
      <c r="AJ6" s="193"/>
      <c r="AK6" s="205"/>
      <c r="AL6" s="206"/>
      <c r="AM6" s="193"/>
      <c r="AN6" s="62"/>
      <c r="AO6" s="69">
        <f>AO5</f>
        <v>42.672199999999997</v>
      </c>
      <c r="AP6" s="90" t="s">
        <v>32</v>
      </c>
      <c r="AQ6" s="204" t="s">
        <v>434</v>
      </c>
      <c r="AR6" s="169"/>
    </row>
    <row r="7" spans="1:44" x14ac:dyDescent="0.3">
      <c r="A7" s="147"/>
      <c r="B7" s="183"/>
      <c r="C7" s="183"/>
      <c r="D7" s="183"/>
      <c r="E7" s="147"/>
      <c r="F7" s="188"/>
      <c r="G7" s="183"/>
      <c r="H7" s="188"/>
      <c r="I7" s="150"/>
      <c r="J7" s="147"/>
      <c r="K7" s="188"/>
      <c r="L7" s="183"/>
      <c r="M7" s="188"/>
      <c r="N7" s="150"/>
      <c r="O7" s="183"/>
      <c r="P7" s="183"/>
      <c r="Q7" s="183"/>
      <c r="R7" s="150"/>
      <c r="T7" s="192"/>
      <c r="U7" s="193"/>
      <c r="V7" s="193"/>
      <c r="W7" s="193"/>
      <c r="X7" s="207">
        <f>-Z5</f>
        <v>-5.6896266666666664</v>
      </c>
      <c r="Y7" s="193"/>
      <c r="Z7" s="193"/>
      <c r="AA7" s="193"/>
      <c r="AB7" s="193"/>
      <c r="AC7" s="207">
        <f>-(Z5)+(AE5)</f>
        <v>5.6896266666666664</v>
      </c>
      <c r="AD7" s="193"/>
      <c r="AE7" s="193"/>
      <c r="AF7" s="193"/>
      <c r="AG7" s="206"/>
      <c r="AH7" s="207">
        <f>-(AE5)+(AJ5)</f>
        <v>-5.6896266666666664</v>
      </c>
      <c r="AI7" s="193"/>
      <c r="AJ7" s="193"/>
      <c r="AK7" s="193"/>
      <c r="AL7" s="208">
        <f>AJ5</f>
        <v>5.6896266666666664</v>
      </c>
      <c r="AM7" s="193"/>
      <c r="AN7" s="62"/>
      <c r="AO7" s="172" t="s">
        <v>364</v>
      </c>
      <c r="AP7" s="90" t="s">
        <v>32</v>
      </c>
      <c r="AQ7" s="224">
        <f>AO6/6</f>
        <v>7.1120333333333328</v>
      </c>
      <c r="AR7" s="169" t="s">
        <v>138</v>
      </c>
    </row>
    <row r="8" spans="1:44" x14ac:dyDescent="0.3">
      <c r="A8" s="147"/>
      <c r="B8" s="183"/>
      <c r="C8" s="183"/>
      <c r="D8" s="183"/>
      <c r="E8" s="155">
        <f>-G6</f>
        <v>-8.4</v>
      </c>
      <c r="F8" s="183"/>
      <c r="G8" s="183"/>
      <c r="H8" s="183"/>
      <c r="I8" s="150"/>
      <c r="J8" s="155">
        <f>G6-L6</f>
        <v>0</v>
      </c>
      <c r="K8" s="183"/>
      <c r="L8" s="183"/>
      <c r="M8" s="183"/>
      <c r="N8" s="156">
        <f>L6</f>
        <v>8.4</v>
      </c>
      <c r="O8" s="183"/>
      <c r="P8" s="183"/>
      <c r="Q8" s="183"/>
      <c r="R8" s="150"/>
      <c r="T8" s="192"/>
      <c r="U8" s="209">
        <v>3.2</v>
      </c>
      <c r="V8" s="193" t="s">
        <v>74</v>
      </c>
      <c r="W8" s="193"/>
      <c r="X8" s="210">
        <f>AQ7</f>
        <v>7.1120333333333328</v>
      </c>
      <c r="Y8" s="193"/>
      <c r="Z8" s="193"/>
      <c r="AA8" s="193"/>
      <c r="AB8" s="193"/>
      <c r="AC8" s="210">
        <f>AQ8</f>
        <v>14.224066666666666</v>
      </c>
      <c r="AD8" s="193"/>
      <c r="AE8" s="193"/>
      <c r="AF8" s="193"/>
      <c r="AG8" s="206"/>
      <c r="AH8" s="211">
        <f>AQ8</f>
        <v>14.224066666666666</v>
      </c>
      <c r="AI8" s="193"/>
      <c r="AJ8" s="193"/>
      <c r="AK8" s="193"/>
      <c r="AL8" s="206"/>
      <c r="AM8" s="211">
        <f>AQ7</f>
        <v>7.1120333333333328</v>
      </c>
      <c r="AN8" s="62"/>
      <c r="AO8" s="172" t="s">
        <v>435</v>
      </c>
      <c r="AP8" s="90" t="s">
        <v>32</v>
      </c>
      <c r="AQ8" s="255">
        <f>AQ7*2</f>
        <v>14.224066666666666</v>
      </c>
      <c r="AR8" s="169" t="s">
        <v>138</v>
      </c>
    </row>
    <row r="9" spans="1:44" x14ac:dyDescent="0.3">
      <c r="A9" s="147"/>
      <c r="B9" s="183">
        <v>3.2</v>
      </c>
      <c r="C9" s="183" t="s">
        <v>74</v>
      </c>
      <c r="D9" s="183"/>
      <c r="E9" s="157">
        <f>(A5)/4</f>
        <v>6.5625</v>
      </c>
      <c r="F9" s="183"/>
      <c r="G9" s="183"/>
      <c r="H9" s="183"/>
      <c r="I9" s="150"/>
      <c r="J9" s="157">
        <f>E9*2</f>
        <v>13.125</v>
      </c>
      <c r="K9" s="183"/>
      <c r="L9" s="183"/>
      <c r="M9" s="183"/>
      <c r="N9" s="150"/>
      <c r="O9" s="157">
        <f>E9</f>
        <v>6.5625</v>
      </c>
      <c r="P9" s="183"/>
      <c r="Q9" s="183"/>
      <c r="R9" s="150"/>
      <c r="T9" s="192"/>
      <c r="U9" s="193"/>
      <c r="V9" s="193"/>
      <c r="W9" s="193"/>
      <c r="X9" s="212">
        <f>X8*U8/2</f>
        <v>11.379253333333333</v>
      </c>
      <c r="Y9" s="193"/>
      <c r="Z9" s="193"/>
      <c r="AA9" s="193"/>
      <c r="AB9" s="193"/>
      <c r="AC9" s="212">
        <f>AC8*U8/2</f>
        <v>22.758506666666666</v>
      </c>
      <c r="AD9" s="193"/>
      <c r="AE9" s="193"/>
      <c r="AF9" s="193"/>
      <c r="AG9" s="206"/>
      <c r="AH9" s="203">
        <f>AH8*U8/2</f>
        <v>22.758506666666666</v>
      </c>
      <c r="AI9" s="193"/>
      <c r="AJ9" s="193"/>
      <c r="AK9" s="193"/>
      <c r="AL9" s="206"/>
      <c r="AM9" s="203">
        <f>AM8*U8/2</f>
        <v>11.379253333333333</v>
      </c>
      <c r="AN9" s="62"/>
      <c r="AO9" s="69"/>
      <c r="AP9" s="92"/>
      <c r="AQ9" s="69"/>
      <c r="AR9" s="169"/>
    </row>
    <row r="10" spans="1:44" x14ac:dyDescent="0.3">
      <c r="A10" s="147"/>
      <c r="B10" s="183"/>
      <c r="C10" s="183"/>
      <c r="D10" s="183"/>
      <c r="E10" s="149">
        <f>E9*B9/2</f>
        <v>10.5</v>
      </c>
      <c r="F10" s="183"/>
      <c r="G10" s="183"/>
      <c r="H10" s="183"/>
      <c r="I10" s="150"/>
      <c r="J10" s="149">
        <f>J9*$D$17/2</f>
        <v>0</v>
      </c>
      <c r="K10" s="183"/>
      <c r="L10" s="183"/>
      <c r="M10" s="183"/>
      <c r="N10" s="150"/>
      <c r="O10" s="149">
        <f>O6</f>
        <v>10.5</v>
      </c>
      <c r="P10" s="183"/>
      <c r="Q10" s="183"/>
      <c r="R10" s="150"/>
      <c r="T10" s="192"/>
      <c r="U10" s="193"/>
      <c r="V10" s="193"/>
      <c r="W10" s="193"/>
      <c r="X10" s="207">
        <f>-X7</f>
        <v>5.6896266666666664</v>
      </c>
      <c r="Y10" s="193"/>
      <c r="Z10" s="193"/>
      <c r="AA10" s="193"/>
      <c r="AB10" s="193"/>
      <c r="AC10" s="207">
        <f>AC7</f>
        <v>5.6896266666666664</v>
      </c>
      <c r="AD10" s="193"/>
      <c r="AE10" s="193"/>
      <c r="AF10" s="193"/>
      <c r="AG10" s="206"/>
      <c r="AH10" s="213">
        <f>-AH7</f>
        <v>5.6896266666666664</v>
      </c>
      <c r="AI10" s="193"/>
      <c r="AJ10" s="193"/>
      <c r="AK10" s="193"/>
      <c r="AL10" s="208">
        <f>-AL7</f>
        <v>-5.6896266666666664</v>
      </c>
      <c r="AM10" s="193"/>
      <c r="AN10" s="62"/>
      <c r="AO10" s="69"/>
      <c r="AP10" s="92"/>
      <c r="AQ10" s="69"/>
      <c r="AR10" s="169"/>
    </row>
    <row r="11" spans="1:44" ht="15" thickBot="1" x14ac:dyDescent="0.35">
      <c r="A11" s="147"/>
      <c r="B11" s="183"/>
      <c r="C11" s="183"/>
      <c r="D11" s="183"/>
      <c r="E11" s="155">
        <f>-E8</f>
        <v>8.4</v>
      </c>
      <c r="F11" s="183"/>
      <c r="G11" s="183"/>
      <c r="H11" s="183"/>
      <c r="I11" s="150"/>
      <c r="J11" s="155">
        <f>-J8</f>
        <v>0</v>
      </c>
      <c r="K11" s="183"/>
      <c r="L11" s="183"/>
      <c r="M11" s="183"/>
      <c r="N11" s="156">
        <f>-N8</f>
        <v>-8.4</v>
      </c>
      <c r="O11" s="183"/>
      <c r="P11" s="183"/>
      <c r="Q11" s="158"/>
      <c r="R11" s="150" t="s">
        <v>347</v>
      </c>
      <c r="T11" s="195">
        <v>28.587579999999999</v>
      </c>
      <c r="U11" s="193" t="s">
        <v>138</v>
      </c>
      <c r="V11" s="62"/>
      <c r="W11" s="62"/>
      <c r="X11" s="76"/>
      <c r="Y11" s="78"/>
      <c r="Z11" s="78"/>
      <c r="AA11" s="78"/>
      <c r="AB11" s="78"/>
      <c r="AC11" s="63"/>
      <c r="AD11" s="62"/>
      <c r="AE11" s="62"/>
      <c r="AF11" s="62"/>
      <c r="AG11" s="79"/>
      <c r="AH11" s="62"/>
      <c r="AI11" s="62"/>
      <c r="AJ11" s="62"/>
      <c r="AK11" s="62"/>
      <c r="AL11" s="65"/>
      <c r="AM11" s="62"/>
      <c r="AN11" s="62"/>
      <c r="AO11" s="69"/>
      <c r="AP11" s="92"/>
      <c r="AQ11" s="69"/>
      <c r="AR11" s="169"/>
    </row>
    <row r="12" spans="1:44" ht="15" thickBot="1" x14ac:dyDescent="0.35">
      <c r="A12" s="147">
        <v>16.32</v>
      </c>
      <c r="B12" s="183" t="s">
        <v>138</v>
      </c>
      <c r="C12" s="144"/>
      <c r="D12" s="146"/>
      <c r="E12" s="159"/>
      <c r="F12" s="83"/>
      <c r="G12" s="83"/>
      <c r="H12" s="83"/>
      <c r="I12" s="160"/>
      <c r="J12" s="144"/>
      <c r="K12" s="144"/>
      <c r="L12" s="144"/>
      <c r="M12" s="144"/>
      <c r="N12" s="146"/>
      <c r="O12" s="144"/>
      <c r="P12" s="183"/>
      <c r="Q12" s="161"/>
      <c r="R12" s="150" t="s">
        <v>348</v>
      </c>
      <c r="T12" s="192"/>
      <c r="U12" s="193"/>
      <c r="V12" s="193"/>
      <c r="W12" s="193"/>
      <c r="X12" s="212">
        <f>X15*U15/2</f>
        <v>19.002607999999999</v>
      </c>
      <c r="Y12" s="214">
        <f>X12+X9</f>
        <v>30.381861333333333</v>
      </c>
      <c r="Z12" s="215">
        <f>Y12/(Z3/2)</f>
        <v>15.190930666666667</v>
      </c>
      <c r="AA12" s="214">
        <f>Y12</f>
        <v>30.381861333333333</v>
      </c>
      <c r="AB12" s="193"/>
      <c r="AC12" s="197">
        <f>AC15*U15/2</f>
        <v>38.005215999999997</v>
      </c>
      <c r="AD12" s="198">
        <f>AC9+AC12-AA12</f>
        <v>30.381861333333333</v>
      </c>
      <c r="AE12" s="199">
        <f>AD12/(AE3/2)</f>
        <v>30.381861333333333</v>
      </c>
      <c r="AF12" s="198">
        <f>AD12</f>
        <v>30.381861333333333</v>
      </c>
      <c r="AG12" s="206"/>
      <c r="AH12" s="202">
        <f>AH15*U15/2</f>
        <v>38.005215999999997</v>
      </c>
      <c r="AI12" s="373">
        <f>AH9+AH12-AF12</f>
        <v>30.381861333333333</v>
      </c>
      <c r="AJ12" s="199">
        <f>AI12/(AJ3/2)</f>
        <v>15.190930666666667</v>
      </c>
      <c r="AK12" s="198">
        <f>AI12</f>
        <v>30.381861333333333</v>
      </c>
      <c r="AL12" s="201"/>
      <c r="AM12" s="203">
        <f>AM15*U15/2</f>
        <v>19.002607999999999</v>
      </c>
      <c r="AN12" s="62"/>
      <c r="AO12" s="69">
        <f>T4+T11</f>
        <v>71.259779999999992</v>
      </c>
      <c r="AP12" s="90" t="s">
        <v>32</v>
      </c>
      <c r="AQ12" s="204" t="s">
        <v>433</v>
      </c>
      <c r="AR12" s="169"/>
    </row>
    <row r="13" spans="1:44" x14ac:dyDescent="0.3">
      <c r="A13" s="145"/>
      <c r="B13" s="144"/>
      <c r="C13" s="144"/>
      <c r="D13" s="144"/>
      <c r="E13" s="149">
        <f>E16*B16/2</f>
        <v>17.028000000000002</v>
      </c>
      <c r="F13" s="186">
        <f>E13+E10</f>
        <v>27.528000000000002</v>
      </c>
      <c r="G13" s="187">
        <f>F13/(G3/2)</f>
        <v>22.022400000000001</v>
      </c>
      <c r="H13" s="186">
        <f>F13</f>
        <v>27.528000000000002</v>
      </c>
      <c r="I13" s="150"/>
      <c r="J13" s="151">
        <f>J16*B16/2</f>
        <v>34.056000000000004</v>
      </c>
      <c r="K13" s="152">
        <f>J13+J10-H13</f>
        <v>6.5280000000000022</v>
      </c>
      <c r="L13" s="153">
        <f>K13/(L3/2)</f>
        <v>5.2224000000000022</v>
      </c>
      <c r="M13" s="152">
        <f>K13</f>
        <v>6.5280000000000022</v>
      </c>
      <c r="N13" s="154"/>
      <c r="O13" s="185">
        <f>O16*B16/2</f>
        <v>17.028000000000002</v>
      </c>
      <c r="P13" s="183"/>
      <c r="Q13" s="162"/>
      <c r="R13" s="150" t="s">
        <v>349</v>
      </c>
      <c r="T13" s="192"/>
      <c r="U13" s="193"/>
      <c r="V13" s="193"/>
      <c r="W13" s="193"/>
      <c r="X13" s="192"/>
      <c r="Y13" s="205"/>
      <c r="Z13" s="193"/>
      <c r="AA13" s="205"/>
      <c r="AB13" s="193"/>
      <c r="AC13" s="192"/>
      <c r="AD13" s="205"/>
      <c r="AE13" s="193"/>
      <c r="AF13" s="205"/>
      <c r="AG13" s="206"/>
      <c r="AH13" s="193"/>
      <c r="AI13" s="205"/>
      <c r="AJ13" s="193"/>
      <c r="AK13" s="205"/>
      <c r="AL13" s="206"/>
      <c r="AM13" s="193"/>
      <c r="AN13" s="62"/>
      <c r="AO13" s="69">
        <f>AO12</f>
        <v>71.259779999999992</v>
      </c>
      <c r="AP13" s="90" t="s">
        <v>32</v>
      </c>
      <c r="AQ13" s="204" t="s">
        <v>434</v>
      </c>
      <c r="AR13" s="169"/>
    </row>
    <row r="14" spans="1:44" x14ac:dyDescent="0.3">
      <c r="A14" s="145"/>
      <c r="B14" s="144"/>
      <c r="C14" s="144"/>
      <c r="D14" s="144"/>
      <c r="E14" s="147"/>
      <c r="F14" s="188"/>
      <c r="G14" s="183"/>
      <c r="H14" s="188"/>
      <c r="I14" s="150"/>
      <c r="J14" s="147"/>
      <c r="K14" s="188"/>
      <c r="L14" s="183"/>
      <c r="M14" s="188"/>
      <c r="N14" s="150"/>
      <c r="O14" s="183"/>
      <c r="P14" s="183"/>
      <c r="Q14" s="163"/>
      <c r="R14" s="150" t="s">
        <v>350</v>
      </c>
      <c r="T14" s="192"/>
      <c r="U14" s="193"/>
      <c r="V14" s="193"/>
      <c r="W14" s="193"/>
      <c r="X14" s="207">
        <f>-Z12+-Z5</f>
        <v>-20.880557333333332</v>
      </c>
      <c r="Y14" s="193"/>
      <c r="Z14" s="193"/>
      <c r="AA14" s="193"/>
      <c r="AB14" s="193"/>
      <c r="AC14" s="207">
        <f>-(Z12+Z5)+(AE12+AE5)</f>
        <v>20.880557333333332</v>
      </c>
      <c r="AD14" s="193"/>
      <c r="AE14" s="193"/>
      <c r="AF14" s="193"/>
      <c r="AG14" s="206"/>
      <c r="AH14" s="207">
        <f>-(AE12+AE5)+(AJ12+AJ5)</f>
        <v>-20.880557333333332</v>
      </c>
      <c r="AI14" s="193"/>
      <c r="AJ14" s="193"/>
      <c r="AK14" s="193"/>
      <c r="AL14" s="208">
        <f>AJ12+AJ5</f>
        <v>20.880557333333332</v>
      </c>
      <c r="AM14" s="193"/>
      <c r="AN14" s="62"/>
      <c r="AO14" s="172" t="s">
        <v>364</v>
      </c>
      <c r="AP14" s="90" t="s">
        <v>32</v>
      </c>
      <c r="AQ14" s="224">
        <f>AO13/6</f>
        <v>11.876629999999999</v>
      </c>
      <c r="AR14" s="169" t="s">
        <v>138</v>
      </c>
    </row>
    <row r="15" spans="1:44" x14ac:dyDescent="0.3">
      <c r="A15" s="145"/>
      <c r="B15" s="144"/>
      <c r="C15" s="144"/>
      <c r="D15" s="144"/>
      <c r="E15" s="155">
        <f>-(G13+E11)</f>
        <v>-30.422400000000003</v>
      </c>
      <c r="F15" s="183"/>
      <c r="G15" s="183"/>
      <c r="H15" s="183"/>
      <c r="I15" s="150"/>
      <c r="J15" s="155">
        <f>(G13+(-J11)-L13)</f>
        <v>16.799999999999997</v>
      </c>
      <c r="K15" s="183"/>
      <c r="L15" s="183"/>
      <c r="M15" s="183"/>
      <c r="N15" s="156">
        <f>(L13)-N11</f>
        <v>13.622400000000003</v>
      </c>
      <c r="O15" s="183"/>
      <c r="P15" s="183"/>
      <c r="Q15" s="164"/>
      <c r="R15" s="150" t="s">
        <v>351</v>
      </c>
      <c r="T15" s="192"/>
      <c r="U15" s="209">
        <v>3.2</v>
      </c>
      <c r="V15" s="193" t="s">
        <v>74</v>
      </c>
      <c r="W15" s="193"/>
      <c r="X15" s="210">
        <f>AQ14</f>
        <v>11.876629999999999</v>
      </c>
      <c r="Y15" s="193"/>
      <c r="Z15" s="193"/>
      <c r="AA15" s="193"/>
      <c r="AB15" s="193"/>
      <c r="AC15" s="210">
        <f>AQ15</f>
        <v>23.753259999999997</v>
      </c>
      <c r="AD15" s="193"/>
      <c r="AE15" s="193"/>
      <c r="AF15" s="193"/>
      <c r="AG15" s="206"/>
      <c r="AH15" s="211">
        <f>AQ15</f>
        <v>23.753259999999997</v>
      </c>
      <c r="AI15" s="193"/>
      <c r="AJ15" s="193"/>
      <c r="AK15" s="193"/>
      <c r="AL15" s="206"/>
      <c r="AM15" s="211">
        <f>AQ14</f>
        <v>11.876629999999999</v>
      </c>
      <c r="AN15" s="62"/>
      <c r="AO15" s="172" t="s">
        <v>435</v>
      </c>
      <c r="AP15" s="90" t="s">
        <v>32</v>
      </c>
      <c r="AQ15" s="255">
        <f>AQ14*2</f>
        <v>23.753259999999997</v>
      </c>
      <c r="AR15" s="169" t="s">
        <v>138</v>
      </c>
    </row>
    <row r="16" spans="1:44" x14ac:dyDescent="0.3">
      <c r="A16" s="145"/>
      <c r="B16" s="183">
        <v>3.2</v>
      </c>
      <c r="C16" s="183" t="s">
        <v>74</v>
      </c>
      <c r="D16" s="144"/>
      <c r="E16" s="157">
        <f>(A12+A5)/4</f>
        <v>10.6425</v>
      </c>
      <c r="F16" s="183"/>
      <c r="G16" s="183"/>
      <c r="H16" s="183"/>
      <c r="I16" s="150"/>
      <c r="J16" s="157">
        <f>E16*2</f>
        <v>21.285</v>
      </c>
      <c r="K16" s="183"/>
      <c r="L16" s="183"/>
      <c r="M16" s="183"/>
      <c r="N16" s="150"/>
      <c r="O16" s="157">
        <f>E16</f>
        <v>10.6425</v>
      </c>
      <c r="P16" s="183"/>
      <c r="Q16" s="183"/>
      <c r="R16" s="150"/>
      <c r="T16" s="192"/>
      <c r="U16" s="193"/>
      <c r="V16" s="193"/>
      <c r="W16" s="193"/>
      <c r="X16" s="212">
        <f>X15*U15/2</f>
        <v>19.002607999999999</v>
      </c>
      <c r="Y16" s="193"/>
      <c r="Z16" s="193"/>
      <c r="AA16" s="193"/>
      <c r="AB16" s="193"/>
      <c r="AC16" s="212">
        <f>AC15*U15/2</f>
        <v>38.005215999999997</v>
      </c>
      <c r="AD16" s="193"/>
      <c r="AE16" s="193"/>
      <c r="AF16" s="193"/>
      <c r="AG16" s="206"/>
      <c r="AH16" s="203">
        <f>AH15*U15/2</f>
        <v>38.005215999999997</v>
      </c>
      <c r="AI16" s="193"/>
      <c r="AJ16" s="193"/>
      <c r="AK16" s="193"/>
      <c r="AL16" s="206"/>
      <c r="AM16" s="203">
        <f>AM15*U15/2</f>
        <v>19.002607999999999</v>
      </c>
      <c r="AN16" s="62"/>
      <c r="AO16" s="69"/>
      <c r="AP16" s="92"/>
      <c r="AQ16" s="69"/>
      <c r="AR16" s="169"/>
    </row>
    <row r="17" spans="1:55" x14ac:dyDescent="0.3">
      <c r="A17" s="145"/>
      <c r="B17" s="144"/>
      <c r="C17" s="144"/>
      <c r="D17" s="144"/>
      <c r="E17" s="149">
        <f>E16*B16/2</f>
        <v>17.028000000000002</v>
      </c>
      <c r="F17" s="183"/>
      <c r="G17" s="183"/>
      <c r="H17" s="183"/>
      <c r="I17" s="150"/>
      <c r="J17" s="149">
        <f>J13</f>
        <v>34.056000000000004</v>
      </c>
      <c r="K17" s="183"/>
      <c r="L17" s="183"/>
      <c r="M17" s="183"/>
      <c r="N17" s="150"/>
      <c r="O17" s="149">
        <f>O13</f>
        <v>17.028000000000002</v>
      </c>
      <c r="P17" s="183"/>
      <c r="Q17" s="183"/>
      <c r="R17" s="150"/>
      <c r="T17" s="192"/>
      <c r="U17" s="193"/>
      <c r="V17" s="193"/>
      <c r="W17" s="193"/>
      <c r="X17" s="207">
        <f>-X14</f>
        <v>20.880557333333332</v>
      </c>
      <c r="Y17" s="193"/>
      <c r="Z17" s="193"/>
      <c r="AA17" s="193"/>
      <c r="AB17" s="193"/>
      <c r="AC17" s="207">
        <f>AC14</f>
        <v>20.880557333333332</v>
      </c>
      <c r="AD17" s="193"/>
      <c r="AE17" s="193"/>
      <c r="AF17" s="193"/>
      <c r="AG17" s="206"/>
      <c r="AH17" s="213">
        <f>-AH14</f>
        <v>20.880557333333332</v>
      </c>
      <c r="AI17" s="193"/>
      <c r="AJ17" s="193"/>
      <c r="AK17" s="193"/>
      <c r="AL17" s="208">
        <f>-AL14</f>
        <v>-20.880557333333332</v>
      </c>
      <c r="AM17" s="193"/>
      <c r="AN17" s="62"/>
      <c r="AO17" s="69"/>
      <c r="AP17" s="92"/>
      <c r="AQ17" s="69"/>
      <c r="AR17" s="169"/>
    </row>
    <row r="18" spans="1:55" ht="15" thickBot="1" x14ac:dyDescent="0.35">
      <c r="A18" s="145"/>
      <c r="B18" s="144"/>
      <c r="C18" s="144"/>
      <c r="D18" s="144"/>
      <c r="E18" s="155">
        <f>-E15</f>
        <v>30.422400000000003</v>
      </c>
      <c r="F18" s="183"/>
      <c r="G18" s="183"/>
      <c r="H18" s="183"/>
      <c r="I18" s="150"/>
      <c r="J18" s="155">
        <f>-J15</f>
        <v>-16.799999999999997</v>
      </c>
      <c r="K18" s="183"/>
      <c r="L18" s="183"/>
      <c r="M18" s="183"/>
      <c r="N18" s="156">
        <f>-N15</f>
        <v>-13.622400000000003</v>
      </c>
      <c r="O18" s="183"/>
      <c r="P18" s="183"/>
      <c r="Q18" s="183"/>
      <c r="R18" s="150"/>
      <c r="T18" s="195">
        <v>6.8241500000000004</v>
      </c>
      <c r="U18" s="193" t="s">
        <v>138</v>
      </c>
      <c r="V18" s="62"/>
      <c r="W18" s="62"/>
      <c r="X18" s="76"/>
      <c r="Y18" s="78"/>
      <c r="Z18" s="78"/>
      <c r="AA18" s="78"/>
      <c r="AB18" s="78"/>
      <c r="AC18" s="63"/>
      <c r="AD18" s="62"/>
      <c r="AE18" s="62"/>
      <c r="AF18" s="62"/>
      <c r="AG18" s="79"/>
      <c r="AH18" s="62"/>
      <c r="AI18" s="62"/>
      <c r="AJ18" s="62"/>
      <c r="AK18" s="62"/>
      <c r="AL18" s="65"/>
      <c r="AM18" s="62"/>
      <c r="AN18" s="62"/>
      <c r="AO18" s="69"/>
      <c r="AP18" s="92"/>
      <c r="AQ18" s="69"/>
      <c r="AR18" s="169"/>
      <c r="AY18" t="s">
        <v>508</v>
      </c>
    </row>
    <row r="19" spans="1:55" ht="15" thickBot="1" x14ac:dyDescent="0.35">
      <c r="A19" s="147">
        <v>4.03</v>
      </c>
      <c r="B19" s="183" t="s">
        <v>138</v>
      </c>
      <c r="C19" s="183"/>
      <c r="D19" s="183"/>
      <c r="E19" s="165"/>
      <c r="F19" s="148"/>
      <c r="G19" s="148"/>
      <c r="H19" s="148"/>
      <c r="I19" s="166"/>
      <c r="J19" s="165"/>
      <c r="K19" s="148"/>
      <c r="L19" s="148"/>
      <c r="M19" s="148"/>
      <c r="N19" s="166"/>
      <c r="O19" s="147"/>
      <c r="P19" s="183"/>
      <c r="Q19" s="144"/>
      <c r="R19" s="146"/>
      <c r="T19" s="63"/>
      <c r="U19" s="62"/>
      <c r="V19" s="62"/>
      <c r="W19" s="62"/>
      <c r="X19" s="212">
        <f>X22*U22/2</f>
        <v>9.7604912499999994</v>
      </c>
      <c r="Y19" s="214">
        <f>X19+X16</f>
        <v>28.763099249999996</v>
      </c>
      <c r="Z19" s="215">
        <f>Y19/(Z3/2)</f>
        <v>14.381549624999998</v>
      </c>
      <c r="AA19" s="214">
        <f>Y19</f>
        <v>28.763099249999996</v>
      </c>
      <c r="AB19" s="193"/>
      <c r="AC19" s="197">
        <f>AC22*U22/2</f>
        <v>19.520982499999999</v>
      </c>
      <c r="AD19" s="198">
        <f>AC16+AC19-AA19</f>
        <v>28.763099249999996</v>
      </c>
      <c r="AE19" s="199">
        <f>AD19/(AE3/2)</f>
        <v>28.763099249999996</v>
      </c>
      <c r="AF19" s="198">
        <f>AD19</f>
        <v>28.763099249999996</v>
      </c>
      <c r="AG19" s="206"/>
      <c r="AH19" s="202">
        <f>AH22*U22/2</f>
        <v>19.520982499999999</v>
      </c>
      <c r="AI19" s="373">
        <f>AH16+AH19-AF19</f>
        <v>28.763099249999996</v>
      </c>
      <c r="AJ19" s="199">
        <f>AI19/(AJ3/2)</f>
        <v>14.381549624999998</v>
      </c>
      <c r="AK19" s="198">
        <f>AI19</f>
        <v>28.763099249999996</v>
      </c>
      <c r="AL19" s="201"/>
      <c r="AM19" s="203">
        <f>AM22*U22/2</f>
        <v>9.7604912499999994</v>
      </c>
      <c r="AN19" s="62"/>
      <c r="AO19" s="69">
        <f>T11+T18+T4</f>
        <v>78.083929999999995</v>
      </c>
      <c r="AP19" s="90" t="s">
        <v>32</v>
      </c>
      <c r="AQ19" s="204" t="s">
        <v>433</v>
      </c>
      <c r="AR19" s="169"/>
      <c r="BA19" t="s">
        <v>509</v>
      </c>
      <c r="BC19" t="s">
        <v>510</v>
      </c>
    </row>
    <row r="20" spans="1:55" x14ac:dyDescent="0.3">
      <c r="A20" s="145"/>
      <c r="B20" s="144"/>
      <c r="C20" s="144"/>
      <c r="D20" s="144"/>
      <c r="E20" s="149">
        <f>E23*B23/2</f>
        <v>8.7375000000000007</v>
      </c>
      <c r="F20" s="186">
        <f>E20+E17</f>
        <v>25.765500000000003</v>
      </c>
      <c r="G20" s="187">
        <f>F20/(G3/2)</f>
        <v>20.612400000000001</v>
      </c>
      <c r="H20" s="186">
        <f>F20</f>
        <v>25.765500000000003</v>
      </c>
      <c r="I20" s="150"/>
      <c r="J20" s="151">
        <f>J23*B23/2</f>
        <v>17.475000000000001</v>
      </c>
      <c r="K20" s="152">
        <f>J20+J17-H20</f>
        <v>25.765500000000003</v>
      </c>
      <c r="L20" s="153">
        <f>K20/(L3/2)</f>
        <v>20.612400000000001</v>
      </c>
      <c r="M20" s="152">
        <f>K20</f>
        <v>25.765500000000003</v>
      </c>
      <c r="N20" s="154"/>
      <c r="O20" s="185">
        <f>O23*B23/2</f>
        <v>8.7375000000000007</v>
      </c>
      <c r="P20" s="144"/>
      <c r="Q20" s="144"/>
      <c r="R20" s="146"/>
      <c r="T20" s="63"/>
      <c r="U20" s="62"/>
      <c r="V20" s="62"/>
      <c r="W20" s="62"/>
      <c r="X20" s="192"/>
      <c r="Y20" s="205"/>
      <c r="Z20" s="193"/>
      <c r="AA20" s="205"/>
      <c r="AB20" s="193"/>
      <c r="AC20" s="192"/>
      <c r="AD20" s="205"/>
      <c r="AE20" s="193"/>
      <c r="AF20" s="205"/>
      <c r="AG20" s="206"/>
      <c r="AH20" s="193"/>
      <c r="AI20" s="205"/>
      <c r="AJ20" s="193"/>
      <c r="AK20" s="205"/>
      <c r="AL20" s="206"/>
      <c r="AM20" s="193"/>
      <c r="AN20" s="62"/>
      <c r="AO20" s="69">
        <f>AO19</f>
        <v>78.083929999999995</v>
      </c>
      <c r="AP20" s="90" t="s">
        <v>32</v>
      </c>
      <c r="AQ20" s="204" t="s">
        <v>434</v>
      </c>
      <c r="AR20" s="169"/>
      <c r="AY20">
        <v>1</v>
      </c>
      <c r="BA20">
        <f>MAX(ABS(AC21),ABS(AH50),ABS(AC50),ABS(AH42),ABS(AC79),ABS(AH79))</f>
        <v>35.262106958333334</v>
      </c>
      <c r="BC20">
        <f>MAX(ABS(X21),ABS(AL21),ABS(X50),ABS(AL50),ABS(X79),ABS(AL79))</f>
        <v>35.262106958333334</v>
      </c>
    </row>
    <row r="21" spans="1:55" x14ac:dyDescent="0.3">
      <c r="A21" s="145"/>
      <c r="B21" s="144"/>
      <c r="C21" s="144"/>
      <c r="D21" s="144"/>
      <c r="E21" s="147"/>
      <c r="F21" s="188"/>
      <c r="G21" s="183"/>
      <c r="H21" s="188"/>
      <c r="I21" s="150"/>
      <c r="J21" s="147"/>
      <c r="K21" s="188"/>
      <c r="L21" s="183"/>
      <c r="M21" s="188"/>
      <c r="N21" s="150"/>
      <c r="O21" s="183"/>
      <c r="P21" s="144"/>
      <c r="Q21" s="144"/>
      <c r="R21" s="146"/>
      <c r="T21" s="63"/>
      <c r="U21" s="62"/>
      <c r="V21" s="62"/>
      <c r="W21" s="62"/>
      <c r="X21" s="207">
        <f>-Z19+-Z12+-Z5</f>
        <v>-35.262106958333334</v>
      </c>
      <c r="Y21" s="193"/>
      <c r="Z21" s="193"/>
      <c r="AA21" s="193"/>
      <c r="AB21" s="193"/>
      <c r="AC21" s="207">
        <f>-(Z19+Z12+Z5)+(AE19+AE12+AE5)</f>
        <v>35.262106958333334</v>
      </c>
      <c r="AD21" s="193"/>
      <c r="AE21" s="193"/>
      <c r="AF21" s="193"/>
      <c r="AG21" s="206"/>
      <c r="AH21" s="207">
        <f>-(AE19+AE12+AE5)+(AJ19+AJ12+AJ5)</f>
        <v>-35.262106958333334</v>
      </c>
      <c r="AI21" s="193"/>
      <c r="AJ21" s="193"/>
      <c r="AK21" s="193"/>
      <c r="AL21" s="208">
        <f>AJ19+AJ12+AJ5</f>
        <v>35.262106958333334</v>
      </c>
      <c r="AM21" s="193"/>
      <c r="AN21" s="62"/>
      <c r="AO21" s="172" t="s">
        <v>364</v>
      </c>
      <c r="AP21" s="90" t="s">
        <v>32</v>
      </c>
      <c r="AQ21" s="224">
        <f>AO20/6</f>
        <v>13.013988333333332</v>
      </c>
      <c r="AR21" s="169" t="s">
        <v>138</v>
      </c>
      <c r="AY21">
        <v>2</v>
      </c>
      <c r="BA21">
        <f>MAX(ABS(AC14),ABS(AH14),ABS(AC43),ABS(AH43),ABS(AC72),ABS(AH72))</f>
        <v>20.880557333333332</v>
      </c>
      <c r="BC21">
        <f>MAX(ABS(X14),ABS(AL14),ABS(X36),ABS(AL36),ABS(X65),ABS(AL65))</f>
        <v>20.880557333333332</v>
      </c>
    </row>
    <row r="22" spans="1:55" x14ac:dyDescent="0.3">
      <c r="A22" s="145"/>
      <c r="B22" s="144"/>
      <c r="C22" s="144"/>
      <c r="D22" s="144"/>
      <c r="E22" s="155">
        <f>-(G20+E18)</f>
        <v>-51.034800000000004</v>
      </c>
      <c r="F22" s="183"/>
      <c r="G22" s="183"/>
      <c r="H22" s="183"/>
      <c r="I22" s="150"/>
      <c r="J22" s="155">
        <f>(G20+(-J18)-L20)</f>
        <v>16.799999999999997</v>
      </c>
      <c r="K22" s="183"/>
      <c r="L22" s="183"/>
      <c r="M22" s="183"/>
      <c r="N22" s="156">
        <f>(L20)-N18</f>
        <v>34.234800000000007</v>
      </c>
      <c r="O22" s="183"/>
      <c r="P22" s="144"/>
      <c r="Q22" s="144"/>
      <c r="R22" s="146"/>
      <c r="T22" s="63"/>
      <c r="U22" s="401">
        <v>1.5</v>
      </c>
      <c r="V22" s="193" t="s">
        <v>74</v>
      </c>
      <c r="W22" s="193"/>
      <c r="X22" s="210">
        <f>AQ21</f>
        <v>13.013988333333332</v>
      </c>
      <c r="Y22" s="193"/>
      <c r="Z22" s="193"/>
      <c r="AA22" s="193"/>
      <c r="AB22" s="193"/>
      <c r="AC22" s="210">
        <f>AQ22</f>
        <v>26.027976666666664</v>
      </c>
      <c r="AD22" s="193"/>
      <c r="AE22" s="193"/>
      <c r="AF22" s="193"/>
      <c r="AG22" s="206"/>
      <c r="AH22" s="211">
        <f>AQ22</f>
        <v>26.027976666666664</v>
      </c>
      <c r="AI22" s="193"/>
      <c r="AJ22" s="193"/>
      <c r="AK22" s="193"/>
      <c r="AL22" s="206"/>
      <c r="AM22" s="211">
        <f>AQ21</f>
        <v>13.013988333333332</v>
      </c>
      <c r="AN22" s="62"/>
      <c r="AO22" s="172" t="s">
        <v>435</v>
      </c>
      <c r="AP22" s="90" t="s">
        <v>32</v>
      </c>
      <c r="AQ22" s="255">
        <f>AQ21*2</f>
        <v>26.027976666666664</v>
      </c>
      <c r="AR22" s="169" t="s">
        <v>138</v>
      </c>
      <c r="AY22" s="43" t="s">
        <v>430</v>
      </c>
      <c r="BA22">
        <f>MAX(ABS(AC7),ABS(AH7),ABS(AC36),ABS(AH36),ABS(AC65),ABS(AH65))</f>
        <v>5.6896266666666664</v>
      </c>
      <c r="BC22">
        <f>MAX(ABS(X7),ABS(AL7),ABS(X36),ABS(AL36),ABS(X65),ABS(AL65))</f>
        <v>5.6896266666666664</v>
      </c>
    </row>
    <row r="23" spans="1:55" x14ac:dyDescent="0.3">
      <c r="A23" s="145"/>
      <c r="B23" s="189">
        <v>1.5</v>
      </c>
      <c r="C23" s="183" t="s">
        <v>74</v>
      </c>
      <c r="D23" s="144"/>
      <c r="E23" s="157">
        <f>(A19+A12+A5)/4</f>
        <v>11.65</v>
      </c>
      <c r="F23" s="183"/>
      <c r="G23" s="183"/>
      <c r="H23" s="183"/>
      <c r="I23" s="150"/>
      <c r="J23" s="157">
        <f>E23*2</f>
        <v>23.3</v>
      </c>
      <c r="K23" s="183"/>
      <c r="L23" s="183"/>
      <c r="M23" s="183"/>
      <c r="N23" s="150"/>
      <c r="O23" s="157">
        <f>E23</f>
        <v>11.65</v>
      </c>
      <c r="P23" s="144"/>
      <c r="Q23" s="144"/>
      <c r="R23" s="146"/>
      <c r="T23" s="63"/>
      <c r="U23" s="62"/>
      <c r="V23" s="62"/>
      <c r="W23" s="62"/>
      <c r="X23" s="212">
        <f>X22*U22/2</f>
        <v>9.7604912499999994</v>
      </c>
      <c r="Y23" s="193"/>
      <c r="Z23" s="193"/>
      <c r="AA23" s="193"/>
      <c r="AB23" s="193"/>
      <c r="AC23" s="212">
        <f>AC22*U22/2</f>
        <v>19.520982499999999</v>
      </c>
      <c r="AD23" s="193"/>
      <c r="AE23" s="193"/>
      <c r="AF23" s="193"/>
      <c r="AG23" s="206"/>
      <c r="AH23" s="203">
        <f>AH22*U22/2</f>
        <v>19.520982499999999</v>
      </c>
      <c r="AI23" s="193"/>
      <c r="AJ23" s="193"/>
      <c r="AK23" s="193"/>
      <c r="AL23" s="206"/>
      <c r="AM23" s="203">
        <f>AM22*U22/2</f>
        <v>9.7604912499999994</v>
      </c>
      <c r="AN23" s="62"/>
      <c r="AO23" s="69"/>
      <c r="AP23" s="92"/>
      <c r="AQ23" s="69"/>
      <c r="AR23" s="169"/>
    </row>
    <row r="24" spans="1:55" x14ac:dyDescent="0.3">
      <c r="A24" s="145"/>
      <c r="B24" s="144"/>
      <c r="C24" s="144"/>
      <c r="D24" s="144"/>
      <c r="E24" s="149">
        <f>E23*B23/2</f>
        <v>8.7375000000000007</v>
      </c>
      <c r="F24" s="183"/>
      <c r="G24" s="183"/>
      <c r="H24" s="183"/>
      <c r="I24" s="150"/>
      <c r="J24" s="149">
        <f>J20</f>
        <v>17.475000000000001</v>
      </c>
      <c r="K24" s="183"/>
      <c r="L24" s="183"/>
      <c r="M24" s="183"/>
      <c r="N24" s="150"/>
      <c r="O24" s="149">
        <f>O20</f>
        <v>8.7375000000000007</v>
      </c>
      <c r="P24" s="144"/>
      <c r="Q24" s="144"/>
      <c r="R24" s="146"/>
      <c r="T24" s="63"/>
      <c r="U24" s="62"/>
      <c r="V24" s="62"/>
      <c r="W24" s="62"/>
      <c r="X24" s="207">
        <f>-X21</f>
        <v>35.262106958333334</v>
      </c>
      <c r="Y24" s="193"/>
      <c r="Z24" s="193"/>
      <c r="AA24" s="193"/>
      <c r="AB24" s="193"/>
      <c r="AC24" s="207">
        <f>AC21</f>
        <v>35.262106958333334</v>
      </c>
      <c r="AD24" s="193"/>
      <c r="AE24" s="193"/>
      <c r="AF24" s="193"/>
      <c r="AG24" s="206"/>
      <c r="AH24" s="213">
        <f>-AH21</f>
        <v>35.262106958333334</v>
      </c>
      <c r="AI24" s="193"/>
      <c r="AJ24" s="193"/>
      <c r="AK24" s="193"/>
      <c r="AL24" s="208">
        <f>-AL21</f>
        <v>-35.262106958333334</v>
      </c>
      <c r="AM24" s="193"/>
      <c r="AN24" s="62"/>
      <c r="AO24" s="69"/>
      <c r="AP24" s="92"/>
      <c r="AQ24" s="69"/>
      <c r="AR24" s="65"/>
    </row>
    <row r="25" spans="1:55" ht="15" thickBot="1" x14ac:dyDescent="0.35">
      <c r="A25" s="145"/>
      <c r="B25" s="144"/>
      <c r="C25" s="144"/>
      <c r="D25" s="144"/>
      <c r="E25" s="155">
        <f>-E22</f>
        <v>51.034800000000004</v>
      </c>
      <c r="F25" s="183"/>
      <c r="G25" s="183"/>
      <c r="H25" s="183"/>
      <c r="I25" s="150"/>
      <c r="J25" s="155">
        <f>-J22</f>
        <v>-16.799999999999997</v>
      </c>
      <c r="K25" s="183"/>
      <c r="L25" s="183"/>
      <c r="M25" s="183"/>
      <c r="N25" s="156">
        <f>-N22</f>
        <v>-34.234800000000007</v>
      </c>
      <c r="O25" s="183"/>
      <c r="P25" s="144"/>
      <c r="Q25" s="144"/>
      <c r="R25" s="146"/>
      <c r="T25" s="63"/>
      <c r="U25" s="62"/>
      <c r="V25" s="62"/>
      <c r="W25" s="79"/>
      <c r="X25" s="76"/>
      <c r="Y25" s="62"/>
      <c r="Z25" s="62"/>
      <c r="AA25" s="62"/>
      <c r="AB25" s="78"/>
      <c r="AC25" s="76"/>
      <c r="AD25" s="62"/>
      <c r="AE25" s="62"/>
      <c r="AF25" s="62"/>
      <c r="AG25" s="79"/>
      <c r="AH25" s="78"/>
      <c r="AI25" s="62"/>
      <c r="AJ25" s="62"/>
      <c r="AK25" s="62"/>
      <c r="AL25" s="79"/>
      <c r="AM25" s="76"/>
      <c r="AN25" s="62"/>
      <c r="AO25" s="69"/>
      <c r="AP25" s="92"/>
      <c r="AQ25" s="69"/>
      <c r="AR25" s="169"/>
    </row>
    <row r="26" spans="1:55" ht="15" thickBot="1" x14ac:dyDescent="0.35">
      <c r="A26" s="147"/>
      <c r="B26" s="183"/>
      <c r="C26" s="183"/>
      <c r="D26" s="148"/>
      <c r="E26" s="165"/>
      <c r="F26" s="183"/>
      <c r="G26" s="183"/>
      <c r="H26" s="183"/>
      <c r="I26" s="166"/>
      <c r="J26" s="165"/>
      <c r="K26" s="183"/>
      <c r="L26" s="183"/>
      <c r="M26" s="183"/>
      <c r="N26" s="166"/>
      <c r="O26" s="165"/>
      <c r="P26" s="144"/>
      <c r="Q26" s="144"/>
      <c r="R26" s="146"/>
      <c r="T26" s="63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9"/>
      <c r="AP26" s="92"/>
      <c r="AQ26" s="69"/>
      <c r="AR26" s="169"/>
    </row>
    <row r="27" spans="1:55" x14ac:dyDescent="0.3">
      <c r="A27" s="147"/>
      <c r="B27" s="183"/>
      <c r="C27" s="183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6"/>
      <c r="T27" s="63"/>
      <c r="U27" s="62"/>
      <c r="V27" s="62"/>
      <c r="W27" s="92">
        <f>X10+X17+X24</f>
        <v>61.832290958333331</v>
      </c>
      <c r="X27" s="128" t="s">
        <v>32</v>
      </c>
      <c r="Y27" s="92">
        <f>AC7+AC14+AC21+AH7+AH14+AH21+AL7+AL14+AL21</f>
        <v>61.832290958333331</v>
      </c>
      <c r="Z27" s="172" t="str">
        <f>IF(W27=Y27, "OK!","RE-CHECK!")</f>
        <v>OK!</v>
      </c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9"/>
      <c r="AP27" s="92"/>
      <c r="AQ27" s="69"/>
      <c r="AR27" s="169"/>
    </row>
    <row r="28" spans="1:55" x14ac:dyDescent="0.3">
      <c r="A28" s="145"/>
      <c r="B28" s="183"/>
      <c r="C28" s="183"/>
      <c r="D28" s="144"/>
      <c r="E28" s="334">
        <f>E11+E18+E25</f>
        <v>89.857200000000006</v>
      </c>
      <c r="F28" s="182" t="s">
        <v>32</v>
      </c>
      <c r="G28" s="334">
        <f>J8+J15+J22+N8+N15+N22</f>
        <v>89.857200000000006</v>
      </c>
      <c r="H28" s="191" t="s">
        <v>352</v>
      </c>
      <c r="I28" s="144"/>
      <c r="J28" s="144"/>
      <c r="K28" s="144"/>
      <c r="L28" s="144"/>
      <c r="M28" s="144"/>
      <c r="N28" s="144"/>
      <c r="O28" s="144"/>
      <c r="P28" s="144"/>
      <c r="Q28" s="144"/>
      <c r="R28" s="146"/>
      <c r="T28" s="63"/>
      <c r="U28" s="62"/>
      <c r="V28" s="62"/>
      <c r="W28" s="75"/>
      <c r="X28" s="216"/>
      <c r="Y28" s="75"/>
      <c r="Z28" s="217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9"/>
      <c r="AP28" s="92"/>
      <c r="AQ28" s="69"/>
      <c r="AR28" s="169"/>
    </row>
    <row r="29" spans="1:55" ht="15" thickBot="1" x14ac:dyDescent="0.35">
      <c r="A29" s="159"/>
      <c r="B29" s="148"/>
      <c r="C29" s="148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160"/>
      <c r="T29" s="536" t="s">
        <v>436</v>
      </c>
      <c r="U29" s="537"/>
      <c r="V29" s="78"/>
      <c r="W29" s="218"/>
      <c r="X29" s="196" t="s">
        <v>347</v>
      </c>
      <c r="Y29" s="196"/>
      <c r="Z29" s="219"/>
      <c r="AA29" s="196" t="s">
        <v>348</v>
      </c>
      <c r="AB29" s="78"/>
      <c r="AC29" s="196"/>
      <c r="AD29" s="220"/>
      <c r="AE29" s="196" t="s">
        <v>349</v>
      </c>
      <c r="AF29" s="196"/>
      <c r="AG29" s="221"/>
      <c r="AH29" s="196" t="s">
        <v>350</v>
      </c>
      <c r="AI29" s="78"/>
      <c r="AJ29" s="222"/>
      <c r="AK29" s="196" t="s">
        <v>351</v>
      </c>
      <c r="AL29" s="196"/>
      <c r="AM29" s="78"/>
      <c r="AN29" s="78"/>
      <c r="AO29" s="223"/>
      <c r="AP29" s="104"/>
      <c r="AQ29" s="223"/>
      <c r="AR29" s="176"/>
    </row>
    <row r="30" spans="1:55" s="355" customFormat="1" ht="19.8" x14ac:dyDescent="0.4">
      <c r="A30" s="538" t="s">
        <v>353</v>
      </c>
      <c r="B30" s="539"/>
      <c r="C30" s="539"/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40"/>
      <c r="T30" s="538" t="s">
        <v>437</v>
      </c>
      <c r="U30" s="539"/>
      <c r="V30" s="539"/>
      <c r="W30" s="539"/>
      <c r="X30" s="539"/>
      <c r="Y30" s="539"/>
      <c r="Z30" s="539"/>
      <c r="AA30" s="539"/>
      <c r="AB30" s="539"/>
      <c r="AC30" s="539"/>
      <c r="AD30" s="539"/>
      <c r="AE30" s="539"/>
      <c r="AF30" s="539"/>
      <c r="AG30" s="539"/>
      <c r="AH30" s="539"/>
      <c r="AI30" s="539"/>
      <c r="AJ30" s="539"/>
      <c r="AK30" s="539"/>
      <c r="AL30" s="539"/>
      <c r="AM30" s="539"/>
      <c r="AN30" s="539"/>
      <c r="AO30" s="539"/>
      <c r="AP30" s="539"/>
      <c r="AQ30" s="539"/>
      <c r="AR30" s="540"/>
    </row>
    <row r="31" spans="1:55" x14ac:dyDescent="0.3">
      <c r="A31" s="145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6"/>
      <c r="T31" s="190"/>
      <c r="U31" s="191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9"/>
      <c r="AP31" s="92"/>
      <c r="AQ31" s="69"/>
      <c r="AR31" s="169"/>
    </row>
    <row r="32" spans="1:55" x14ac:dyDescent="0.3">
      <c r="A32" s="147"/>
      <c r="B32" s="183"/>
      <c r="C32" s="183"/>
      <c r="D32" s="183"/>
      <c r="E32" s="183"/>
      <c r="F32" s="183"/>
      <c r="G32" s="184">
        <v>2.5</v>
      </c>
      <c r="H32" s="183" t="s">
        <v>74</v>
      </c>
      <c r="I32" s="183"/>
      <c r="J32" s="183"/>
      <c r="K32" s="183"/>
      <c r="L32" s="184">
        <v>2.5</v>
      </c>
      <c r="M32" s="183" t="s">
        <v>74</v>
      </c>
      <c r="N32" s="183"/>
      <c r="O32" s="144"/>
      <c r="P32" s="144"/>
      <c r="Q32" s="144"/>
      <c r="R32" s="146"/>
      <c r="T32" s="192"/>
      <c r="U32" s="193"/>
      <c r="V32" s="193"/>
      <c r="W32" s="193"/>
      <c r="X32" s="193"/>
      <c r="Y32" s="193"/>
      <c r="Z32" s="194">
        <v>4</v>
      </c>
      <c r="AA32" s="193" t="s">
        <v>74</v>
      </c>
      <c r="AB32" s="193"/>
      <c r="AC32" s="193"/>
      <c r="AD32" s="193"/>
      <c r="AE32" s="194">
        <v>2</v>
      </c>
      <c r="AF32" s="193" t="s">
        <v>74</v>
      </c>
      <c r="AG32" s="193"/>
      <c r="AH32" s="193"/>
      <c r="AI32" s="193"/>
      <c r="AJ32" s="194">
        <v>4</v>
      </c>
      <c r="AK32" s="193" t="s">
        <v>74</v>
      </c>
      <c r="AL32" s="193"/>
      <c r="AM32" s="62"/>
      <c r="AN32" s="62"/>
      <c r="AO32" s="69"/>
      <c r="AP32" s="92"/>
      <c r="AQ32" s="69"/>
      <c r="AR32" s="169"/>
    </row>
    <row r="33" spans="1:44" ht="15" thickBot="1" x14ac:dyDescent="0.35">
      <c r="A33" s="147"/>
      <c r="B33" s="183"/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44"/>
      <c r="P33" s="144"/>
      <c r="Q33" s="144"/>
      <c r="R33" s="146"/>
      <c r="T33" s="195">
        <v>30.373950000000001</v>
      </c>
      <c r="U33" s="193" t="s">
        <v>138</v>
      </c>
      <c r="V33" s="193"/>
      <c r="W33" s="193"/>
      <c r="X33" s="196"/>
      <c r="Y33" s="196"/>
      <c r="Z33" s="196"/>
      <c r="AA33" s="196"/>
      <c r="AB33" s="196"/>
      <c r="AC33" s="193"/>
      <c r="AD33" s="193"/>
      <c r="AE33" s="193"/>
      <c r="AF33" s="193"/>
      <c r="AG33" s="196"/>
      <c r="AH33" s="193"/>
      <c r="AI33" s="193"/>
      <c r="AJ33" s="193"/>
      <c r="AK33" s="193"/>
      <c r="AL33" s="196"/>
      <c r="AM33" s="62"/>
      <c r="AN33" s="62"/>
      <c r="AO33" s="69"/>
      <c r="AP33" s="92"/>
      <c r="AQ33" s="69"/>
      <c r="AR33" s="169"/>
    </row>
    <row r="34" spans="1:44" ht="15" thickBot="1" x14ac:dyDescent="0.35">
      <c r="A34" s="147">
        <v>21.39</v>
      </c>
      <c r="B34" s="183" t="s">
        <v>138</v>
      </c>
      <c r="C34" s="183"/>
      <c r="D34" s="183"/>
      <c r="E34" s="148"/>
      <c r="F34" s="148"/>
      <c r="G34" s="148"/>
      <c r="H34" s="148"/>
      <c r="I34" s="148"/>
      <c r="J34" s="183"/>
      <c r="K34" s="183"/>
      <c r="L34" s="183"/>
      <c r="M34" s="183"/>
      <c r="N34" s="148"/>
      <c r="O34" s="144"/>
      <c r="P34" s="144"/>
      <c r="Q34" s="144"/>
      <c r="R34" s="146"/>
      <c r="T34" s="192"/>
      <c r="U34" s="193"/>
      <c r="V34" s="193"/>
      <c r="W34" s="193"/>
      <c r="X34" s="197">
        <f>X37*U37/2</f>
        <v>8.0997200000000014</v>
      </c>
      <c r="Y34" s="198">
        <f>X34</f>
        <v>8.0997200000000014</v>
      </c>
      <c r="Z34" s="199">
        <f>Y34/(Z32/2)</f>
        <v>4.0498600000000007</v>
      </c>
      <c r="AA34" s="198">
        <f>Y34</f>
        <v>8.0997200000000014</v>
      </c>
      <c r="AB34" s="200"/>
      <c r="AC34" s="197">
        <f>AC37*U37/2</f>
        <v>16.199440000000003</v>
      </c>
      <c r="AD34" s="198">
        <f>AC34-AA34</f>
        <v>8.0997200000000014</v>
      </c>
      <c r="AE34" s="199">
        <f>AD34/(AE32/2)</f>
        <v>8.0997200000000014</v>
      </c>
      <c r="AF34" s="198">
        <f>AD34</f>
        <v>8.0997200000000014</v>
      </c>
      <c r="AG34" s="201"/>
      <c r="AH34" s="202">
        <f>AH37*U37/2</f>
        <v>16.199440000000003</v>
      </c>
      <c r="AI34" s="198">
        <f>AH34-AF34</f>
        <v>8.0997200000000014</v>
      </c>
      <c r="AJ34" s="199">
        <f>AI34/(AJ32/2)</f>
        <v>4.0498600000000007</v>
      </c>
      <c r="AK34" s="198">
        <f>AI34</f>
        <v>8.0997200000000014</v>
      </c>
      <c r="AL34" s="201"/>
      <c r="AM34" s="203">
        <f>AM37*U37/2</f>
        <v>8.0997200000000014</v>
      </c>
      <c r="AN34" s="62"/>
      <c r="AO34" s="69">
        <f>T33</f>
        <v>30.373950000000001</v>
      </c>
      <c r="AP34" s="90" t="s">
        <v>32</v>
      </c>
      <c r="AQ34" s="204" t="s">
        <v>433</v>
      </c>
      <c r="AR34" s="169"/>
    </row>
    <row r="35" spans="1:44" x14ac:dyDescent="0.3">
      <c r="A35" s="147"/>
      <c r="B35" s="183"/>
      <c r="C35" s="183"/>
      <c r="D35" s="183"/>
      <c r="E35" s="149">
        <f>E38*B38/2</f>
        <v>8.5560000000000009</v>
      </c>
      <c r="F35" s="186">
        <f>E35</f>
        <v>8.5560000000000009</v>
      </c>
      <c r="G35" s="187">
        <f>F35/(G32/2)</f>
        <v>6.8448000000000011</v>
      </c>
      <c r="H35" s="186">
        <f>F35</f>
        <v>8.5560000000000009</v>
      </c>
      <c r="I35" s="150"/>
      <c r="J35" s="151">
        <f>J38*B38/2</f>
        <v>17.112000000000002</v>
      </c>
      <c r="K35" s="152">
        <f>J35-H35</f>
        <v>8.5560000000000009</v>
      </c>
      <c r="L35" s="153">
        <f>K35/(L32/2)</f>
        <v>6.8448000000000011</v>
      </c>
      <c r="M35" s="152">
        <f>K35</f>
        <v>8.5560000000000009</v>
      </c>
      <c r="N35" s="154"/>
      <c r="O35" s="149">
        <f>O38*B38/2</f>
        <v>8.5560000000000009</v>
      </c>
      <c r="P35" s="183"/>
      <c r="Q35" s="183"/>
      <c r="R35" s="150"/>
      <c r="T35" s="192"/>
      <c r="U35" s="193"/>
      <c r="V35" s="193"/>
      <c r="W35" s="193"/>
      <c r="X35" s="192"/>
      <c r="Y35" s="205"/>
      <c r="Z35" s="193"/>
      <c r="AA35" s="205"/>
      <c r="AB35" s="193"/>
      <c r="AC35" s="192"/>
      <c r="AD35" s="205"/>
      <c r="AE35" s="193"/>
      <c r="AF35" s="205"/>
      <c r="AG35" s="206"/>
      <c r="AH35" s="193"/>
      <c r="AI35" s="205"/>
      <c r="AJ35" s="193"/>
      <c r="AK35" s="205"/>
      <c r="AL35" s="206"/>
      <c r="AM35" s="193"/>
      <c r="AN35" s="62"/>
      <c r="AO35" s="69">
        <f>AO34</f>
        <v>30.373950000000001</v>
      </c>
      <c r="AP35" s="90" t="s">
        <v>32</v>
      </c>
      <c r="AQ35" s="204" t="s">
        <v>434</v>
      </c>
      <c r="AR35" s="169"/>
    </row>
    <row r="36" spans="1:44" x14ac:dyDescent="0.3">
      <c r="A36" s="147"/>
      <c r="B36" s="183"/>
      <c r="C36" s="183"/>
      <c r="D36" s="183"/>
      <c r="E36" s="147"/>
      <c r="F36" s="188"/>
      <c r="G36" s="183"/>
      <c r="H36" s="188"/>
      <c r="I36" s="150"/>
      <c r="J36" s="147"/>
      <c r="K36" s="188"/>
      <c r="L36" s="183"/>
      <c r="M36" s="188"/>
      <c r="N36" s="150"/>
      <c r="O36" s="183"/>
      <c r="P36" s="183"/>
      <c r="Q36" s="183"/>
      <c r="R36" s="150"/>
      <c r="T36" s="192"/>
      <c r="U36" s="193"/>
      <c r="V36" s="193"/>
      <c r="W36" s="193"/>
      <c r="X36" s="207">
        <f>-Z34</f>
        <v>-4.0498600000000007</v>
      </c>
      <c r="Y36" s="193"/>
      <c r="Z36" s="193"/>
      <c r="AA36" s="193"/>
      <c r="AB36" s="193"/>
      <c r="AC36" s="207">
        <f>-(Z34)+(AE34)</f>
        <v>4.0498600000000007</v>
      </c>
      <c r="AD36" s="193"/>
      <c r="AE36" s="193"/>
      <c r="AF36" s="193"/>
      <c r="AG36" s="206"/>
      <c r="AH36" s="207">
        <f>-(AE34)+(AJ34)</f>
        <v>-4.0498600000000007</v>
      </c>
      <c r="AI36" s="193"/>
      <c r="AJ36" s="193"/>
      <c r="AK36" s="193"/>
      <c r="AL36" s="208">
        <f>AJ34</f>
        <v>4.0498600000000007</v>
      </c>
      <c r="AM36" s="193"/>
      <c r="AN36" s="62"/>
      <c r="AO36" s="172" t="s">
        <v>364</v>
      </c>
      <c r="AP36" s="90" t="s">
        <v>32</v>
      </c>
      <c r="AQ36" s="224">
        <f>AO35/6</f>
        <v>5.0623250000000004</v>
      </c>
      <c r="AR36" s="169" t="s">
        <v>138</v>
      </c>
    </row>
    <row r="37" spans="1:44" x14ac:dyDescent="0.3">
      <c r="A37" s="147"/>
      <c r="B37" s="183"/>
      <c r="C37" s="183"/>
      <c r="D37" s="183"/>
      <c r="E37" s="155">
        <f>-G35</f>
        <v>-6.8448000000000011</v>
      </c>
      <c r="F37" s="183"/>
      <c r="G37" s="183"/>
      <c r="H37" s="183"/>
      <c r="I37" s="150"/>
      <c r="J37" s="155">
        <f>G35-L35</f>
        <v>0</v>
      </c>
      <c r="K37" s="183"/>
      <c r="L37" s="183"/>
      <c r="M37" s="183"/>
      <c r="N37" s="156">
        <f>L35</f>
        <v>6.8448000000000011</v>
      </c>
      <c r="O37" s="183"/>
      <c r="P37" s="183"/>
      <c r="Q37" s="183"/>
      <c r="R37" s="150"/>
      <c r="T37" s="192"/>
      <c r="U37" s="209">
        <v>3.2</v>
      </c>
      <c r="V37" s="193" t="s">
        <v>74</v>
      </c>
      <c r="W37" s="193"/>
      <c r="X37" s="210">
        <f>AQ36</f>
        <v>5.0623250000000004</v>
      </c>
      <c r="Y37" s="193"/>
      <c r="Z37" s="193"/>
      <c r="AA37" s="193"/>
      <c r="AB37" s="193"/>
      <c r="AC37" s="210">
        <f>AQ37</f>
        <v>10.124650000000001</v>
      </c>
      <c r="AD37" s="193"/>
      <c r="AE37" s="193"/>
      <c r="AF37" s="193"/>
      <c r="AG37" s="206"/>
      <c r="AH37" s="211">
        <f>AQ37</f>
        <v>10.124650000000001</v>
      </c>
      <c r="AI37" s="193"/>
      <c r="AJ37" s="193"/>
      <c r="AK37" s="193"/>
      <c r="AL37" s="206"/>
      <c r="AM37" s="211">
        <f>AQ36</f>
        <v>5.0623250000000004</v>
      </c>
      <c r="AN37" s="62"/>
      <c r="AO37" s="172" t="s">
        <v>435</v>
      </c>
      <c r="AP37" s="90" t="s">
        <v>32</v>
      </c>
      <c r="AQ37" s="255">
        <f>AQ36*2</f>
        <v>10.124650000000001</v>
      </c>
      <c r="AR37" s="169" t="s">
        <v>138</v>
      </c>
    </row>
    <row r="38" spans="1:44" x14ac:dyDescent="0.3">
      <c r="A38" s="147"/>
      <c r="B38" s="398">
        <v>3.2</v>
      </c>
      <c r="C38" s="183" t="s">
        <v>74</v>
      </c>
      <c r="D38" s="183"/>
      <c r="E38" s="157">
        <f>(A34)/4</f>
        <v>5.3475000000000001</v>
      </c>
      <c r="F38" s="183"/>
      <c r="G38" s="183"/>
      <c r="H38" s="183"/>
      <c r="I38" s="150"/>
      <c r="J38" s="157">
        <f>E38*2</f>
        <v>10.695</v>
      </c>
      <c r="K38" s="183"/>
      <c r="L38" s="183"/>
      <c r="M38" s="183"/>
      <c r="N38" s="150"/>
      <c r="O38" s="157">
        <f>E38</f>
        <v>5.3475000000000001</v>
      </c>
      <c r="P38" s="183"/>
      <c r="Q38" s="183"/>
      <c r="R38" s="150"/>
      <c r="T38" s="192"/>
      <c r="U38" s="193"/>
      <c r="V38" s="193"/>
      <c r="W38" s="193"/>
      <c r="X38" s="212">
        <f>X37*U37/2</f>
        <v>8.0997200000000014</v>
      </c>
      <c r="Y38" s="193"/>
      <c r="Z38" s="193"/>
      <c r="AA38" s="193"/>
      <c r="AB38" s="193"/>
      <c r="AC38" s="212">
        <f>AC37*U37/2</f>
        <v>16.199440000000003</v>
      </c>
      <c r="AD38" s="193"/>
      <c r="AE38" s="193"/>
      <c r="AF38" s="193"/>
      <c r="AG38" s="206"/>
      <c r="AH38" s="203">
        <f>AH37*U37/2</f>
        <v>16.199440000000003</v>
      </c>
      <c r="AI38" s="193"/>
      <c r="AJ38" s="193"/>
      <c r="AK38" s="193"/>
      <c r="AL38" s="206"/>
      <c r="AM38" s="203">
        <f>AM37*U37/2</f>
        <v>8.0997200000000014</v>
      </c>
      <c r="AN38" s="62"/>
      <c r="AO38" s="69"/>
      <c r="AP38" s="92"/>
      <c r="AQ38" s="69"/>
      <c r="AR38" s="169"/>
    </row>
    <row r="39" spans="1:44" x14ac:dyDescent="0.3">
      <c r="A39" s="147"/>
      <c r="B39" s="183"/>
      <c r="C39" s="183"/>
      <c r="D39" s="183"/>
      <c r="E39" s="149">
        <f>E38*B38/2</f>
        <v>8.5560000000000009</v>
      </c>
      <c r="F39" s="183"/>
      <c r="G39" s="183"/>
      <c r="H39" s="183"/>
      <c r="I39" s="150"/>
      <c r="J39" s="149">
        <f>J38*$D$17/2</f>
        <v>0</v>
      </c>
      <c r="K39" s="183"/>
      <c r="L39" s="183"/>
      <c r="M39" s="183"/>
      <c r="N39" s="150"/>
      <c r="O39" s="149">
        <f>O35</f>
        <v>8.5560000000000009</v>
      </c>
      <c r="P39" s="183"/>
      <c r="Q39" s="183"/>
      <c r="R39" s="150"/>
      <c r="T39" s="192"/>
      <c r="U39" s="193"/>
      <c r="V39" s="193"/>
      <c r="W39" s="193"/>
      <c r="X39" s="207">
        <f>-X36</f>
        <v>4.0498600000000007</v>
      </c>
      <c r="Y39" s="193"/>
      <c r="Z39" s="193"/>
      <c r="AA39" s="193"/>
      <c r="AB39" s="193"/>
      <c r="AC39" s="207">
        <f>AC36</f>
        <v>4.0498600000000007</v>
      </c>
      <c r="AD39" s="193"/>
      <c r="AE39" s="193"/>
      <c r="AF39" s="193"/>
      <c r="AG39" s="206"/>
      <c r="AH39" s="213">
        <f>-AH36</f>
        <v>4.0498600000000007</v>
      </c>
      <c r="AI39" s="193"/>
      <c r="AJ39" s="193"/>
      <c r="AK39" s="193"/>
      <c r="AL39" s="208">
        <f>-AL36</f>
        <v>-4.0498600000000007</v>
      </c>
      <c r="AM39" s="193"/>
      <c r="AN39" s="62"/>
      <c r="AO39" s="69"/>
      <c r="AP39" s="92"/>
      <c r="AQ39" s="69"/>
      <c r="AR39" s="169"/>
    </row>
    <row r="40" spans="1:44" ht="15" thickBot="1" x14ac:dyDescent="0.35">
      <c r="A40" s="147"/>
      <c r="B40" s="183"/>
      <c r="C40" s="183"/>
      <c r="D40" s="183"/>
      <c r="E40" s="155">
        <f>-E37</f>
        <v>6.8448000000000011</v>
      </c>
      <c r="F40" s="183"/>
      <c r="G40" s="183"/>
      <c r="H40" s="183"/>
      <c r="I40" s="150"/>
      <c r="J40" s="155">
        <f>-J37</f>
        <v>0</v>
      </c>
      <c r="K40" s="183"/>
      <c r="L40" s="183"/>
      <c r="M40" s="183"/>
      <c r="N40" s="156">
        <f>-N37</f>
        <v>-6.8448000000000011</v>
      </c>
      <c r="O40" s="183"/>
      <c r="P40" s="183"/>
      <c r="Q40" s="158"/>
      <c r="R40" s="150" t="s">
        <v>347</v>
      </c>
      <c r="T40" s="195">
        <v>21.04477</v>
      </c>
      <c r="U40" s="193" t="s">
        <v>138</v>
      </c>
      <c r="V40" s="62"/>
      <c r="W40" s="62"/>
      <c r="X40" s="76"/>
      <c r="Y40" s="78"/>
      <c r="Z40" s="78"/>
      <c r="AA40" s="78"/>
      <c r="AB40" s="78"/>
      <c r="AC40" s="63"/>
      <c r="AD40" s="62"/>
      <c r="AE40" s="62"/>
      <c r="AF40" s="62"/>
      <c r="AG40" s="79"/>
      <c r="AH40" s="62"/>
      <c r="AI40" s="62"/>
      <c r="AJ40" s="62"/>
      <c r="AK40" s="62"/>
      <c r="AL40" s="65"/>
      <c r="AM40" s="62"/>
      <c r="AN40" s="62"/>
      <c r="AO40" s="69"/>
      <c r="AP40" s="92"/>
      <c r="AQ40" s="69"/>
      <c r="AR40" s="169"/>
    </row>
    <row r="41" spans="1:44" ht="15" thickBot="1" x14ac:dyDescent="0.35">
      <c r="A41" s="147">
        <v>15.15</v>
      </c>
      <c r="B41" s="183" t="s">
        <v>138</v>
      </c>
      <c r="C41" s="144"/>
      <c r="D41" s="146"/>
      <c r="E41" s="159"/>
      <c r="F41" s="83"/>
      <c r="G41" s="83"/>
      <c r="H41" s="83"/>
      <c r="I41" s="160"/>
      <c r="J41" s="144"/>
      <c r="K41" s="144"/>
      <c r="L41" s="144"/>
      <c r="M41" s="144"/>
      <c r="N41" s="146"/>
      <c r="O41" s="144"/>
      <c r="P41" s="183"/>
      <c r="Q41" s="161"/>
      <c r="R41" s="150" t="s">
        <v>348</v>
      </c>
      <c r="T41" s="192"/>
      <c r="U41" s="193"/>
      <c r="V41" s="193"/>
      <c r="W41" s="193"/>
      <c r="X41" s="212">
        <f>X44*U44/2</f>
        <v>13.711658666666668</v>
      </c>
      <c r="Y41" s="214">
        <f>X41+X38</f>
        <v>21.81137866666667</v>
      </c>
      <c r="Z41" s="215">
        <f>Y41/(Z32/2)</f>
        <v>10.905689333333335</v>
      </c>
      <c r="AA41" s="214">
        <f>Y41</f>
        <v>21.81137866666667</v>
      </c>
      <c r="AB41" s="193"/>
      <c r="AC41" s="197">
        <f>AC44*U44/2</f>
        <v>27.423317333333337</v>
      </c>
      <c r="AD41" s="198">
        <f>AC38+AC41-AA41</f>
        <v>21.81137866666667</v>
      </c>
      <c r="AE41" s="199">
        <f>AD41/(AE32/2)</f>
        <v>21.81137866666667</v>
      </c>
      <c r="AF41" s="198">
        <f>AD41</f>
        <v>21.81137866666667</v>
      </c>
      <c r="AG41" s="206"/>
      <c r="AH41" s="202">
        <f>AH44*U44/2</f>
        <v>27.423317333333337</v>
      </c>
      <c r="AI41" s="198">
        <f>AH38+AH41-AF41</f>
        <v>21.81137866666667</v>
      </c>
      <c r="AJ41" s="199">
        <f>AI41/(AJ32/2)</f>
        <v>10.905689333333335</v>
      </c>
      <c r="AK41" s="198">
        <f>AI41</f>
        <v>21.81137866666667</v>
      </c>
      <c r="AL41" s="201"/>
      <c r="AM41" s="203">
        <f>AM44*U44/2</f>
        <v>13.711658666666668</v>
      </c>
      <c r="AN41" s="62"/>
      <c r="AO41" s="69">
        <f>T33+T40</f>
        <v>51.41872</v>
      </c>
      <c r="AP41" s="90" t="s">
        <v>32</v>
      </c>
      <c r="AQ41" s="204" t="s">
        <v>433</v>
      </c>
      <c r="AR41" s="169"/>
    </row>
    <row r="42" spans="1:44" x14ac:dyDescent="0.3">
      <c r="A42" s="145"/>
      <c r="B42" s="144"/>
      <c r="C42" s="144"/>
      <c r="D42" s="144"/>
      <c r="E42" s="149">
        <f>E45*B45/2</f>
        <v>14.616</v>
      </c>
      <c r="F42" s="186">
        <f>E42+E39</f>
        <v>23.172000000000001</v>
      </c>
      <c r="G42" s="187">
        <f>F42/(G32/2)</f>
        <v>18.537600000000001</v>
      </c>
      <c r="H42" s="186">
        <f>F42</f>
        <v>23.172000000000001</v>
      </c>
      <c r="I42" s="150"/>
      <c r="J42" s="151">
        <f>J45*B45/2</f>
        <v>29.231999999999999</v>
      </c>
      <c r="K42" s="152">
        <f>J42+J39-H42</f>
        <v>6.0599999999999987</v>
      </c>
      <c r="L42" s="153">
        <f>K42/(L32/2)</f>
        <v>4.847999999999999</v>
      </c>
      <c r="M42" s="152">
        <f>K42</f>
        <v>6.0599999999999987</v>
      </c>
      <c r="N42" s="154"/>
      <c r="O42" s="185">
        <f>O45*B45/2</f>
        <v>14.616</v>
      </c>
      <c r="P42" s="183"/>
      <c r="Q42" s="162"/>
      <c r="R42" s="150" t="s">
        <v>349</v>
      </c>
      <c r="T42" s="192"/>
      <c r="U42" s="193"/>
      <c r="V42" s="193"/>
      <c r="W42" s="193"/>
      <c r="X42" s="192"/>
      <c r="Y42" s="205"/>
      <c r="Z42" s="193"/>
      <c r="AA42" s="205"/>
      <c r="AB42" s="193"/>
      <c r="AC42" s="192"/>
      <c r="AD42" s="205"/>
      <c r="AE42" s="193"/>
      <c r="AF42" s="205"/>
      <c r="AG42" s="206"/>
      <c r="AH42" s="193"/>
      <c r="AI42" s="205"/>
      <c r="AJ42" s="193"/>
      <c r="AK42" s="205"/>
      <c r="AL42" s="206"/>
      <c r="AM42" s="193"/>
      <c r="AN42" s="62"/>
      <c r="AO42" s="69">
        <f>AO41</f>
        <v>51.41872</v>
      </c>
      <c r="AP42" s="90" t="s">
        <v>32</v>
      </c>
      <c r="AQ42" s="204" t="s">
        <v>434</v>
      </c>
      <c r="AR42" s="169"/>
    </row>
    <row r="43" spans="1:44" x14ac:dyDescent="0.3">
      <c r="A43" s="145"/>
      <c r="B43" s="144"/>
      <c r="C43" s="144"/>
      <c r="D43" s="144"/>
      <c r="E43" s="147"/>
      <c r="F43" s="188"/>
      <c r="G43" s="183"/>
      <c r="H43" s="188"/>
      <c r="I43" s="150"/>
      <c r="J43" s="147"/>
      <c r="K43" s="188"/>
      <c r="L43" s="183"/>
      <c r="M43" s="188"/>
      <c r="N43" s="150"/>
      <c r="O43" s="183"/>
      <c r="P43" s="183"/>
      <c r="Q43" s="163"/>
      <c r="R43" s="150" t="s">
        <v>350</v>
      </c>
      <c r="T43" s="192"/>
      <c r="U43" s="193"/>
      <c r="V43" s="193"/>
      <c r="W43" s="193"/>
      <c r="X43" s="207">
        <f>-Z41+-Z34</f>
        <v>-14.955549333333336</v>
      </c>
      <c r="Y43" s="193"/>
      <c r="Z43" s="193"/>
      <c r="AA43" s="193"/>
      <c r="AB43" s="193"/>
      <c r="AC43" s="207">
        <f>-(Z41+Z34)+(AE41+AE34)</f>
        <v>14.955549333333336</v>
      </c>
      <c r="AD43" s="193"/>
      <c r="AE43" s="193"/>
      <c r="AF43" s="193"/>
      <c r="AG43" s="206"/>
      <c r="AH43" s="207">
        <f>-(AE41+AE34)+(AJ41+AJ34)</f>
        <v>-14.955549333333336</v>
      </c>
      <c r="AI43" s="193"/>
      <c r="AJ43" s="193"/>
      <c r="AK43" s="193"/>
      <c r="AL43" s="208">
        <f>AJ41+AJ34</f>
        <v>14.955549333333336</v>
      </c>
      <c r="AM43" s="193"/>
      <c r="AN43" s="62"/>
      <c r="AO43" s="172" t="s">
        <v>364</v>
      </c>
      <c r="AP43" s="90" t="s">
        <v>32</v>
      </c>
      <c r="AQ43" s="224">
        <f>AO42/6</f>
        <v>8.5697866666666673</v>
      </c>
      <c r="AR43" s="169" t="s">
        <v>138</v>
      </c>
    </row>
    <row r="44" spans="1:44" x14ac:dyDescent="0.3">
      <c r="A44" s="145"/>
      <c r="B44" s="144"/>
      <c r="C44" s="144"/>
      <c r="D44" s="144"/>
      <c r="E44" s="155">
        <f>-(G42+E40)</f>
        <v>-25.382400000000004</v>
      </c>
      <c r="F44" s="183"/>
      <c r="G44" s="183"/>
      <c r="H44" s="183"/>
      <c r="I44" s="150"/>
      <c r="J44" s="155">
        <f>(G42+(-J40)-L42)</f>
        <v>13.689600000000002</v>
      </c>
      <c r="K44" s="183"/>
      <c r="L44" s="183"/>
      <c r="M44" s="183"/>
      <c r="N44" s="156">
        <f>(L42)-N40</f>
        <v>11.6928</v>
      </c>
      <c r="O44" s="183"/>
      <c r="P44" s="183"/>
      <c r="Q44" s="164"/>
      <c r="R44" s="150" t="s">
        <v>351</v>
      </c>
      <c r="T44" s="192"/>
      <c r="U44" s="209">
        <v>3.2</v>
      </c>
      <c r="V44" s="193" t="s">
        <v>74</v>
      </c>
      <c r="W44" s="193"/>
      <c r="X44" s="210">
        <f>AQ43</f>
        <v>8.5697866666666673</v>
      </c>
      <c r="Y44" s="193"/>
      <c r="Z44" s="193"/>
      <c r="AA44" s="193"/>
      <c r="AB44" s="193"/>
      <c r="AC44" s="210">
        <f>AQ44</f>
        <v>17.139573333333335</v>
      </c>
      <c r="AD44" s="193"/>
      <c r="AE44" s="193"/>
      <c r="AF44" s="193"/>
      <c r="AG44" s="206"/>
      <c r="AH44" s="211">
        <f>AQ44</f>
        <v>17.139573333333335</v>
      </c>
      <c r="AI44" s="193"/>
      <c r="AJ44" s="193"/>
      <c r="AK44" s="193"/>
      <c r="AL44" s="206"/>
      <c r="AM44" s="211">
        <f>AQ43</f>
        <v>8.5697866666666673</v>
      </c>
      <c r="AN44" s="62"/>
      <c r="AO44" s="172" t="s">
        <v>435</v>
      </c>
      <c r="AP44" s="90" t="s">
        <v>32</v>
      </c>
      <c r="AQ44" s="255">
        <f>AQ43*2</f>
        <v>17.139573333333335</v>
      </c>
      <c r="AR44" s="169" t="s">
        <v>138</v>
      </c>
    </row>
    <row r="45" spans="1:44" x14ac:dyDescent="0.3">
      <c r="A45" s="145"/>
      <c r="B45" s="398">
        <v>3.2</v>
      </c>
      <c r="C45" s="183" t="s">
        <v>74</v>
      </c>
      <c r="D45" s="144"/>
      <c r="E45" s="157">
        <f>(A41+A34)/4</f>
        <v>9.1349999999999998</v>
      </c>
      <c r="F45" s="183"/>
      <c r="G45" s="183"/>
      <c r="H45" s="183"/>
      <c r="I45" s="150"/>
      <c r="J45" s="157">
        <f>E45*2</f>
        <v>18.27</v>
      </c>
      <c r="K45" s="183"/>
      <c r="L45" s="183"/>
      <c r="M45" s="183"/>
      <c r="N45" s="150"/>
      <c r="O45" s="157">
        <f>E45</f>
        <v>9.1349999999999998</v>
      </c>
      <c r="P45" s="183"/>
      <c r="Q45" s="183"/>
      <c r="R45" s="150"/>
      <c r="T45" s="192"/>
      <c r="U45" s="193"/>
      <c r="V45" s="193"/>
      <c r="W45" s="193"/>
      <c r="X45" s="212">
        <f>X44*U44/2</f>
        <v>13.711658666666668</v>
      </c>
      <c r="Y45" s="193"/>
      <c r="Z45" s="193"/>
      <c r="AA45" s="193"/>
      <c r="AB45" s="193"/>
      <c r="AC45" s="212">
        <f>AC44*U44/2</f>
        <v>27.423317333333337</v>
      </c>
      <c r="AD45" s="193"/>
      <c r="AE45" s="193"/>
      <c r="AF45" s="193"/>
      <c r="AG45" s="206"/>
      <c r="AH45" s="203">
        <f>AH44*U44/2</f>
        <v>27.423317333333337</v>
      </c>
      <c r="AI45" s="193"/>
      <c r="AJ45" s="193"/>
      <c r="AK45" s="193"/>
      <c r="AL45" s="206"/>
      <c r="AM45" s="203">
        <f>AM44*U44/2</f>
        <v>13.711658666666668</v>
      </c>
      <c r="AN45" s="62"/>
      <c r="AO45" s="69"/>
      <c r="AP45" s="92"/>
      <c r="AQ45" s="69"/>
      <c r="AR45" s="169"/>
    </row>
    <row r="46" spans="1:44" x14ac:dyDescent="0.3">
      <c r="A46" s="145"/>
      <c r="B46" s="399"/>
      <c r="C46" s="144"/>
      <c r="D46" s="144"/>
      <c r="E46" s="149">
        <f>E45*B45/2</f>
        <v>14.616</v>
      </c>
      <c r="F46" s="183"/>
      <c r="G46" s="183"/>
      <c r="H46" s="183"/>
      <c r="I46" s="150"/>
      <c r="J46" s="149">
        <f>J42</f>
        <v>29.231999999999999</v>
      </c>
      <c r="K46" s="183"/>
      <c r="L46" s="183"/>
      <c r="M46" s="183"/>
      <c r="N46" s="150"/>
      <c r="O46" s="149">
        <f>O42</f>
        <v>14.616</v>
      </c>
      <c r="P46" s="183"/>
      <c r="Q46" s="183"/>
      <c r="R46" s="150"/>
      <c r="T46" s="192"/>
      <c r="U46" s="193"/>
      <c r="V46" s="193"/>
      <c r="W46" s="193"/>
      <c r="X46" s="207">
        <f>-X43</f>
        <v>14.955549333333336</v>
      </c>
      <c r="Y46" s="193"/>
      <c r="Z46" s="193"/>
      <c r="AA46" s="193"/>
      <c r="AB46" s="193"/>
      <c r="AC46" s="207">
        <f>AC43</f>
        <v>14.955549333333336</v>
      </c>
      <c r="AD46" s="193"/>
      <c r="AE46" s="193"/>
      <c r="AF46" s="193"/>
      <c r="AG46" s="206"/>
      <c r="AH46" s="213">
        <f>-AH43</f>
        <v>14.955549333333336</v>
      </c>
      <c r="AI46" s="193"/>
      <c r="AJ46" s="193"/>
      <c r="AK46" s="193"/>
      <c r="AL46" s="208">
        <f>-AL43</f>
        <v>-14.955549333333336</v>
      </c>
      <c r="AM46" s="193"/>
      <c r="AN46" s="62"/>
      <c r="AO46" s="69"/>
      <c r="AP46" s="92"/>
      <c r="AQ46" s="69"/>
      <c r="AR46" s="169"/>
    </row>
    <row r="47" spans="1:44" ht="15" thickBot="1" x14ac:dyDescent="0.35">
      <c r="A47" s="145"/>
      <c r="B47" s="144"/>
      <c r="C47" s="144"/>
      <c r="D47" s="144"/>
      <c r="E47" s="155">
        <f>-E44</f>
        <v>25.382400000000004</v>
      </c>
      <c r="F47" s="183"/>
      <c r="G47" s="183"/>
      <c r="H47" s="183"/>
      <c r="I47" s="150"/>
      <c r="J47" s="155">
        <f>-J44</f>
        <v>-13.689600000000002</v>
      </c>
      <c r="K47" s="183"/>
      <c r="L47" s="183"/>
      <c r="M47" s="183"/>
      <c r="N47" s="156">
        <f>-N44</f>
        <v>-11.6928</v>
      </c>
      <c r="O47" s="183"/>
      <c r="P47" s="183"/>
      <c r="Q47" s="183"/>
      <c r="R47" s="150"/>
      <c r="T47" s="195">
        <v>1.92405</v>
      </c>
      <c r="U47" s="193" t="s">
        <v>138</v>
      </c>
      <c r="V47" s="62"/>
      <c r="W47" s="62"/>
      <c r="X47" s="76"/>
      <c r="Y47" s="78"/>
      <c r="Z47" s="78"/>
      <c r="AA47" s="78"/>
      <c r="AB47" s="78"/>
      <c r="AC47" s="63"/>
      <c r="AD47" s="62"/>
      <c r="AE47" s="62"/>
      <c r="AF47" s="62"/>
      <c r="AG47" s="79"/>
      <c r="AH47" s="62"/>
      <c r="AI47" s="62"/>
      <c r="AJ47" s="62"/>
      <c r="AK47" s="62"/>
      <c r="AL47" s="65"/>
      <c r="AM47" s="62"/>
      <c r="AN47" s="62"/>
      <c r="AO47" s="69"/>
      <c r="AP47" s="92"/>
      <c r="AQ47" s="69"/>
      <c r="AR47" s="169"/>
    </row>
    <row r="48" spans="1:44" ht="15" thickBot="1" x14ac:dyDescent="0.35">
      <c r="A48" s="147">
        <v>3.11</v>
      </c>
      <c r="B48" s="183" t="s">
        <v>138</v>
      </c>
      <c r="C48" s="183"/>
      <c r="D48" s="183"/>
      <c r="E48" s="165"/>
      <c r="F48" s="148"/>
      <c r="G48" s="148"/>
      <c r="H48" s="148"/>
      <c r="I48" s="166"/>
      <c r="J48" s="165"/>
      <c r="K48" s="148"/>
      <c r="L48" s="148"/>
      <c r="M48" s="148"/>
      <c r="N48" s="166"/>
      <c r="O48" s="147"/>
      <c r="P48" s="183"/>
      <c r="Q48" s="144"/>
      <c r="R48" s="146"/>
      <c r="T48" s="63"/>
      <c r="U48" s="62"/>
      <c r="V48" s="62"/>
      <c r="W48" s="62"/>
      <c r="X48" s="212">
        <f>X51*U51/2</f>
        <v>6.6678462500000002</v>
      </c>
      <c r="Y48" s="214">
        <f>X48+X45</f>
        <v>20.379504916666669</v>
      </c>
      <c r="Z48" s="215">
        <f>Y48/(Z32/2)</f>
        <v>10.189752458333334</v>
      </c>
      <c r="AA48" s="214">
        <f>Y48</f>
        <v>20.379504916666669</v>
      </c>
      <c r="AB48" s="193"/>
      <c r="AC48" s="197">
        <f>AC51*U51/2</f>
        <v>13.3356925</v>
      </c>
      <c r="AD48" s="198">
        <f>AC45+AC48-AA48</f>
        <v>20.379504916666669</v>
      </c>
      <c r="AE48" s="199">
        <f>AD48/(AE32/2)</f>
        <v>20.379504916666669</v>
      </c>
      <c r="AF48" s="198">
        <f>AD48</f>
        <v>20.379504916666669</v>
      </c>
      <c r="AG48" s="206"/>
      <c r="AH48" s="202">
        <f>AH51*U51/2</f>
        <v>13.3356925</v>
      </c>
      <c r="AI48" s="198">
        <f>AH45+AH48-AF48</f>
        <v>20.379504916666669</v>
      </c>
      <c r="AJ48" s="199">
        <f>AI48/(AJ32/2)</f>
        <v>10.189752458333334</v>
      </c>
      <c r="AK48" s="198">
        <f>AI48</f>
        <v>20.379504916666669</v>
      </c>
      <c r="AL48" s="201"/>
      <c r="AM48" s="203">
        <f>AM51*U51/2</f>
        <v>6.6678462500000002</v>
      </c>
      <c r="AN48" s="62"/>
      <c r="AO48" s="69">
        <f>T40+T47+T33</f>
        <v>53.342770000000002</v>
      </c>
      <c r="AP48" s="90" t="s">
        <v>32</v>
      </c>
      <c r="AQ48" s="204" t="s">
        <v>433</v>
      </c>
      <c r="AR48" s="169"/>
    </row>
    <row r="49" spans="1:44" x14ac:dyDescent="0.3">
      <c r="A49" s="145"/>
      <c r="B49" s="144"/>
      <c r="C49" s="144"/>
      <c r="D49" s="144"/>
      <c r="E49" s="149">
        <f>E52*B52/2</f>
        <v>7.4343750000000011</v>
      </c>
      <c r="F49" s="186">
        <f>E49+E46</f>
        <v>22.050375000000003</v>
      </c>
      <c r="G49" s="187">
        <f>F49/(G32/2)</f>
        <v>17.640300000000003</v>
      </c>
      <c r="H49" s="186">
        <f>F49</f>
        <v>22.050375000000003</v>
      </c>
      <c r="I49" s="150"/>
      <c r="J49" s="151">
        <f>J52*B52/2</f>
        <v>14.868750000000002</v>
      </c>
      <c r="K49" s="152">
        <f>J49+J46-H49</f>
        <v>22.050375000000003</v>
      </c>
      <c r="L49" s="153">
        <f>K49/(L32/2)</f>
        <v>17.640300000000003</v>
      </c>
      <c r="M49" s="152">
        <f>K49</f>
        <v>22.050375000000003</v>
      </c>
      <c r="N49" s="154"/>
      <c r="O49" s="185">
        <f>O52*B52/2</f>
        <v>7.4343750000000011</v>
      </c>
      <c r="P49" s="144"/>
      <c r="Q49" s="144"/>
      <c r="R49" s="146"/>
      <c r="T49" s="63"/>
      <c r="U49" s="62"/>
      <c r="V49" s="62"/>
      <c r="W49" s="62"/>
      <c r="X49" s="192"/>
      <c r="Y49" s="205"/>
      <c r="Z49" s="193"/>
      <c r="AA49" s="205"/>
      <c r="AB49" s="193"/>
      <c r="AC49" s="192"/>
      <c r="AD49" s="205"/>
      <c r="AE49" s="193"/>
      <c r="AF49" s="205"/>
      <c r="AG49" s="206"/>
      <c r="AH49" s="193"/>
      <c r="AI49" s="205"/>
      <c r="AJ49" s="193"/>
      <c r="AK49" s="205"/>
      <c r="AL49" s="206"/>
      <c r="AM49" s="193"/>
      <c r="AN49" s="62"/>
      <c r="AO49" s="69">
        <f>AO48</f>
        <v>53.342770000000002</v>
      </c>
      <c r="AP49" s="90" t="s">
        <v>32</v>
      </c>
      <c r="AQ49" s="204" t="s">
        <v>434</v>
      </c>
      <c r="AR49" s="169"/>
    </row>
    <row r="50" spans="1:44" x14ac:dyDescent="0.3">
      <c r="A50" s="145"/>
      <c r="B50" s="144"/>
      <c r="C50" s="144"/>
      <c r="D50" s="144"/>
      <c r="E50" s="147"/>
      <c r="F50" s="188"/>
      <c r="G50" s="183"/>
      <c r="H50" s="188"/>
      <c r="I50" s="150"/>
      <c r="J50" s="147"/>
      <c r="K50" s="188"/>
      <c r="L50" s="183"/>
      <c r="M50" s="188"/>
      <c r="N50" s="150"/>
      <c r="O50" s="183"/>
      <c r="P50" s="144"/>
      <c r="Q50" s="144"/>
      <c r="R50" s="146"/>
      <c r="T50" s="63"/>
      <c r="U50" s="62"/>
      <c r="V50" s="62"/>
      <c r="W50" s="62"/>
      <c r="X50" s="207">
        <f>-Z48+-Z41+-Z34</f>
        <v>-25.145301791666668</v>
      </c>
      <c r="Y50" s="193"/>
      <c r="Z50" s="193"/>
      <c r="AA50" s="193"/>
      <c r="AB50" s="193"/>
      <c r="AC50" s="207">
        <f>-(Z48+Z41+Z34)+(AE48+AE41+AE34)</f>
        <v>25.145301791666668</v>
      </c>
      <c r="AD50" s="193"/>
      <c r="AE50" s="193"/>
      <c r="AF50" s="193"/>
      <c r="AG50" s="206"/>
      <c r="AH50" s="207">
        <f>-(AE48+AE41+AE34)+(AJ48+AJ41+AJ34)</f>
        <v>-25.145301791666668</v>
      </c>
      <c r="AI50" s="193"/>
      <c r="AJ50" s="193"/>
      <c r="AK50" s="193"/>
      <c r="AL50" s="208">
        <f>AJ48+AJ41+AJ34</f>
        <v>25.145301791666668</v>
      </c>
      <c r="AM50" s="193"/>
      <c r="AN50" s="62"/>
      <c r="AO50" s="172" t="s">
        <v>364</v>
      </c>
      <c r="AP50" s="90" t="s">
        <v>32</v>
      </c>
      <c r="AQ50" s="224">
        <f>AO49/6</f>
        <v>8.8904616666666669</v>
      </c>
      <c r="AR50" s="169" t="s">
        <v>138</v>
      </c>
    </row>
    <row r="51" spans="1:44" x14ac:dyDescent="0.3">
      <c r="A51" s="145"/>
      <c r="B51" s="144"/>
      <c r="C51" s="144"/>
      <c r="D51" s="144"/>
      <c r="E51" s="155">
        <f>-(G49+E47)</f>
        <v>-43.022700000000007</v>
      </c>
      <c r="F51" s="183"/>
      <c r="G51" s="183"/>
      <c r="H51" s="183"/>
      <c r="I51" s="150"/>
      <c r="J51" s="155">
        <f>(G49+(-J47)-L49)</f>
        <v>13.689600000000002</v>
      </c>
      <c r="K51" s="183"/>
      <c r="L51" s="183"/>
      <c r="M51" s="183"/>
      <c r="N51" s="156">
        <f>(L49)-N47</f>
        <v>29.333100000000002</v>
      </c>
      <c r="O51" s="183"/>
      <c r="P51" s="144"/>
      <c r="Q51" s="144"/>
      <c r="R51" s="146"/>
      <c r="T51" s="63"/>
      <c r="U51" s="401">
        <v>1.5</v>
      </c>
      <c r="V51" s="193" t="s">
        <v>74</v>
      </c>
      <c r="W51" s="193"/>
      <c r="X51" s="210">
        <f>AQ50</f>
        <v>8.8904616666666669</v>
      </c>
      <c r="Y51" s="193"/>
      <c r="Z51" s="193"/>
      <c r="AA51" s="193"/>
      <c r="AB51" s="193"/>
      <c r="AC51" s="210">
        <f>AQ51</f>
        <v>17.780923333333334</v>
      </c>
      <c r="AD51" s="193"/>
      <c r="AE51" s="193"/>
      <c r="AF51" s="193"/>
      <c r="AG51" s="206"/>
      <c r="AH51" s="211">
        <f>AQ51</f>
        <v>17.780923333333334</v>
      </c>
      <c r="AI51" s="193"/>
      <c r="AJ51" s="193"/>
      <c r="AK51" s="193"/>
      <c r="AL51" s="206"/>
      <c r="AM51" s="211">
        <f>AQ50</f>
        <v>8.8904616666666669</v>
      </c>
      <c r="AN51" s="62"/>
      <c r="AO51" s="172" t="s">
        <v>435</v>
      </c>
      <c r="AP51" s="90" t="s">
        <v>32</v>
      </c>
      <c r="AQ51" s="255">
        <f>AQ50*2</f>
        <v>17.780923333333334</v>
      </c>
      <c r="AR51" s="169" t="s">
        <v>138</v>
      </c>
    </row>
    <row r="52" spans="1:44" x14ac:dyDescent="0.3">
      <c r="A52" s="145"/>
      <c r="B52" s="189">
        <v>1.5</v>
      </c>
      <c r="C52" s="183" t="s">
        <v>74</v>
      </c>
      <c r="D52" s="144"/>
      <c r="E52" s="157">
        <f>(A48+A41+A34)/4</f>
        <v>9.9125000000000014</v>
      </c>
      <c r="F52" s="183"/>
      <c r="G52" s="183"/>
      <c r="H52" s="183"/>
      <c r="I52" s="150"/>
      <c r="J52" s="157">
        <f>E52*2</f>
        <v>19.825000000000003</v>
      </c>
      <c r="K52" s="183"/>
      <c r="L52" s="183"/>
      <c r="M52" s="183"/>
      <c r="N52" s="150"/>
      <c r="O52" s="157">
        <f>E52</f>
        <v>9.9125000000000014</v>
      </c>
      <c r="P52" s="144"/>
      <c r="Q52" s="144"/>
      <c r="R52" s="146"/>
      <c r="T52" s="63"/>
      <c r="U52" s="62"/>
      <c r="V52" s="62"/>
      <c r="W52" s="62"/>
      <c r="X52" s="212">
        <f>X51*U51/2</f>
        <v>6.6678462500000002</v>
      </c>
      <c r="Y52" s="193"/>
      <c r="Z52" s="193"/>
      <c r="AA52" s="193"/>
      <c r="AB52" s="193"/>
      <c r="AC52" s="212">
        <f>AC51*U51/2</f>
        <v>13.3356925</v>
      </c>
      <c r="AD52" s="193"/>
      <c r="AE52" s="193"/>
      <c r="AF52" s="193"/>
      <c r="AG52" s="206"/>
      <c r="AH52" s="203">
        <f>AH51*U51/2</f>
        <v>13.3356925</v>
      </c>
      <c r="AI52" s="193"/>
      <c r="AJ52" s="193"/>
      <c r="AK52" s="193"/>
      <c r="AL52" s="206"/>
      <c r="AM52" s="203">
        <f>AM51*U51/2</f>
        <v>6.6678462500000002</v>
      </c>
      <c r="AN52" s="62"/>
      <c r="AO52" s="69"/>
      <c r="AP52" s="92"/>
      <c r="AQ52" s="69"/>
      <c r="AR52" s="169"/>
    </row>
    <row r="53" spans="1:44" x14ac:dyDescent="0.3">
      <c r="A53" s="145"/>
      <c r="B53" s="144"/>
      <c r="C53" s="144"/>
      <c r="D53" s="144"/>
      <c r="E53" s="149">
        <f>E52*B52/2</f>
        <v>7.4343750000000011</v>
      </c>
      <c r="F53" s="183"/>
      <c r="G53" s="183"/>
      <c r="H53" s="183"/>
      <c r="I53" s="150"/>
      <c r="J53" s="149">
        <f>J49</f>
        <v>14.868750000000002</v>
      </c>
      <c r="K53" s="183"/>
      <c r="L53" s="183"/>
      <c r="M53" s="183"/>
      <c r="N53" s="150"/>
      <c r="O53" s="149">
        <f>O49</f>
        <v>7.4343750000000011</v>
      </c>
      <c r="P53" s="144"/>
      <c r="Q53" s="144"/>
      <c r="R53" s="146"/>
      <c r="T53" s="63"/>
      <c r="U53" s="62"/>
      <c r="V53" s="62"/>
      <c r="W53" s="62"/>
      <c r="X53" s="207">
        <f>-X50</f>
        <v>25.145301791666668</v>
      </c>
      <c r="Y53" s="193"/>
      <c r="Z53" s="193"/>
      <c r="AA53" s="193"/>
      <c r="AB53" s="193"/>
      <c r="AC53" s="207">
        <f>AC50</f>
        <v>25.145301791666668</v>
      </c>
      <c r="AD53" s="193"/>
      <c r="AE53" s="193"/>
      <c r="AF53" s="193"/>
      <c r="AG53" s="206"/>
      <c r="AH53" s="213">
        <f>-AH50</f>
        <v>25.145301791666668</v>
      </c>
      <c r="AI53" s="193"/>
      <c r="AJ53" s="193"/>
      <c r="AK53" s="193"/>
      <c r="AL53" s="208">
        <f>-AL50</f>
        <v>-25.145301791666668</v>
      </c>
      <c r="AM53" s="193"/>
      <c r="AN53" s="62"/>
      <c r="AO53" s="69"/>
      <c r="AP53" s="92"/>
      <c r="AQ53" s="69"/>
      <c r="AR53" s="65"/>
    </row>
    <row r="54" spans="1:44" ht="15" thickBot="1" x14ac:dyDescent="0.35">
      <c r="A54" s="145"/>
      <c r="B54" s="144"/>
      <c r="C54" s="144"/>
      <c r="D54" s="144"/>
      <c r="E54" s="155">
        <f>-E51</f>
        <v>43.022700000000007</v>
      </c>
      <c r="F54" s="183"/>
      <c r="G54" s="183"/>
      <c r="H54" s="183"/>
      <c r="I54" s="150"/>
      <c r="J54" s="155">
        <f>-J51</f>
        <v>-13.689600000000002</v>
      </c>
      <c r="K54" s="183"/>
      <c r="L54" s="183"/>
      <c r="M54" s="183"/>
      <c r="N54" s="156">
        <f>-N51</f>
        <v>-29.333100000000002</v>
      </c>
      <c r="O54" s="183"/>
      <c r="P54" s="144"/>
      <c r="Q54" s="144"/>
      <c r="R54" s="146"/>
      <c r="T54" s="63"/>
      <c r="U54" s="62"/>
      <c r="V54" s="62"/>
      <c r="W54" s="79"/>
      <c r="X54" s="76"/>
      <c r="Y54" s="62"/>
      <c r="Z54" s="62"/>
      <c r="AA54" s="62"/>
      <c r="AB54" s="78"/>
      <c r="AC54" s="76"/>
      <c r="AD54" s="62"/>
      <c r="AE54" s="62"/>
      <c r="AF54" s="62"/>
      <c r="AG54" s="79"/>
      <c r="AH54" s="78"/>
      <c r="AI54" s="62"/>
      <c r="AJ54" s="62"/>
      <c r="AK54" s="62"/>
      <c r="AL54" s="79"/>
      <c r="AM54" s="76"/>
      <c r="AN54" s="62"/>
      <c r="AO54" s="69"/>
      <c r="AP54" s="92"/>
      <c r="AQ54" s="69"/>
      <c r="AR54" s="169"/>
    </row>
    <row r="55" spans="1:44" ht="15" thickBot="1" x14ac:dyDescent="0.35">
      <c r="A55" s="147"/>
      <c r="B55" s="183"/>
      <c r="C55" s="183"/>
      <c r="D55" s="148"/>
      <c r="E55" s="165"/>
      <c r="F55" s="183"/>
      <c r="G55" s="183"/>
      <c r="H55" s="183"/>
      <c r="I55" s="166"/>
      <c r="J55" s="165"/>
      <c r="K55" s="183"/>
      <c r="L55" s="183"/>
      <c r="M55" s="183"/>
      <c r="N55" s="166"/>
      <c r="O55" s="165"/>
      <c r="P55" s="144"/>
      <c r="Q55" s="144"/>
      <c r="R55" s="146"/>
      <c r="T55" s="63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9"/>
      <c r="AP55" s="92"/>
      <c r="AQ55" s="69"/>
      <c r="AR55" s="169"/>
    </row>
    <row r="56" spans="1:44" x14ac:dyDescent="0.3">
      <c r="A56" s="147"/>
      <c r="B56" s="183"/>
      <c r="C56" s="183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6"/>
      <c r="T56" s="63"/>
      <c r="U56" s="62"/>
      <c r="V56" s="62"/>
      <c r="W56" s="92">
        <f>X39+X46+X53</f>
        <v>44.150711125000001</v>
      </c>
      <c r="X56" s="128" t="s">
        <v>32</v>
      </c>
      <c r="Y56" s="92">
        <f>AC36+AC43+AC50+AH36+AH43+AH50+AL36+AL43+AL50</f>
        <v>44.150711125000001</v>
      </c>
      <c r="Z56" s="172" t="str">
        <f>IF(W56=Y56, "OK!","RE-CHECK!")</f>
        <v>OK!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9"/>
      <c r="AP56" s="92"/>
      <c r="AQ56" s="69"/>
      <c r="AR56" s="169"/>
    </row>
    <row r="57" spans="1:44" x14ac:dyDescent="0.3">
      <c r="A57" s="145"/>
      <c r="B57" s="183"/>
      <c r="C57" s="183"/>
      <c r="D57" s="144"/>
      <c r="E57" s="334">
        <f>E40+E47+E54</f>
        <v>75.249900000000011</v>
      </c>
      <c r="F57" s="182" t="s">
        <v>32</v>
      </c>
      <c r="G57" s="334">
        <f>J37+J44+J51+N37+N44+N51</f>
        <v>75.249899999999997</v>
      </c>
      <c r="H57" s="191" t="s">
        <v>352</v>
      </c>
      <c r="I57" s="144"/>
      <c r="J57" s="144"/>
      <c r="K57" s="144"/>
      <c r="L57" s="144"/>
      <c r="M57" s="144"/>
      <c r="N57" s="144"/>
      <c r="O57" s="144"/>
      <c r="P57" s="144"/>
      <c r="Q57" s="144"/>
      <c r="R57" s="146"/>
      <c r="T57" s="63"/>
      <c r="U57" s="62"/>
      <c r="V57" s="62"/>
      <c r="W57" s="75"/>
      <c r="X57" s="216"/>
      <c r="Y57" s="75"/>
      <c r="Z57" s="217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9"/>
      <c r="AP57" s="92"/>
      <c r="AQ57" s="69"/>
      <c r="AR57" s="169"/>
    </row>
    <row r="58" spans="1:44" ht="15" thickBot="1" x14ac:dyDescent="0.35">
      <c r="A58" s="159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160"/>
      <c r="T58" s="536" t="s">
        <v>436</v>
      </c>
      <c r="U58" s="537"/>
      <c r="V58" s="78"/>
      <c r="W58" s="218"/>
      <c r="X58" s="196" t="s">
        <v>347</v>
      </c>
      <c r="Y58" s="196"/>
      <c r="Z58" s="219"/>
      <c r="AA58" s="196" t="s">
        <v>348</v>
      </c>
      <c r="AB58" s="78"/>
      <c r="AC58" s="196"/>
      <c r="AD58" s="220"/>
      <c r="AE58" s="196" t="s">
        <v>349</v>
      </c>
      <c r="AF58" s="196"/>
      <c r="AG58" s="221"/>
      <c r="AH58" s="196" t="s">
        <v>350</v>
      </c>
      <c r="AI58" s="78"/>
      <c r="AJ58" s="222"/>
      <c r="AK58" s="196" t="s">
        <v>351</v>
      </c>
      <c r="AL58" s="196"/>
      <c r="AM58" s="78"/>
      <c r="AN58" s="78"/>
      <c r="AO58" s="223"/>
      <c r="AP58" s="104"/>
      <c r="AQ58" s="223"/>
      <c r="AR58" s="176"/>
    </row>
    <row r="59" spans="1:44" s="355" customFormat="1" ht="19.8" x14ac:dyDescent="0.4">
      <c r="A59" s="538" t="s">
        <v>354</v>
      </c>
      <c r="B59" s="539"/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39"/>
      <c r="N59" s="539"/>
      <c r="O59" s="539"/>
      <c r="P59" s="539"/>
      <c r="Q59" s="539"/>
      <c r="R59" s="540"/>
      <c r="T59" s="538" t="s">
        <v>438</v>
      </c>
      <c r="U59" s="539"/>
      <c r="V59" s="539"/>
      <c r="W59" s="539"/>
      <c r="X59" s="539"/>
      <c r="Y59" s="539"/>
      <c r="Z59" s="539"/>
      <c r="AA59" s="539"/>
      <c r="AB59" s="539"/>
      <c r="AC59" s="539"/>
      <c r="AD59" s="539"/>
      <c r="AE59" s="539"/>
      <c r="AF59" s="539"/>
      <c r="AG59" s="539"/>
      <c r="AH59" s="539"/>
      <c r="AI59" s="539"/>
      <c r="AJ59" s="539"/>
      <c r="AK59" s="539"/>
      <c r="AL59" s="539"/>
      <c r="AM59" s="539"/>
      <c r="AN59" s="539"/>
      <c r="AO59" s="539"/>
      <c r="AP59" s="539"/>
      <c r="AQ59" s="539"/>
      <c r="AR59" s="540"/>
    </row>
    <row r="60" spans="1:44" x14ac:dyDescent="0.3">
      <c r="A60" s="145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6"/>
      <c r="T60" s="190"/>
      <c r="U60" s="191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9"/>
      <c r="AP60" s="92"/>
      <c r="AQ60" s="69"/>
      <c r="AR60" s="169"/>
    </row>
    <row r="61" spans="1:44" x14ac:dyDescent="0.3">
      <c r="A61" s="147"/>
      <c r="B61" s="183"/>
      <c r="C61" s="183"/>
      <c r="D61" s="183"/>
      <c r="E61" s="183"/>
      <c r="F61" s="183"/>
      <c r="G61" s="184">
        <v>2.5</v>
      </c>
      <c r="H61" s="183" t="s">
        <v>74</v>
      </c>
      <c r="I61" s="183"/>
      <c r="J61" s="183"/>
      <c r="K61" s="183"/>
      <c r="L61" s="184">
        <v>2.5</v>
      </c>
      <c r="M61" s="183" t="s">
        <v>74</v>
      </c>
      <c r="N61" s="183"/>
      <c r="O61" s="144"/>
      <c r="P61" s="144"/>
      <c r="Q61" s="144"/>
      <c r="R61" s="146"/>
      <c r="T61" s="192"/>
      <c r="U61" s="193"/>
      <c r="V61" s="193"/>
      <c r="W61" s="193"/>
      <c r="X61" s="193"/>
      <c r="Y61" s="193"/>
      <c r="Z61" s="194">
        <v>4</v>
      </c>
      <c r="AA61" s="193" t="s">
        <v>74</v>
      </c>
      <c r="AB61" s="193"/>
      <c r="AC61" s="193"/>
      <c r="AD61" s="193"/>
      <c r="AE61" s="194">
        <v>2</v>
      </c>
      <c r="AF61" s="193" t="s">
        <v>74</v>
      </c>
      <c r="AG61" s="193"/>
      <c r="AH61" s="193"/>
      <c r="AI61" s="193"/>
      <c r="AJ61" s="194">
        <v>4</v>
      </c>
      <c r="AK61" s="193" t="s">
        <v>74</v>
      </c>
      <c r="AL61" s="193"/>
      <c r="AM61" s="62"/>
      <c r="AN61" s="62"/>
      <c r="AO61" s="69"/>
      <c r="AP61" s="92"/>
      <c r="AQ61" s="69"/>
      <c r="AR61" s="169"/>
    </row>
    <row r="62" spans="1:44" ht="15" thickBot="1" x14ac:dyDescent="0.35">
      <c r="A62" s="147"/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44"/>
      <c r="P62" s="144"/>
      <c r="Q62" s="144"/>
      <c r="R62" s="146"/>
      <c r="T62" s="195">
        <v>38.021169999999998</v>
      </c>
      <c r="U62" s="193" t="s">
        <v>138</v>
      </c>
      <c r="V62" s="193"/>
      <c r="W62" s="193"/>
      <c r="X62" s="196"/>
      <c r="Y62" s="196"/>
      <c r="Z62" s="196"/>
      <c r="AA62" s="196"/>
      <c r="AB62" s="196"/>
      <c r="AC62" s="193"/>
      <c r="AD62" s="193"/>
      <c r="AE62" s="193"/>
      <c r="AF62" s="193"/>
      <c r="AG62" s="196"/>
      <c r="AH62" s="193"/>
      <c r="AI62" s="193"/>
      <c r="AJ62" s="193"/>
      <c r="AK62" s="193"/>
      <c r="AL62" s="196"/>
      <c r="AM62" s="62"/>
      <c r="AN62" s="62"/>
      <c r="AO62" s="69"/>
      <c r="AP62" s="92"/>
      <c r="AQ62" s="69"/>
      <c r="AR62" s="169"/>
    </row>
    <row r="63" spans="1:44" ht="15" thickBot="1" x14ac:dyDescent="0.35">
      <c r="A63" s="147">
        <v>15.26</v>
      </c>
      <c r="B63" s="183" t="s">
        <v>138</v>
      </c>
      <c r="C63" s="183"/>
      <c r="D63" s="183"/>
      <c r="E63" s="148"/>
      <c r="F63" s="148"/>
      <c r="G63" s="148"/>
      <c r="H63" s="148"/>
      <c r="I63" s="148"/>
      <c r="J63" s="183"/>
      <c r="K63" s="183"/>
      <c r="L63" s="183"/>
      <c r="M63" s="183"/>
      <c r="N63" s="148"/>
      <c r="O63" s="144"/>
      <c r="P63" s="144"/>
      <c r="Q63" s="144"/>
      <c r="R63" s="146"/>
      <c r="T63" s="192"/>
      <c r="U63" s="193"/>
      <c r="V63" s="193"/>
      <c r="W63" s="193"/>
      <c r="X63" s="197">
        <f>X66*U66/2</f>
        <v>10.138978666666667</v>
      </c>
      <c r="Y63" s="198">
        <f>X63</f>
        <v>10.138978666666667</v>
      </c>
      <c r="Z63" s="199">
        <f>Y63/(Z61/2)</f>
        <v>5.0694893333333333</v>
      </c>
      <c r="AA63" s="198">
        <f>Y63</f>
        <v>10.138978666666667</v>
      </c>
      <c r="AB63" s="200"/>
      <c r="AC63" s="197">
        <f>AC66*U66/2</f>
        <v>20.277957333333333</v>
      </c>
      <c r="AD63" s="198">
        <f>AC63-AA63</f>
        <v>10.138978666666667</v>
      </c>
      <c r="AE63" s="199">
        <f>AD63/(AE61/2)</f>
        <v>10.138978666666667</v>
      </c>
      <c r="AF63" s="198">
        <f>AD63</f>
        <v>10.138978666666667</v>
      </c>
      <c r="AG63" s="201"/>
      <c r="AH63" s="202">
        <f>AH66*U66/2</f>
        <v>20.277957333333333</v>
      </c>
      <c r="AI63" s="198">
        <f>AH63-AF63</f>
        <v>10.138978666666667</v>
      </c>
      <c r="AJ63" s="199">
        <f>AI63/(AJ61/2)</f>
        <v>5.0694893333333333</v>
      </c>
      <c r="AK63" s="198">
        <f>AI63</f>
        <v>10.138978666666667</v>
      </c>
      <c r="AL63" s="201"/>
      <c r="AM63" s="203">
        <f>AM66*U66/2</f>
        <v>10.138978666666667</v>
      </c>
      <c r="AN63" s="62"/>
      <c r="AO63" s="69">
        <f>T62</f>
        <v>38.021169999999998</v>
      </c>
      <c r="AP63" s="90" t="s">
        <v>32</v>
      </c>
      <c r="AQ63" s="204" t="s">
        <v>433</v>
      </c>
      <c r="AR63" s="169"/>
    </row>
    <row r="64" spans="1:44" x14ac:dyDescent="0.3">
      <c r="A64" s="147"/>
      <c r="B64" s="183"/>
      <c r="C64" s="183"/>
      <c r="D64" s="183"/>
      <c r="E64" s="149">
        <f>E67*B67/2</f>
        <v>6.1040000000000001</v>
      </c>
      <c r="F64" s="186">
        <f>E64</f>
        <v>6.1040000000000001</v>
      </c>
      <c r="G64" s="187">
        <f>F64/(G61/2)</f>
        <v>4.8832000000000004</v>
      </c>
      <c r="H64" s="186">
        <f>F64</f>
        <v>6.1040000000000001</v>
      </c>
      <c r="I64" s="150"/>
      <c r="J64" s="151">
        <f>J67*B67/2</f>
        <v>12.208</v>
      </c>
      <c r="K64" s="152">
        <f>J64-H64</f>
        <v>6.1040000000000001</v>
      </c>
      <c r="L64" s="153">
        <f>K64/(L61/2)</f>
        <v>4.8832000000000004</v>
      </c>
      <c r="M64" s="152">
        <f>K64</f>
        <v>6.1040000000000001</v>
      </c>
      <c r="N64" s="154"/>
      <c r="O64" s="149">
        <f>O67*B67/2</f>
        <v>6.1040000000000001</v>
      </c>
      <c r="P64" s="183"/>
      <c r="Q64" s="183"/>
      <c r="R64" s="150"/>
      <c r="T64" s="192"/>
      <c r="U64" s="193"/>
      <c r="V64" s="193"/>
      <c r="W64" s="193"/>
      <c r="X64" s="192"/>
      <c r="Y64" s="205"/>
      <c r="Z64" s="193"/>
      <c r="AA64" s="205"/>
      <c r="AB64" s="193"/>
      <c r="AC64" s="192"/>
      <c r="AD64" s="205"/>
      <c r="AE64" s="193"/>
      <c r="AF64" s="205"/>
      <c r="AG64" s="206"/>
      <c r="AH64" s="193"/>
      <c r="AI64" s="205"/>
      <c r="AJ64" s="193"/>
      <c r="AK64" s="205"/>
      <c r="AL64" s="206"/>
      <c r="AM64" s="193"/>
      <c r="AN64" s="62"/>
      <c r="AO64" s="69">
        <f>AO63</f>
        <v>38.021169999999998</v>
      </c>
      <c r="AP64" s="90" t="s">
        <v>32</v>
      </c>
      <c r="AQ64" s="204" t="s">
        <v>434</v>
      </c>
      <c r="AR64" s="169"/>
    </row>
    <row r="65" spans="1:44" x14ac:dyDescent="0.3">
      <c r="A65" s="147"/>
      <c r="B65" s="183"/>
      <c r="C65" s="183"/>
      <c r="D65" s="183"/>
      <c r="E65" s="147"/>
      <c r="F65" s="183"/>
      <c r="G65" s="183"/>
      <c r="H65" s="183"/>
      <c r="I65" s="150"/>
      <c r="J65" s="147"/>
      <c r="K65" s="183"/>
      <c r="L65" s="183"/>
      <c r="M65" s="183"/>
      <c r="N65" s="150"/>
      <c r="O65" s="183"/>
      <c r="P65" s="183"/>
      <c r="Q65" s="183"/>
      <c r="R65" s="150"/>
      <c r="T65" s="192"/>
      <c r="U65" s="193"/>
      <c r="V65" s="193"/>
      <c r="W65" s="193"/>
      <c r="X65" s="207">
        <f>-Z63</f>
        <v>-5.0694893333333333</v>
      </c>
      <c r="Y65" s="193"/>
      <c r="Z65" s="193"/>
      <c r="AA65" s="193"/>
      <c r="AB65" s="193"/>
      <c r="AC65" s="207">
        <f>-(Z63)+(AE63)</f>
        <v>5.0694893333333333</v>
      </c>
      <c r="AD65" s="193"/>
      <c r="AE65" s="193"/>
      <c r="AF65" s="193"/>
      <c r="AG65" s="206"/>
      <c r="AH65" s="207">
        <f>-(AE63)+(AJ63)</f>
        <v>-5.0694893333333333</v>
      </c>
      <c r="AI65" s="193"/>
      <c r="AJ65" s="193"/>
      <c r="AK65" s="193"/>
      <c r="AL65" s="208">
        <f>AJ63</f>
        <v>5.0694893333333333</v>
      </c>
      <c r="AM65" s="193"/>
      <c r="AN65" s="62"/>
      <c r="AO65" s="172" t="s">
        <v>364</v>
      </c>
      <c r="AP65" s="90" t="s">
        <v>32</v>
      </c>
      <c r="AQ65" s="224">
        <f>AO64/6</f>
        <v>6.3368616666666666</v>
      </c>
      <c r="AR65" s="169" t="s">
        <v>138</v>
      </c>
    </row>
    <row r="66" spans="1:44" x14ac:dyDescent="0.3">
      <c r="A66" s="147"/>
      <c r="B66" s="183"/>
      <c r="C66" s="183"/>
      <c r="D66" s="183"/>
      <c r="E66" s="155">
        <f>-G64</f>
        <v>-4.8832000000000004</v>
      </c>
      <c r="F66" s="183"/>
      <c r="G66" s="183"/>
      <c r="H66" s="183"/>
      <c r="I66" s="150"/>
      <c r="J66" s="155">
        <f>G64-L64</f>
        <v>0</v>
      </c>
      <c r="K66" s="183"/>
      <c r="L66" s="183"/>
      <c r="M66" s="183"/>
      <c r="N66" s="156">
        <f>L64</f>
        <v>4.8832000000000004</v>
      </c>
      <c r="O66" s="183"/>
      <c r="P66" s="183"/>
      <c r="Q66" s="183"/>
      <c r="R66" s="150"/>
      <c r="T66" s="192"/>
      <c r="U66" s="400">
        <v>3.2</v>
      </c>
      <c r="V66" s="193" t="s">
        <v>74</v>
      </c>
      <c r="W66" s="193"/>
      <c r="X66" s="210">
        <f>AQ65</f>
        <v>6.3368616666666666</v>
      </c>
      <c r="Y66" s="193"/>
      <c r="Z66" s="193"/>
      <c r="AA66" s="193"/>
      <c r="AB66" s="193"/>
      <c r="AC66" s="210">
        <f>AQ66</f>
        <v>12.673723333333333</v>
      </c>
      <c r="AD66" s="193"/>
      <c r="AE66" s="193"/>
      <c r="AF66" s="193"/>
      <c r="AG66" s="206"/>
      <c r="AH66" s="211">
        <f>AQ66</f>
        <v>12.673723333333333</v>
      </c>
      <c r="AI66" s="193"/>
      <c r="AJ66" s="193"/>
      <c r="AK66" s="193"/>
      <c r="AL66" s="206"/>
      <c r="AM66" s="211">
        <f>AQ65</f>
        <v>6.3368616666666666</v>
      </c>
      <c r="AN66" s="62"/>
      <c r="AO66" s="172" t="s">
        <v>435</v>
      </c>
      <c r="AP66" s="90" t="s">
        <v>32</v>
      </c>
      <c r="AQ66" s="255">
        <f>AQ65*2</f>
        <v>12.673723333333333</v>
      </c>
      <c r="AR66" s="169" t="s">
        <v>138</v>
      </c>
    </row>
    <row r="67" spans="1:44" x14ac:dyDescent="0.3">
      <c r="A67" s="147"/>
      <c r="B67" s="183">
        <v>3.2</v>
      </c>
      <c r="C67" s="183" t="s">
        <v>74</v>
      </c>
      <c r="D67" s="183"/>
      <c r="E67" s="157">
        <f>(A63)/4</f>
        <v>3.8149999999999999</v>
      </c>
      <c r="F67" s="183"/>
      <c r="G67" s="183"/>
      <c r="H67" s="183"/>
      <c r="I67" s="150"/>
      <c r="J67" s="157">
        <f>E67*2</f>
        <v>7.63</v>
      </c>
      <c r="K67" s="183"/>
      <c r="L67" s="183"/>
      <c r="M67" s="183"/>
      <c r="N67" s="150"/>
      <c r="O67" s="157">
        <f>E67</f>
        <v>3.8149999999999999</v>
      </c>
      <c r="P67" s="183"/>
      <c r="Q67" s="183"/>
      <c r="R67" s="150"/>
      <c r="T67" s="192"/>
      <c r="U67" s="193"/>
      <c r="V67" s="193"/>
      <c r="W67" s="193"/>
      <c r="X67" s="212">
        <f>X66*U66/2</f>
        <v>10.138978666666667</v>
      </c>
      <c r="Y67" s="193"/>
      <c r="Z67" s="193"/>
      <c r="AA67" s="193"/>
      <c r="AB67" s="193"/>
      <c r="AC67" s="212">
        <f>AC66*U66/2</f>
        <v>20.277957333333333</v>
      </c>
      <c r="AD67" s="193"/>
      <c r="AE67" s="193"/>
      <c r="AF67" s="193"/>
      <c r="AG67" s="206"/>
      <c r="AH67" s="203">
        <f>AH66*U66/2</f>
        <v>20.277957333333333</v>
      </c>
      <c r="AI67" s="193"/>
      <c r="AJ67" s="193"/>
      <c r="AK67" s="193"/>
      <c r="AL67" s="206"/>
      <c r="AM67" s="203">
        <f>AM66*U66/2</f>
        <v>10.138978666666667</v>
      </c>
      <c r="AN67" s="62"/>
      <c r="AO67" s="69"/>
      <c r="AP67" s="92"/>
      <c r="AQ67" s="69"/>
      <c r="AR67" s="169"/>
    </row>
    <row r="68" spans="1:44" x14ac:dyDescent="0.3">
      <c r="A68" s="147"/>
      <c r="B68" s="183"/>
      <c r="C68" s="183"/>
      <c r="D68" s="183"/>
      <c r="E68" s="149">
        <f>E67*B67/2</f>
        <v>6.1040000000000001</v>
      </c>
      <c r="F68" s="183"/>
      <c r="G68" s="183"/>
      <c r="H68" s="183"/>
      <c r="I68" s="150"/>
      <c r="J68" s="149">
        <f>J67*$D$17/2</f>
        <v>0</v>
      </c>
      <c r="K68" s="183"/>
      <c r="L68" s="183"/>
      <c r="M68" s="183"/>
      <c r="N68" s="150"/>
      <c r="O68" s="149">
        <f>O64</f>
        <v>6.1040000000000001</v>
      </c>
      <c r="P68" s="183"/>
      <c r="Q68" s="183"/>
      <c r="R68" s="150"/>
      <c r="T68" s="192"/>
      <c r="U68" s="193"/>
      <c r="V68" s="193"/>
      <c r="W68" s="193"/>
      <c r="X68" s="207">
        <f>-X65</f>
        <v>5.0694893333333333</v>
      </c>
      <c r="Y68" s="193"/>
      <c r="Z68" s="193"/>
      <c r="AA68" s="193"/>
      <c r="AB68" s="193"/>
      <c r="AC68" s="207">
        <f>AC65</f>
        <v>5.0694893333333333</v>
      </c>
      <c r="AD68" s="193"/>
      <c r="AE68" s="193"/>
      <c r="AF68" s="193"/>
      <c r="AG68" s="206"/>
      <c r="AH68" s="213">
        <f>-AH65</f>
        <v>5.0694893333333333</v>
      </c>
      <c r="AI68" s="193"/>
      <c r="AJ68" s="193"/>
      <c r="AK68" s="193"/>
      <c r="AL68" s="208">
        <f>-AL65</f>
        <v>-5.0694893333333333</v>
      </c>
      <c r="AM68" s="193"/>
      <c r="AN68" s="62"/>
      <c r="AO68" s="69"/>
      <c r="AP68" s="92"/>
      <c r="AQ68" s="69"/>
      <c r="AR68" s="169"/>
    </row>
    <row r="69" spans="1:44" ht="15" thickBot="1" x14ac:dyDescent="0.35">
      <c r="A69" s="147"/>
      <c r="B69" s="183"/>
      <c r="C69" s="183"/>
      <c r="D69" s="183"/>
      <c r="E69" s="155">
        <f>-E66</f>
        <v>4.8832000000000004</v>
      </c>
      <c r="F69" s="183"/>
      <c r="G69" s="183"/>
      <c r="H69" s="183"/>
      <c r="I69" s="150"/>
      <c r="J69" s="155">
        <f>-J66</f>
        <v>0</v>
      </c>
      <c r="K69" s="183"/>
      <c r="L69" s="183"/>
      <c r="M69" s="183"/>
      <c r="N69" s="156">
        <f>-N66</f>
        <v>-4.8832000000000004</v>
      </c>
      <c r="O69" s="183"/>
      <c r="P69" s="183"/>
      <c r="Q69" s="158"/>
      <c r="R69" s="150" t="s">
        <v>347</v>
      </c>
      <c r="T69" s="195">
        <v>28.83222</v>
      </c>
      <c r="U69" s="193" t="s">
        <v>138</v>
      </c>
      <c r="V69" s="62"/>
      <c r="W69" s="62"/>
      <c r="X69" s="76"/>
      <c r="Y69" s="78"/>
      <c r="Z69" s="78"/>
      <c r="AA69" s="78"/>
      <c r="AB69" s="78"/>
      <c r="AC69" s="63"/>
      <c r="AD69" s="62"/>
      <c r="AE69" s="62"/>
      <c r="AF69" s="62"/>
      <c r="AG69" s="79"/>
      <c r="AH69" s="62"/>
      <c r="AI69" s="62"/>
      <c r="AJ69" s="62"/>
      <c r="AK69" s="62"/>
      <c r="AL69" s="65"/>
      <c r="AM69" s="62"/>
      <c r="AN69" s="62"/>
      <c r="AO69" s="69"/>
      <c r="AP69" s="92"/>
      <c r="AQ69" s="69"/>
      <c r="AR69" s="169"/>
    </row>
    <row r="70" spans="1:44" ht="15" thickBot="1" x14ac:dyDescent="0.35">
      <c r="A70" s="147">
        <v>14.92</v>
      </c>
      <c r="B70" s="183" t="s">
        <v>138</v>
      </c>
      <c r="C70" s="144"/>
      <c r="D70" s="146"/>
      <c r="E70" s="159"/>
      <c r="F70" s="83"/>
      <c r="G70" s="83"/>
      <c r="H70" s="83"/>
      <c r="I70" s="160"/>
      <c r="J70" s="144"/>
      <c r="K70" s="144"/>
      <c r="L70" s="144"/>
      <c r="M70" s="144"/>
      <c r="N70" s="146"/>
      <c r="O70" s="144"/>
      <c r="P70" s="183"/>
      <c r="Q70" s="161"/>
      <c r="R70" s="150" t="s">
        <v>348</v>
      </c>
      <c r="T70" s="192"/>
      <c r="U70" s="193"/>
      <c r="V70" s="193"/>
      <c r="W70" s="193"/>
      <c r="X70" s="212">
        <f>X73*U73/2</f>
        <v>17.827570666666666</v>
      </c>
      <c r="Y70" s="214">
        <f>X70+X67</f>
        <v>27.966549333333333</v>
      </c>
      <c r="Z70" s="215">
        <f>Y70/(Z61/2)</f>
        <v>13.983274666666667</v>
      </c>
      <c r="AA70" s="214">
        <f>Y70</f>
        <v>27.966549333333333</v>
      </c>
      <c r="AB70" s="193"/>
      <c r="AC70" s="197">
        <f>AC73*U73/2</f>
        <v>35.655141333333333</v>
      </c>
      <c r="AD70" s="198">
        <f>AC67+AC70-AA70</f>
        <v>27.966549333333333</v>
      </c>
      <c r="AE70" s="199">
        <f>AD70/(AE61/2)</f>
        <v>27.966549333333333</v>
      </c>
      <c r="AF70" s="198">
        <f>AD70</f>
        <v>27.966549333333333</v>
      </c>
      <c r="AG70" s="206"/>
      <c r="AH70" s="202">
        <f>AH73*U73/2</f>
        <v>35.655141333333333</v>
      </c>
      <c r="AI70" s="198">
        <f>AH67+AH70-AF70</f>
        <v>27.966549333333333</v>
      </c>
      <c r="AJ70" s="199">
        <f>AI70/(AJ61/2)</f>
        <v>13.983274666666667</v>
      </c>
      <c r="AK70" s="198">
        <f>AI70</f>
        <v>27.966549333333333</v>
      </c>
      <c r="AL70" s="201"/>
      <c r="AM70" s="203">
        <f>AM73*U73/2</f>
        <v>17.827570666666666</v>
      </c>
      <c r="AN70" s="62"/>
      <c r="AO70" s="69">
        <f>T62+T69</f>
        <v>66.85338999999999</v>
      </c>
      <c r="AP70" s="90" t="s">
        <v>32</v>
      </c>
      <c r="AQ70" s="204" t="s">
        <v>433</v>
      </c>
      <c r="AR70" s="169"/>
    </row>
    <row r="71" spans="1:44" x14ac:dyDescent="0.3">
      <c r="A71" s="145"/>
      <c r="B71" s="144"/>
      <c r="C71" s="144"/>
      <c r="D71" s="144"/>
      <c r="E71" s="149">
        <f>E74*B74/2</f>
        <v>12.072000000000001</v>
      </c>
      <c r="F71" s="186">
        <f>E71+E68</f>
        <v>18.176000000000002</v>
      </c>
      <c r="G71" s="187">
        <f>F71/(G61/2)</f>
        <v>14.540800000000001</v>
      </c>
      <c r="H71" s="186">
        <f>F71</f>
        <v>18.176000000000002</v>
      </c>
      <c r="I71" s="150"/>
      <c r="J71" s="151">
        <f>J74*B74/2</f>
        <v>24.144000000000002</v>
      </c>
      <c r="K71" s="152">
        <f>J71+J68-H71</f>
        <v>5.968</v>
      </c>
      <c r="L71" s="153">
        <f>K71/(L61/2)</f>
        <v>4.7744</v>
      </c>
      <c r="M71" s="152">
        <f>K71</f>
        <v>5.968</v>
      </c>
      <c r="N71" s="154"/>
      <c r="O71" s="185">
        <f>O74*B74/2</f>
        <v>12.072000000000001</v>
      </c>
      <c r="P71" s="183"/>
      <c r="Q71" s="162"/>
      <c r="R71" s="150" t="s">
        <v>349</v>
      </c>
      <c r="T71" s="192"/>
      <c r="U71" s="193"/>
      <c r="V71" s="193"/>
      <c r="W71" s="193"/>
      <c r="X71" s="192"/>
      <c r="Y71" s="205"/>
      <c r="Z71" s="193"/>
      <c r="AA71" s="205"/>
      <c r="AB71" s="193"/>
      <c r="AC71" s="192"/>
      <c r="AD71" s="205"/>
      <c r="AE71" s="193"/>
      <c r="AF71" s="205"/>
      <c r="AG71" s="206"/>
      <c r="AH71" s="193"/>
      <c r="AI71" s="205"/>
      <c r="AJ71" s="193"/>
      <c r="AK71" s="205"/>
      <c r="AL71" s="206"/>
      <c r="AM71" s="193"/>
      <c r="AN71" s="62"/>
      <c r="AO71" s="69">
        <f>AO70</f>
        <v>66.85338999999999</v>
      </c>
      <c r="AP71" s="90" t="s">
        <v>32</v>
      </c>
      <c r="AQ71" s="204" t="s">
        <v>434</v>
      </c>
      <c r="AR71" s="169"/>
    </row>
    <row r="72" spans="1:44" x14ac:dyDescent="0.3">
      <c r="A72" s="145"/>
      <c r="B72" s="144"/>
      <c r="C72" s="144"/>
      <c r="D72" s="144"/>
      <c r="E72" s="147"/>
      <c r="F72" s="183"/>
      <c r="G72" s="183"/>
      <c r="H72" s="183"/>
      <c r="I72" s="150"/>
      <c r="J72" s="147"/>
      <c r="K72" s="183"/>
      <c r="L72" s="183"/>
      <c r="M72" s="183"/>
      <c r="N72" s="150"/>
      <c r="O72" s="183"/>
      <c r="P72" s="183"/>
      <c r="Q72" s="163"/>
      <c r="R72" s="150" t="s">
        <v>350</v>
      </c>
      <c r="T72" s="192"/>
      <c r="U72" s="193"/>
      <c r="V72" s="193"/>
      <c r="W72" s="193"/>
      <c r="X72" s="207">
        <f>-Z70+-Z63</f>
        <v>-19.052764</v>
      </c>
      <c r="Y72" s="193"/>
      <c r="Z72" s="193"/>
      <c r="AA72" s="193"/>
      <c r="AB72" s="193"/>
      <c r="AC72" s="207">
        <f>-(Z70+Z63)+(AE70+AE63)</f>
        <v>19.052764</v>
      </c>
      <c r="AD72" s="193"/>
      <c r="AE72" s="193"/>
      <c r="AF72" s="193"/>
      <c r="AG72" s="206"/>
      <c r="AH72" s="207">
        <f>-(AE70+AE63)+(AJ70+AJ63)</f>
        <v>-19.052764</v>
      </c>
      <c r="AI72" s="193"/>
      <c r="AJ72" s="193"/>
      <c r="AK72" s="193"/>
      <c r="AL72" s="208">
        <f>AJ70+AJ63</f>
        <v>19.052764</v>
      </c>
      <c r="AM72" s="193"/>
      <c r="AN72" s="62"/>
      <c r="AO72" s="172" t="s">
        <v>364</v>
      </c>
      <c r="AP72" s="90" t="s">
        <v>32</v>
      </c>
      <c r="AQ72" s="224">
        <f>AO71/6</f>
        <v>11.142231666666666</v>
      </c>
      <c r="AR72" s="169" t="s">
        <v>138</v>
      </c>
    </row>
    <row r="73" spans="1:44" x14ac:dyDescent="0.3">
      <c r="A73" s="145"/>
      <c r="B73" s="144"/>
      <c r="C73" s="144"/>
      <c r="D73" s="144"/>
      <c r="E73" s="155">
        <f>-(G71+E69)</f>
        <v>-19.423999999999999</v>
      </c>
      <c r="F73" s="183"/>
      <c r="G73" s="183"/>
      <c r="H73" s="183"/>
      <c r="I73" s="150"/>
      <c r="J73" s="155">
        <f>(G71+(-J69)-L71)</f>
        <v>9.7664000000000009</v>
      </c>
      <c r="K73" s="183"/>
      <c r="L73" s="183"/>
      <c r="M73" s="183"/>
      <c r="N73" s="156">
        <f>(L71)-N69</f>
        <v>9.6576000000000004</v>
      </c>
      <c r="O73" s="183"/>
      <c r="P73" s="183"/>
      <c r="Q73" s="164"/>
      <c r="R73" s="150" t="s">
        <v>351</v>
      </c>
      <c r="T73" s="192"/>
      <c r="U73" s="400">
        <v>3.2</v>
      </c>
      <c r="V73" s="193" t="s">
        <v>74</v>
      </c>
      <c r="W73" s="193"/>
      <c r="X73" s="210">
        <f>AQ72</f>
        <v>11.142231666666666</v>
      </c>
      <c r="Y73" s="193"/>
      <c r="Z73" s="193"/>
      <c r="AA73" s="193"/>
      <c r="AB73" s="193"/>
      <c r="AC73" s="210">
        <f>AQ73</f>
        <v>22.284463333333331</v>
      </c>
      <c r="AD73" s="193"/>
      <c r="AE73" s="193"/>
      <c r="AF73" s="193"/>
      <c r="AG73" s="206"/>
      <c r="AH73" s="211">
        <f>AQ73</f>
        <v>22.284463333333331</v>
      </c>
      <c r="AI73" s="193"/>
      <c r="AJ73" s="193"/>
      <c r="AK73" s="193"/>
      <c r="AL73" s="206"/>
      <c r="AM73" s="211">
        <f>AQ72</f>
        <v>11.142231666666666</v>
      </c>
      <c r="AN73" s="62"/>
      <c r="AO73" s="172" t="s">
        <v>435</v>
      </c>
      <c r="AP73" s="90" t="s">
        <v>32</v>
      </c>
      <c r="AQ73" s="255">
        <f>AQ72*2</f>
        <v>22.284463333333331</v>
      </c>
      <c r="AR73" s="169" t="s">
        <v>138</v>
      </c>
    </row>
    <row r="74" spans="1:44" x14ac:dyDescent="0.3">
      <c r="A74" s="145"/>
      <c r="B74" s="183">
        <v>3.2</v>
      </c>
      <c r="C74" s="183" t="s">
        <v>74</v>
      </c>
      <c r="D74" s="144"/>
      <c r="E74" s="157">
        <f>(A70+A63)/4</f>
        <v>7.5449999999999999</v>
      </c>
      <c r="F74" s="183"/>
      <c r="G74" s="183"/>
      <c r="H74" s="183"/>
      <c r="I74" s="150"/>
      <c r="J74" s="157">
        <f>E74*2</f>
        <v>15.09</v>
      </c>
      <c r="K74" s="183"/>
      <c r="L74" s="183"/>
      <c r="M74" s="183"/>
      <c r="N74" s="150"/>
      <c r="O74" s="157">
        <f>E74</f>
        <v>7.5449999999999999</v>
      </c>
      <c r="P74" s="183"/>
      <c r="Q74" s="183"/>
      <c r="R74" s="150"/>
      <c r="T74" s="192"/>
      <c r="U74" s="193"/>
      <c r="V74" s="193"/>
      <c r="W74" s="193"/>
      <c r="X74" s="212">
        <f>X73*U73/2</f>
        <v>17.827570666666666</v>
      </c>
      <c r="Y74" s="193"/>
      <c r="Z74" s="193"/>
      <c r="AA74" s="193"/>
      <c r="AB74" s="193"/>
      <c r="AC74" s="212">
        <f>AC73*U73/2</f>
        <v>35.655141333333333</v>
      </c>
      <c r="AD74" s="193"/>
      <c r="AE74" s="193"/>
      <c r="AF74" s="193"/>
      <c r="AG74" s="206"/>
      <c r="AH74" s="203">
        <f>AH73*U73/2</f>
        <v>35.655141333333333</v>
      </c>
      <c r="AI74" s="193"/>
      <c r="AJ74" s="193"/>
      <c r="AK74" s="193"/>
      <c r="AL74" s="206"/>
      <c r="AM74" s="203">
        <f>AM73*U73/2</f>
        <v>17.827570666666666</v>
      </c>
      <c r="AN74" s="62"/>
      <c r="AO74" s="69"/>
      <c r="AP74" s="92"/>
      <c r="AQ74" s="69"/>
      <c r="AR74" s="169"/>
    </row>
    <row r="75" spans="1:44" x14ac:dyDescent="0.3">
      <c r="A75" s="145"/>
      <c r="B75" s="144"/>
      <c r="C75" s="144"/>
      <c r="D75" s="144"/>
      <c r="E75" s="149">
        <f>E74*B74/2</f>
        <v>12.072000000000001</v>
      </c>
      <c r="F75" s="183"/>
      <c r="G75" s="183"/>
      <c r="H75" s="183"/>
      <c r="I75" s="150"/>
      <c r="J75" s="149">
        <f>J71</f>
        <v>24.144000000000002</v>
      </c>
      <c r="K75" s="183"/>
      <c r="L75" s="183"/>
      <c r="M75" s="183"/>
      <c r="N75" s="150"/>
      <c r="O75" s="149">
        <f>O71</f>
        <v>12.072000000000001</v>
      </c>
      <c r="P75" s="183"/>
      <c r="Q75" s="183"/>
      <c r="R75" s="150"/>
      <c r="T75" s="192"/>
      <c r="U75" s="193"/>
      <c r="V75" s="193"/>
      <c r="W75" s="193"/>
      <c r="X75" s="207">
        <f>-X72</f>
        <v>19.052764</v>
      </c>
      <c r="Y75" s="193"/>
      <c r="Z75" s="193"/>
      <c r="AA75" s="193"/>
      <c r="AB75" s="193"/>
      <c r="AC75" s="207">
        <f>AC72</f>
        <v>19.052764</v>
      </c>
      <c r="AD75" s="193"/>
      <c r="AE75" s="193"/>
      <c r="AF75" s="193"/>
      <c r="AG75" s="206"/>
      <c r="AH75" s="213">
        <f>-AH72</f>
        <v>19.052764</v>
      </c>
      <c r="AI75" s="193"/>
      <c r="AJ75" s="193"/>
      <c r="AK75" s="193"/>
      <c r="AL75" s="208">
        <f>-AL72</f>
        <v>-19.052764</v>
      </c>
      <c r="AM75" s="193"/>
      <c r="AN75" s="62"/>
      <c r="AO75" s="69"/>
      <c r="AP75" s="92"/>
      <c r="AQ75" s="69"/>
      <c r="AR75" s="169"/>
    </row>
    <row r="76" spans="1:44" ht="15" thickBot="1" x14ac:dyDescent="0.35">
      <c r="A76" s="145"/>
      <c r="B76" s="144"/>
      <c r="C76" s="144"/>
      <c r="D76" s="144"/>
      <c r="E76" s="155">
        <f>-E73</f>
        <v>19.423999999999999</v>
      </c>
      <c r="F76" s="183"/>
      <c r="G76" s="183"/>
      <c r="H76" s="183"/>
      <c r="I76" s="150"/>
      <c r="J76" s="155">
        <f>-J73</f>
        <v>-9.7664000000000009</v>
      </c>
      <c r="K76" s="183"/>
      <c r="L76" s="183"/>
      <c r="M76" s="183"/>
      <c r="N76" s="156">
        <f>-N73</f>
        <v>-9.6576000000000004</v>
      </c>
      <c r="O76" s="183"/>
      <c r="P76" s="183"/>
      <c r="Q76" s="183"/>
      <c r="R76" s="150"/>
      <c r="T76" s="195">
        <v>5.6428099999999999</v>
      </c>
      <c r="U76" s="193" t="s">
        <v>138</v>
      </c>
      <c r="V76" s="62"/>
      <c r="W76" s="62"/>
      <c r="X76" s="76"/>
      <c r="Y76" s="78"/>
      <c r="Z76" s="78"/>
      <c r="AA76" s="78"/>
      <c r="AB76" s="78"/>
      <c r="AC76" s="63"/>
      <c r="AD76" s="62"/>
      <c r="AE76" s="62"/>
      <c r="AF76" s="62"/>
      <c r="AG76" s="79"/>
      <c r="AH76" s="62"/>
      <c r="AI76" s="62"/>
      <c r="AJ76" s="62"/>
      <c r="AK76" s="62"/>
      <c r="AL76" s="65"/>
      <c r="AM76" s="62"/>
      <c r="AN76" s="62"/>
      <c r="AO76" s="69"/>
      <c r="AP76" s="92"/>
      <c r="AQ76" s="69"/>
      <c r="AR76" s="169"/>
    </row>
    <row r="77" spans="1:44" ht="15" thickBot="1" x14ac:dyDescent="0.35">
      <c r="A77" s="147">
        <v>3.38</v>
      </c>
      <c r="B77" s="183" t="s">
        <v>138</v>
      </c>
      <c r="C77" s="183"/>
      <c r="D77" s="183"/>
      <c r="E77" s="165"/>
      <c r="F77" s="148"/>
      <c r="G77" s="148"/>
      <c r="H77" s="148"/>
      <c r="I77" s="166"/>
      <c r="J77" s="165"/>
      <c r="K77" s="148"/>
      <c r="L77" s="148"/>
      <c r="M77" s="148"/>
      <c r="N77" s="166"/>
      <c r="O77" s="147"/>
      <c r="P77" s="183"/>
      <c r="Q77" s="144"/>
      <c r="R77" s="146"/>
      <c r="T77" s="63"/>
      <c r="U77" s="62"/>
      <c r="V77" s="62"/>
      <c r="W77" s="62"/>
      <c r="X77" s="212">
        <f>X80*U80/2</f>
        <v>9.0620249999999984</v>
      </c>
      <c r="Y77" s="214">
        <f>X77+X74</f>
        <v>26.889595666666665</v>
      </c>
      <c r="Z77" s="215">
        <f>Y77/(Z61/2)</f>
        <v>13.444797833333332</v>
      </c>
      <c r="AA77" s="214">
        <f>Y77</f>
        <v>26.889595666666665</v>
      </c>
      <c r="AB77" s="193"/>
      <c r="AC77" s="197">
        <f>AC80*U80/2</f>
        <v>18.124049999999997</v>
      </c>
      <c r="AD77" s="198">
        <f>AC74+AC77-AA77</f>
        <v>26.889595666666665</v>
      </c>
      <c r="AE77" s="199">
        <f>AD77/(AE61/2)</f>
        <v>26.889595666666665</v>
      </c>
      <c r="AF77" s="198">
        <f>AD77</f>
        <v>26.889595666666665</v>
      </c>
      <c r="AG77" s="206"/>
      <c r="AH77" s="202">
        <f>AH80*U80/2</f>
        <v>18.124049999999997</v>
      </c>
      <c r="AI77" s="198">
        <f>AH74+AH77-AF77</f>
        <v>26.889595666666665</v>
      </c>
      <c r="AJ77" s="199">
        <f>AI77/(AJ61/2)</f>
        <v>13.444797833333332</v>
      </c>
      <c r="AK77" s="198">
        <f>AI77</f>
        <v>26.889595666666665</v>
      </c>
      <c r="AL77" s="201"/>
      <c r="AM77" s="203">
        <f>AM80*U80/2</f>
        <v>9.0620249999999984</v>
      </c>
      <c r="AN77" s="62"/>
      <c r="AO77" s="69">
        <f>T69+T76+T62</f>
        <v>72.496199999999988</v>
      </c>
      <c r="AP77" s="90" t="s">
        <v>32</v>
      </c>
      <c r="AQ77" s="204" t="s">
        <v>433</v>
      </c>
      <c r="AR77" s="169"/>
    </row>
    <row r="78" spans="1:44" x14ac:dyDescent="0.3">
      <c r="A78" s="145"/>
      <c r="B78" s="144"/>
      <c r="C78" s="144"/>
      <c r="D78" s="144"/>
      <c r="E78" s="149">
        <f>E81*B81/2</f>
        <v>6.2925000000000004</v>
      </c>
      <c r="F78" s="186">
        <f>E78+E75</f>
        <v>18.3645</v>
      </c>
      <c r="G78" s="187">
        <f>F78/(G61/2)</f>
        <v>14.691599999999999</v>
      </c>
      <c r="H78" s="186">
        <f>F78</f>
        <v>18.3645</v>
      </c>
      <c r="I78" s="150"/>
      <c r="J78" s="151">
        <f>J81*B81/2</f>
        <v>12.585000000000001</v>
      </c>
      <c r="K78" s="152">
        <f>J78+J75-H78</f>
        <v>18.3645</v>
      </c>
      <c r="L78" s="153">
        <f>K78/(L61/2)</f>
        <v>14.691599999999999</v>
      </c>
      <c r="M78" s="152">
        <f>K78</f>
        <v>18.3645</v>
      </c>
      <c r="N78" s="154"/>
      <c r="O78" s="185">
        <f>O81*B81/2</f>
        <v>6.2925000000000004</v>
      </c>
      <c r="P78" s="144"/>
      <c r="Q78" s="144"/>
      <c r="R78" s="146"/>
      <c r="T78" s="63"/>
      <c r="U78" s="62"/>
      <c r="V78" s="62"/>
      <c r="W78" s="62"/>
      <c r="X78" s="192"/>
      <c r="Y78" s="205"/>
      <c r="Z78" s="193"/>
      <c r="AA78" s="205"/>
      <c r="AB78" s="193"/>
      <c r="AC78" s="192"/>
      <c r="AD78" s="205"/>
      <c r="AE78" s="193"/>
      <c r="AF78" s="205"/>
      <c r="AG78" s="206"/>
      <c r="AH78" s="193"/>
      <c r="AI78" s="205"/>
      <c r="AJ78" s="193"/>
      <c r="AK78" s="205"/>
      <c r="AL78" s="206"/>
      <c r="AM78" s="193"/>
      <c r="AN78" s="62"/>
      <c r="AO78" s="69">
        <f>AO77</f>
        <v>72.496199999999988</v>
      </c>
      <c r="AP78" s="90" t="s">
        <v>32</v>
      </c>
      <c r="AQ78" s="204" t="s">
        <v>434</v>
      </c>
      <c r="AR78" s="169"/>
    </row>
    <row r="79" spans="1:44" x14ac:dyDescent="0.3">
      <c r="A79" s="145"/>
      <c r="B79" s="144"/>
      <c r="C79" s="144"/>
      <c r="D79" s="144"/>
      <c r="E79" s="147"/>
      <c r="F79" s="183"/>
      <c r="G79" s="183"/>
      <c r="H79" s="183"/>
      <c r="I79" s="150"/>
      <c r="J79" s="147"/>
      <c r="K79" s="183"/>
      <c r="L79" s="183"/>
      <c r="M79" s="183"/>
      <c r="N79" s="150"/>
      <c r="O79" s="183"/>
      <c r="P79" s="144"/>
      <c r="Q79" s="144"/>
      <c r="R79" s="146"/>
      <c r="T79" s="63"/>
      <c r="U79" s="62"/>
      <c r="V79" s="62"/>
      <c r="W79" s="62"/>
      <c r="X79" s="207">
        <f>-Z77+-Z70+-Z63</f>
        <v>-32.497561833333336</v>
      </c>
      <c r="Y79" s="193"/>
      <c r="Z79" s="193"/>
      <c r="AA79" s="193"/>
      <c r="AB79" s="193"/>
      <c r="AC79" s="207">
        <f>-(Z77+Z70+Z63)+(AE77+AE70+AE63)</f>
        <v>32.497561833333336</v>
      </c>
      <c r="AD79" s="193"/>
      <c r="AE79" s="193"/>
      <c r="AF79" s="193"/>
      <c r="AG79" s="206"/>
      <c r="AH79" s="207">
        <f>-(AE77+AE70+AE63)+(AJ77+AJ70+AJ63)</f>
        <v>-32.497561833333336</v>
      </c>
      <c r="AI79" s="193"/>
      <c r="AJ79" s="193"/>
      <c r="AK79" s="193"/>
      <c r="AL79" s="208">
        <f>AJ77+AJ70+AJ63</f>
        <v>32.497561833333336</v>
      </c>
      <c r="AM79" s="193"/>
      <c r="AN79" s="62"/>
      <c r="AO79" s="172" t="s">
        <v>364</v>
      </c>
      <c r="AP79" s="90" t="s">
        <v>32</v>
      </c>
      <c r="AQ79" s="224">
        <f>AO78/6</f>
        <v>12.082699999999997</v>
      </c>
      <c r="AR79" s="169" t="s">
        <v>138</v>
      </c>
    </row>
    <row r="80" spans="1:44" x14ac:dyDescent="0.3">
      <c r="A80" s="145"/>
      <c r="B80" s="144"/>
      <c r="C80" s="144"/>
      <c r="D80" s="144"/>
      <c r="E80" s="155">
        <f>-(G78+E76)</f>
        <v>-34.115600000000001</v>
      </c>
      <c r="F80" s="183"/>
      <c r="G80" s="183"/>
      <c r="H80" s="183"/>
      <c r="I80" s="150"/>
      <c r="J80" s="155">
        <f>(G78+(-J76)-L78)</f>
        <v>9.7663999999999991</v>
      </c>
      <c r="K80" s="183"/>
      <c r="L80" s="183"/>
      <c r="M80" s="183"/>
      <c r="N80" s="156">
        <f>(L78)-N76</f>
        <v>24.3492</v>
      </c>
      <c r="O80" s="183"/>
      <c r="P80" s="144"/>
      <c r="Q80" s="144"/>
      <c r="R80" s="146"/>
      <c r="T80" s="63"/>
      <c r="U80" s="401">
        <v>1.5</v>
      </c>
      <c r="V80" s="193" t="s">
        <v>74</v>
      </c>
      <c r="W80" s="193"/>
      <c r="X80" s="210">
        <f>AQ79</f>
        <v>12.082699999999997</v>
      </c>
      <c r="Y80" s="193"/>
      <c r="Z80" s="193"/>
      <c r="AA80" s="193"/>
      <c r="AB80" s="193"/>
      <c r="AC80" s="210">
        <f>AQ80</f>
        <v>24.165399999999995</v>
      </c>
      <c r="AD80" s="193"/>
      <c r="AE80" s="193"/>
      <c r="AF80" s="193"/>
      <c r="AG80" s="206"/>
      <c r="AH80" s="211">
        <f>AQ80</f>
        <v>24.165399999999995</v>
      </c>
      <c r="AI80" s="193"/>
      <c r="AJ80" s="193"/>
      <c r="AK80" s="193"/>
      <c r="AL80" s="206"/>
      <c r="AM80" s="211">
        <f>AQ79</f>
        <v>12.082699999999997</v>
      </c>
      <c r="AN80" s="62"/>
      <c r="AO80" s="172" t="s">
        <v>435</v>
      </c>
      <c r="AP80" s="90" t="s">
        <v>32</v>
      </c>
      <c r="AQ80" s="255">
        <f>AQ79*2</f>
        <v>24.165399999999995</v>
      </c>
      <c r="AR80" s="169" t="s">
        <v>138</v>
      </c>
    </row>
    <row r="81" spans="1:44" x14ac:dyDescent="0.3">
      <c r="A81" s="145"/>
      <c r="B81" s="189">
        <v>1.5</v>
      </c>
      <c r="C81" s="183" t="s">
        <v>74</v>
      </c>
      <c r="D81" s="144"/>
      <c r="E81" s="157">
        <f>(A77+A70+A63)/4</f>
        <v>8.39</v>
      </c>
      <c r="F81" s="183"/>
      <c r="G81" s="183"/>
      <c r="H81" s="183"/>
      <c r="I81" s="150"/>
      <c r="J81" s="157">
        <f>E81*2</f>
        <v>16.78</v>
      </c>
      <c r="K81" s="183"/>
      <c r="L81" s="183"/>
      <c r="M81" s="183"/>
      <c r="N81" s="150"/>
      <c r="O81" s="157">
        <f>E81</f>
        <v>8.39</v>
      </c>
      <c r="P81" s="144"/>
      <c r="Q81" s="144"/>
      <c r="R81" s="146"/>
      <c r="T81" s="63"/>
      <c r="U81" s="62"/>
      <c r="V81" s="62"/>
      <c r="W81" s="62"/>
      <c r="X81" s="212">
        <f>X80*U80/2</f>
        <v>9.0620249999999984</v>
      </c>
      <c r="Y81" s="193"/>
      <c r="Z81" s="193"/>
      <c r="AA81" s="193"/>
      <c r="AB81" s="193"/>
      <c r="AC81" s="212">
        <f>AC80*U80/2</f>
        <v>18.124049999999997</v>
      </c>
      <c r="AD81" s="193"/>
      <c r="AE81" s="193"/>
      <c r="AF81" s="193"/>
      <c r="AG81" s="206"/>
      <c r="AH81" s="203">
        <f>AH80*U80/2</f>
        <v>18.124049999999997</v>
      </c>
      <c r="AI81" s="193"/>
      <c r="AJ81" s="193"/>
      <c r="AK81" s="193"/>
      <c r="AL81" s="206"/>
      <c r="AM81" s="203">
        <f>AM80*U80/2</f>
        <v>9.0620249999999984</v>
      </c>
      <c r="AN81" s="62"/>
      <c r="AO81" s="69"/>
      <c r="AP81" s="92"/>
      <c r="AQ81" s="69"/>
      <c r="AR81" s="169"/>
    </row>
    <row r="82" spans="1:44" x14ac:dyDescent="0.3">
      <c r="A82" s="145"/>
      <c r="B82" s="144"/>
      <c r="C82" s="144"/>
      <c r="D82" s="144"/>
      <c r="E82" s="149">
        <f>E81*B81/2</f>
        <v>6.2925000000000004</v>
      </c>
      <c r="F82" s="183"/>
      <c r="G82" s="183"/>
      <c r="H82" s="183"/>
      <c r="I82" s="150"/>
      <c r="J82" s="149">
        <f>J78</f>
        <v>12.585000000000001</v>
      </c>
      <c r="K82" s="183"/>
      <c r="L82" s="183"/>
      <c r="M82" s="183"/>
      <c r="N82" s="150"/>
      <c r="O82" s="149">
        <f>O78</f>
        <v>6.2925000000000004</v>
      </c>
      <c r="P82" s="144"/>
      <c r="Q82" s="144"/>
      <c r="R82" s="146"/>
      <c r="T82" s="63"/>
      <c r="U82" s="62"/>
      <c r="V82" s="62"/>
      <c r="W82" s="62"/>
      <c r="X82" s="207">
        <f>-X79</f>
        <v>32.497561833333336</v>
      </c>
      <c r="Y82" s="193"/>
      <c r="Z82" s="193"/>
      <c r="AA82" s="193"/>
      <c r="AB82" s="193"/>
      <c r="AC82" s="207">
        <f>AC79</f>
        <v>32.497561833333336</v>
      </c>
      <c r="AD82" s="193"/>
      <c r="AE82" s="193"/>
      <c r="AF82" s="193"/>
      <c r="AG82" s="206"/>
      <c r="AH82" s="213">
        <f>-AH79</f>
        <v>32.497561833333336</v>
      </c>
      <c r="AI82" s="193"/>
      <c r="AJ82" s="193"/>
      <c r="AK82" s="193"/>
      <c r="AL82" s="208">
        <f>-AL79</f>
        <v>-32.497561833333336</v>
      </c>
      <c r="AM82" s="193"/>
      <c r="AN82" s="62"/>
      <c r="AO82" s="69"/>
      <c r="AP82" s="92"/>
      <c r="AQ82" s="69"/>
      <c r="AR82" s="65"/>
    </row>
    <row r="83" spans="1:44" ht="15" thickBot="1" x14ac:dyDescent="0.35">
      <c r="A83" s="145"/>
      <c r="B83" s="144"/>
      <c r="C83" s="144"/>
      <c r="D83" s="144"/>
      <c r="E83" s="155">
        <f>-E80</f>
        <v>34.115600000000001</v>
      </c>
      <c r="F83" s="183"/>
      <c r="G83" s="183"/>
      <c r="H83" s="183"/>
      <c r="I83" s="150"/>
      <c r="J83" s="155">
        <f>-J80</f>
        <v>-9.7663999999999991</v>
      </c>
      <c r="K83" s="183"/>
      <c r="L83" s="183"/>
      <c r="M83" s="183"/>
      <c r="N83" s="156">
        <f>-N80</f>
        <v>-24.3492</v>
      </c>
      <c r="O83" s="183"/>
      <c r="P83" s="144"/>
      <c r="Q83" s="144"/>
      <c r="R83" s="146"/>
      <c r="T83" s="63"/>
      <c r="U83" s="62"/>
      <c r="V83" s="62"/>
      <c r="W83" s="79"/>
      <c r="X83" s="76"/>
      <c r="Y83" s="62"/>
      <c r="Z83" s="62"/>
      <c r="AA83" s="62"/>
      <c r="AB83" s="78"/>
      <c r="AC83" s="76"/>
      <c r="AD83" s="62"/>
      <c r="AE83" s="62"/>
      <c r="AF83" s="62"/>
      <c r="AG83" s="79"/>
      <c r="AH83" s="78"/>
      <c r="AI83" s="62"/>
      <c r="AJ83" s="62"/>
      <c r="AK83" s="62"/>
      <c r="AL83" s="79"/>
      <c r="AM83" s="76"/>
      <c r="AN83" s="62"/>
      <c r="AO83" s="69"/>
      <c r="AP83" s="92"/>
      <c r="AQ83" s="69"/>
      <c r="AR83" s="169"/>
    </row>
    <row r="84" spans="1:44" ht="15" thickBot="1" x14ac:dyDescent="0.35">
      <c r="A84" s="147"/>
      <c r="B84" s="183"/>
      <c r="C84" s="183"/>
      <c r="D84" s="148"/>
      <c r="E84" s="165"/>
      <c r="F84" s="183"/>
      <c r="G84" s="183"/>
      <c r="H84" s="183"/>
      <c r="I84" s="166"/>
      <c r="J84" s="165"/>
      <c r="K84" s="183"/>
      <c r="L84" s="183"/>
      <c r="M84" s="183"/>
      <c r="N84" s="166"/>
      <c r="O84" s="165"/>
      <c r="P84" s="144"/>
      <c r="Q84" s="144"/>
      <c r="R84" s="146"/>
      <c r="T84" s="63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9"/>
      <c r="AP84" s="92"/>
      <c r="AQ84" s="69"/>
      <c r="AR84" s="169"/>
    </row>
    <row r="85" spans="1:44" x14ac:dyDescent="0.3">
      <c r="A85" s="147"/>
      <c r="B85" s="183"/>
      <c r="C85" s="183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6"/>
      <c r="T85" s="63"/>
      <c r="U85" s="62"/>
      <c r="V85" s="62"/>
      <c r="W85" s="92">
        <f>X68+X75+X82</f>
        <v>56.619815166666669</v>
      </c>
      <c r="X85" s="128" t="s">
        <v>32</v>
      </c>
      <c r="Y85" s="92">
        <f>AC65+AC72+AC79+AH65+AH72+AH79+AL65+AL72+AL79</f>
        <v>56.619815166666669</v>
      </c>
      <c r="Z85" s="172" t="str">
        <f>IF(W85=Y85, "OK!","RE-CHECK!")</f>
        <v>OK!</v>
      </c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9"/>
      <c r="AP85" s="92"/>
      <c r="AQ85" s="69"/>
      <c r="AR85" s="169"/>
    </row>
    <row r="86" spans="1:44" x14ac:dyDescent="0.3">
      <c r="A86" s="145"/>
      <c r="B86" s="183"/>
      <c r="C86" s="183"/>
      <c r="D86" s="144"/>
      <c r="E86" s="334">
        <f>E69+E76+E83</f>
        <v>58.422800000000002</v>
      </c>
      <c r="F86" s="182" t="s">
        <v>32</v>
      </c>
      <c r="G86" s="334">
        <f>J66+J73+J80+N66+N73+N80</f>
        <v>58.422800000000009</v>
      </c>
      <c r="H86" s="191" t="s">
        <v>352</v>
      </c>
      <c r="I86" s="144"/>
      <c r="J86" s="144"/>
      <c r="K86" s="144"/>
      <c r="L86" s="144"/>
      <c r="M86" s="144"/>
      <c r="N86" s="144"/>
      <c r="O86" s="144"/>
      <c r="P86" s="144"/>
      <c r="Q86" s="144"/>
      <c r="R86" s="146"/>
      <c r="T86" s="63"/>
      <c r="U86" s="62"/>
      <c r="V86" s="62"/>
      <c r="W86" s="75"/>
      <c r="X86" s="216"/>
      <c r="Y86" s="75"/>
      <c r="Z86" s="217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9"/>
      <c r="AP86" s="92"/>
      <c r="AQ86" s="69"/>
      <c r="AR86" s="169"/>
    </row>
    <row r="87" spans="1:44" ht="15" thickBot="1" x14ac:dyDescent="0.35">
      <c r="A87" s="159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160"/>
      <c r="T87" s="536" t="s">
        <v>436</v>
      </c>
      <c r="U87" s="537"/>
      <c r="V87" s="78"/>
      <c r="W87" s="218"/>
      <c r="X87" s="196" t="s">
        <v>347</v>
      </c>
      <c r="Y87" s="196"/>
      <c r="Z87" s="219"/>
      <c r="AA87" s="196" t="s">
        <v>348</v>
      </c>
      <c r="AB87" s="78"/>
      <c r="AC87" s="196"/>
      <c r="AD87" s="220"/>
      <c r="AE87" s="196" t="s">
        <v>349</v>
      </c>
      <c r="AF87" s="196"/>
      <c r="AG87" s="221"/>
      <c r="AH87" s="196" t="s">
        <v>350</v>
      </c>
      <c r="AI87" s="78"/>
      <c r="AJ87" s="222"/>
      <c r="AK87" s="196" t="s">
        <v>351</v>
      </c>
      <c r="AL87" s="196"/>
      <c r="AM87" s="78"/>
      <c r="AN87" s="78"/>
      <c r="AO87" s="223"/>
      <c r="AP87" s="104"/>
      <c r="AQ87" s="223"/>
      <c r="AR87" s="176"/>
    </row>
  </sheetData>
  <mergeCells count="9">
    <mergeCell ref="T87:U87"/>
    <mergeCell ref="T29:U29"/>
    <mergeCell ref="T58:U58"/>
    <mergeCell ref="A1:R1"/>
    <mergeCell ref="A30:R30"/>
    <mergeCell ref="A59:R59"/>
    <mergeCell ref="T1:AR1"/>
    <mergeCell ref="T30:AR30"/>
    <mergeCell ref="T59:AR59"/>
  </mergeCells>
  <printOptions horizontalCentered="1"/>
  <pageMargins left="0.39370078740157483" right="0.39370078740157483" top="0.39370078740157483" bottom="0.39370078740157483" header="0.31496062992125984" footer="0.31496062992125984"/>
  <pageSetup paperSize="9" scale="46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W247"/>
  <sheetViews>
    <sheetView showGridLines="0" view="pageBreakPreview" topLeftCell="A17" zoomScale="24" zoomScaleNormal="40" zoomScaleSheetLayoutView="10" workbookViewId="0">
      <selection activeCell="P111" sqref="P111"/>
    </sheetView>
  </sheetViews>
  <sheetFormatPr defaultRowHeight="14.4" x14ac:dyDescent="0.3"/>
  <cols>
    <col min="1" max="1" width="10" style="42" customWidth="1"/>
    <col min="2" max="2" width="16.6640625" style="42" customWidth="1"/>
    <col min="3" max="3" width="19" customWidth="1"/>
    <col min="4" max="4" width="13.33203125" bestFit="1" customWidth="1"/>
    <col min="5" max="5" width="13.6640625" bestFit="1" customWidth="1"/>
    <col min="6" max="6" width="11" customWidth="1"/>
    <col min="7" max="7" width="9.6640625" bestFit="1" customWidth="1"/>
    <col min="8" max="8" width="14.88671875" bestFit="1" customWidth="1"/>
    <col min="10" max="10" width="3.33203125" customWidth="1"/>
    <col min="11" max="11" width="15.6640625" style="42" customWidth="1"/>
    <col min="12" max="12" width="9.5546875" style="42" customWidth="1"/>
    <col min="13" max="13" width="16.33203125" style="43" customWidth="1"/>
    <col min="14" max="14" width="14.5546875" bestFit="1" customWidth="1"/>
    <col min="15" max="15" width="12.109375" bestFit="1" customWidth="1"/>
    <col min="16" max="16" width="8.33203125" bestFit="1" customWidth="1"/>
    <col min="17" max="17" width="16.44140625" customWidth="1"/>
    <col min="18" max="18" width="14.88671875" bestFit="1" customWidth="1"/>
    <col min="20" max="20" width="3.5546875" customWidth="1"/>
    <col min="21" max="21" width="15.33203125" style="42" customWidth="1"/>
    <col min="22" max="22" width="11.5546875" customWidth="1"/>
    <col min="23" max="23" width="14.88671875" customWidth="1"/>
    <col min="24" max="24" width="13.88671875" customWidth="1"/>
    <col min="25" max="25" width="11" customWidth="1"/>
    <col min="26" max="26" width="17.6640625" bestFit="1" customWidth="1"/>
    <col min="27" max="27" width="9.6640625" bestFit="1" customWidth="1"/>
    <col min="28" max="28" width="14.88671875" bestFit="1" customWidth="1"/>
    <col min="31" max="31" width="14.44140625" style="42" customWidth="1"/>
    <col min="32" max="32" width="13.33203125" customWidth="1"/>
    <col min="33" max="33" width="14" customWidth="1"/>
    <col min="34" max="34" width="14.6640625" customWidth="1"/>
    <col min="35" max="35" width="11.6640625" customWidth="1"/>
    <col min="36" max="36" width="17.6640625" bestFit="1" customWidth="1"/>
    <col min="37" max="37" width="9.6640625" bestFit="1" customWidth="1"/>
    <col min="38" max="38" width="14.88671875" bestFit="1" customWidth="1"/>
    <col min="41" max="41" width="13.6640625" style="42" customWidth="1"/>
    <col min="42" max="42" width="13.109375" customWidth="1"/>
    <col min="43" max="43" width="13.5546875" customWidth="1"/>
    <col min="44" max="44" width="13.33203125" customWidth="1"/>
    <col min="45" max="45" width="10.44140625" customWidth="1"/>
    <col min="46" max="46" width="17.6640625" bestFit="1" customWidth="1"/>
    <col min="47" max="47" width="9.6640625" bestFit="1" customWidth="1"/>
    <col min="48" max="48" width="14.88671875" bestFit="1" customWidth="1"/>
  </cols>
  <sheetData>
    <row r="1" spans="1:49" s="355" customFormat="1" ht="19.8" x14ac:dyDescent="0.4">
      <c r="A1" s="559" t="s">
        <v>439</v>
      </c>
      <c r="B1" s="560"/>
      <c r="C1" s="560"/>
      <c r="D1" s="560"/>
      <c r="E1" s="560"/>
      <c r="F1" s="560"/>
      <c r="G1" s="560"/>
      <c r="H1" s="560"/>
      <c r="I1" s="561"/>
      <c r="J1" s="357"/>
      <c r="K1" s="559" t="s">
        <v>440</v>
      </c>
      <c r="L1" s="560"/>
      <c r="M1" s="560"/>
      <c r="N1" s="560"/>
      <c r="O1" s="560"/>
      <c r="P1" s="560"/>
      <c r="Q1" s="560"/>
      <c r="R1" s="560"/>
      <c r="S1" s="561"/>
      <c r="T1" s="357"/>
      <c r="U1" s="559" t="s">
        <v>441</v>
      </c>
      <c r="V1" s="560"/>
      <c r="W1" s="560"/>
      <c r="X1" s="560"/>
      <c r="Y1" s="560"/>
      <c r="Z1" s="560"/>
      <c r="AA1" s="560"/>
      <c r="AB1" s="560"/>
      <c r="AC1" s="561"/>
      <c r="AD1" s="357"/>
      <c r="AE1" s="559" t="s">
        <v>442</v>
      </c>
      <c r="AF1" s="560"/>
      <c r="AG1" s="560"/>
      <c r="AH1" s="560"/>
      <c r="AI1" s="560"/>
      <c r="AJ1" s="560"/>
      <c r="AK1" s="560"/>
      <c r="AL1" s="560"/>
      <c r="AM1" s="561"/>
      <c r="AN1" s="357"/>
      <c r="AO1" s="559" t="s">
        <v>443</v>
      </c>
      <c r="AP1" s="560"/>
      <c r="AQ1" s="560"/>
      <c r="AR1" s="560"/>
      <c r="AS1" s="560"/>
      <c r="AT1" s="560"/>
      <c r="AU1" s="560"/>
      <c r="AV1" s="560"/>
      <c r="AW1" s="561"/>
    </row>
    <row r="2" spans="1:49" x14ac:dyDescent="0.3">
      <c r="A2" s="543" t="s">
        <v>23</v>
      </c>
      <c r="B2" s="544"/>
      <c r="C2" s="544"/>
      <c r="D2" s="544"/>
      <c r="E2" s="544"/>
      <c r="F2" s="544"/>
      <c r="G2" s="544"/>
      <c r="H2" s="544"/>
      <c r="I2" s="545"/>
      <c r="J2" s="20"/>
      <c r="K2" s="543" t="s">
        <v>23</v>
      </c>
      <c r="L2" s="544"/>
      <c r="M2" s="544"/>
      <c r="N2" s="544"/>
      <c r="O2" s="544"/>
      <c r="P2" s="544"/>
      <c r="Q2" s="544"/>
      <c r="R2" s="544"/>
      <c r="S2" s="545"/>
      <c r="T2" s="20"/>
      <c r="U2" s="543" t="s">
        <v>23</v>
      </c>
      <c r="V2" s="544"/>
      <c r="W2" s="544"/>
      <c r="X2" s="544"/>
      <c r="Y2" s="544"/>
      <c r="Z2" s="544"/>
      <c r="AA2" s="544"/>
      <c r="AB2" s="544"/>
      <c r="AC2" s="545"/>
      <c r="AD2" s="20"/>
      <c r="AE2" s="543" t="s">
        <v>23</v>
      </c>
      <c r="AF2" s="544"/>
      <c r="AG2" s="544"/>
      <c r="AH2" s="544"/>
      <c r="AI2" s="544"/>
      <c r="AJ2" s="544"/>
      <c r="AK2" s="544"/>
      <c r="AL2" s="544"/>
      <c r="AM2" s="545"/>
      <c r="AN2" s="20"/>
      <c r="AO2" s="543" t="s">
        <v>23</v>
      </c>
      <c r="AP2" s="544"/>
      <c r="AQ2" s="544"/>
      <c r="AR2" s="544"/>
      <c r="AS2" s="544"/>
      <c r="AT2" s="544"/>
      <c r="AU2" s="544"/>
      <c r="AV2" s="544"/>
      <c r="AW2" s="545"/>
    </row>
    <row r="3" spans="1:49" x14ac:dyDescent="0.3">
      <c r="A3" s="279"/>
      <c r="B3" s="227"/>
      <c r="C3" s="245"/>
      <c r="D3" s="20"/>
      <c r="E3" s="20"/>
      <c r="F3" s="20"/>
      <c r="G3" s="20"/>
      <c r="H3" s="20"/>
      <c r="I3" s="225"/>
      <c r="J3" s="20"/>
      <c r="K3" s="279"/>
      <c r="L3" s="227"/>
      <c r="M3" s="409"/>
      <c r="N3" s="20"/>
      <c r="O3" s="20"/>
      <c r="P3" s="20"/>
      <c r="Q3" s="20"/>
      <c r="R3" s="20"/>
      <c r="S3" s="225"/>
      <c r="T3" s="20"/>
      <c r="U3" s="279"/>
      <c r="V3" s="20"/>
      <c r="W3" s="20"/>
      <c r="X3" s="20"/>
      <c r="Y3" s="20"/>
      <c r="Z3" s="20"/>
      <c r="AA3" s="20"/>
      <c r="AB3" s="20"/>
      <c r="AC3" s="225"/>
      <c r="AD3" s="20"/>
      <c r="AE3" s="279"/>
      <c r="AF3" s="20"/>
      <c r="AG3" s="20"/>
      <c r="AH3" s="20"/>
      <c r="AI3" s="20"/>
      <c r="AJ3" s="20"/>
      <c r="AK3" s="20"/>
      <c r="AL3" s="20"/>
      <c r="AM3" s="225"/>
      <c r="AN3" s="20"/>
      <c r="AO3" s="279"/>
      <c r="AP3" s="20"/>
      <c r="AQ3" s="20"/>
      <c r="AR3" s="20"/>
      <c r="AS3" s="20"/>
      <c r="AT3" s="20"/>
      <c r="AU3" s="20"/>
      <c r="AV3" s="20"/>
      <c r="AW3" s="225"/>
    </row>
    <row r="4" spans="1:49" x14ac:dyDescent="0.3">
      <c r="A4" s="226" t="s">
        <v>24</v>
      </c>
      <c r="B4" s="250">
        <v>276</v>
      </c>
      <c r="C4" s="245" t="s">
        <v>25</v>
      </c>
      <c r="D4" s="228" t="s">
        <v>29</v>
      </c>
      <c r="E4" s="382">
        <v>0.85</v>
      </c>
      <c r="F4" s="20"/>
      <c r="G4" s="409" t="s">
        <v>26</v>
      </c>
      <c r="H4" s="227" t="s">
        <v>27</v>
      </c>
      <c r="I4" s="225"/>
      <c r="J4" s="20"/>
      <c r="K4" s="226" t="s">
        <v>24</v>
      </c>
      <c r="L4" s="381">
        <v>276</v>
      </c>
      <c r="M4" s="227" t="s">
        <v>25</v>
      </c>
      <c r="N4" s="228" t="s">
        <v>29</v>
      </c>
      <c r="O4" s="250">
        <v>0.85</v>
      </c>
      <c r="P4" s="20"/>
      <c r="Q4" s="409" t="s">
        <v>26</v>
      </c>
      <c r="R4" s="227" t="s">
        <v>27</v>
      </c>
      <c r="S4" s="225"/>
      <c r="T4" s="20"/>
      <c r="U4" s="226" t="s">
        <v>24</v>
      </c>
      <c r="V4" s="250">
        <v>276</v>
      </c>
      <c r="W4" s="227" t="s">
        <v>25</v>
      </c>
      <c r="X4" s="228" t="s">
        <v>29</v>
      </c>
      <c r="Y4" s="250">
        <v>0.85</v>
      </c>
      <c r="Z4" s="20"/>
      <c r="AA4" s="409" t="s">
        <v>26</v>
      </c>
      <c r="AB4" s="20" t="s">
        <v>27</v>
      </c>
      <c r="AC4" s="225"/>
      <c r="AD4" s="20"/>
      <c r="AE4" s="226" t="s">
        <v>24</v>
      </c>
      <c r="AF4" s="250">
        <v>276</v>
      </c>
      <c r="AG4" s="227" t="s">
        <v>25</v>
      </c>
      <c r="AH4" s="228" t="s">
        <v>29</v>
      </c>
      <c r="AI4" s="250">
        <v>0.85</v>
      </c>
      <c r="AJ4" s="20"/>
      <c r="AK4" s="409" t="s">
        <v>26</v>
      </c>
      <c r="AL4" s="227" t="s">
        <v>27</v>
      </c>
      <c r="AM4" s="225"/>
      <c r="AN4" s="20"/>
      <c r="AO4" s="226" t="s">
        <v>24</v>
      </c>
      <c r="AP4" s="250">
        <v>276</v>
      </c>
      <c r="AQ4" s="227" t="s">
        <v>25</v>
      </c>
      <c r="AR4" s="228" t="s">
        <v>29</v>
      </c>
      <c r="AS4" s="250">
        <v>0.85</v>
      </c>
      <c r="AT4" s="20"/>
      <c r="AU4" s="409" t="s">
        <v>26</v>
      </c>
      <c r="AV4" s="227" t="s">
        <v>27</v>
      </c>
      <c r="AW4" s="225"/>
    </row>
    <row r="5" spans="1:49" x14ac:dyDescent="0.3">
      <c r="A5" s="226" t="s">
        <v>28</v>
      </c>
      <c r="B5" s="250">
        <v>20.7</v>
      </c>
      <c r="C5" s="245" t="s">
        <v>25</v>
      </c>
      <c r="D5" s="228" t="s">
        <v>444</v>
      </c>
      <c r="E5" s="382">
        <f>E16</f>
        <v>39.498840000000001</v>
      </c>
      <c r="F5" s="227" t="s">
        <v>445</v>
      </c>
      <c r="G5" s="20"/>
      <c r="H5" s="227" t="s">
        <v>446</v>
      </c>
      <c r="I5" s="225"/>
      <c r="J5" s="20"/>
      <c r="K5" s="226" t="s">
        <v>28</v>
      </c>
      <c r="L5" s="381">
        <v>20.7</v>
      </c>
      <c r="M5" s="227" t="s">
        <v>25</v>
      </c>
      <c r="N5" s="228" t="s">
        <v>444</v>
      </c>
      <c r="O5" s="250">
        <f>O16</f>
        <v>33.233159999999998</v>
      </c>
      <c r="P5" s="227" t="s">
        <v>445</v>
      </c>
      <c r="Q5" s="20"/>
      <c r="R5" s="227" t="s">
        <v>446</v>
      </c>
      <c r="S5" s="225"/>
      <c r="T5" s="20"/>
      <c r="U5" s="226" t="s">
        <v>28</v>
      </c>
      <c r="V5" s="250">
        <v>20.7</v>
      </c>
      <c r="W5" s="227" t="s">
        <v>25</v>
      </c>
      <c r="X5" s="228" t="s">
        <v>444</v>
      </c>
      <c r="Y5" s="250">
        <f>Y16</f>
        <v>35.14284</v>
      </c>
      <c r="Z5" s="227" t="s">
        <v>445</v>
      </c>
      <c r="AA5" s="20"/>
      <c r="AB5" s="20" t="s">
        <v>446</v>
      </c>
      <c r="AC5" s="225"/>
      <c r="AD5" s="20"/>
      <c r="AE5" s="226" t="s">
        <v>28</v>
      </c>
      <c r="AF5" s="250">
        <v>20.7</v>
      </c>
      <c r="AG5" s="227" t="s">
        <v>25</v>
      </c>
      <c r="AH5" s="228" t="s">
        <v>444</v>
      </c>
      <c r="AI5" s="250">
        <f>AI16</f>
        <v>31.727920000000001</v>
      </c>
      <c r="AJ5" s="227" t="s">
        <v>445</v>
      </c>
      <c r="AK5" s="20"/>
      <c r="AL5" s="227" t="s">
        <v>446</v>
      </c>
      <c r="AM5" s="225"/>
      <c r="AN5" s="20"/>
      <c r="AO5" s="226" t="s">
        <v>28</v>
      </c>
      <c r="AP5" s="250">
        <v>20.7</v>
      </c>
      <c r="AQ5" s="227" t="s">
        <v>25</v>
      </c>
      <c r="AR5" s="228" t="s">
        <v>444</v>
      </c>
      <c r="AS5" s="250">
        <f>AS16</f>
        <v>26.02458</v>
      </c>
      <c r="AT5" s="227" t="s">
        <v>445</v>
      </c>
      <c r="AU5" s="20"/>
      <c r="AV5" s="227" t="s">
        <v>446</v>
      </c>
      <c r="AW5" s="225"/>
    </row>
    <row r="6" spans="1:49" x14ac:dyDescent="0.3">
      <c r="A6" s="235"/>
      <c r="B6" s="227"/>
      <c r="C6" s="245"/>
      <c r="D6" s="20"/>
      <c r="E6" s="20"/>
      <c r="F6" s="20"/>
      <c r="G6" s="20"/>
      <c r="H6" s="20"/>
      <c r="I6" s="225"/>
      <c r="J6" s="20"/>
      <c r="K6" s="280"/>
      <c r="L6" s="227"/>
      <c r="M6" s="409"/>
      <c r="N6" s="20"/>
      <c r="O6" s="20"/>
      <c r="P6" s="20"/>
      <c r="Q6" s="20"/>
      <c r="R6" s="20"/>
      <c r="S6" s="225"/>
      <c r="T6" s="20"/>
      <c r="U6" s="280"/>
      <c r="V6" s="20"/>
      <c r="W6" s="20"/>
      <c r="X6" s="20"/>
      <c r="Y6" s="20"/>
      <c r="Z6" s="20"/>
      <c r="AA6" s="20"/>
      <c r="AB6" s="20"/>
      <c r="AC6" s="225"/>
      <c r="AD6" s="20"/>
      <c r="AE6" s="280"/>
      <c r="AF6" s="20"/>
      <c r="AG6" s="20"/>
      <c r="AH6" s="20"/>
      <c r="AI6" s="20"/>
      <c r="AJ6" s="20"/>
      <c r="AK6" s="20"/>
      <c r="AL6" s="20"/>
      <c r="AM6" s="225"/>
      <c r="AN6" s="20"/>
      <c r="AO6" s="280"/>
      <c r="AP6" s="20"/>
      <c r="AQ6" s="20"/>
      <c r="AR6" s="20"/>
      <c r="AS6" s="20"/>
      <c r="AT6" s="20"/>
      <c r="AU6" s="20"/>
      <c r="AV6" s="20"/>
      <c r="AW6" s="225"/>
    </row>
    <row r="7" spans="1:49" x14ac:dyDescent="0.3">
      <c r="A7" s="280"/>
      <c r="B7" s="542" t="s">
        <v>447</v>
      </c>
      <c r="C7" s="542"/>
      <c r="D7" s="542"/>
      <c r="E7" s="41"/>
      <c r="G7" s="45"/>
      <c r="I7" s="225"/>
      <c r="J7" s="20"/>
      <c r="K7" s="280"/>
      <c r="L7" s="542" t="s">
        <v>447</v>
      </c>
      <c r="M7" s="542"/>
      <c r="N7" s="542"/>
      <c r="O7" s="417"/>
      <c r="Q7" s="417"/>
      <c r="S7" s="225"/>
      <c r="T7" s="20"/>
      <c r="U7" s="280"/>
      <c r="V7" s="542" t="s">
        <v>447</v>
      </c>
      <c r="W7" s="542"/>
      <c r="X7" s="542"/>
      <c r="Y7" s="417"/>
      <c r="AA7" s="417"/>
      <c r="AC7" s="225"/>
      <c r="AD7" s="20"/>
      <c r="AE7" s="280"/>
      <c r="AF7" s="542" t="s">
        <v>447</v>
      </c>
      <c r="AG7" s="542"/>
      <c r="AH7" s="542"/>
      <c r="AI7" s="417"/>
      <c r="AK7" s="417"/>
      <c r="AM7" s="225"/>
      <c r="AN7" s="20"/>
      <c r="AO7" s="280"/>
      <c r="AP7" s="542" t="s">
        <v>447</v>
      </c>
      <c r="AQ7" s="542"/>
      <c r="AR7" s="542"/>
      <c r="AS7" s="417"/>
      <c r="AU7" s="417"/>
      <c r="AW7" s="225"/>
    </row>
    <row r="8" spans="1:49" x14ac:dyDescent="0.3">
      <c r="A8" s="280"/>
      <c r="D8" s="40"/>
      <c r="E8" s="41" t="s">
        <v>448</v>
      </c>
      <c r="F8" s="40" t="s">
        <v>449</v>
      </c>
      <c r="G8" s="45" t="s">
        <v>450</v>
      </c>
      <c r="I8" s="225"/>
      <c r="J8" s="20"/>
      <c r="K8" s="280"/>
      <c r="N8" s="40"/>
      <c r="O8" s="41" t="s">
        <v>448</v>
      </c>
      <c r="P8" s="40" t="s">
        <v>449</v>
      </c>
      <c r="Q8" s="41" t="s">
        <v>450</v>
      </c>
      <c r="S8" s="225"/>
      <c r="T8" s="20"/>
      <c r="U8" s="280"/>
      <c r="V8" s="40"/>
      <c r="W8" s="40"/>
      <c r="X8" s="40"/>
      <c r="Y8" s="41" t="s">
        <v>448</v>
      </c>
      <c r="Z8" s="40" t="s">
        <v>449</v>
      </c>
      <c r="AA8" s="41" t="s">
        <v>450</v>
      </c>
      <c r="AC8" s="225"/>
      <c r="AD8" s="20"/>
      <c r="AE8" s="280"/>
      <c r="AF8" s="40"/>
      <c r="AG8" s="40"/>
      <c r="AH8" s="40"/>
      <c r="AI8" s="41" t="s">
        <v>448</v>
      </c>
      <c r="AJ8" s="40" t="s">
        <v>449</v>
      </c>
      <c r="AK8" s="41" t="s">
        <v>450</v>
      </c>
      <c r="AM8" s="225"/>
      <c r="AN8" s="20"/>
      <c r="AO8" s="280"/>
      <c r="AP8" s="40"/>
      <c r="AQ8" s="40"/>
      <c r="AR8" s="40"/>
      <c r="AS8" s="41" t="s">
        <v>448</v>
      </c>
      <c r="AT8" s="40" t="s">
        <v>449</v>
      </c>
      <c r="AU8" s="41" t="s">
        <v>450</v>
      </c>
      <c r="AW8" s="225"/>
    </row>
    <row r="9" spans="1:49" x14ac:dyDescent="0.3">
      <c r="A9" s="280"/>
      <c r="D9" s="42" t="s">
        <v>361</v>
      </c>
      <c r="E9" s="110">
        <f>ABS('JM GRASP SUMMARY'!B6)</f>
        <v>8.2542000000000009</v>
      </c>
      <c r="F9" s="239">
        <f>ABS('JM GRASP SUMMARY'!D6)</f>
        <v>2.0657999999999999</v>
      </c>
      <c r="G9" s="240">
        <f>[1]PORTAL!H15</f>
        <v>27.528000000000002</v>
      </c>
      <c r="I9" s="225"/>
      <c r="J9" s="20"/>
      <c r="K9" s="280"/>
      <c r="N9" s="42" t="s">
        <v>361</v>
      </c>
      <c r="O9" s="110">
        <f>ABS('JM GRASP SUMMARY'!B13)</f>
        <v>6.6627999999999998</v>
      </c>
      <c r="P9" s="239">
        <f>ABS('JM GRASP SUMMARY'!D6)</f>
        <v>2.0657999999999999</v>
      </c>
      <c r="Q9" s="110">
        <f>[1]PORTAL!H45</f>
        <v>23.172000000000001</v>
      </c>
      <c r="S9" s="225"/>
      <c r="T9" s="20"/>
      <c r="U9" s="280"/>
      <c r="V9" s="40"/>
      <c r="X9" s="42" t="s">
        <v>361</v>
      </c>
      <c r="Y9" s="110">
        <f>ABS('JM GRASP SUMMARY'!B6)</f>
        <v>8.2542000000000009</v>
      </c>
      <c r="Z9" s="239">
        <f>ABS('JM GRASP SUMMARY'!D6)</f>
        <v>2.0657999999999999</v>
      </c>
      <c r="AA9" s="110">
        <f>[1]PORTAL!H45</f>
        <v>23.172000000000001</v>
      </c>
      <c r="AC9" s="225"/>
      <c r="AD9" s="20"/>
      <c r="AE9" s="280"/>
      <c r="AF9" s="40"/>
      <c r="AH9" s="42" t="s">
        <v>361</v>
      </c>
      <c r="AI9" s="110">
        <f>ABS('JM GRASP SUMMARY'!B19)</f>
        <v>8.1911000000000005</v>
      </c>
      <c r="AJ9" s="239">
        <f>ABS('JM GRASP SUMMARY'!D18)</f>
        <v>3.5341</v>
      </c>
      <c r="AK9" s="110">
        <f>[1]PORTAL!H82</f>
        <v>18.3645</v>
      </c>
      <c r="AM9" s="225"/>
      <c r="AN9" s="20"/>
      <c r="AO9" s="280"/>
      <c r="AP9" s="40"/>
      <c r="AR9" s="42" t="s">
        <v>361</v>
      </c>
      <c r="AS9" s="110">
        <f>ABS('JM GRASP SUMMARY'!B20)</f>
        <v>4.9889000000000001</v>
      </c>
      <c r="AT9" s="239">
        <f>ABS('JM GRASP SUMMARY'!D20)</f>
        <v>1.6734</v>
      </c>
      <c r="AU9" s="110">
        <f>[1]PORTAL!H82</f>
        <v>18.3645</v>
      </c>
      <c r="AW9" s="225"/>
    </row>
    <row r="10" spans="1:49" x14ac:dyDescent="0.3">
      <c r="A10" s="280"/>
      <c r="D10" s="42" t="s">
        <v>362</v>
      </c>
      <c r="E10" s="110">
        <f>'JM GRASP SUMMARY'!C6</f>
        <v>5.23</v>
      </c>
      <c r="F10" s="239">
        <f>'JM GRASP SUMMARY'!E6</f>
        <v>1.4269000000000001</v>
      </c>
      <c r="G10" s="240">
        <f>[1]PORTAL!J15/2</f>
        <v>13.764000000000001</v>
      </c>
      <c r="I10" s="225"/>
      <c r="J10" s="20"/>
      <c r="K10" s="280"/>
      <c r="N10" s="42" t="s">
        <v>362</v>
      </c>
      <c r="O10" s="110">
        <f>'JM GRASP SUMMARY'!C13</f>
        <v>3.8363999999999998</v>
      </c>
      <c r="P10" s="239">
        <f>'JM GRASP SUMMARY'!E7</f>
        <v>1.43</v>
      </c>
      <c r="Q10" s="110">
        <f>[1]PORTAL!J45/2</f>
        <v>11.586</v>
      </c>
      <c r="S10" s="225"/>
      <c r="T10" s="20"/>
      <c r="U10" s="280"/>
      <c r="V10" s="40"/>
      <c r="X10" s="42" t="s">
        <v>362</v>
      </c>
      <c r="Y10" s="110">
        <f>'JM GRASP SUMMARY'!C6</f>
        <v>5.23</v>
      </c>
      <c r="Z10" s="239">
        <f>'JM GRASP SUMMARY'!E7</f>
        <v>1.43</v>
      </c>
      <c r="AA10" s="110">
        <f>[1]PORTAL!J45/2</f>
        <v>11.586</v>
      </c>
      <c r="AC10" s="225"/>
      <c r="AD10" s="20"/>
      <c r="AE10" s="280"/>
      <c r="AF10" s="40"/>
      <c r="AH10" s="42" t="s">
        <v>362</v>
      </c>
      <c r="AI10" s="110">
        <f>ABS('JM GRASP SUMMARY'!C19)</f>
        <v>4.7831999999999999</v>
      </c>
      <c r="AJ10" s="239">
        <f>ABS('JM GRASP SUMMARY'!E19)</f>
        <v>2.5072000000000001</v>
      </c>
      <c r="AK10" s="110">
        <f>[1]PORTAL!J82/2</f>
        <v>9.1822499999999998</v>
      </c>
      <c r="AM10" s="225"/>
      <c r="AN10" s="20"/>
      <c r="AO10" s="280"/>
      <c r="AP10" s="40"/>
      <c r="AR10" s="42" t="s">
        <v>362</v>
      </c>
      <c r="AS10" s="110">
        <f>'JM GRASP SUMMARY'!C8</f>
        <v>2.7726000000000002</v>
      </c>
      <c r="AT10" s="239">
        <f>'JM GRASP SUMMARY'!E8</f>
        <v>1.3363</v>
      </c>
      <c r="AU10" s="110">
        <f>[1]PORTAL!M82/2</f>
        <v>9.1822499999999998</v>
      </c>
      <c r="AW10" s="225"/>
    </row>
    <row r="11" spans="1:49" x14ac:dyDescent="0.3">
      <c r="A11" s="280"/>
      <c r="D11" s="40"/>
      <c r="E11" s="229" t="s">
        <v>361</v>
      </c>
      <c r="F11" s="39"/>
      <c r="G11" s="229" t="s">
        <v>362</v>
      </c>
      <c r="I11" s="225"/>
      <c r="J11" s="20"/>
      <c r="K11" s="280"/>
      <c r="N11" s="40"/>
      <c r="O11" s="229" t="s">
        <v>361</v>
      </c>
      <c r="P11" s="418"/>
      <c r="Q11" s="229" t="s">
        <v>362</v>
      </c>
      <c r="S11" s="225"/>
      <c r="T11" s="20"/>
      <c r="U11" s="280"/>
      <c r="V11" s="40"/>
      <c r="X11" s="40"/>
      <c r="Y11" s="229" t="s">
        <v>361</v>
      </c>
      <c r="Z11" s="418"/>
      <c r="AA11" s="229" t="s">
        <v>362</v>
      </c>
      <c r="AC11" s="225"/>
      <c r="AD11" s="20"/>
      <c r="AE11" s="280"/>
      <c r="AF11" s="40"/>
      <c r="AH11" s="40"/>
      <c r="AI11" s="229" t="s">
        <v>361</v>
      </c>
      <c r="AJ11" s="418"/>
      <c r="AK11" s="229" t="s">
        <v>362</v>
      </c>
      <c r="AM11" s="225"/>
      <c r="AN11" s="20"/>
      <c r="AO11" s="280"/>
      <c r="AP11" s="40"/>
      <c r="AR11" s="40"/>
      <c r="AS11" s="229" t="s">
        <v>361</v>
      </c>
      <c r="AT11" s="418"/>
      <c r="AU11" s="229" t="s">
        <v>362</v>
      </c>
      <c r="AW11" s="225"/>
    </row>
    <row r="12" spans="1:49" x14ac:dyDescent="0.3">
      <c r="A12" s="280"/>
      <c r="C12" s="553" t="s">
        <v>451</v>
      </c>
      <c r="D12" s="553"/>
      <c r="E12" s="41">
        <f>1.4*E9</f>
        <v>11.55588</v>
      </c>
      <c r="F12" t="s">
        <v>452</v>
      </c>
      <c r="G12" s="45">
        <f>1.4*E10</f>
        <v>7.3220000000000001</v>
      </c>
      <c r="H12" t="s">
        <v>452</v>
      </c>
      <c r="I12" s="225"/>
      <c r="J12" s="20"/>
      <c r="K12" s="280"/>
      <c r="M12" s="553" t="s">
        <v>451</v>
      </c>
      <c r="N12" s="553"/>
      <c r="O12" s="41">
        <f>1.4*O9</f>
        <v>9.3279199999999989</v>
      </c>
      <c r="P12" t="s">
        <v>452</v>
      </c>
      <c r="Q12" s="41">
        <f>1.4*O10</f>
        <v>5.3709599999999993</v>
      </c>
      <c r="R12" t="s">
        <v>452</v>
      </c>
      <c r="S12" s="225"/>
      <c r="T12" s="20"/>
      <c r="U12" s="280"/>
      <c r="W12" s="553" t="s">
        <v>451</v>
      </c>
      <c r="X12" s="553"/>
      <c r="Y12" s="41">
        <f>1.4*Y9</f>
        <v>11.55588</v>
      </c>
      <c r="Z12" t="s">
        <v>452</v>
      </c>
      <c r="AA12" s="45">
        <f>1.4*Y10</f>
        <v>7.3220000000000001</v>
      </c>
      <c r="AB12" t="s">
        <v>452</v>
      </c>
      <c r="AC12" s="225"/>
      <c r="AD12" s="20"/>
      <c r="AE12" s="280"/>
      <c r="AG12" s="553" t="s">
        <v>451</v>
      </c>
      <c r="AH12" s="553"/>
      <c r="AI12" s="41">
        <f>1.4*AI9</f>
        <v>11.46754</v>
      </c>
      <c r="AJ12" t="s">
        <v>452</v>
      </c>
      <c r="AK12" s="45">
        <f>1.4*AI10</f>
        <v>6.6964799999999993</v>
      </c>
      <c r="AL12" t="s">
        <v>452</v>
      </c>
      <c r="AM12" s="225"/>
      <c r="AN12" s="20"/>
      <c r="AO12" s="280"/>
      <c r="AQ12" s="553" t="s">
        <v>451</v>
      </c>
      <c r="AR12" s="553"/>
      <c r="AS12" s="41">
        <f>1.4*AS9</f>
        <v>6.9844599999999994</v>
      </c>
      <c r="AT12" t="s">
        <v>452</v>
      </c>
      <c r="AU12" s="45">
        <f>1.4*AS10</f>
        <v>3.88164</v>
      </c>
      <c r="AV12" t="s">
        <v>452</v>
      </c>
      <c r="AW12" s="225"/>
    </row>
    <row r="13" spans="1:49" x14ac:dyDescent="0.3">
      <c r="A13" s="280"/>
      <c r="C13" s="552" t="s">
        <v>453</v>
      </c>
      <c r="D13" s="552"/>
      <c r="E13" s="41">
        <f>1.2*E9 + 1.6*F9</f>
        <v>13.210320000000001</v>
      </c>
      <c r="F13" t="s">
        <v>452</v>
      </c>
      <c r="G13" s="45">
        <f>1.2*E10+1.6*F10</f>
        <v>8.5590400000000013</v>
      </c>
      <c r="H13" t="s">
        <v>452</v>
      </c>
      <c r="I13" s="225"/>
      <c r="J13" s="20"/>
      <c r="K13" s="280"/>
      <c r="M13" s="552" t="s">
        <v>453</v>
      </c>
      <c r="N13" s="552"/>
      <c r="O13" s="41">
        <f>1.2*O9 + 1.6*P9</f>
        <v>11.30064</v>
      </c>
      <c r="P13" t="s">
        <v>452</v>
      </c>
      <c r="Q13" s="41">
        <f>1.2*O10+1.6*P10</f>
        <v>6.8916799999999991</v>
      </c>
      <c r="R13" t="s">
        <v>452</v>
      </c>
      <c r="S13" s="225"/>
      <c r="T13" s="20"/>
      <c r="U13" s="280"/>
      <c r="W13" s="552" t="s">
        <v>453</v>
      </c>
      <c r="X13" s="552"/>
      <c r="Y13" s="41">
        <f>1.2*Y9 + 1.6*Z9</f>
        <v>13.210320000000001</v>
      </c>
      <c r="Z13" t="s">
        <v>452</v>
      </c>
      <c r="AA13" s="45">
        <f>1.2*Y10+1.6*Z10</f>
        <v>8.5640000000000001</v>
      </c>
      <c r="AB13" t="s">
        <v>452</v>
      </c>
      <c r="AC13" s="225"/>
      <c r="AD13" s="20"/>
      <c r="AE13" s="280"/>
      <c r="AG13" s="552" t="s">
        <v>453</v>
      </c>
      <c r="AH13" s="552"/>
      <c r="AI13" s="41">
        <f>1.2*AI9 + 1.6*AJ9</f>
        <v>15.483880000000001</v>
      </c>
      <c r="AJ13" t="s">
        <v>452</v>
      </c>
      <c r="AK13" s="45">
        <f>1.2*AI10+1.6*AJ10</f>
        <v>9.75136</v>
      </c>
      <c r="AL13" t="s">
        <v>452</v>
      </c>
      <c r="AM13" s="225"/>
      <c r="AN13" s="20"/>
      <c r="AO13" s="280"/>
      <c r="AQ13" s="552" t="s">
        <v>453</v>
      </c>
      <c r="AR13" s="552"/>
      <c r="AS13" s="41">
        <f>1.2*AS9 + 1.6*AT9</f>
        <v>8.6641200000000005</v>
      </c>
      <c r="AT13" t="s">
        <v>452</v>
      </c>
      <c r="AU13" s="45">
        <f>1.2*AS10+1.6*AT10</f>
        <v>5.4652000000000003</v>
      </c>
      <c r="AV13" t="s">
        <v>452</v>
      </c>
      <c r="AW13" s="225"/>
    </row>
    <row r="14" spans="1:49" x14ac:dyDescent="0.3">
      <c r="A14" s="280"/>
      <c r="C14" s="552" t="s">
        <v>586</v>
      </c>
      <c r="D14" s="552"/>
      <c r="E14" s="41">
        <f>1.2*E9+F9+G9</f>
        <v>39.498840000000001</v>
      </c>
      <c r="F14" t="s">
        <v>452</v>
      </c>
      <c r="G14" s="45">
        <f>1.2*E10+F10+1*G10</f>
        <v>21.466900000000003</v>
      </c>
      <c r="H14" t="s">
        <v>452</v>
      </c>
      <c r="I14" s="225"/>
      <c r="J14" s="20"/>
      <c r="K14" s="280"/>
      <c r="M14" s="552" t="s">
        <v>586</v>
      </c>
      <c r="N14" s="552"/>
      <c r="O14" s="41">
        <f>1.2*O9+P9+Q9</f>
        <v>33.233159999999998</v>
      </c>
      <c r="P14" t="s">
        <v>452</v>
      </c>
      <c r="Q14" s="45">
        <f>1.2*O10+P10+1*Q10</f>
        <v>17.619679999999999</v>
      </c>
      <c r="R14" t="s">
        <v>452</v>
      </c>
      <c r="S14" s="225"/>
      <c r="T14" s="20"/>
      <c r="U14" s="280"/>
      <c r="W14" s="552" t="s">
        <v>586</v>
      </c>
      <c r="X14" s="552"/>
      <c r="Y14" s="41">
        <f>1.2*Y9+Z9+AA9</f>
        <v>35.14284</v>
      </c>
      <c r="Z14" t="s">
        <v>452</v>
      </c>
      <c r="AA14" s="45">
        <f>1.2*Y10+Z10+1*AA10</f>
        <v>19.292000000000002</v>
      </c>
      <c r="AB14" t="s">
        <v>452</v>
      </c>
      <c r="AC14" s="225"/>
      <c r="AD14" s="20"/>
      <c r="AE14" s="280"/>
      <c r="AG14" s="552" t="s">
        <v>586</v>
      </c>
      <c r="AH14" s="552"/>
      <c r="AI14" s="41">
        <f>1.2*AI9+AJ9+AK9</f>
        <v>31.727920000000001</v>
      </c>
      <c r="AJ14" t="s">
        <v>452</v>
      </c>
      <c r="AK14" s="45">
        <f>1.2*AI10+AJ10+1*AK10</f>
        <v>17.429290000000002</v>
      </c>
      <c r="AL14" t="s">
        <v>452</v>
      </c>
      <c r="AM14" s="225"/>
      <c r="AN14" s="20"/>
      <c r="AO14" s="280"/>
      <c r="AQ14" s="552" t="s">
        <v>586</v>
      </c>
      <c r="AR14" s="552"/>
      <c r="AS14" s="41">
        <f>1.2*AS9+AT9+AU9</f>
        <v>26.02458</v>
      </c>
      <c r="AT14" t="s">
        <v>452</v>
      </c>
      <c r="AU14" s="45">
        <f>1.2*AS10+AT10+1*AU10</f>
        <v>13.84567</v>
      </c>
      <c r="AV14" t="s">
        <v>452</v>
      </c>
      <c r="AW14" s="225"/>
    </row>
    <row r="15" spans="1:49" x14ac:dyDescent="0.3">
      <c r="A15" s="280"/>
      <c r="C15" s="552" t="s">
        <v>454</v>
      </c>
      <c r="D15" s="552"/>
      <c r="E15" s="41">
        <f>0.9*E9+G9</f>
        <v>34.956780000000002</v>
      </c>
      <c r="F15" t="s">
        <v>452</v>
      </c>
      <c r="G15" s="45">
        <f>0.9*E10+G10</f>
        <v>18.471000000000004</v>
      </c>
      <c r="H15" t="s">
        <v>452</v>
      </c>
      <c r="I15" s="225"/>
      <c r="J15" s="20"/>
      <c r="K15" s="280"/>
      <c r="M15" s="552" t="s">
        <v>454</v>
      </c>
      <c r="N15" s="552"/>
      <c r="O15" s="41">
        <f>0.9*O9+Q9</f>
        <v>29.168520000000001</v>
      </c>
      <c r="P15" t="s">
        <v>452</v>
      </c>
      <c r="Q15" s="41">
        <f>0.9*O10+Q10</f>
        <v>15.03876</v>
      </c>
      <c r="R15" t="s">
        <v>452</v>
      </c>
      <c r="S15" s="225"/>
      <c r="T15" s="20"/>
      <c r="U15" s="280"/>
      <c r="W15" s="552" t="s">
        <v>454</v>
      </c>
      <c r="X15" s="552"/>
      <c r="Y15" s="41">
        <f>0.9*Y9+AA9</f>
        <v>30.60078</v>
      </c>
      <c r="Z15" t="s">
        <v>452</v>
      </c>
      <c r="AA15" s="45">
        <f>0.9*Y10+AA10</f>
        <v>16.292999999999999</v>
      </c>
      <c r="AB15" t="s">
        <v>452</v>
      </c>
      <c r="AC15" s="225"/>
      <c r="AD15" s="20"/>
      <c r="AE15" s="280"/>
      <c r="AG15" s="552" t="s">
        <v>454</v>
      </c>
      <c r="AH15" s="552"/>
      <c r="AI15" s="41">
        <f>0.9*AI9+AK9</f>
        <v>25.73649</v>
      </c>
      <c r="AJ15" t="s">
        <v>452</v>
      </c>
      <c r="AK15" s="45">
        <f>0.9*AI10+AK10</f>
        <v>13.487130000000001</v>
      </c>
      <c r="AL15" t="s">
        <v>452</v>
      </c>
      <c r="AM15" s="225"/>
      <c r="AN15" s="20"/>
      <c r="AO15" s="280"/>
      <c r="AQ15" s="552" t="s">
        <v>454</v>
      </c>
      <c r="AR15" s="552"/>
      <c r="AS15" s="41">
        <f>0.9*AS9+AU9</f>
        <v>22.854509999999998</v>
      </c>
      <c r="AT15" t="s">
        <v>452</v>
      </c>
      <c r="AU15" s="45">
        <f>0.9*AS10+AU10</f>
        <v>11.67759</v>
      </c>
      <c r="AV15" t="s">
        <v>452</v>
      </c>
      <c r="AW15" s="225"/>
    </row>
    <row r="16" spans="1:49" x14ac:dyDescent="0.3">
      <c r="A16" s="280"/>
      <c r="B16" s="227"/>
      <c r="C16" s="285" t="s">
        <v>455</v>
      </c>
      <c r="D16" s="230" t="s">
        <v>456</v>
      </c>
      <c r="E16" s="383">
        <f>MAX(E12:E15)</f>
        <v>39.498840000000001</v>
      </c>
      <c r="F16" s="230" t="s">
        <v>452</v>
      </c>
      <c r="G16" s="231" t="s">
        <v>361</v>
      </c>
      <c r="H16" s="20"/>
      <c r="I16" s="225"/>
      <c r="J16" s="20"/>
      <c r="K16" s="280"/>
      <c r="L16" s="227"/>
      <c r="M16" s="228" t="s">
        <v>455</v>
      </c>
      <c r="N16" s="13" t="s">
        <v>456</v>
      </c>
      <c r="O16" s="384">
        <f>MAX(O12:O15)</f>
        <v>33.233159999999998</v>
      </c>
      <c r="P16" s="13" t="s">
        <v>452</v>
      </c>
      <c r="Q16" s="20" t="s">
        <v>361</v>
      </c>
      <c r="R16" s="20"/>
      <c r="S16" s="225"/>
      <c r="T16" s="20"/>
      <c r="U16" s="280"/>
      <c r="V16" s="20"/>
      <c r="W16" s="13" t="s">
        <v>455</v>
      </c>
      <c r="X16" s="13" t="s">
        <v>456</v>
      </c>
      <c r="Y16" s="384">
        <f>MAX(Y12:Y15)</f>
        <v>35.14284</v>
      </c>
      <c r="Z16" s="13" t="s">
        <v>452</v>
      </c>
      <c r="AA16" s="20" t="s">
        <v>361</v>
      </c>
      <c r="AB16" s="20"/>
      <c r="AC16" s="225"/>
      <c r="AD16" s="20"/>
      <c r="AE16" s="280"/>
      <c r="AF16" s="20"/>
      <c r="AG16" s="13" t="s">
        <v>455</v>
      </c>
      <c r="AH16" s="13" t="s">
        <v>456</v>
      </c>
      <c r="AI16" s="384">
        <f>MAX(AI12:AI15)</f>
        <v>31.727920000000001</v>
      </c>
      <c r="AJ16" s="13" t="s">
        <v>452</v>
      </c>
      <c r="AK16" s="20" t="s">
        <v>361</v>
      </c>
      <c r="AL16" s="20"/>
      <c r="AM16" s="225"/>
      <c r="AN16" s="20"/>
      <c r="AO16" s="280"/>
      <c r="AP16" s="20"/>
      <c r="AQ16" s="13" t="s">
        <v>455</v>
      </c>
      <c r="AR16" s="13" t="s">
        <v>456</v>
      </c>
      <c r="AS16" s="384">
        <f>MAX(AS12:AS15)</f>
        <v>26.02458</v>
      </c>
      <c r="AT16" s="13" t="s">
        <v>452</v>
      </c>
      <c r="AU16" s="20" t="s">
        <v>361</v>
      </c>
      <c r="AV16" s="20"/>
      <c r="AW16" s="225"/>
    </row>
    <row r="17" spans="1:49" x14ac:dyDescent="0.3">
      <c r="A17" s="280"/>
      <c r="B17" s="227"/>
      <c r="C17" s="286"/>
      <c r="D17" s="230" t="s">
        <v>456</v>
      </c>
      <c r="E17" s="383">
        <f>MAX(G12:G15)</f>
        <v>21.466900000000003</v>
      </c>
      <c r="F17" s="230" t="s">
        <v>452</v>
      </c>
      <c r="G17" s="231" t="s">
        <v>362</v>
      </c>
      <c r="H17" s="20"/>
      <c r="I17" s="225"/>
      <c r="J17" s="20"/>
      <c r="K17" s="280"/>
      <c r="L17" s="227"/>
      <c r="M17" s="409"/>
      <c r="N17" s="13" t="s">
        <v>456</v>
      </c>
      <c r="O17" s="384">
        <f>MAX(Q12:Q15)</f>
        <v>17.619679999999999</v>
      </c>
      <c r="P17" s="13" t="s">
        <v>452</v>
      </c>
      <c r="Q17" s="20" t="s">
        <v>362</v>
      </c>
      <c r="R17" s="20"/>
      <c r="S17" s="225"/>
      <c r="T17" s="20"/>
      <c r="U17" s="280"/>
      <c r="V17" s="20"/>
      <c r="W17" s="20"/>
      <c r="X17" s="13" t="s">
        <v>456</v>
      </c>
      <c r="Y17" s="384">
        <f>MAX(AA12:AA15)</f>
        <v>19.292000000000002</v>
      </c>
      <c r="Z17" s="13" t="s">
        <v>452</v>
      </c>
      <c r="AA17" s="20" t="s">
        <v>362</v>
      </c>
      <c r="AB17" s="20"/>
      <c r="AC17" s="225"/>
      <c r="AD17" s="20"/>
      <c r="AE17" s="280"/>
      <c r="AF17" s="20"/>
      <c r="AG17" s="20"/>
      <c r="AH17" s="13" t="s">
        <v>456</v>
      </c>
      <c r="AI17" s="384">
        <f>MAX(AK12:AK15)</f>
        <v>17.429290000000002</v>
      </c>
      <c r="AJ17" s="13" t="s">
        <v>452</v>
      </c>
      <c r="AK17" s="20" t="s">
        <v>362</v>
      </c>
      <c r="AL17" s="20"/>
      <c r="AM17" s="225"/>
      <c r="AN17" s="20"/>
      <c r="AO17" s="280"/>
      <c r="AP17" s="20"/>
      <c r="AQ17" s="20"/>
      <c r="AR17" s="13" t="s">
        <v>456</v>
      </c>
      <c r="AS17" s="384">
        <f>MAX(AU12:AU15)</f>
        <v>13.84567</v>
      </c>
      <c r="AT17" s="13" t="s">
        <v>452</v>
      </c>
      <c r="AU17" s="20" t="s">
        <v>362</v>
      </c>
      <c r="AV17" s="20"/>
      <c r="AW17" s="225"/>
    </row>
    <row r="18" spans="1:49" x14ac:dyDescent="0.3">
      <c r="A18" s="280"/>
      <c r="B18" s="227"/>
      <c r="C18" s="245"/>
      <c r="D18" s="232"/>
      <c r="E18" s="233"/>
      <c r="F18" s="232"/>
      <c r="G18" s="20"/>
      <c r="H18" s="20"/>
      <c r="I18" s="225"/>
      <c r="J18" s="20"/>
      <c r="K18" s="280"/>
      <c r="L18" s="227"/>
      <c r="M18" s="409"/>
      <c r="N18" s="13"/>
      <c r="O18" s="20"/>
      <c r="P18" s="13"/>
      <c r="Q18" s="20"/>
      <c r="R18" s="20"/>
      <c r="S18" s="225"/>
      <c r="T18" s="20"/>
      <c r="U18" s="280"/>
      <c r="V18" s="20"/>
      <c r="W18" s="20"/>
      <c r="X18" s="13"/>
      <c r="Y18" s="20"/>
      <c r="Z18" s="13"/>
      <c r="AA18" s="20"/>
      <c r="AB18" s="20"/>
      <c r="AC18" s="225"/>
      <c r="AD18" s="20"/>
      <c r="AE18" s="280"/>
      <c r="AF18" s="20"/>
      <c r="AG18" s="20"/>
      <c r="AH18" s="13"/>
      <c r="AI18" s="20"/>
      <c r="AJ18" s="13"/>
      <c r="AK18" s="20"/>
      <c r="AL18" s="20"/>
      <c r="AM18" s="225"/>
      <c r="AN18" s="20"/>
      <c r="AO18" s="280"/>
      <c r="AP18" s="20"/>
      <c r="AQ18" s="20"/>
      <c r="AR18" s="13"/>
      <c r="AS18" s="20"/>
      <c r="AT18" s="13"/>
      <c r="AU18" s="20"/>
      <c r="AV18" s="20"/>
      <c r="AW18" s="225"/>
    </row>
    <row r="19" spans="1:49" x14ac:dyDescent="0.3">
      <c r="A19" s="543" t="s">
        <v>457</v>
      </c>
      <c r="B19" s="547"/>
      <c r="C19" s="547"/>
      <c r="D19" s="547"/>
      <c r="E19" s="547"/>
      <c r="F19" s="547"/>
      <c r="G19" s="547"/>
      <c r="H19" s="547"/>
      <c r="I19" s="548"/>
      <c r="J19" s="20"/>
      <c r="K19" s="543" t="s">
        <v>457</v>
      </c>
      <c r="L19" s="547"/>
      <c r="M19" s="547"/>
      <c r="N19" s="547"/>
      <c r="O19" s="547"/>
      <c r="P19" s="547"/>
      <c r="Q19" s="547"/>
      <c r="R19" s="547"/>
      <c r="S19" s="548"/>
      <c r="T19" s="20"/>
      <c r="U19" s="543" t="s">
        <v>457</v>
      </c>
      <c r="V19" s="547"/>
      <c r="W19" s="547"/>
      <c r="X19" s="547"/>
      <c r="Y19" s="547"/>
      <c r="Z19" s="547"/>
      <c r="AA19" s="547"/>
      <c r="AB19" s="547"/>
      <c r="AC19" s="548"/>
      <c r="AD19" s="20"/>
      <c r="AE19" s="543" t="s">
        <v>457</v>
      </c>
      <c r="AF19" s="547"/>
      <c r="AG19" s="547"/>
      <c r="AH19" s="547"/>
      <c r="AI19" s="547"/>
      <c r="AJ19" s="547"/>
      <c r="AK19" s="547"/>
      <c r="AL19" s="547"/>
      <c r="AM19" s="548"/>
      <c r="AN19" s="20"/>
      <c r="AO19" s="543" t="s">
        <v>457</v>
      </c>
      <c r="AP19" s="547"/>
      <c r="AQ19" s="547"/>
      <c r="AR19" s="547"/>
      <c r="AS19" s="547"/>
      <c r="AT19" s="547"/>
      <c r="AU19" s="547"/>
      <c r="AV19" s="547"/>
      <c r="AW19" s="548"/>
    </row>
    <row r="20" spans="1:49" x14ac:dyDescent="0.3">
      <c r="A20" s="279"/>
      <c r="B20" s="238"/>
      <c r="C20" s="283"/>
      <c r="D20" s="13"/>
      <c r="E20" s="13"/>
      <c r="F20" s="13"/>
      <c r="G20" s="13"/>
      <c r="H20" s="13"/>
      <c r="I20" s="234"/>
      <c r="J20" s="20"/>
      <c r="K20" s="279"/>
      <c r="L20" s="238"/>
      <c r="M20" s="228"/>
      <c r="N20" s="13"/>
      <c r="O20" s="13"/>
      <c r="P20" s="13"/>
      <c r="Q20" s="13"/>
      <c r="R20" s="13"/>
      <c r="S20" s="234"/>
      <c r="T20" s="20"/>
      <c r="U20" s="279"/>
      <c r="V20" s="13"/>
      <c r="W20" s="13"/>
      <c r="X20" s="13"/>
      <c r="Y20" s="13"/>
      <c r="Z20" s="13"/>
      <c r="AA20" s="13"/>
      <c r="AB20" s="13"/>
      <c r="AC20" s="234"/>
      <c r="AD20" s="20"/>
      <c r="AE20" s="279"/>
      <c r="AF20" s="13"/>
      <c r="AG20" s="13"/>
      <c r="AH20" s="13"/>
      <c r="AI20" s="13"/>
      <c r="AJ20" s="13"/>
      <c r="AK20" s="13"/>
      <c r="AL20" s="13"/>
      <c r="AM20" s="234"/>
      <c r="AN20" s="20"/>
      <c r="AO20" s="279"/>
      <c r="AP20" s="13"/>
      <c r="AQ20" s="13"/>
      <c r="AR20" s="13"/>
      <c r="AS20" s="13"/>
      <c r="AT20" s="13"/>
      <c r="AU20" s="13"/>
      <c r="AV20" s="13"/>
      <c r="AW20" s="234"/>
    </row>
    <row r="21" spans="1:49" x14ac:dyDescent="0.3">
      <c r="A21" s="279" t="s">
        <v>31</v>
      </c>
      <c r="B21" s="227"/>
      <c r="C21" s="245"/>
      <c r="D21" s="9">
        <f>(0.85*B5*E4*0.003)/(B4*0.007)</f>
        <v>2.3223214285714285E-2</v>
      </c>
      <c r="E21" s="20"/>
      <c r="F21" s="20"/>
      <c r="G21" s="20"/>
      <c r="H21" s="20"/>
      <c r="I21" s="225"/>
      <c r="J21" s="20"/>
      <c r="K21" s="279" t="s">
        <v>31</v>
      </c>
      <c r="L21" s="227"/>
      <c r="M21" s="409"/>
      <c r="N21" s="9">
        <f>(0.85*L5*O4*0.003)/(L4*0.007)</f>
        <v>2.3223214285714285E-2</v>
      </c>
      <c r="O21" s="20"/>
      <c r="P21" s="20"/>
      <c r="Q21" s="20"/>
      <c r="R21" s="20"/>
      <c r="S21" s="225"/>
      <c r="T21" s="20"/>
      <c r="U21" s="279" t="s">
        <v>31</v>
      </c>
      <c r="V21" s="20"/>
      <c r="W21" s="20"/>
      <c r="X21" s="9">
        <f>(0.85*V5*Y4*0.003)/(V4*0.007)</f>
        <v>2.3223214285714285E-2</v>
      </c>
      <c r="Y21" s="20"/>
      <c r="Z21" s="20"/>
      <c r="AA21" s="20"/>
      <c r="AB21" s="20"/>
      <c r="AC21" s="225"/>
      <c r="AD21" s="20"/>
      <c r="AE21" s="279" t="s">
        <v>31</v>
      </c>
      <c r="AF21" s="20"/>
      <c r="AG21" s="20"/>
      <c r="AH21" s="9">
        <f>(0.85*AF5*AI4*0.003)/(AF4*0.007)</f>
        <v>2.3223214285714285E-2</v>
      </c>
      <c r="AI21" s="20"/>
      <c r="AJ21" s="20"/>
      <c r="AK21" s="20"/>
      <c r="AL21" s="20"/>
      <c r="AM21" s="225"/>
      <c r="AN21" s="20"/>
      <c r="AO21" s="279" t="s">
        <v>31</v>
      </c>
      <c r="AP21" s="20"/>
      <c r="AQ21" s="20"/>
      <c r="AR21" s="9">
        <f>(0.85*AP5*AS4*0.003)/(AP4*0.007)</f>
        <v>2.3223214285714285E-2</v>
      </c>
      <c r="AS21" s="20"/>
      <c r="AT21" s="20"/>
      <c r="AU21" s="20"/>
      <c r="AV21" s="20"/>
      <c r="AW21" s="225"/>
    </row>
    <row r="22" spans="1:49" x14ac:dyDescent="0.3">
      <c r="A22" s="280"/>
      <c r="B22" s="227"/>
      <c r="C22" s="245"/>
      <c r="D22" s="9"/>
      <c r="E22" s="20"/>
      <c r="F22" s="20"/>
      <c r="G22" s="20"/>
      <c r="H22" s="20"/>
      <c r="I22" s="225"/>
      <c r="J22" s="20"/>
      <c r="K22" s="280"/>
      <c r="L22" s="227"/>
      <c r="M22" s="409"/>
      <c r="N22" s="9"/>
      <c r="O22" s="20"/>
      <c r="P22" s="20"/>
      <c r="Q22" s="20"/>
      <c r="R22" s="20"/>
      <c r="S22" s="225"/>
      <c r="T22" s="20"/>
      <c r="U22" s="280"/>
      <c r="V22" s="20"/>
      <c r="W22" s="20"/>
      <c r="X22" s="9"/>
      <c r="Y22" s="20"/>
      <c r="Z22" s="20"/>
      <c r="AA22" s="20"/>
      <c r="AB22" s="20"/>
      <c r="AC22" s="225"/>
      <c r="AD22" s="20"/>
      <c r="AE22" s="280"/>
      <c r="AF22" s="20"/>
      <c r="AG22" s="20"/>
      <c r="AH22" s="9"/>
      <c r="AI22" s="20"/>
      <c r="AJ22" s="20"/>
      <c r="AK22" s="20"/>
      <c r="AL22" s="20"/>
      <c r="AM22" s="225"/>
      <c r="AN22" s="20"/>
      <c r="AO22" s="280"/>
      <c r="AP22" s="20"/>
      <c r="AQ22" s="20"/>
      <c r="AR22" s="9"/>
      <c r="AS22" s="20"/>
      <c r="AT22" s="20"/>
      <c r="AU22" s="20"/>
      <c r="AV22" s="20"/>
      <c r="AW22" s="225"/>
    </row>
    <row r="23" spans="1:49" x14ac:dyDescent="0.3">
      <c r="A23" s="279" t="s">
        <v>33</v>
      </c>
      <c r="B23" s="551" t="s">
        <v>34</v>
      </c>
      <c r="C23" s="551"/>
      <c r="D23" s="9">
        <f>(0.85*B5*600*E4)/(B4*(B4+600))</f>
        <v>3.7114726027397259E-2</v>
      </c>
      <c r="E23" s="20"/>
      <c r="F23" s="20"/>
      <c r="G23" s="20"/>
      <c r="H23" s="20"/>
      <c r="I23" s="225"/>
      <c r="J23" s="20"/>
      <c r="K23" s="279" t="s">
        <v>33</v>
      </c>
      <c r="L23" s="551" t="s">
        <v>34</v>
      </c>
      <c r="M23" s="551"/>
      <c r="N23" s="9">
        <f>(0.85*L5*600*O4)/(L4*(L4+600))</f>
        <v>3.7114726027397259E-2</v>
      </c>
      <c r="O23" s="20"/>
      <c r="P23" s="20"/>
      <c r="Q23" s="20"/>
      <c r="R23" s="20"/>
      <c r="S23" s="225"/>
      <c r="T23" s="20"/>
      <c r="U23" s="279" t="s">
        <v>33</v>
      </c>
      <c r="V23" s="551" t="s">
        <v>34</v>
      </c>
      <c r="W23" s="551"/>
      <c r="X23" s="9">
        <f>(0.85*V5*600*Y4)/(V4*(V4+600))</f>
        <v>3.7114726027397259E-2</v>
      </c>
      <c r="Y23" s="20"/>
      <c r="Z23" s="20"/>
      <c r="AA23" s="20"/>
      <c r="AB23" s="20"/>
      <c r="AC23" s="225"/>
      <c r="AD23" s="20"/>
      <c r="AE23" s="279" t="s">
        <v>33</v>
      </c>
      <c r="AF23" s="551" t="s">
        <v>34</v>
      </c>
      <c r="AG23" s="551"/>
      <c r="AH23" s="9">
        <f>(0.85*AF5*600*AI4)/(AF4*(AF4+600))</f>
        <v>3.7114726027397259E-2</v>
      </c>
      <c r="AI23" s="20"/>
      <c r="AJ23" s="20"/>
      <c r="AK23" s="20"/>
      <c r="AL23" s="20"/>
      <c r="AM23" s="225"/>
      <c r="AN23" s="20"/>
      <c r="AO23" s="279" t="s">
        <v>33</v>
      </c>
      <c r="AP23" s="551" t="s">
        <v>34</v>
      </c>
      <c r="AQ23" s="551"/>
      <c r="AR23" s="9">
        <f>(0.85*AP5*600*AS4)/(AP4*(AP4+600))</f>
        <v>3.7114726027397259E-2</v>
      </c>
      <c r="AS23" s="20"/>
      <c r="AT23" s="20"/>
      <c r="AU23" s="20"/>
      <c r="AV23" s="20"/>
      <c r="AW23" s="225"/>
    </row>
    <row r="24" spans="1:49" x14ac:dyDescent="0.3">
      <c r="A24" s="279" t="s">
        <v>35</v>
      </c>
      <c r="B24" s="551" t="s">
        <v>36</v>
      </c>
      <c r="C24" s="551"/>
      <c r="D24" s="9">
        <f>0.634*D23</f>
        <v>2.3530736301369863E-2</v>
      </c>
      <c r="E24" s="20"/>
      <c r="F24" s="20"/>
      <c r="G24" s="20"/>
      <c r="H24" s="20"/>
      <c r="I24" s="225"/>
      <c r="J24" s="20"/>
      <c r="K24" s="279" t="s">
        <v>35</v>
      </c>
      <c r="L24" s="551" t="s">
        <v>36</v>
      </c>
      <c r="M24" s="551"/>
      <c r="N24" s="9">
        <f>0.634*N23</f>
        <v>2.3530736301369863E-2</v>
      </c>
      <c r="O24" s="20"/>
      <c r="P24" s="20"/>
      <c r="Q24" s="20"/>
      <c r="R24" s="20"/>
      <c r="S24" s="225"/>
      <c r="T24" s="20"/>
      <c r="U24" s="279" t="s">
        <v>35</v>
      </c>
      <c r="V24" s="551" t="s">
        <v>36</v>
      </c>
      <c r="W24" s="551"/>
      <c r="X24" s="9">
        <f>0.634*X23</f>
        <v>2.3530736301369863E-2</v>
      </c>
      <c r="Y24" s="20"/>
      <c r="Z24" s="20"/>
      <c r="AA24" s="20"/>
      <c r="AB24" s="20"/>
      <c r="AC24" s="225"/>
      <c r="AD24" s="20"/>
      <c r="AE24" s="279" t="s">
        <v>35</v>
      </c>
      <c r="AF24" s="551" t="s">
        <v>36</v>
      </c>
      <c r="AG24" s="551"/>
      <c r="AH24" s="9">
        <f>0.634*AH23</f>
        <v>2.3530736301369863E-2</v>
      </c>
      <c r="AI24" s="20"/>
      <c r="AJ24" s="20"/>
      <c r="AK24" s="20"/>
      <c r="AL24" s="20"/>
      <c r="AM24" s="225"/>
      <c r="AN24" s="20"/>
      <c r="AO24" s="279" t="s">
        <v>35</v>
      </c>
      <c r="AP24" s="551" t="s">
        <v>36</v>
      </c>
      <c r="AQ24" s="551"/>
      <c r="AR24" s="9">
        <f>0.634*AR23</f>
        <v>2.3530736301369863E-2</v>
      </c>
      <c r="AS24" s="20"/>
      <c r="AT24" s="20"/>
      <c r="AU24" s="20"/>
      <c r="AV24" s="20"/>
      <c r="AW24" s="225"/>
    </row>
    <row r="25" spans="1:49" x14ac:dyDescent="0.3">
      <c r="A25" s="279" t="s">
        <v>37</v>
      </c>
      <c r="B25" s="551" t="s">
        <v>38</v>
      </c>
      <c r="C25" s="551"/>
      <c r="D25" s="9">
        <f>1.4/B4</f>
        <v>5.0724637681159417E-3</v>
      </c>
      <c r="E25" s="20"/>
      <c r="F25" s="20"/>
      <c r="G25" s="20"/>
      <c r="H25" s="20"/>
      <c r="I25" s="225"/>
      <c r="J25" s="20"/>
      <c r="K25" s="279" t="s">
        <v>37</v>
      </c>
      <c r="L25" s="551" t="s">
        <v>38</v>
      </c>
      <c r="M25" s="551"/>
      <c r="N25" s="9">
        <f>1.4/L4</f>
        <v>5.0724637681159417E-3</v>
      </c>
      <c r="O25" s="20"/>
      <c r="P25" s="20"/>
      <c r="Q25" s="20"/>
      <c r="R25" s="20"/>
      <c r="S25" s="225"/>
      <c r="T25" s="20"/>
      <c r="U25" s="279" t="s">
        <v>37</v>
      </c>
      <c r="V25" s="551" t="s">
        <v>38</v>
      </c>
      <c r="W25" s="551"/>
      <c r="X25" s="9">
        <f>1.4/V4</f>
        <v>5.0724637681159417E-3</v>
      </c>
      <c r="Y25" s="20"/>
      <c r="Z25" s="20"/>
      <c r="AA25" s="20"/>
      <c r="AB25" s="20"/>
      <c r="AC25" s="225"/>
      <c r="AD25" s="20"/>
      <c r="AE25" s="279" t="s">
        <v>37</v>
      </c>
      <c r="AF25" s="551" t="s">
        <v>38</v>
      </c>
      <c r="AG25" s="551"/>
      <c r="AH25" s="9">
        <f>1.4/AF4</f>
        <v>5.0724637681159417E-3</v>
      </c>
      <c r="AI25" s="20"/>
      <c r="AJ25" s="20"/>
      <c r="AK25" s="20"/>
      <c r="AL25" s="20"/>
      <c r="AM25" s="225"/>
      <c r="AN25" s="20"/>
      <c r="AO25" s="279" t="s">
        <v>37</v>
      </c>
      <c r="AP25" s="551" t="s">
        <v>38</v>
      </c>
      <c r="AQ25" s="551"/>
      <c r="AR25" s="9">
        <f>1.4/AP4</f>
        <v>5.0724637681159417E-3</v>
      </c>
      <c r="AS25" s="20"/>
      <c r="AT25" s="20"/>
      <c r="AU25" s="20"/>
      <c r="AV25" s="20"/>
      <c r="AW25" s="225"/>
    </row>
    <row r="26" spans="1:49" x14ac:dyDescent="0.3">
      <c r="A26" s="279" t="s">
        <v>26</v>
      </c>
      <c r="B26" s="551" t="s">
        <v>39</v>
      </c>
      <c r="C26" s="551"/>
      <c r="D26" s="9">
        <f>0.5*D21</f>
        <v>1.1611607142857142E-2</v>
      </c>
      <c r="E26" s="20"/>
      <c r="F26" s="20"/>
      <c r="G26" s="20"/>
      <c r="H26" s="20"/>
      <c r="I26" s="225"/>
      <c r="J26" s="20"/>
      <c r="K26" s="279" t="s">
        <v>26</v>
      </c>
      <c r="L26" s="551" t="s">
        <v>39</v>
      </c>
      <c r="M26" s="551"/>
      <c r="N26" s="9">
        <f>0.5*N21</f>
        <v>1.1611607142857142E-2</v>
      </c>
      <c r="O26" s="20"/>
      <c r="P26" s="20"/>
      <c r="Q26" s="20"/>
      <c r="R26" s="20"/>
      <c r="S26" s="225"/>
      <c r="T26" s="20"/>
      <c r="U26" s="279" t="s">
        <v>26</v>
      </c>
      <c r="V26" s="551" t="s">
        <v>39</v>
      </c>
      <c r="W26" s="551"/>
      <c r="X26" s="9">
        <f>0.5*X21</f>
        <v>1.1611607142857142E-2</v>
      </c>
      <c r="Y26" s="20"/>
      <c r="Z26" s="20"/>
      <c r="AA26" s="20"/>
      <c r="AB26" s="20"/>
      <c r="AC26" s="225"/>
      <c r="AD26" s="20"/>
      <c r="AE26" s="279" t="s">
        <v>26</v>
      </c>
      <c r="AF26" s="551" t="s">
        <v>39</v>
      </c>
      <c r="AG26" s="551"/>
      <c r="AH26" s="9">
        <f>0.5*AH21</f>
        <v>1.1611607142857142E-2</v>
      </c>
      <c r="AI26" s="20"/>
      <c r="AJ26" s="20"/>
      <c r="AK26" s="20"/>
      <c r="AL26" s="20"/>
      <c r="AM26" s="225"/>
      <c r="AN26" s="20"/>
      <c r="AO26" s="279" t="s">
        <v>26</v>
      </c>
      <c r="AP26" s="551" t="s">
        <v>39</v>
      </c>
      <c r="AQ26" s="551"/>
      <c r="AR26" s="9">
        <f>0.5*AR21</f>
        <v>1.1611607142857142E-2</v>
      </c>
      <c r="AS26" s="20"/>
      <c r="AT26" s="20"/>
      <c r="AU26" s="20"/>
      <c r="AV26" s="20"/>
      <c r="AW26" s="225"/>
    </row>
    <row r="27" spans="1:49" x14ac:dyDescent="0.3">
      <c r="A27" s="279"/>
      <c r="B27" s="410" t="s">
        <v>458</v>
      </c>
      <c r="C27" s="411">
        <f>IF(D26&gt;D25,D26,D25)</f>
        <v>1.1611607142857142E-2</v>
      </c>
      <c r="D27" s="9"/>
      <c r="E27" s="20"/>
      <c r="F27" s="20"/>
      <c r="G27" s="20"/>
      <c r="H27" s="20"/>
      <c r="I27" s="225"/>
      <c r="J27" s="20"/>
      <c r="K27" s="279"/>
      <c r="L27" s="339" t="s">
        <v>458</v>
      </c>
      <c r="M27" s="340">
        <f>IF(N26&gt;N25,N26,N25)</f>
        <v>1.1611607142857142E-2</v>
      </c>
      <c r="N27" s="9"/>
      <c r="O27" s="20"/>
      <c r="P27" s="20"/>
      <c r="Q27" s="20"/>
      <c r="R27" s="20"/>
      <c r="S27" s="225"/>
      <c r="T27" s="20"/>
      <c r="U27" s="279"/>
      <c r="V27" s="392" t="s">
        <v>458</v>
      </c>
      <c r="W27" s="426">
        <f>IF(X26&gt;X25,X26,X25)</f>
        <v>1.1611607142857142E-2</v>
      </c>
      <c r="X27" s="9"/>
      <c r="Y27" s="20"/>
      <c r="Z27" s="20"/>
      <c r="AA27" s="20"/>
      <c r="AB27" s="20"/>
      <c r="AC27" s="225"/>
      <c r="AD27" s="20"/>
      <c r="AE27" s="279"/>
      <c r="AF27" s="392" t="s">
        <v>458</v>
      </c>
      <c r="AG27" s="426">
        <f>IF(AH26&gt;AH25,AH26,AH25)</f>
        <v>1.1611607142857142E-2</v>
      </c>
      <c r="AH27" s="9"/>
      <c r="AI27" s="20"/>
      <c r="AJ27" s="20"/>
      <c r="AK27" s="20"/>
      <c r="AL27" s="20"/>
      <c r="AM27" s="225"/>
      <c r="AN27" s="20"/>
      <c r="AO27" s="279"/>
      <c r="AP27" s="392" t="s">
        <v>458</v>
      </c>
      <c r="AQ27" s="426">
        <f>IF(AR26&gt;AR25,AR26,AR25)</f>
        <v>1.1611607142857142E-2</v>
      </c>
      <c r="AR27" s="9"/>
      <c r="AS27" s="20"/>
      <c r="AT27" s="20"/>
      <c r="AU27" s="20"/>
      <c r="AV27" s="20"/>
      <c r="AW27" s="225"/>
    </row>
    <row r="28" spans="1:49" x14ac:dyDescent="0.3">
      <c r="A28" s="279" t="s">
        <v>40</v>
      </c>
      <c r="B28" s="551" t="s">
        <v>41</v>
      </c>
      <c r="C28" s="551"/>
      <c r="D28" s="9">
        <f>(C27*B4)/B5</f>
        <v>0.15482142857142855</v>
      </c>
      <c r="E28" s="228" t="s">
        <v>46</v>
      </c>
      <c r="F28" s="238">
        <f>(D30/(2.25))^(1/3)</f>
        <v>183.16318774437082</v>
      </c>
      <c r="G28" s="20" t="s">
        <v>42</v>
      </c>
      <c r="H28" s="13">
        <f>_xlfn.CEILING.MATH(F28,50)+80</f>
        <v>280</v>
      </c>
      <c r="I28" s="236" t="s">
        <v>43</v>
      </c>
      <c r="J28" s="20"/>
      <c r="K28" s="279" t="s">
        <v>40</v>
      </c>
      <c r="L28" s="551" t="s">
        <v>41</v>
      </c>
      <c r="M28" s="551"/>
      <c r="N28" s="9">
        <f>(M27*L4)/L5</f>
        <v>0.15482142857142855</v>
      </c>
      <c r="O28" s="228" t="s">
        <v>46</v>
      </c>
      <c r="P28" s="238">
        <f>(N30/(2.25))^(1/3)</f>
        <v>172.91551360384938</v>
      </c>
      <c r="Q28" s="20" t="s">
        <v>42</v>
      </c>
      <c r="R28" s="13">
        <v>250</v>
      </c>
      <c r="S28" s="236" t="s">
        <v>43</v>
      </c>
      <c r="T28" s="20"/>
      <c r="U28" s="279" t="s">
        <v>40</v>
      </c>
      <c r="V28" s="551" t="s">
        <v>41</v>
      </c>
      <c r="W28" s="551"/>
      <c r="X28" s="9">
        <f>(W27*V4)/V5</f>
        <v>0.15482142857142855</v>
      </c>
      <c r="Y28" s="228" t="s">
        <v>46</v>
      </c>
      <c r="Z28" s="13">
        <f>(X30/(2.25))^(1/3)</f>
        <v>176.16610998820789</v>
      </c>
      <c r="AA28" s="20" t="s">
        <v>42</v>
      </c>
      <c r="AB28" s="13">
        <f>_xlfn.CEILING.MATH(Z28,50)+80</f>
        <v>280</v>
      </c>
      <c r="AC28" s="236" t="s">
        <v>43</v>
      </c>
      <c r="AD28" s="20"/>
      <c r="AE28" s="279" t="s">
        <v>40</v>
      </c>
      <c r="AF28" s="551" t="s">
        <v>41</v>
      </c>
      <c r="AG28" s="551"/>
      <c r="AH28" s="9">
        <f>(AG27*AF4)/AF5</f>
        <v>0.15482142857142855</v>
      </c>
      <c r="AI28" s="228" t="s">
        <v>46</v>
      </c>
      <c r="AJ28" s="13">
        <f>(AH30/(2.25))^(1/3)</f>
        <v>170.26443703078354</v>
      </c>
      <c r="AK28" s="20" t="s">
        <v>42</v>
      </c>
      <c r="AL28" s="13">
        <f>_xlfn.CEILING.MATH(AJ28,50)+80</f>
        <v>280</v>
      </c>
      <c r="AM28" s="236" t="s">
        <v>43</v>
      </c>
      <c r="AN28" s="20"/>
      <c r="AO28" s="279" t="s">
        <v>40</v>
      </c>
      <c r="AP28" s="551" t="s">
        <v>41</v>
      </c>
      <c r="AQ28" s="551"/>
      <c r="AR28" s="9">
        <f>(AQ27*AP4)/AP5</f>
        <v>0.15482142857142855</v>
      </c>
      <c r="AS28" s="228" t="s">
        <v>46</v>
      </c>
      <c r="AT28" s="13">
        <f>(AR30/(2.25))^(1/3)</f>
        <v>159.38152915817307</v>
      </c>
      <c r="AU28" s="20" t="s">
        <v>42</v>
      </c>
      <c r="AV28" s="13">
        <f>_xlfn.CEILING.MATH(AT28,50)+80</f>
        <v>280</v>
      </c>
      <c r="AW28" s="236" t="s">
        <v>43</v>
      </c>
    </row>
    <row r="29" spans="1:49" x14ac:dyDescent="0.3">
      <c r="A29" s="279" t="s">
        <v>44</v>
      </c>
      <c r="B29" s="551" t="s">
        <v>45</v>
      </c>
      <c r="C29" s="551"/>
      <c r="D29" s="20">
        <f>(0.9*B5*D28)/(1-0.59*D28)</f>
        <v>3.1742763541889794</v>
      </c>
      <c r="E29" s="228" t="s">
        <v>49</v>
      </c>
      <c r="F29" s="238">
        <f>1.5*F28</f>
        <v>274.74478161655622</v>
      </c>
      <c r="G29" s="20" t="s">
        <v>42</v>
      </c>
      <c r="H29" s="20">
        <f>FLOOR((H30-40-10-G36/2),10)</f>
        <v>340</v>
      </c>
      <c r="I29" s="237" t="s">
        <v>43</v>
      </c>
      <c r="J29" s="20"/>
      <c r="K29" s="279" t="s">
        <v>44</v>
      </c>
      <c r="L29" s="551" t="s">
        <v>45</v>
      </c>
      <c r="M29" s="551"/>
      <c r="N29" s="20">
        <f>(0.9*L5*N28)/(1-0.59*N28)</f>
        <v>3.1742763541889794</v>
      </c>
      <c r="O29" s="228" t="s">
        <v>49</v>
      </c>
      <c r="P29" s="238">
        <f>1.5*P28</f>
        <v>259.37327040577406</v>
      </c>
      <c r="Q29" s="20" t="s">
        <v>42</v>
      </c>
      <c r="R29" s="20">
        <f>FLOOR((R30-40-10-Q36/2),10)</f>
        <v>340</v>
      </c>
      <c r="S29" s="237" t="s">
        <v>43</v>
      </c>
      <c r="T29" s="20"/>
      <c r="U29" s="279" t="s">
        <v>44</v>
      </c>
      <c r="V29" s="551" t="s">
        <v>45</v>
      </c>
      <c r="W29" s="551"/>
      <c r="X29" s="20">
        <f>(0.9*V5*X28)/(1-0.59*X28)</f>
        <v>3.1742763541889794</v>
      </c>
      <c r="Y29" s="228" t="s">
        <v>49</v>
      </c>
      <c r="Z29" s="13">
        <f>1.5*Z28</f>
        <v>264.24916498231187</v>
      </c>
      <c r="AA29" s="20" t="s">
        <v>42</v>
      </c>
      <c r="AB29" s="20">
        <f>FLOOR((AB30-40-10-AA36/2),10)</f>
        <v>340</v>
      </c>
      <c r="AC29" s="237" t="s">
        <v>43</v>
      </c>
      <c r="AD29" s="20"/>
      <c r="AE29" s="279" t="s">
        <v>44</v>
      </c>
      <c r="AF29" s="551" t="s">
        <v>45</v>
      </c>
      <c r="AG29" s="551"/>
      <c r="AH29" s="20">
        <f>(0.9*AF5*AH28)/(1-0.59*AH28)</f>
        <v>3.1742763541889794</v>
      </c>
      <c r="AI29" s="228" t="s">
        <v>49</v>
      </c>
      <c r="AJ29" s="13">
        <f>1.5*AJ28</f>
        <v>255.39665554617531</v>
      </c>
      <c r="AK29" s="20" t="s">
        <v>42</v>
      </c>
      <c r="AL29" s="20">
        <f>FLOOR((AL30-40-10-AK36/2),10)</f>
        <v>340</v>
      </c>
      <c r="AM29" s="237" t="s">
        <v>43</v>
      </c>
      <c r="AN29" s="20"/>
      <c r="AO29" s="279" t="s">
        <v>44</v>
      </c>
      <c r="AP29" s="551" t="s">
        <v>45</v>
      </c>
      <c r="AQ29" s="551"/>
      <c r="AR29" s="20">
        <f>(0.9*AP5*AR28)/(1-0.59*AR28)</f>
        <v>3.1742763541889794</v>
      </c>
      <c r="AS29" s="228" t="s">
        <v>49</v>
      </c>
      <c r="AT29" s="13">
        <f>1.5*AT28</f>
        <v>239.0722937372596</v>
      </c>
      <c r="AU29" s="20" t="s">
        <v>42</v>
      </c>
      <c r="AV29" s="20">
        <v>290</v>
      </c>
      <c r="AW29" s="237" t="s">
        <v>43</v>
      </c>
    </row>
    <row r="30" spans="1:49" x14ac:dyDescent="0.3">
      <c r="A30" s="279" t="s">
        <v>47</v>
      </c>
      <c r="B30" s="551" t="s">
        <v>48</v>
      </c>
      <c r="C30" s="551"/>
      <c r="D30" s="20">
        <f>(E5/(0.9*D29))*1000000</f>
        <v>13826017.366787583</v>
      </c>
      <c r="E30" s="228" t="s">
        <v>50</v>
      </c>
      <c r="F30" s="238">
        <f>(F29+40+10+(G36/2))</f>
        <v>334.74478161655622</v>
      </c>
      <c r="G30" s="13" t="s">
        <v>42</v>
      </c>
      <c r="H30" s="20">
        <v>400</v>
      </c>
      <c r="I30" s="237" t="s">
        <v>43</v>
      </c>
      <c r="J30" s="20"/>
      <c r="K30" s="279" t="s">
        <v>47</v>
      </c>
      <c r="L30" s="551" t="s">
        <v>48</v>
      </c>
      <c r="M30" s="551"/>
      <c r="N30" s="20">
        <f>(O5/(0.9*N29))*1000000</f>
        <v>11632803.578870427</v>
      </c>
      <c r="O30" s="228" t="s">
        <v>50</v>
      </c>
      <c r="P30" s="238">
        <f>(P29+40+10+(Q36/2))</f>
        <v>319.37327040577406</v>
      </c>
      <c r="Q30" s="13" t="s">
        <v>42</v>
      </c>
      <c r="R30" s="20">
        <v>400</v>
      </c>
      <c r="S30" s="237" t="s">
        <v>43</v>
      </c>
      <c r="T30" s="20"/>
      <c r="U30" s="279" t="s">
        <v>47</v>
      </c>
      <c r="V30" s="551" t="s">
        <v>48</v>
      </c>
      <c r="W30" s="551"/>
      <c r="X30" s="20">
        <f>(Y5/(0.9*X29))*1000000</f>
        <v>12301260.395450532</v>
      </c>
      <c r="Y30" s="228" t="s">
        <v>50</v>
      </c>
      <c r="Z30" s="228">
        <f>(Z29+40+10+(AA36/2))</f>
        <v>324.24916498231187</v>
      </c>
      <c r="AA30" s="228" t="s">
        <v>42</v>
      </c>
      <c r="AB30" s="20">
        <v>400</v>
      </c>
      <c r="AC30" s="237" t="s">
        <v>43</v>
      </c>
      <c r="AD30" s="20"/>
      <c r="AE30" s="279" t="s">
        <v>47</v>
      </c>
      <c r="AF30" s="551" t="s">
        <v>48</v>
      </c>
      <c r="AG30" s="551"/>
      <c r="AH30" s="20">
        <f>(AI5/(0.9*AH29))*1000000</f>
        <v>11105915.336552847</v>
      </c>
      <c r="AI30" s="228" t="s">
        <v>50</v>
      </c>
      <c r="AJ30" s="228">
        <f>(AJ29+40+10+(AK36/2))</f>
        <v>315.39665554617534</v>
      </c>
      <c r="AK30" s="228" t="s">
        <v>42</v>
      </c>
      <c r="AL30" s="20">
        <v>400</v>
      </c>
      <c r="AM30" s="237" t="s">
        <v>43</v>
      </c>
      <c r="AN30" s="20"/>
      <c r="AO30" s="279" t="s">
        <v>47</v>
      </c>
      <c r="AP30" s="551" t="s">
        <v>48</v>
      </c>
      <c r="AQ30" s="551"/>
      <c r="AR30" s="20">
        <f>(AS5/(0.9*AR29))*1000000</f>
        <v>9109540.8129290063</v>
      </c>
      <c r="AS30" s="228" t="s">
        <v>50</v>
      </c>
      <c r="AT30" s="228">
        <f>(AT29+40+10+(AU36/2))</f>
        <v>299.0722937372596</v>
      </c>
      <c r="AU30" s="228" t="s">
        <v>42</v>
      </c>
      <c r="AV30" s="20">
        <v>350</v>
      </c>
      <c r="AW30" s="237" t="s">
        <v>43</v>
      </c>
    </row>
    <row r="31" spans="1:49" x14ac:dyDescent="0.3">
      <c r="A31" s="543" t="s">
        <v>97</v>
      </c>
      <c r="B31" s="557"/>
      <c r="C31" s="557"/>
      <c r="D31" s="557"/>
      <c r="E31" s="557"/>
      <c r="F31" s="557"/>
      <c r="G31" s="557"/>
      <c r="H31" s="557"/>
      <c r="I31" s="558"/>
      <c r="J31" s="20"/>
      <c r="K31" s="543" t="s">
        <v>97</v>
      </c>
      <c r="L31" s="557"/>
      <c r="M31" s="557"/>
      <c r="N31" s="557"/>
      <c r="O31" s="557"/>
      <c r="P31" s="557"/>
      <c r="Q31" s="557"/>
      <c r="R31" s="557"/>
      <c r="S31" s="558"/>
      <c r="T31" s="20"/>
      <c r="U31" s="543" t="s">
        <v>97</v>
      </c>
      <c r="V31" s="557"/>
      <c r="W31" s="557"/>
      <c r="X31" s="557"/>
      <c r="Y31" s="557"/>
      <c r="Z31" s="557"/>
      <c r="AA31" s="557"/>
      <c r="AB31" s="557"/>
      <c r="AC31" s="558"/>
      <c r="AD31" s="20"/>
      <c r="AE31" s="543" t="s">
        <v>97</v>
      </c>
      <c r="AF31" s="557"/>
      <c r="AG31" s="557"/>
      <c r="AH31" s="557"/>
      <c r="AI31" s="557"/>
      <c r="AJ31" s="557"/>
      <c r="AK31" s="557"/>
      <c r="AL31" s="557"/>
      <c r="AM31" s="558"/>
      <c r="AN31" s="20"/>
      <c r="AO31" s="543" t="s">
        <v>97</v>
      </c>
      <c r="AP31" s="557"/>
      <c r="AQ31" s="557"/>
      <c r="AR31" s="557"/>
      <c r="AS31" s="557"/>
      <c r="AT31" s="557"/>
      <c r="AU31" s="557"/>
      <c r="AV31" s="557"/>
      <c r="AW31" s="558"/>
    </row>
    <row r="32" spans="1:49" x14ac:dyDescent="0.3">
      <c r="A32" s="549" t="s">
        <v>459</v>
      </c>
      <c r="B32" s="550"/>
      <c r="C32" s="245"/>
      <c r="D32" s="20"/>
      <c r="E32" s="20"/>
      <c r="F32" s="20"/>
      <c r="G32" s="20"/>
      <c r="H32" s="20"/>
      <c r="I32" s="225"/>
      <c r="J32" s="20"/>
      <c r="K32" s="549" t="s">
        <v>459</v>
      </c>
      <c r="L32" s="550"/>
      <c r="M32" s="409"/>
      <c r="N32" s="20"/>
      <c r="O32" s="20"/>
      <c r="P32" s="20"/>
      <c r="Q32" s="20"/>
      <c r="R32" s="20"/>
      <c r="S32" s="225"/>
      <c r="T32" s="20"/>
      <c r="U32" s="549" t="s">
        <v>459</v>
      </c>
      <c r="V32" s="550"/>
      <c r="W32" s="20"/>
      <c r="X32" s="20"/>
      <c r="Y32" s="20"/>
      <c r="Z32" s="20"/>
      <c r="AA32" s="20"/>
      <c r="AB32" s="20"/>
      <c r="AC32" s="225"/>
      <c r="AD32" s="20"/>
      <c r="AE32" s="549" t="s">
        <v>459</v>
      </c>
      <c r="AF32" s="550"/>
      <c r="AG32" s="20"/>
      <c r="AH32" s="20"/>
      <c r="AI32" s="20"/>
      <c r="AJ32" s="20"/>
      <c r="AK32" s="20"/>
      <c r="AL32" s="20"/>
      <c r="AM32" s="225"/>
      <c r="AN32" s="20"/>
      <c r="AO32" s="549" t="s">
        <v>459</v>
      </c>
      <c r="AP32" s="550"/>
      <c r="AQ32" s="20"/>
      <c r="AR32" s="20"/>
      <c r="AS32" s="20"/>
      <c r="AT32" s="20"/>
      <c r="AU32" s="20"/>
      <c r="AV32" s="20"/>
      <c r="AW32" s="225"/>
    </row>
    <row r="33" spans="1:49" x14ac:dyDescent="0.3">
      <c r="A33" s="282" t="s">
        <v>52</v>
      </c>
      <c r="B33" s="238"/>
      <c r="C33" s="245"/>
      <c r="D33" s="20"/>
      <c r="E33" s="20"/>
      <c r="F33" s="20"/>
      <c r="G33" s="20"/>
      <c r="H33" s="20"/>
      <c r="I33" s="225"/>
      <c r="J33" s="20"/>
      <c r="K33" s="282" t="s">
        <v>52</v>
      </c>
      <c r="L33" s="238"/>
      <c r="M33" s="409"/>
      <c r="N33" s="20"/>
      <c r="O33" s="20"/>
      <c r="P33" s="20"/>
      <c r="Q33" s="20"/>
      <c r="R33" s="20"/>
      <c r="S33" s="225"/>
      <c r="T33" s="20"/>
      <c r="U33" s="282" t="s">
        <v>52</v>
      </c>
      <c r="V33" s="283"/>
      <c r="W33" s="20"/>
      <c r="X33" s="20"/>
      <c r="Y33" s="20"/>
      <c r="Z33" s="20"/>
      <c r="AA33" s="20"/>
      <c r="AB33" s="20"/>
      <c r="AC33" s="225"/>
      <c r="AD33" s="20"/>
      <c r="AE33" s="282" t="s">
        <v>52</v>
      </c>
      <c r="AF33" s="283"/>
      <c r="AG33" s="20"/>
      <c r="AH33" s="20"/>
      <c r="AI33" s="20"/>
      <c r="AJ33" s="20"/>
      <c r="AK33" s="20"/>
      <c r="AL33" s="20"/>
      <c r="AM33" s="225"/>
      <c r="AN33" s="20"/>
      <c r="AO33" s="282" t="s">
        <v>52</v>
      </c>
      <c r="AP33" s="283"/>
      <c r="AQ33" s="20"/>
      <c r="AR33" s="20"/>
      <c r="AS33" s="20"/>
      <c r="AT33" s="20"/>
      <c r="AU33" s="20"/>
      <c r="AV33" s="20"/>
      <c r="AW33" s="225"/>
    </row>
    <row r="34" spans="1:49" x14ac:dyDescent="0.3">
      <c r="A34" s="280"/>
      <c r="B34" s="228" t="s">
        <v>26</v>
      </c>
      <c r="C34" s="23">
        <f>D26</f>
        <v>1.1611607142857142E-2</v>
      </c>
      <c r="D34" s="9"/>
      <c r="E34" s="20"/>
      <c r="F34" s="20"/>
      <c r="G34" s="20"/>
      <c r="H34" s="20"/>
      <c r="I34" s="225"/>
      <c r="J34" s="20"/>
      <c r="K34" s="280"/>
      <c r="L34" s="228" t="s">
        <v>26</v>
      </c>
      <c r="M34" s="419">
        <f>N26</f>
        <v>1.1611607142857142E-2</v>
      </c>
      <c r="N34" s="9"/>
      <c r="O34" s="20"/>
      <c r="P34" s="20"/>
      <c r="Q34" s="20"/>
      <c r="R34" s="20"/>
      <c r="S34" s="225"/>
      <c r="T34" s="20"/>
      <c r="U34" s="280"/>
      <c r="V34" s="13" t="s">
        <v>26</v>
      </c>
      <c r="W34" s="9">
        <f>X26</f>
        <v>1.1611607142857142E-2</v>
      </c>
      <c r="X34" s="9"/>
      <c r="Y34" s="20"/>
      <c r="Z34" s="20"/>
      <c r="AA34" s="20"/>
      <c r="AB34" s="20"/>
      <c r="AC34" s="225"/>
      <c r="AD34" s="20"/>
      <c r="AE34" s="280"/>
      <c r="AF34" s="13" t="s">
        <v>26</v>
      </c>
      <c r="AG34" s="9">
        <f>AH26</f>
        <v>1.1611607142857142E-2</v>
      </c>
      <c r="AH34" s="9"/>
      <c r="AI34" s="20"/>
      <c r="AJ34" s="20"/>
      <c r="AK34" s="20"/>
      <c r="AL34" s="20"/>
      <c r="AM34" s="225"/>
      <c r="AN34" s="20"/>
      <c r="AO34" s="280"/>
      <c r="AP34" s="13" t="s">
        <v>26</v>
      </c>
      <c r="AQ34" s="9">
        <f>AR26</f>
        <v>1.1611607142857142E-2</v>
      </c>
      <c r="AR34" s="9"/>
      <c r="AS34" s="20"/>
      <c r="AT34" s="20"/>
      <c r="AU34" s="20"/>
      <c r="AV34" s="20"/>
      <c r="AW34" s="225"/>
    </row>
    <row r="35" spans="1:49" x14ac:dyDescent="0.3">
      <c r="A35" s="280"/>
      <c r="B35" s="228" t="s">
        <v>53</v>
      </c>
      <c r="C35" s="245" t="s">
        <v>54</v>
      </c>
      <c r="D35" s="20">
        <f>C34*H28*H29</f>
        <v>1105.425</v>
      </c>
      <c r="E35" s="20"/>
      <c r="F35" s="20"/>
      <c r="G35" s="20"/>
      <c r="H35" s="20"/>
      <c r="I35" s="225"/>
      <c r="J35" s="20"/>
      <c r="K35" s="280"/>
      <c r="L35" s="228" t="s">
        <v>53</v>
      </c>
      <c r="M35" s="409" t="s">
        <v>54</v>
      </c>
      <c r="N35" s="20">
        <f>M34*R28*R29</f>
        <v>986.98660714285711</v>
      </c>
      <c r="O35" s="20"/>
      <c r="P35" s="20"/>
      <c r="Q35" s="20"/>
      <c r="R35" s="20"/>
      <c r="S35" s="225"/>
      <c r="T35" s="20"/>
      <c r="U35" s="280"/>
      <c r="V35" s="13" t="s">
        <v>53</v>
      </c>
      <c r="W35" s="20" t="s">
        <v>54</v>
      </c>
      <c r="X35" s="20">
        <f>W34*AB28*AB29</f>
        <v>1105.425</v>
      </c>
      <c r="Y35" s="20"/>
      <c r="Z35" s="20"/>
      <c r="AA35" s="20"/>
      <c r="AB35" s="20"/>
      <c r="AC35" s="225"/>
      <c r="AD35" s="20"/>
      <c r="AE35" s="280"/>
      <c r="AF35" s="13" t="s">
        <v>53</v>
      </c>
      <c r="AG35" s="20" t="s">
        <v>54</v>
      </c>
      <c r="AH35" s="20">
        <f>AG34*AL28*AL29</f>
        <v>1105.425</v>
      </c>
      <c r="AI35" s="20"/>
      <c r="AJ35" s="20"/>
      <c r="AK35" s="20"/>
      <c r="AL35" s="20"/>
      <c r="AM35" s="225"/>
      <c r="AN35" s="20"/>
      <c r="AO35" s="280"/>
      <c r="AP35" s="13" t="s">
        <v>53</v>
      </c>
      <c r="AQ35" s="20" t="s">
        <v>54</v>
      </c>
      <c r="AR35" s="20">
        <f>AQ34*AV28*AV29</f>
        <v>942.86249999999995</v>
      </c>
      <c r="AS35" s="20"/>
      <c r="AT35" s="20"/>
      <c r="AU35" s="20"/>
      <c r="AV35" s="20"/>
      <c r="AW35" s="225"/>
    </row>
    <row r="36" spans="1:49" ht="22.2" customHeight="1" x14ac:dyDescent="0.3">
      <c r="A36" s="282" t="s">
        <v>55</v>
      </c>
      <c r="B36" s="238"/>
      <c r="C36" s="245"/>
      <c r="D36" s="20"/>
      <c r="E36" s="20"/>
      <c r="F36" s="284" t="s">
        <v>546</v>
      </c>
      <c r="G36" s="13">
        <v>20</v>
      </c>
      <c r="H36" s="238" t="s">
        <v>43</v>
      </c>
      <c r="I36" s="225"/>
      <c r="J36" s="20"/>
      <c r="K36" s="282" t="s">
        <v>55</v>
      </c>
      <c r="L36" s="238"/>
      <c r="M36" s="409"/>
      <c r="N36" s="20"/>
      <c r="O36" s="20"/>
      <c r="P36" s="420" t="s">
        <v>546</v>
      </c>
      <c r="Q36" s="13">
        <v>20</v>
      </c>
      <c r="R36" s="238" t="s">
        <v>43</v>
      </c>
      <c r="S36" s="225"/>
      <c r="T36" s="20"/>
      <c r="U36" s="282" t="s">
        <v>55</v>
      </c>
      <c r="V36" s="283"/>
      <c r="W36" s="20"/>
      <c r="X36" s="20"/>
      <c r="Y36" s="20"/>
      <c r="Z36" s="284" t="s">
        <v>546</v>
      </c>
      <c r="AA36" s="13">
        <v>20</v>
      </c>
      <c r="AB36" s="238" t="s">
        <v>43</v>
      </c>
      <c r="AC36" s="225"/>
      <c r="AD36" s="20"/>
      <c r="AE36" s="282" t="s">
        <v>55</v>
      </c>
      <c r="AF36" s="283"/>
      <c r="AG36" s="20"/>
      <c r="AH36" s="20"/>
      <c r="AI36" s="20"/>
      <c r="AJ36" s="284" t="s">
        <v>546</v>
      </c>
      <c r="AK36" s="13">
        <v>20</v>
      </c>
      <c r="AL36" s="238" t="s">
        <v>43</v>
      </c>
      <c r="AM36" s="225"/>
      <c r="AN36" s="20"/>
      <c r="AO36" s="562" t="s">
        <v>55</v>
      </c>
      <c r="AP36" s="541"/>
      <c r="AQ36" s="20"/>
      <c r="AR36" s="20"/>
      <c r="AS36" s="20"/>
      <c r="AT36" s="284" t="s">
        <v>546</v>
      </c>
      <c r="AU36" s="13">
        <v>20</v>
      </c>
      <c r="AV36" s="238" t="s">
        <v>43</v>
      </c>
      <c r="AW36" s="225"/>
    </row>
    <row r="37" spans="1:49" x14ac:dyDescent="0.3">
      <c r="A37" s="280"/>
      <c r="B37" s="238" t="s">
        <v>56</v>
      </c>
      <c r="C37" s="245"/>
      <c r="D37" s="20"/>
      <c r="E37" s="20">
        <f>(3.141592654*(G36^2))/4</f>
        <v>314.15926539999998</v>
      </c>
      <c r="F37" s="227" t="s">
        <v>460</v>
      </c>
      <c r="G37" s="20"/>
      <c r="H37" s="20"/>
      <c r="I37" s="225"/>
      <c r="J37" s="20"/>
      <c r="K37" s="280"/>
      <c r="L37" s="228" t="s">
        <v>56</v>
      </c>
      <c r="M37" s="409"/>
      <c r="N37" s="20"/>
      <c r="O37" s="20">
        <f>(3.141592654*(Q36^2))/4</f>
        <v>314.15926539999998</v>
      </c>
      <c r="P37" s="227" t="s">
        <v>460</v>
      </c>
      <c r="Q37" s="20"/>
      <c r="R37" s="20"/>
      <c r="S37" s="225"/>
      <c r="T37" s="20"/>
      <c r="U37" s="280"/>
      <c r="V37" s="13" t="s">
        <v>56</v>
      </c>
      <c r="W37" s="20"/>
      <c r="X37" s="20"/>
      <c r="Y37" s="20">
        <f>(3.141592654*(AA36^2))/4</f>
        <v>314.15926539999998</v>
      </c>
      <c r="Z37" s="227" t="s">
        <v>460</v>
      </c>
      <c r="AA37" s="20"/>
      <c r="AB37" s="20"/>
      <c r="AC37" s="225"/>
      <c r="AD37" s="20"/>
      <c r="AE37" s="280"/>
      <c r="AF37" s="13" t="s">
        <v>56</v>
      </c>
      <c r="AG37" s="20"/>
      <c r="AH37" s="20"/>
      <c r="AI37" s="20">
        <f>(3.141592654*(AK36^2))/4</f>
        <v>314.15926539999998</v>
      </c>
      <c r="AJ37" s="227" t="s">
        <v>460</v>
      </c>
      <c r="AK37" s="20"/>
      <c r="AL37" s="20"/>
      <c r="AM37" s="225"/>
      <c r="AN37" s="20"/>
      <c r="AO37" s="280"/>
      <c r="AP37" s="13" t="s">
        <v>56</v>
      </c>
      <c r="AQ37" s="20"/>
      <c r="AR37" s="20"/>
      <c r="AS37" s="20">
        <f>(3.141592654*(AU36^2))/4</f>
        <v>314.15926539999998</v>
      </c>
      <c r="AT37" s="227" t="s">
        <v>460</v>
      </c>
      <c r="AU37" s="20"/>
      <c r="AV37" s="20"/>
      <c r="AW37" s="225"/>
    </row>
    <row r="38" spans="1:49" x14ac:dyDescent="0.3">
      <c r="A38" s="280"/>
      <c r="B38" s="238" t="s">
        <v>58</v>
      </c>
      <c r="C38" s="283"/>
      <c r="D38" s="20" t="s">
        <v>461</v>
      </c>
      <c r="E38" s="20">
        <f>D35/E37</f>
        <v>3.5186770588877243</v>
      </c>
      <c r="F38" s="227" t="s">
        <v>462</v>
      </c>
      <c r="G38" s="20"/>
      <c r="H38" s="20"/>
      <c r="I38" s="225"/>
      <c r="J38" s="20"/>
      <c r="K38" s="280"/>
      <c r="L38" s="228" t="s">
        <v>58</v>
      </c>
      <c r="M38" s="228"/>
      <c r="N38" s="20" t="s">
        <v>461</v>
      </c>
      <c r="O38" s="20">
        <f>N35/O37</f>
        <v>3.1416759454354684</v>
      </c>
      <c r="P38" s="227" t="s">
        <v>462</v>
      </c>
      <c r="Q38" s="20"/>
      <c r="R38" s="20"/>
      <c r="S38" s="225"/>
      <c r="T38" s="20"/>
      <c r="U38" s="280"/>
      <c r="V38" s="13" t="s">
        <v>58</v>
      </c>
      <c r="W38" s="13"/>
      <c r="X38" s="20" t="s">
        <v>461</v>
      </c>
      <c r="Y38" s="20">
        <f>X35/Y37</f>
        <v>3.5186770588877243</v>
      </c>
      <c r="Z38" s="227" t="s">
        <v>462</v>
      </c>
      <c r="AA38" s="20"/>
      <c r="AB38" s="20"/>
      <c r="AC38" s="225"/>
      <c r="AD38" s="20"/>
      <c r="AE38" s="280"/>
      <c r="AF38" s="13" t="s">
        <v>58</v>
      </c>
      <c r="AG38" s="13"/>
      <c r="AH38" s="20" t="s">
        <v>461</v>
      </c>
      <c r="AI38" s="20">
        <f>AH35/AI37</f>
        <v>3.5186770588877243</v>
      </c>
      <c r="AJ38" s="227" t="s">
        <v>462</v>
      </c>
      <c r="AK38" s="20"/>
      <c r="AL38" s="20"/>
      <c r="AM38" s="225"/>
      <c r="AN38" s="20"/>
      <c r="AO38" s="280"/>
      <c r="AP38" s="13" t="s">
        <v>58</v>
      </c>
      <c r="AQ38" s="13"/>
      <c r="AR38" s="20" t="s">
        <v>461</v>
      </c>
      <c r="AS38" s="20">
        <f>AR35/AS37</f>
        <v>3.0012245502277648</v>
      </c>
      <c r="AT38" s="227" t="s">
        <v>462</v>
      </c>
      <c r="AU38" s="20"/>
      <c r="AV38" s="20"/>
      <c r="AW38" s="225"/>
    </row>
    <row r="39" spans="1:49" x14ac:dyDescent="0.3">
      <c r="A39" s="280"/>
      <c r="B39" s="238"/>
      <c r="C39" s="283"/>
      <c r="D39" s="20"/>
      <c r="E39" s="20"/>
      <c r="F39" s="20"/>
      <c r="G39" s="20"/>
      <c r="H39" s="20"/>
      <c r="I39" s="225"/>
      <c r="J39" s="20"/>
      <c r="K39" s="280"/>
      <c r="L39" s="238"/>
      <c r="M39" s="228"/>
      <c r="N39" s="20"/>
      <c r="O39" s="20"/>
      <c r="P39" s="20"/>
      <c r="Q39" s="20"/>
      <c r="R39" s="20"/>
      <c r="S39" s="225"/>
      <c r="T39" s="20"/>
      <c r="U39" s="280"/>
      <c r="V39" s="13"/>
      <c r="W39" s="13"/>
      <c r="X39" s="20"/>
      <c r="Y39" s="20"/>
      <c r="Z39" s="20"/>
      <c r="AA39" s="20"/>
      <c r="AB39" s="20"/>
      <c r="AC39" s="225"/>
      <c r="AD39" s="20"/>
      <c r="AE39" s="280"/>
      <c r="AF39" s="13"/>
      <c r="AG39" s="13"/>
      <c r="AH39" s="20"/>
      <c r="AI39" s="20"/>
      <c r="AJ39" s="20"/>
      <c r="AK39" s="20"/>
      <c r="AL39" s="20"/>
      <c r="AM39" s="225"/>
      <c r="AN39" s="20"/>
      <c r="AO39" s="280"/>
      <c r="AP39" s="13"/>
      <c r="AQ39" s="13"/>
      <c r="AR39" s="20"/>
      <c r="AS39" s="20"/>
      <c r="AT39" s="20"/>
      <c r="AU39" s="20"/>
      <c r="AV39" s="20"/>
      <c r="AW39" s="225"/>
    </row>
    <row r="40" spans="1:49" x14ac:dyDescent="0.3">
      <c r="A40" s="549" t="s">
        <v>463</v>
      </c>
      <c r="B40" s="550"/>
      <c r="C40" s="283"/>
      <c r="D40" s="20"/>
      <c r="E40" s="20"/>
      <c r="F40" s="20"/>
      <c r="G40" s="20"/>
      <c r="H40" s="20"/>
      <c r="I40" s="225"/>
      <c r="J40" s="20"/>
      <c r="K40" s="549" t="s">
        <v>463</v>
      </c>
      <c r="L40" s="550"/>
      <c r="M40" s="228"/>
      <c r="N40" s="20"/>
      <c r="O40" s="20"/>
      <c r="P40" s="20"/>
      <c r="Q40" s="20"/>
      <c r="R40" s="20"/>
      <c r="S40" s="225"/>
      <c r="T40" s="20"/>
      <c r="U40" s="549" t="s">
        <v>463</v>
      </c>
      <c r="V40" s="550"/>
      <c r="W40" s="13"/>
      <c r="X40" s="20"/>
      <c r="Y40" s="20"/>
      <c r="Z40" s="20"/>
      <c r="AA40" s="20"/>
      <c r="AB40" s="20"/>
      <c r="AC40" s="225"/>
      <c r="AD40" s="20"/>
      <c r="AE40" s="549" t="s">
        <v>463</v>
      </c>
      <c r="AF40" s="550"/>
      <c r="AG40" s="13"/>
      <c r="AH40" s="20"/>
      <c r="AI40" s="20"/>
      <c r="AJ40" s="20"/>
      <c r="AK40" s="20"/>
      <c r="AL40" s="20"/>
      <c r="AM40" s="225"/>
      <c r="AN40" s="20"/>
      <c r="AO40" s="549" t="s">
        <v>463</v>
      </c>
      <c r="AP40" s="550"/>
      <c r="AQ40" s="13"/>
      <c r="AR40" s="20"/>
      <c r="AS40" s="20"/>
      <c r="AT40" s="20"/>
      <c r="AU40" s="20"/>
      <c r="AV40" s="20"/>
      <c r="AW40" s="225"/>
    </row>
    <row r="41" spans="1:49" x14ac:dyDescent="0.3">
      <c r="A41" s="282" t="s">
        <v>52</v>
      </c>
      <c r="B41" s="238"/>
      <c r="C41" s="245"/>
      <c r="D41" s="20"/>
      <c r="E41" s="20"/>
      <c r="F41" s="20"/>
      <c r="G41" s="20"/>
      <c r="H41" s="20"/>
      <c r="I41" s="225"/>
      <c r="J41" s="20"/>
      <c r="K41" s="562" t="s">
        <v>52</v>
      </c>
      <c r="L41" s="541"/>
      <c r="M41" s="409"/>
      <c r="N41" s="20"/>
      <c r="O41" s="20"/>
      <c r="P41" s="20"/>
      <c r="Q41" s="20"/>
      <c r="R41" s="20"/>
      <c r="S41" s="225"/>
      <c r="T41" s="20"/>
      <c r="U41" s="282" t="s">
        <v>52</v>
      </c>
      <c r="V41" s="283"/>
      <c r="W41" s="20"/>
      <c r="X41" s="20"/>
      <c r="Y41" s="20"/>
      <c r="Z41" s="20"/>
      <c r="AA41" s="20"/>
      <c r="AB41" s="20"/>
      <c r="AC41" s="225"/>
      <c r="AD41" s="20"/>
      <c r="AE41" s="282" t="s">
        <v>52</v>
      </c>
      <c r="AF41" s="283"/>
      <c r="AG41" s="20"/>
      <c r="AH41" s="20"/>
      <c r="AI41" s="20"/>
      <c r="AJ41" s="20"/>
      <c r="AK41" s="20"/>
      <c r="AL41" s="20"/>
      <c r="AM41" s="225"/>
      <c r="AN41" s="20"/>
      <c r="AO41" s="282" t="s">
        <v>52</v>
      </c>
      <c r="AP41" s="283"/>
      <c r="AQ41" s="20"/>
      <c r="AR41" s="20"/>
      <c r="AS41" s="20"/>
      <c r="AT41" s="20"/>
      <c r="AU41" s="20"/>
      <c r="AV41" s="20"/>
      <c r="AW41" s="225"/>
    </row>
    <row r="42" spans="1:49" x14ac:dyDescent="0.3">
      <c r="A42" s="280"/>
      <c r="B42" s="238" t="s">
        <v>35</v>
      </c>
      <c r="C42" s="245" t="s">
        <v>36</v>
      </c>
      <c r="D42" s="20"/>
      <c r="E42" s="20"/>
      <c r="F42" s="9">
        <f>0.634*D23</f>
        <v>2.3530736301369863E-2</v>
      </c>
      <c r="G42" s="20"/>
      <c r="H42" s="20"/>
      <c r="I42" s="225"/>
      <c r="J42" s="20"/>
      <c r="K42" s="280"/>
      <c r="L42" s="238" t="s">
        <v>35</v>
      </c>
      <c r="M42" s="409" t="s">
        <v>36</v>
      </c>
      <c r="N42" s="20"/>
      <c r="O42" s="20"/>
      <c r="P42" s="9">
        <f>0.634*N23</f>
        <v>2.3530736301369863E-2</v>
      </c>
      <c r="Q42" s="20"/>
      <c r="R42" s="20"/>
      <c r="S42" s="225"/>
      <c r="T42" s="20"/>
      <c r="U42" s="280"/>
      <c r="V42" s="13" t="s">
        <v>35</v>
      </c>
      <c r="W42" s="20" t="s">
        <v>36</v>
      </c>
      <c r="X42" s="20"/>
      <c r="Y42" s="20"/>
      <c r="Z42" s="9">
        <f>0.634*X23</f>
        <v>2.3530736301369863E-2</v>
      </c>
      <c r="AA42" s="20"/>
      <c r="AB42" s="20"/>
      <c r="AC42" s="225"/>
      <c r="AD42" s="20"/>
      <c r="AE42" s="280"/>
      <c r="AF42" s="13" t="s">
        <v>35</v>
      </c>
      <c r="AG42" s="20" t="s">
        <v>36</v>
      </c>
      <c r="AH42" s="20"/>
      <c r="AI42" s="20"/>
      <c r="AJ42" s="9">
        <f>0.634*AH23</f>
        <v>2.3530736301369863E-2</v>
      </c>
      <c r="AK42" s="20"/>
      <c r="AL42" s="20"/>
      <c r="AM42" s="225"/>
      <c r="AN42" s="20"/>
      <c r="AO42" s="280"/>
      <c r="AP42" s="13" t="s">
        <v>35</v>
      </c>
      <c r="AQ42" s="20" t="s">
        <v>36</v>
      </c>
      <c r="AR42" s="20"/>
      <c r="AS42" s="20"/>
      <c r="AT42" s="9">
        <f>0.634*AR23</f>
        <v>2.3530736301369863E-2</v>
      </c>
      <c r="AU42" s="20"/>
      <c r="AV42" s="20"/>
      <c r="AW42" s="225"/>
    </row>
    <row r="43" spans="1:49" x14ac:dyDescent="0.3">
      <c r="A43" s="280"/>
      <c r="B43" s="238" t="s">
        <v>37</v>
      </c>
      <c r="C43" s="245" t="s">
        <v>38</v>
      </c>
      <c r="D43" s="20"/>
      <c r="E43" s="20"/>
      <c r="F43" s="9">
        <f>1.4/B4</f>
        <v>5.0724637681159417E-3</v>
      </c>
      <c r="G43" s="20"/>
      <c r="H43" s="20"/>
      <c r="I43" s="225"/>
      <c r="J43" s="20"/>
      <c r="K43" s="280"/>
      <c r="L43" s="238" t="s">
        <v>37</v>
      </c>
      <c r="M43" s="409" t="s">
        <v>38</v>
      </c>
      <c r="N43" s="20"/>
      <c r="O43" s="20"/>
      <c r="P43" s="9">
        <f>1.4/L4</f>
        <v>5.0724637681159417E-3</v>
      </c>
      <c r="Q43" s="20"/>
      <c r="R43" s="20"/>
      <c r="S43" s="225"/>
      <c r="T43" s="20"/>
      <c r="U43" s="280"/>
      <c r="V43" s="13" t="s">
        <v>37</v>
      </c>
      <c r="W43" s="20" t="s">
        <v>38</v>
      </c>
      <c r="X43" s="20"/>
      <c r="Y43" s="20"/>
      <c r="Z43" s="9">
        <f>1.4/V4</f>
        <v>5.0724637681159417E-3</v>
      </c>
      <c r="AA43" s="20"/>
      <c r="AB43" s="20"/>
      <c r="AC43" s="225"/>
      <c r="AD43" s="20"/>
      <c r="AE43" s="280"/>
      <c r="AF43" s="13" t="s">
        <v>37</v>
      </c>
      <c r="AG43" s="20" t="s">
        <v>38</v>
      </c>
      <c r="AH43" s="20"/>
      <c r="AI43" s="20"/>
      <c r="AJ43" s="9">
        <f>1.4/AF4</f>
        <v>5.0724637681159417E-3</v>
      </c>
      <c r="AK43" s="20"/>
      <c r="AL43" s="20"/>
      <c r="AM43" s="225"/>
      <c r="AN43" s="20"/>
      <c r="AO43" s="280"/>
      <c r="AP43" s="13" t="s">
        <v>37</v>
      </c>
      <c r="AQ43" s="20" t="s">
        <v>38</v>
      </c>
      <c r="AR43" s="20"/>
      <c r="AS43" s="20"/>
      <c r="AT43" s="9">
        <f>1.4/AP4</f>
        <v>5.0724637681159417E-3</v>
      </c>
      <c r="AU43" s="20"/>
      <c r="AV43" s="20"/>
      <c r="AW43" s="225"/>
    </row>
    <row r="44" spans="1:49" x14ac:dyDescent="0.3">
      <c r="A44" s="280"/>
      <c r="B44" s="238" t="s">
        <v>26</v>
      </c>
      <c r="C44" s="23">
        <f>(0.85*(B5)/(B4))*(1-SQRT(1-((2*E17*10^6)/(0.85*B5*0.9*H28*H29^2))))</f>
        <v>2.728324699387991E-3</v>
      </c>
      <c r="D44" s="20"/>
      <c r="E44" s="13" t="s">
        <v>458</v>
      </c>
      <c r="F44" s="9">
        <f>IF(C44&gt;F43,C44,F43)</f>
        <v>5.0724637681159417E-3</v>
      </c>
      <c r="G44" s="20"/>
      <c r="H44" s="20"/>
      <c r="I44" s="225"/>
      <c r="J44" s="20"/>
      <c r="K44" s="280"/>
      <c r="L44" s="238" t="s">
        <v>26</v>
      </c>
      <c r="M44" s="419">
        <f>(0.85*(L5)/(L4))*(1-SQRT(1-((2*O17*10^6)/(0.85*L5*0.9*R28*R29^2))))</f>
        <v>2.5035783474184662E-3</v>
      </c>
      <c r="N44" s="20"/>
      <c r="O44" s="13" t="s">
        <v>458</v>
      </c>
      <c r="P44" s="9">
        <f>IF(M44&gt;P43,M44,P43)</f>
        <v>5.0724637681159417E-3</v>
      </c>
      <c r="Q44" s="20"/>
      <c r="R44" s="20"/>
      <c r="S44" s="225"/>
      <c r="T44" s="20"/>
      <c r="U44" s="280"/>
      <c r="V44" s="13" t="s">
        <v>26</v>
      </c>
      <c r="W44" s="9">
        <f>(0.85*(V5)/(V4))*(1-SQRT(1-((2*Y17*10^6)/(0.85*V5*0.9*AB28*AB29^2))))</f>
        <v>2.4463788250043347E-3</v>
      </c>
      <c r="X44" s="20"/>
      <c r="Y44" s="13" t="s">
        <v>458</v>
      </c>
      <c r="Z44" s="9">
        <f>IF(W44&gt;Z43,W44,Z43)</f>
        <v>5.0724637681159417E-3</v>
      </c>
      <c r="AA44" s="20"/>
      <c r="AB44" s="20"/>
      <c r="AC44" s="225"/>
      <c r="AD44" s="20"/>
      <c r="AE44" s="280"/>
      <c r="AF44" s="13" t="s">
        <v>26</v>
      </c>
      <c r="AG44" s="9">
        <f>(0.85*(AF5)/(AF4))*(1-SQRT(1-((2*AI17*10^6)/(0.85*AF5*0.9*AL28*AL29^2))))</f>
        <v>2.2059309304749133E-3</v>
      </c>
      <c r="AH44" s="20"/>
      <c r="AI44" s="13" t="s">
        <v>458</v>
      </c>
      <c r="AJ44" s="9">
        <f>IF(AG44&gt;AJ43,AG44,AJ43)</f>
        <v>5.0724637681159417E-3</v>
      </c>
      <c r="AK44" s="20"/>
      <c r="AL44" s="20"/>
      <c r="AM44" s="225"/>
      <c r="AN44" s="20"/>
      <c r="AO44" s="280"/>
      <c r="AP44" s="13" t="s">
        <v>26</v>
      </c>
      <c r="AQ44" s="9">
        <f>(0.85*(AP5)/(AP4))*(1-SQRT(1-((2*AS17*10^6)/(0.85*AP5*0.9*AV28*AV29^2))))</f>
        <v>2.4127113286448896E-3</v>
      </c>
      <c r="AR44" s="20"/>
      <c r="AS44" s="13" t="s">
        <v>458</v>
      </c>
      <c r="AT44" s="9">
        <f>IF(AQ44&gt;AT43,AQ44,AT43)</f>
        <v>5.0724637681159417E-3</v>
      </c>
      <c r="AU44" s="20"/>
      <c r="AV44" s="20"/>
      <c r="AW44" s="225"/>
    </row>
    <row r="45" spans="1:49" x14ac:dyDescent="0.3">
      <c r="A45" s="280"/>
      <c r="B45" s="238" t="s">
        <v>53</v>
      </c>
      <c r="C45" s="245" t="s">
        <v>54</v>
      </c>
      <c r="D45" s="20">
        <f>F44*H28*H29</f>
        <v>482.89855072463763</v>
      </c>
      <c r="E45" s="20"/>
      <c r="F45" s="20"/>
      <c r="G45" s="20"/>
      <c r="H45" s="20"/>
      <c r="I45" s="225"/>
      <c r="J45" s="20"/>
      <c r="K45" s="280"/>
      <c r="L45" s="238" t="s">
        <v>53</v>
      </c>
      <c r="M45" s="409" t="s">
        <v>54</v>
      </c>
      <c r="N45" s="20">
        <f>P44*R28*R29</f>
        <v>431.15942028985501</v>
      </c>
      <c r="O45" s="20"/>
      <c r="P45" s="20"/>
      <c r="Q45" s="20"/>
      <c r="R45" s="20"/>
      <c r="S45" s="225"/>
      <c r="T45" s="20"/>
      <c r="U45" s="280"/>
      <c r="V45" s="13" t="s">
        <v>53</v>
      </c>
      <c r="W45" s="20" t="s">
        <v>54</v>
      </c>
      <c r="X45" s="20">
        <f>Z44*AB28*AB29</f>
        <v>482.89855072463763</v>
      </c>
      <c r="Y45" s="20"/>
      <c r="Z45" s="20"/>
      <c r="AA45" s="20"/>
      <c r="AB45" s="20"/>
      <c r="AC45" s="225"/>
      <c r="AD45" s="20"/>
      <c r="AE45" s="280"/>
      <c r="AF45" s="13" t="s">
        <v>53</v>
      </c>
      <c r="AG45" s="20" t="s">
        <v>54</v>
      </c>
      <c r="AH45" s="20">
        <f>AJ44*AL28*AL29</f>
        <v>482.89855072463763</v>
      </c>
      <c r="AI45" s="20"/>
      <c r="AJ45" s="20"/>
      <c r="AK45" s="20"/>
      <c r="AL45" s="20"/>
      <c r="AM45" s="225"/>
      <c r="AN45" s="20"/>
      <c r="AO45" s="280"/>
      <c r="AP45" s="13" t="s">
        <v>53</v>
      </c>
      <c r="AQ45" s="20" t="s">
        <v>54</v>
      </c>
      <c r="AR45" s="20">
        <f>AT44*AV28*AV29</f>
        <v>411.88405797101444</v>
      </c>
      <c r="AS45" s="20"/>
      <c r="AT45" s="20"/>
      <c r="AU45" s="20"/>
      <c r="AV45" s="20"/>
      <c r="AW45" s="225"/>
    </row>
    <row r="46" spans="1:49" ht="25.2" x14ac:dyDescent="0.3">
      <c r="A46" s="562" t="s">
        <v>55</v>
      </c>
      <c r="B46" s="541"/>
      <c r="C46" s="541"/>
      <c r="D46" s="541"/>
      <c r="E46" s="20"/>
      <c r="F46" s="284" t="s">
        <v>546</v>
      </c>
      <c r="G46" s="13">
        <v>20</v>
      </c>
      <c r="H46" s="238" t="s">
        <v>43</v>
      </c>
      <c r="I46" s="225"/>
      <c r="J46" s="20"/>
      <c r="K46" s="282" t="s">
        <v>55</v>
      </c>
      <c r="L46" s="238"/>
      <c r="M46" s="409"/>
      <c r="N46" s="20"/>
      <c r="O46" s="20"/>
      <c r="P46" s="284" t="s">
        <v>546</v>
      </c>
      <c r="Q46" s="13">
        <v>20</v>
      </c>
      <c r="R46" s="238" t="s">
        <v>43</v>
      </c>
      <c r="S46" s="225"/>
      <c r="T46" s="20"/>
      <c r="U46" s="282" t="s">
        <v>55</v>
      </c>
      <c r="V46" s="283"/>
      <c r="W46" s="20"/>
      <c r="X46" s="20"/>
      <c r="Y46" s="20"/>
      <c r="Z46" s="284" t="s">
        <v>546</v>
      </c>
      <c r="AA46" s="13">
        <v>20</v>
      </c>
      <c r="AB46" s="238" t="s">
        <v>43</v>
      </c>
      <c r="AC46" s="225"/>
      <c r="AD46" s="20"/>
      <c r="AE46" s="282" t="s">
        <v>55</v>
      </c>
      <c r="AF46" s="283"/>
      <c r="AG46" s="20"/>
      <c r="AH46" s="20"/>
      <c r="AI46" s="20"/>
      <c r="AJ46" s="284" t="s">
        <v>546</v>
      </c>
      <c r="AK46" s="13">
        <v>20</v>
      </c>
      <c r="AL46" s="238" t="s">
        <v>43</v>
      </c>
      <c r="AM46" s="225"/>
      <c r="AN46" s="20"/>
      <c r="AO46" s="282" t="s">
        <v>55</v>
      </c>
      <c r="AP46" s="283"/>
      <c r="AQ46" s="20"/>
      <c r="AR46" s="20"/>
      <c r="AS46" s="20"/>
      <c r="AT46" s="284" t="s">
        <v>546</v>
      </c>
      <c r="AU46" s="13">
        <v>20</v>
      </c>
      <c r="AV46" s="238" t="s">
        <v>43</v>
      </c>
      <c r="AW46" s="225"/>
    </row>
    <row r="47" spans="1:49" x14ac:dyDescent="0.3">
      <c r="A47" s="280"/>
      <c r="B47" s="238" t="s">
        <v>56</v>
      </c>
      <c r="C47" s="245"/>
      <c r="D47" s="20"/>
      <c r="E47" s="20">
        <f>(3.141592654*(G36^2))/4</f>
        <v>314.15926539999998</v>
      </c>
      <c r="F47" s="227" t="s">
        <v>460</v>
      </c>
      <c r="G47" s="20"/>
      <c r="H47" s="20"/>
      <c r="I47" s="225"/>
      <c r="J47" s="20"/>
      <c r="K47" s="280"/>
      <c r="L47" s="238" t="s">
        <v>56</v>
      </c>
      <c r="M47" s="409"/>
      <c r="N47" s="20"/>
      <c r="O47" s="20">
        <f>(3.141592654*(Q36^2))/4</f>
        <v>314.15926539999998</v>
      </c>
      <c r="P47" s="227" t="s">
        <v>460</v>
      </c>
      <c r="Q47" s="20"/>
      <c r="R47" s="20"/>
      <c r="S47" s="225"/>
      <c r="T47" s="20"/>
      <c r="U47" s="280"/>
      <c r="V47" s="13" t="s">
        <v>56</v>
      </c>
      <c r="W47" s="20"/>
      <c r="X47" s="20"/>
      <c r="Y47" s="20">
        <f>(3.141592654*(AA36^2))/4</f>
        <v>314.15926539999998</v>
      </c>
      <c r="Z47" s="227" t="s">
        <v>460</v>
      </c>
      <c r="AA47" s="20"/>
      <c r="AB47" s="20"/>
      <c r="AC47" s="225"/>
      <c r="AD47" s="20"/>
      <c r="AE47" s="280"/>
      <c r="AF47" s="13" t="s">
        <v>56</v>
      </c>
      <c r="AG47" s="20"/>
      <c r="AH47" s="20"/>
      <c r="AI47" s="20">
        <f>(3.141592654*(AK36^2))/4</f>
        <v>314.15926539999998</v>
      </c>
      <c r="AJ47" s="227" t="s">
        <v>460</v>
      </c>
      <c r="AK47" s="20"/>
      <c r="AL47" s="20"/>
      <c r="AM47" s="225"/>
      <c r="AN47" s="20"/>
      <c r="AO47" s="280"/>
      <c r="AP47" s="13" t="s">
        <v>56</v>
      </c>
      <c r="AQ47" s="20"/>
      <c r="AR47" s="20"/>
      <c r="AS47" s="20">
        <f>(3.141592654*(AU36^2))/4</f>
        <v>314.15926539999998</v>
      </c>
      <c r="AT47" s="227" t="s">
        <v>460</v>
      </c>
      <c r="AU47" s="20"/>
      <c r="AV47" s="20"/>
      <c r="AW47" s="225"/>
    </row>
    <row r="48" spans="1:49" x14ac:dyDescent="0.3">
      <c r="A48" s="280"/>
      <c r="B48" s="238" t="s">
        <v>58</v>
      </c>
      <c r="C48" s="283"/>
      <c r="D48" s="20" t="s">
        <v>461</v>
      </c>
      <c r="E48" s="20">
        <f>D45/E47</f>
        <v>1.5371138269940634</v>
      </c>
      <c r="F48" s="227" t="s">
        <v>462</v>
      </c>
      <c r="G48" s="20"/>
      <c r="H48" s="20"/>
      <c r="I48" s="225"/>
      <c r="J48" s="20"/>
      <c r="K48" s="280"/>
      <c r="L48" s="238" t="s">
        <v>58</v>
      </c>
      <c r="M48" s="228"/>
      <c r="N48" s="20" t="s">
        <v>461</v>
      </c>
      <c r="O48" s="20">
        <f>N45/O47</f>
        <v>1.372423059816128</v>
      </c>
      <c r="P48" s="227" t="s">
        <v>462</v>
      </c>
      <c r="Q48" s="20"/>
      <c r="R48" s="20"/>
      <c r="S48" s="225"/>
      <c r="T48" s="20"/>
      <c r="U48" s="280"/>
      <c r="V48" s="13" t="s">
        <v>58</v>
      </c>
      <c r="W48" s="13"/>
      <c r="X48" s="20" t="s">
        <v>461</v>
      </c>
      <c r="Y48" s="20">
        <f>X45/Y47</f>
        <v>1.5371138269940634</v>
      </c>
      <c r="Z48" s="227" t="s">
        <v>462</v>
      </c>
      <c r="AA48" s="20"/>
      <c r="AB48" s="20"/>
      <c r="AC48" s="225"/>
      <c r="AD48" s="20"/>
      <c r="AE48" s="280"/>
      <c r="AF48" s="13" t="s">
        <v>58</v>
      </c>
      <c r="AG48" s="13"/>
      <c r="AH48" s="20" t="s">
        <v>461</v>
      </c>
      <c r="AI48" s="20">
        <f>AH45/AI47</f>
        <v>1.5371138269940634</v>
      </c>
      <c r="AJ48" s="227" t="s">
        <v>462</v>
      </c>
      <c r="AK48" s="20"/>
      <c r="AL48" s="20"/>
      <c r="AM48" s="225"/>
      <c r="AN48" s="20"/>
      <c r="AO48" s="280"/>
      <c r="AP48" s="13" t="s">
        <v>58</v>
      </c>
      <c r="AQ48" s="13"/>
      <c r="AR48" s="20" t="s">
        <v>461</v>
      </c>
      <c r="AS48" s="20">
        <f>AR45/AS47</f>
        <v>1.3110676759655246</v>
      </c>
      <c r="AT48" s="227" t="s">
        <v>462</v>
      </c>
      <c r="AU48" s="20"/>
      <c r="AV48" s="20"/>
      <c r="AW48" s="225"/>
    </row>
    <row r="49" spans="1:49" x14ac:dyDescent="0.3">
      <c r="A49" s="546" t="s">
        <v>604</v>
      </c>
      <c r="B49" s="547"/>
      <c r="C49" s="547"/>
      <c r="D49" s="547"/>
      <c r="E49" s="547"/>
      <c r="F49" s="547"/>
      <c r="G49" s="547"/>
      <c r="H49" s="547"/>
      <c r="I49" s="548"/>
      <c r="J49" s="20"/>
      <c r="K49" s="546" t="s">
        <v>604</v>
      </c>
      <c r="L49" s="547"/>
      <c r="M49" s="547"/>
      <c r="N49" s="547"/>
      <c r="O49" s="547"/>
      <c r="P49" s="547"/>
      <c r="Q49" s="547"/>
      <c r="R49" s="547"/>
      <c r="S49" s="548"/>
      <c r="T49" s="20"/>
      <c r="U49" s="546" t="s">
        <v>604</v>
      </c>
      <c r="V49" s="547"/>
      <c r="W49" s="547"/>
      <c r="X49" s="547"/>
      <c r="Y49" s="547"/>
      <c r="Z49" s="547"/>
      <c r="AA49" s="547"/>
      <c r="AB49" s="547"/>
      <c r="AC49" s="548"/>
      <c r="AD49" s="20"/>
      <c r="AE49" s="546" t="s">
        <v>604</v>
      </c>
      <c r="AF49" s="547"/>
      <c r="AG49" s="547"/>
      <c r="AH49" s="547"/>
      <c r="AI49" s="547"/>
      <c r="AJ49" s="547"/>
      <c r="AK49" s="547"/>
      <c r="AL49" s="547"/>
      <c r="AM49" s="548"/>
      <c r="AN49" s="20"/>
      <c r="AO49" s="546" t="s">
        <v>604</v>
      </c>
      <c r="AP49" s="547"/>
      <c r="AQ49" s="547"/>
      <c r="AR49" s="547"/>
      <c r="AS49" s="547"/>
      <c r="AT49" s="547"/>
      <c r="AU49" s="547"/>
      <c r="AV49" s="547"/>
      <c r="AW49" s="548"/>
    </row>
    <row r="50" spans="1:49" x14ac:dyDescent="0.3">
      <c r="A50" s="562" t="s">
        <v>628</v>
      </c>
      <c r="B50" s="541"/>
      <c r="C50" s="227" t="s">
        <v>629</v>
      </c>
      <c r="E50" s="20"/>
      <c r="F50" s="394" t="s">
        <v>631</v>
      </c>
      <c r="I50" s="225"/>
      <c r="J50" s="20"/>
      <c r="K50" s="562" t="s">
        <v>628</v>
      </c>
      <c r="L50" s="541"/>
      <c r="M50" s="227" t="s">
        <v>629</v>
      </c>
      <c r="O50" s="20"/>
      <c r="P50" s="394" t="s">
        <v>631</v>
      </c>
      <c r="S50" s="225"/>
      <c r="T50" s="20"/>
      <c r="U50" s="562" t="s">
        <v>628</v>
      </c>
      <c r="V50" s="541"/>
      <c r="W50" s="227" t="s">
        <v>629</v>
      </c>
      <c r="Y50" s="20"/>
      <c r="Z50" s="394" t="s">
        <v>631</v>
      </c>
      <c r="AC50" s="225"/>
      <c r="AD50" s="20"/>
      <c r="AE50" s="562" t="s">
        <v>628</v>
      </c>
      <c r="AF50" s="541"/>
      <c r="AG50" s="227" t="s">
        <v>629</v>
      </c>
      <c r="AI50" s="20"/>
      <c r="AJ50" s="394" t="s">
        <v>631</v>
      </c>
      <c r="AM50" s="225"/>
      <c r="AN50" s="20"/>
      <c r="AO50" s="562" t="s">
        <v>628</v>
      </c>
      <c r="AP50" s="541"/>
      <c r="AQ50" s="227" t="s">
        <v>629</v>
      </c>
      <c r="AS50" s="20"/>
      <c r="AT50" s="394" t="s">
        <v>631</v>
      </c>
      <c r="AW50" s="225"/>
    </row>
    <row r="51" spans="1:49" x14ac:dyDescent="0.3">
      <c r="A51" s="279"/>
      <c r="B51" s="228" t="s">
        <v>625</v>
      </c>
      <c r="C51" s="390">
        <v>10</v>
      </c>
      <c r="D51" s="227" t="s">
        <v>624</v>
      </c>
      <c r="E51" s="20"/>
      <c r="F51" s="238"/>
      <c r="G51" s="20"/>
      <c r="H51" s="20"/>
      <c r="I51" s="225"/>
      <c r="J51" s="20"/>
      <c r="K51" s="279"/>
      <c r="L51" s="228" t="s">
        <v>625</v>
      </c>
      <c r="M51" s="390">
        <v>10</v>
      </c>
      <c r="N51" s="227" t="s">
        <v>624</v>
      </c>
      <c r="O51" s="20"/>
      <c r="P51" s="238"/>
      <c r="Q51" s="20"/>
      <c r="R51" s="20"/>
      <c r="S51" s="225"/>
      <c r="T51" s="20"/>
      <c r="U51" s="279"/>
      <c r="V51" s="228" t="s">
        <v>625</v>
      </c>
      <c r="W51" s="390">
        <v>10</v>
      </c>
      <c r="X51" s="227" t="s">
        <v>624</v>
      </c>
      <c r="Y51" s="20"/>
      <c r="Z51" s="238"/>
      <c r="AA51" s="20"/>
      <c r="AB51" s="20"/>
      <c r="AC51" s="225"/>
      <c r="AD51" s="20"/>
      <c r="AE51" s="279"/>
      <c r="AF51" s="228" t="s">
        <v>625</v>
      </c>
      <c r="AG51" s="390">
        <v>10</v>
      </c>
      <c r="AH51" s="227" t="s">
        <v>624</v>
      </c>
      <c r="AI51" s="20"/>
      <c r="AJ51" s="238"/>
      <c r="AK51" s="20"/>
      <c r="AL51" s="20"/>
      <c r="AM51" s="225"/>
      <c r="AN51" s="20"/>
      <c r="AO51" s="279"/>
      <c r="AP51" s="228" t="s">
        <v>625</v>
      </c>
      <c r="AQ51" s="390">
        <v>10</v>
      </c>
      <c r="AR51" s="227" t="s">
        <v>624</v>
      </c>
      <c r="AS51" s="20"/>
      <c r="AT51" s="238"/>
      <c r="AU51" s="20"/>
      <c r="AV51" s="20"/>
      <c r="AW51" s="225"/>
    </row>
    <row r="52" spans="1:49" x14ac:dyDescent="0.3">
      <c r="A52" s="279"/>
      <c r="B52" s="238" t="s">
        <v>620</v>
      </c>
      <c r="C52" s="13" t="s">
        <v>32</v>
      </c>
      <c r="D52" s="20">
        <f>H29/4</f>
        <v>85</v>
      </c>
      <c r="E52" s="227" t="s">
        <v>43</v>
      </c>
      <c r="F52" s="227" t="s">
        <v>627</v>
      </c>
      <c r="G52" s="20">
        <f>H29/2</f>
        <v>170</v>
      </c>
      <c r="H52" s="20" t="s">
        <v>43</v>
      </c>
      <c r="I52" s="225"/>
      <c r="J52" s="20"/>
      <c r="K52" s="279"/>
      <c r="L52" s="238" t="s">
        <v>620</v>
      </c>
      <c r="M52" s="13" t="s">
        <v>32</v>
      </c>
      <c r="N52" s="20">
        <v>85</v>
      </c>
      <c r="O52" s="227" t="s">
        <v>43</v>
      </c>
      <c r="P52" s="227" t="s">
        <v>627</v>
      </c>
      <c r="Q52" s="20">
        <v>170</v>
      </c>
      <c r="R52" s="20" t="s">
        <v>43</v>
      </c>
      <c r="S52" s="225"/>
      <c r="T52" s="20"/>
      <c r="U52" s="279"/>
      <c r="V52" s="238" t="s">
        <v>620</v>
      </c>
      <c r="W52" s="13" t="s">
        <v>32</v>
      </c>
      <c r="X52" s="20">
        <f>AB29/4</f>
        <v>85</v>
      </c>
      <c r="Y52" s="227" t="s">
        <v>43</v>
      </c>
      <c r="Z52" s="227" t="s">
        <v>627</v>
      </c>
      <c r="AA52" s="20">
        <f>AB29/2</f>
        <v>170</v>
      </c>
      <c r="AB52" s="20" t="s">
        <v>43</v>
      </c>
      <c r="AC52" s="225"/>
      <c r="AD52" s="20"/>
      <c r="AE52" s="279"/>
      <c r="AF52" s="238" t="s">
        <v>620</v>
      </c>
      <c r="AG52" s="13" t="s">
        <v>32</v>
      </c>
      <c r="AH52" s="20">
        <f>AL29/4</f>
        <v>85</v>
      </c>
      <c r="AI52" s="227" t="s">
        <v>43</v>
      </c>
      <c r="AJ52" s="227" t="s">
        <v>627</v>
      </c>
      <c r="AK52" s="20">
        <f>AL29/2</f>
        <v>170</v>
      </c>
      <c r="AL52" s="20" t="s">
        <v>43</v>
      </c>
      <c r="AM52" s="225"/>
      <c r="AN52" s="20"/>
      <c r="AO52" s="279"/>
      <c r="AP52" s="238" t="s">
        <v>620</v>
      </c>
      <c r="AQ52" s="13" t="s">
        <v>32</v>
      </c>
      <c r="AR52" s="20">
        <f>AV29/4</f>
        <v>72.5</v>
      </c>
      <c r="AS52" s="227" t="s">
        <v>43</v>
      </c>
      <c r="AT52" s="227" t="s">
        <v>627</v>
      </c>
      <c r="AU52" s="20">
        <f>AV29/2</f>
        <v>145</v>
      </c>
      <c r="AV52" s="20" t="s">
        <v>43</v>
      </c>
      <c r="AW52" s="225"/>
    </row>
    <row r="53" spans="1:49" x14ac:dyDescent="0.3">
      <c r="A53" s="279"/>
      <c r="B53" s="238" t="s">
        <v>621</v>
      </c>
      <c r="C53" s="13" t="s">
        <v>32</v>
      </c>
      <c r="D53" s="20">
        <f>8*G36</f>
        <v>160</v>
      </c>
      <c r="E53" s="227" t="s">
        <v>43</v>
      </c>
      <c r="F53" s="227"/>
      <c r="G53" s="20"/>
      <c r="H53" s="20"/>
      <c r="I53" s="225"/>
      <c r="J53" s="20"/>
      <c r="K53" s="279"/>
      <c r="L53" s="238" t="s">
        <v>621</v>
      </c>
      <c r="M53" s="13" t="s">
        <v>32</v>
      </c>
      <c r="N53" s="20">
        <v>160</v>
      </c>
      <c r="O53" s="227" t="s">
        <v>43</v>
      </c>
      <c r="P53" s="227"/>
      <c r="Q53" s="20"/>
      <c r="R53" s="20"/>
      <c r="S53" s="225"/>
      <c r="T53" s="20"/>
      <c r="U53" s="279"/>
      <c r="V53" s="238" t="s">
        <v>621</v>
      </c>
      <c r="W53" s="13" t="s">
        <v>32</v>
      </c>
      <c r="X53" s="20">
        <f>8*AA36</f>
        <v>160</v>
      </c>
      <c r="Y53" s="227" t="s">
        <v>43</v>
      </c>
      <c r="Z53" s="227"/>
      <c r="AA53" s="20"/>
      <c r="AB53" s="20"/>
      <c r="AC53" s="225"/>
      <c r="AD53" s="20"/>
      <c r="AE53" s="279"/>
      <c r="AF53" s="238" t="s">
        <v>621</v>
      </c>
      <c r="AG53" s="13" t="s">
        <v>32</v>
      </c>
      <c r="AH53" s="20">
        <f>8*AK36</f>
        <v>160</v>
      </c>
      <c r="AI53" s="227" t="s">
        <v>43</v>
      </c>
      <c r="AJ53" s="227"/>
      <c r="AK53" s="20"/>
      <c r="AL53" s="20"/>
      <c r="AM53" s="225"/>
      <c r="AN53" s="20"/>
      <c r="AO53" s="279"/>
      <c r="AP53" s="238" t="s">
        <v>621</v>
      </c>
      <c r="AQ53" s="13" t="s">
        <v>32</v>
      </c>
      <c r="AR53" s="20">
        <f>8*AU36</f>
        <v>160</v>
      </c>
      <c r="AS53" s="227" t="s">
        <v>43</v>
      </c>
      <c r="AT53" s="227"/>
      <c r="AU53" s="20"/>
      <c r="AV53" s="20"/>
      <c r="AW53" s="225"/>
    </row>
    <row r="54" spans="1:49" x14ac:dyDescent="0.3">
      <c r="A54" s="280"/>
      <c r="B54" s="238" t="s">
        <v>622</v>
      </c>
      <c r="C54" s="13" t="s">
        <v>32</v>
      </c>
      <c r="D54" s="20">
        <f>24*C51</f>
        <v>240</v>
      </c>
      <c r="E54" s="227" t="s">
        <v>43</v>
      </c>
      <c r="F54" s="227"/>
      <c r="G54" s="20"/>
      <c r="H54" s="20"/>
      <c r="I54" s="225"/>
      <c r="J54" s="20"/>
      <c r="K54" s="280"/>
      <c r="L54" s="238" t="s">
        <v>622</v>
      </c>
      <c r="M54" s="13" t="s">
        <v>32</v>
      </c>
      <c r="N54" s="20">
        <v>240</v>
      </c>
      <c r="O54" s="227" t="s">
        <v>43</v>
      </c>
      <c r="P54" s="227"/>
      <c r="Q54" s="20"/>
      <c r="R54" s="20"/>
      <c r="S54" s="225"/>
      <c r="T54" s="20"/>
      <c r="U54" s="280"/>
      <c r="V54" s="238" t="s">
        <v>622</v>
      </c>
      <c r="W54" s="13" t="s">
        <v>32</v>
      </c>
      <c r="X54" s="20">
        <f>24*W51</f>
        <v>240</v>
      </c>
      <c r="Y54" s="227" t="s">
        <v>43</v>
      </c>
      <c r="Z54" s="227"/>
      <c r="AA54" s="20"/>
      <c r="AB54" s="20"/>
      <c r="AC54" s="225"/>
      <c r="AD54" s="20"/>
      <c r="AE54" s="280"/>
      <c r="AF54" s="238" t="s">
        <v>622</v>
      </c>
      <c r="AG54" s="13" t="s">
        <v>32</v>
      </c>
      <c r="AH54" s="20">
        <f>24*AG51</f>
        <v>240</v>
      </c>
      <c r="AI54" s="227" t="s">
        <v>43</v>
      </c>
      <c r="AJ54" s="227"/>
      <c r="AK54" s="20"/>
      <c r="AL54" s="20"/>
      <c r="AM54" s="225"/>
      <c r="AN54" s="20"/>
      <c r="AO54" s="280"/>
      <c r="AP54" s="238" t="s">
        <v>622</v>
      </c>
      <c r="AQ54" s="13" t="s">
        <v>32</v>
      </c>
      <c r="AR54" s="20">
        <f>24*AQ51</f>
        <v>240</v>
      </c>
      <c r="AS54" s="227" t="s">
        <v>43</v>
      </c>
      <c r="AT54" s="227"/>
      <c r="AU54" s="20"/>
      <c r="AV54" s="20"/>
      <c r="AW54" s="225"/>
    </row>
    <row r="55" spans="1:49" x14ac:dyDescent="0.3">
      <c r="A55" s="280"/>
      <c r="B55" s="238" t="s">
        <v>623</v>
      </c>
      <c r="C55" s="13" t="s">
        <v>32</v>
      </c>
      <c r="D55" s="20">
        <v>300</v>
      </c>
      <c r="E55" s="227" t="s">
        <v>43</v>
      </c>
      <c r="F55" s="227"/>
      <c r="G55" s="20"/>
      <c r="H55" s="20"/>
      <c r="I55" s="225"/>
      <c r="J55" s="20"/>
      <c r="K55" s="280"/>
      <c r="L55" s="238" t="s">
        <v>623</v>
      </c>
      <c r="M55" s="13" t="s">
        <v>32</v>
      </c>
      <c r="N55" s="20">
        <v>300</v>
      </c>
      <c r="O55" s="227" t="s">
        <v>43</v>
      </c>
      <c r="P55" s="227"/>
      <c r="Q55" s="20"/>
      <c r="R55" s="20"/>
      <c r="S55" s="225"/>
      <c r="T55" s="20"/>
      <c r="U55" s="280"/>
      <c r="V55" s="238" t="s">
        <v>623</v>
      </c>
      <c r="W55" s="13" t="s">
        <v>32</v>
      </c>
      <c r="X55" s="20">
        <v>300</v>
      </c>
      <c r="Y55" s="227" t="s">
        <v>43</v>
      </c>
      <c r="Z55" s="227"/>
      <c r="AA55" s="20"/>
      <c r="AB55" s="20"/>
      <c r="AC55" s="225"/>
      <c r="AD55" s="20"/>
      <c r="AE55" s="280"/>
      <c r="AF55" s="238" t="s">
        <v>623</v>
      </c>
      <c r="AG55" s="13" t="s">
        <v>32</v>
      </c>
      <c r="AH55" s="20">
        <v>300</v>
      </c>
      <c r="AI55" s="227" t="s">
        <v>43</v>
      </c>
      <c r="AJ55" s="227"/>
      <c r="AK55" s="20"/>
      <c r="AL55" s="20"/>
      <c r="AM55" s="225"/>
      <c r="AN55" s="20"/>
      <c r="AO55" s="280"/>
      <c r="AP55" s="238" t="s">
        <v>623</v>
      </c>
      <c r="AQ55" s="13" t="s">
        <v>32</v>
      </c>
      <c r="AR55" s="20">
        <v>300</v>
      </c>
      <c r="AS55" s="227" t="s">
        <v>43</v>
      </c>
      <c r="AT55" s="227"/>
      <c r="AU55" s="20"/>
      <c r="AV55" s="20"/>
      <c r="AW55" s="225"/>
    </row>
    <row r="56" spans="1:49" x14ac:dyDescent="0.3">
      <c r="A56" s="280"/>
      <c r="B56" s="238"/>
      <c r="C56" s="13" t="s">
        <v>626</v>
      </c>
      <c r="D56" s="250">
        <f>MIN(D52:D55)</f>
        <v>85</v>
      </c>
      <c r="E56" s="238" t="s">
        <v>43</v>
      </c>
      <c r="F56" s="227" t="s">
        <v>129</v>
      </c>
      <c r="G56" s="20"/>
      <c r="H56" s="20"/>
      <c r="I56" s="225"/>
      <c r="J56" s="20"/>
      <c r="K56" s="280"/>
      <c r="L56" s="238"/>
      <c r="M56" s="13" t="s">
        <v>626</v>
      </c>
      <c r="N56" s="250">
        <f>MIN(N52:N55)</f>
        <v>85</v>
      </c>
      <c r="O56" s="238" t="s">
        <v>43</v>
      </c>
      <c r="P56" s="227" t="s">
        <v>129</v>
      </c>
      <c r="Q56" s="20"/>
      <c r="R56" s="20"/>
      <c r="S56" s="225"/>
      <c r="T56" s="20"/>
      <c r="U56" s="280"/>
      <c r="V56" s="238"/>
      <c r="W56" s="13" t="s">
        <v>626</v>
      </c>
      <c r="X56" s="250">
        <f>MIN(X52:X55)</f>
        <v>85</v>
      </c>
      <c r="Y56" s="238" t="s">
        <v>43</v>
      </c>
      <c r="Z56" s="227" t="s">
        <v>129</v>
      </c>
      <c r="AA56" s="20"/>
      <c r="AB56" s="20"/>
      <c r="AC56" s="225"/>
      <c r="AD56" s="20"/>
      <c r="AE56" s="280"/>
      <c r="AF56" s="238"/>
      <c r="AG56" s="13" t="s">
        <v>626</v>
      </c>
      <c r="AH56" s="250">
        <f>MIN(AH52:AH55)</f>
        <v>85</v>
      </c>
      <c r="AI56" s="238" t="s">
        <v>43</v>
      </c>
      <c r="AJ56" s="227" t="s">
        <v>129</v>
      </c>
      <c r="AK56" s="20"/>
      <c r="AL56" s="20"/>
      <c r="AM56" s="225"/>
      <c r="AN56" s="20"/>
      <c r="AO56" s="280"/>
      <c r="AP56" s="238"/>
      <c r="AQ56" s="13" t="s">
        <v>626</v>
      </c>
      <c r="AR56" s="250">
        <f>MIN(AR52:AR55)</f>
        <v>72.5</v>
      </c>
      <c r="AS56" s="238" t="s">
        <v>43</v>
      </c>
      <c r="AT56" s="227" t="s">
        <v>129</v>
      </c>
      <c r="AU56" s="20"/>
      <c r="AV56" s="20"/>
      <c r="AW56" s="225"/>
    </row>
    <row r="57" spans="1:49" x14ac:dyDescent="0.3">
      <c r="A57" s="281" t="s">
        <v>12</v>
      </c>
      <c r="B57" s="227"/>
      <c r="C57" s="245"/>
      <c r="D57" s="20"/>
      <c r="E57" s="20"/>
      <c r="F57" s="20"/>
      <c r="G57" s="13"/>
      <c r="H57" s="13"/>
      <c r="I57" s="234"/>
      <c r="J57" s="20"/>
      <c r="K57" s="281" t="s">
        <v>12</v>
      </c>
      <c r="L57" s="227"/>
      <c r="M57" s="245"/>
      <c r="N57" s="20"/>
      <c r="O57" s="20"/>
      <c r="P57" s="20"/>
      <c r="Q57" s="13"/>
      <c r="R57" s="13"/>
      <c r="S57" s="234"/>
      <c r="T57" s="20"/>
      <c r="U57" s="281" t="s">
        <v>12</v>
      </c>
      <c r="V57" s="227"/>
      <c r="W57" s="245"/>
      <c r="X57" s="20"/>
      <c r="Y57" s="20"/>
      <c r="Z57" s="20"/>
      <c r="AA57" s="13"/>
      <c r="AB57" s="13"/>
      <c r="AC57" s="234"/>
      <c r="AD57" s="20"/>
      <c r="AE57" s="281" t="s">
        <v>12</v>
      </c>
      <c r="AF57" s="227"/>
      <c r="AG57" s="245"/>
      <c r="AH57" s="20"/>
      <c r="AI57" s="20"/>
      <c r="AJ57" s="20"/>
      <c r="AK57" s="13"/>
      <c r="AL57" s="13"/>
      <c r="AM57" s="234"/>
      <c r="AN57" s="20"/>
      <c r="AO57" s="281" t="s">
        <v>12</v>
      </c>
      <c r="AP57" s="227"/>
      <c r="AQ57" s="245"/>
      <c r="AR57" s="20"/>
      <c r="AS57" s="20"/>
      <c r="AT57" s="20"/>
      <c r="AU57" s="13"/>
      <c r="AV57" s="13"/>
      <c r="AW57" s="234"/>
    </row>
    <row r="58" spans="1:49" x14ac:dyDescent="0.3">
      <c r="A58" s="335"/>
      <c r="B58" s="336" t="s">
        <v>143</v>
      </c>
      <c r="C58" s="393">
        <f>ROUNDUP(E38,0)</f>
        <v>4</v>
      </c>
      <c r="D58" s="337" t="s">
        <v>547</v>
      </c>
      <c r="E58" s="337" t="s">
        <v>630</v>
      </c>
      <c r="F58" s="338" t="s">
        <v>13</v>
      </c>
      <c r="G58" s="338"/>
      <c r="H58" s="326"/>
      <c r="I58" s="351"/>
      <c r="J58" s="20"/>
      <c r="K58" s="335"/>
      <c r="L58" s="336" t="s">
        <v>143</v>
      </c>
      <c r="M58" s="393">
        <v>4</v>
      </c>
      <c r="N58" s="337" t="s">
        <v>547</v>
      </c>
      <c r="O58" s="337" t="s">
        <v>630</v>
      </c>
      <c r="P58" s="338" t="s">
        <v>13</v>
      </c>
      <c r="Q58" s="338"/>
      <c r="R58" s="326"/>
      <c r="S58" s="351"/>
      <c r="T58" s="20"/>
      <c r="U58" s="335"/>
      <c r="V58" s="336" t="s">
        <v>143</v>
      </c>
      <c r="W58" s="393">
        <f>ROUNDUP(Y38,0)</f>
        <v>4</v>
      </c>
      <c r="X58" s="337" t="s">
        <v>547</v>
      </c>
      <c r="Y58" s="337" t="s">
        <v>630</v>
      </c>
      <c r="Z58" s="338" t="s">
        <v>13</v>
      </c>
      <c r="AA58" s="338"/>
      <c r="AB58" s="326"/>
      <c r="AC58" s="351"/>
      <c r="AD58" s="20"/>
      <c r="AE58" s="335"/>
      <c r="AF58" s="336" t="s">
        <v>143</v>
      </c>
      <c r="AG58" s="393">
        <f>ROUNDUP(AI38,0)</f>
        <v>4</v>
      </c>
      <c r="AH58" s="337" t="s">
        <v>547</v>
      </c>
      <c r="AI58" s="337" t="s">
        <v>630</v>
      </c>
      <c r="AJ58" s="338" t="s">
        <v>13</v>
      </c>
      <c r="AK58" s="338"/>
      <c r="AL58" s="326"/>
      <c r="AM58" s="351"/>
      <c r="AN58" s="20"/>
      <c r="AO58" s="335"/>
      <c r="AP58" s="336" t="s">
        <v>143</v>
      </c>
      <c r="AQ58" s="393">
        <f>3</f>
        <v>3</v>
      </c>
      <c r="AR58" s="337" t="s">
        <v>547</v>
      </c>
      <c r="AS58" s="337" t="s">
        <v>630</v>
      </c>
      <c r="AT58" s="338" t="s">
        <v>13</v>
      </c>
      <c r="AU58" s="338"/>
      <c r="AV58" s="326"/>
      <c r="AW58" s="351"/>
    </row>
    <row r="59" spans="1:49" x14ac:dyDescent="0.3">
      <c r="A59" s="335"/>
      <c r="B59" s="336" t="s">
        <v>143</v>
      </c>
      <c r="C59" s="393">
        <v>2</v>
      </c>
      <c r="D59" s="337" t="s">
        <v>547</v>
      </c>
      <c r="E59" s="337" t="s">
        <v>464</v>
      </c>
      <c r="F59" s="337" t="s">
        <v>14</v>
      </c>
      <c r="G59" s="338"/>
      <c r="H59" s="326"/>
      <c r="I59" s="351"/>
      <c r="J59" s="20"/>
      <c r="K59" s="335"/>
      <c r="L59" s="336" t="s">
        <v>143</v>
      </c>
      <c r="M59" s="393">
        <v>2</v>
      </c>
      <c r="N59" s="337" t="s">
        <v>547</v>
      </c>
      <c r="O59" s="337" t="s">
        <v>464</v>
      </c>
      <c r="P59" s="337" t="s">
        <v>14</v>
      </c>
      <c r="Q59" s="338"/>
      <c r="R59" s="326"/>
      <c r="S59" s="351"/>
      <c r="T59" s="20"/>
      <c r="U59" s="335"/>
      <c r="V59" s="336" t="s">
        <v>143</v>
      </c>
      <c r="W59" s="393">
        <v>2</v>
      </c>
      <c r="X59" s="337" t="s">
        <v>547</v>
      </c>
      <c r="Y59" s="337" t="s">
        <v>464</v>
      </c>
      <c r="Z59" s="337" t="s">
        <v>14</v>
      </c>
      <c r="AA59" s="338"/>
      <c r="AB59" s="326"/>
      <c r="AC59" s="351"/>
      <c r="AD59" s="20"/>
      <c r="AE59" s="335"/>
      <c r="AF59" s="336" t="s">
        <v>143</v>
      </c>
      <c r="AG59" s="393">
        <v>2</v>
      </c>
      <c r="AH59" s="337" t="s">
        <v>547</v>
      </c>
      <c r="AI59" s="337" t="s">
        <v>464</v>
      </c>
      <c r="AJ59" s="337" t="s">
        <v>14</v>
      </c>
      <c r="AK59" s="338"/>
      <c r="AL59" s="326"/>
      <c r="AM59" s="351"/>
      <c r="AN59" s="20"/>
      <c r="AO59" s="335"/>
      <c r="AP59" s="336" t="s">
        <v>143</v>
      </c>
      <c r="AQ59" s="393">
        <v>2</v>
      </c>
      <c r="AR59" s="337" t="s">
        <v>547</v>
      </c>
      <c r="AS59" s="337" t="s">
        <v>464</v>
      </c>
      <c r="AT59" s="337" t="s">
        <v>14</v>
      </c>
      <c r="AU59" s="338"/>
      <c r="AV59" s="326"/>
      <c r="AW59" s="351"/>
    </row>
    <row r="60" spans="1:49" ht="15" thickBot="1" x14ac:dyDescent="0.35">
      <c r="A60" s="554" t="s">
        <v>632</v>
      </c>
      <c r="B60" s="555"/>
      <c r="C60" s="555"/>
      <c r="D60" s="555"/>
      <c r="E60" s="555"/>
      <c r="F60" s="555"/>
      <c r="G60" s="555"/>
      <c r="H60" s="555"/>
      <c r="I60" s="556"/>
      <c r="J60" s="20"/>
      <c r="K60" s="554" t="s">
        <v>632</v>
      </c>
      <c r="L60" s="555"/>
      <c r="M60" s="555"/>
      <c r="N60" s="555"/>
      <c r="O60" s="555"/>
      <c r="P60" s="555"/>
      <c r="Q60" s="555"/>
      <c r="R60" s="555"/>
      <c r="S60" s="556"/>
      <c r="T60" s="20"/>
      <c r="U60" s="563" t="s">
        <v>632</v>
      </c>
      <c r="V60" s="564"/>
      <c r="W60" s="564"/>
      <c r="X60" s="564"/>
      <c r="Y60" s="564"/>
      <c r="Z60" s="564"/>
      <c r="AA60" s="564"/>
      <c r="AB60" s="564"/>
      <c r="AC60" s="565"/>
      <c r="AD60" s="20"/>
      <c r="AE60" s="563" t="s">
        <v>632</v>
      </c>
      <c r="AF60" s="564"/>
      <c r="AG60" s="564"/>
      <c r="AH60" s="564"/>
      <c r="AI60" s="564"/>
      <c r="AJ60" s="564"/>
      <c r="AK60" s="564"/>
      <c r="AL60" s="564"/>
      <c r="AM60" s="565"/>
      <c r="AN60" s="20"/>
      <c r="AO60" s="563" t="s">
        <v>650</v>
      </c>
      <c r="AP60" s="564"/>
      <c r="AQ60" s="564"/>
      <c r="AR60" s="564"/>
      <c r="AS60" s="564"/>
      <c r="AT60" s="564"/>
      <c r="AU60" s="564"/>
      <c r="AV60" s="564"/>
      <c r="AW60" s="565"/>
    </row>
    <row r="61" spans="1:49" ht="15" thickBot="1" x14ac:dyDescent="0.35">
      <c r="A61" s="412"/>
      <c r="B61" s="413"/>
      <c r="C61" s="414"/>
      <c r="D61" s="414"/>
      <c r="E61" s="414"/>
      <c r="F61" s="414"/>
      <c r="G61" s="415"/>
      <c r="H61" s="414"/>
      <c r="I61" s="416"/>
      <c r="J61" s="20"/>
      <c r="K61" s="421"/>
      <c r="L61" s="422"/>
      <c r="M61" s="423"/>
      <c r="N61" s="414"/>
      <c r="O61" s="423"/>
      <c r="P61" s="424"/>
      <c r="Q61" s="424"/>
      <c r="R61" s="423"/>
      <c r="S61" s="425"/>
      <c r="T61" s="20"/>
      <c r="U61" s="340"/>
      <c r="V61" s="391"/>
      <c r="W61" s="392"/>
      <c r="X61" s="337"/>
      <c r="Y61" s="392"/>
      <c r="Z61" s="392"/>
      <c r="AA61" s="392"/>
      <c r="AB61" s="392"/>
      <c r="AC61" s="392"/>
      <c r="AD61" s="20"/>
      <c r="AE61" s="340"/>
      <c r="AF61" s="391"/>
      <c r="AG61" s="392"/>
      <c r="AH61" s="337"/>
      <c r="AI61" s="392"/>
      <c r="AJ61" s="392"/>
      <c r="AK61" s="392"/>
      <c r="AL61" s="392"/>
      <c r="AM61" s="392"/>
      <c r="AN61" s="20"/>
      <c r="AO61" s="340"/>
      <c r="AP61" s="391"/>
      <c r="AQ61" s="392"/>
      <c r="AR61" s="337"/>
      <c r="AS61" s="392"/>
      <c r="AT61" s="392"/>
      <c r="AU61" s="392"/>
      <c r="AV61" s="392"/>
      <c r="AW61" s="392"/>
    </row>
    <row r="62" spans="1:49" ht="11.4" customHeight="1" thickBot="1" x14ac:dyDescent="0.35"/>
    <row r="63" spans="1:49" s="355" customFormat="1" ht="19.8" x14ac:dyDescent="0.4">
      <c r="A63" s="559" t="s">
        <v>685</v>
      </c>
      <c r="B63" s="560"/>
      <c r="C63" s="560"/>
      <c r="D63" s="560"/>
      <c r="E63" s="560"/>
      <c r="F63" s="560"/>
      <c r="G63" s="560"/>
      <c r="H63" s="560"/>
      <c r="I63" s="561"/>
      <c r="K63" s="559" t="s">
        <v>468</v>
      </c>
      <c r="L63" s="560"/>
      <c r="M63" s="560"/>
      <c r="N63" s="560"/>
      <c r="O63" s="560"/>
      <c r="P63" s="560"/>
      <c r="Q63" s="560"/>
      <c r="R63" s="560"/>
      <c r="S63" s="561"/>
      <c r="U63" s="358"/>
      <c r="AE63" s="358"/>
      <c r="AO63" s="358"/>
    </row>
    <row r="64" spans="1:49" x14ac:dyDescent="0.3">
      <c r="A64" s="543" t="s">
        <v>23</v>
      </c>
      <c r="B64" s="544"/>
      <c r="C64" s="544"/>
      <c r="D64" s="544"/>
      <c r="E64" s="544"/>
      <c r="F64" s="544"/>
      <c r="G64" s="544"/>
      <c r="H64" s="544"/>
      <c r="I64" s="545"/>
      <c r="K64" s="543" t="s">
        <v>23</v>
      </c>
      <c r="L64" s="544"/>
      <c r="M64" s="544"/>
      <c r="N64" s="544"/>
      <c r="O64" s="544"/>
      <c r="P64" s="544"/>
      <c r="Q64" s="544"/>
      <c r="R64" s="544"/>
      <c r="S64" s="545"/>
    </row>
    <row r="65" spans="1:19" x14ac:dyDescent="0.3">
      <c r="A65" s="279"/>
      <c r="B65" s="227"/>
      <c r="C65" s="245"/>
      <c r="D65" s="20"/>
      <c r="E65" s="20"/>
      <c r="F65" s="20"/>
      <c r="G65" s="20"/>
      <c r="H65" s="20"/>
      <c r="I65" s="225"/>
      <c r="K65" s="279"/>
      <c r="L65" s="227"/>
      <c r="M65" s="409"/>
      <c r="N65" s="20"/>
      <c r="O65" s="20"/>
      <c r="P65" s="20"/>
      <c r="Q65" s="20"/>
      <c r="R65" s="20"/>
      <c r="S65" s="225"/>
    </row>
    <row r="66" spans="1:19" x14ac:dyDescent="0.3">
      <c r="A66" s="226" t="s">
        <v>24</v>
      </c>
      <c r="B66" s="381">
        <v>276</v>
      </c>
      <c r="C66" s="245" t="s">
        <v>25</v>
      </c>
      <c r="D66" s="228" t="s">
        <v>29</v>
      </c>
      <c r="E66" s="250">
        <v>0.85</v>
      </c>
      <c r="F66" s="20"/>
      <c r="G66" s="20" t="s">
        <v>26</v>
      </c>
      <c r="H66" s="20" t="s">
        <v>27</v>
      </c>
      <c r="I66" s="225"/>
      <c r="K66" s="226" t="s">
        <v>24</v>
      </c>
      <c r="L66" s="381">
        <v>276</v>
      </c>
      <c r="M66" s="227" t="s">
        <v>25</v>
      </c>
      <c r="N66" s="228" t="s">
        <v>29</v>
      </c>
      <c r="O66" s="250">
        <v>0.85</v>
      </c>
      <c r="P66" s="20"/>
      <c r="Q66" s="20" t="s">
        <v>26</v>
      </c>
      <c r="R66" s="20" t="s">
        <v>27</v>
      </c>
      <c r="S66" s="225"/>
    </row>
    <row r="67" spans="1:19" x14ac:dyDescent="0.3">
      <c r="A67" s="226" t="s">
        <v>28</v>
      </c>
      <c r="B67" s="381">
        <v>20.7</v>
      </c>
      <c r="C67" s="245" t="s">
        <v>25</v>
      </c>
      <c r="D67" s="228" t="s">
        <v>444</v>
      </c>
      <c r="E67" s="250">
        <f>E78</f>
        <v>44.139560000000003</v>
      </c>
      <c r="F67" s="227" t="s">
        <v>445</v>
      </c>
      <c r="G67" s="20"/>
      <c r="H67" s="20" t="s">
        <v>446</v>
      </c>
      <c r="I67" s="225"/>
      <c r="K67" s="226" t="s">
        <v>28</v>
      </c>
      <c r="L67" s="381">
        <v>20.7</v>
      </c>
      <c r="M67" s="227" t="s">
        <v>25</v>
      </c>
      <c r="N67" s="228" t="s">
        <v>444</v>
      </c>
      <c r="O67" s="250">
        <f>O78</f>
        <v>60.470979999999997</v>
      </c>
      <c r="P67" s="227" t="s">
        <v>445</v>
      </c>
      <c r="Q67" s="20"/>
      <c r="R67" s="20" t="s">
        <v>446</v>
      </c>
      <c r="S67" s="225"/>
    </row>
    <row r="68" spans="1:19" x14ac:dyDescent="0.3">
      <c r="A68" s="280"/>
      <c r="B68" s="227"/>
      <c r="C68" s="245"/>
      <c r="D68" s="20"/>
      <c r="E68" s="20"/>
      <c r="F68" s="20"/>
      <c r="G68" s="20"/>
      <c r="H68" s="20"/>
      <c r="I68" s="225"/>
      <c r="K68" s="280"/>
      <c r="L68" s="227"/>
      <c r="M68" s="409"/>
      <c r="N68" s="20"/>
      <c r="O68" s="20"/>
      <c r="P68" s="20"/>
      <c r="Q68" s="20"/>
      <c r="R68" s="20"/>
      <c r="S68" s="225"/>
    </row>
    <row r="69" spans="1:19" x14ac:dyDescent="0.3">
      <c r="A69" s="280"/>
      <c r="B69" s="542" t="s">
        <v>447</v>
      </c>
      <c r="C69" s="542"/>
      <c r="D69" s="542"/>
      <c r="E69" s="41"/>
      <c r="G69" s="45"/>
      <c r="I69" s="225"/>
      <c r="K69" s="280"/>
      <c r="L69" s="542" t="s">
        <v>447</v>
      </c>
      <c r="M69" s="542"/>
      <c r="N69" s="542"/>
      <c r="O69" s="41"/>
      <c r="Q69" s="45"/>
      <c r="S69" s="225"/>
    </row>
    <row r="70" spans="1:19" x14ac:dyDescent="0.3">
      <c r="A70" s="280"/>
      <c r="D70" s="40"/>
      <c r="E70" s="41" t="s">
        <v>448</v>
      </c>
      <c r="F70" s="40" t="s">
        <v>449</v>
      </c>
      <c r="G70" s="45" t="s">
        <v>450</v>
      </c>
      <c r="I70" s="225"/>
      <c r="K70" s="280"/>
      <c r="N70" s="40"/>
      <c r="O70" s="41" t="s">
        <v>448</v>
      </c>
      <c r="P70" s="40" t="s">
        <v>449</v>
      </c>
      <c r="Q70" s="45" t="s">
        <v>450</v>
      </c>
      <c r="S70" s="225"/>
    </row>
    <row r="71" spans="1:19" x14ac:dyDescent="0.3">
      <c r="A71" s="280"/>
      <c r="D71" s="42" t="s">
        <v>361</v>
      </c>
      <c r="E71" s="110">
        <v>12.4358</v>
      </c>
      <c r="F71" s="239">
        <v>0.4536</v>
      </c>
      <c r="G71" s="240">
        <v>28.763000000000002</v>
      </c>
      <c r="I71" s="225"/>
      <c r="K71" s="280"/>
      <c r="N71" s="42" t="s">
        <v>361</v>
      </c>
      <c r="O71" s="110">
        <v>21.381900000000002</v>
      </c>
      <c r="P71" s="239">
        <v>4.4306999999999999</v>
      </c>
      <c r="Q71" s="240">
        <v>30.382000000000001</v>
      </c>
      <c r="S71" s="225"/>
    </row>
    <row r="72" spans="1:19" x14ac:dyDescent="0.3">
      <c r="A72" s="280"/>
      <c r="D72" s="42" t="s">
        <v>362</v>
      </c>
      <c r="E72" s="110">
        <v>7.0134999999999996</v>
      </c>
      <c r="F72" s="239">
        <v>0.49640000000000001</v>
      </c>
      <c r="G72" s="240">
        <f>G71/2</f>
        <v>14.381500000000001</v>
      </c>
      <c r="I72" s="225"/>
      <c r="K72" s="280"/>
      <c r="N72" s="42" t="s">
        <v>362</v>
      </c>
      <c r="O72" s="110">
        <v>15.446899999999999</v>
      </c>
      <c r="P72" s="239">
        <v>3.3915999999999999</v>
      </c>
      <c r="Q72" s="240">
        <f>Q71/2</f>
        <v>15.191000000000001</v>
      </c>
      <c r="S72" s="225"/>
    </row>
    <row r="73" spans="1:19" x14ac:dyDescent="0.3">
      <c r="A73" s="280"/>
      <c r="D73" s="40"/>
      <c r="E73" s="229" t="s">
        <v>361</v>
      </c>
      <c r="F73" s="39"/>
      <c r="G73" s="229" t="s">
        <v>362</v>
      </c>
      <c r="I73" s="225"/>
      <c r="K73" s="280"/>
      <c r="N73" s="40"/>
      <c r="O73" s="229" t="s">
        <v>361</v>
      </c>
      <c r="P73" s="39"/>
      <c r="Q73" s="229" t="s">
        <v>362</v>
      </c>
      <c r="S73" s="225"/>
    </row>
    <row r="74" spans="1:19" x14ac:dyDescent="0.3">
      <c r="A74" s="280"/>
      <c r="C74" s="553" t="s">
        <v>451</v>
      </c>
      <c r="D74" s="553"/>
      <c r="E74" s="41">
        <f>1.4*E71</f>
        <v>17.410119999999999</v>
      </c>
      <c r="F74" t="s">
        <v>452</v>
      </c>
      <c r="G74" s="45">
        <f>1.4*E72</f>
        <v>9.8188999999999993</v>
      </c>
      <c r="H74" t="s">
        <v>452</v>
      </c>
      <c r="I74" s="225"/>
      <c r="K74" s="280"/>
      <c r="M74" s="553" t="s">
        <v>451</v>
      </c>
      <c r="N74" s="553"/>
      <c r="O74" s="41">
        <f>1.4*O71</f>
        <v>29.934660000000001</v>
      </c>
      <c r="P74" t="s">
        <v>452</v>
      </c>
      <c r="Q74" s="45">
        <f>1.4*O72</f>
        <v>21.625659999999996</v>
      </c>
      <c r="R74" t="s">
        <v>452</v>
      </c>
      <c r="S74" s="225"/>
    </row>
    <row r="75" spans="1:19" x14ac:dyDescent="0.3">
      <c r="A75" s="280"/>
      <c r="C75" s="552" t="s">
        <v>453</v>
      </c>
      <c r="D75" s="552"/>
      <c r="E75" s="41">
        <f>1.2*E71 + 1.6*F71</f>
        <v>15.648719999999999</v>
      </c>
      <c r="F75" t="s">
        <v>452</v>
      </c>
      <c r="G75" s="45">
        <f>1.2*E72+1.6*F72</f>
        <v>9.2104400000000002</v>
      </c>
      <c r="H75" t="s">
        <v>452</v>
      </c>
      <c r="I75" s="225"/>
      <c r="K75" s="280"/>
      <c r="M75" s="552" t="s">
        <v>453</v>
      </c>
      <c r="N75" s="552"/>
      <c r="O75" s="41">
        <f>1.2*O71 + 1.6*P71</f>
        <v>32.747399999999999</v>
      </c>
      <c r="P75" t="s">
        <v>452</v>
      </c>
      <c r="Q75" s="45">
        <f>1.2*O72+1.6*P72</f>
        <v>23.96284</v>
      </c>
      <c r="R75" t="s">
        <v>452</v>
      </c>
      <c r="S75" s="225"/>
    </row>
    <row r="76" spans="1:19" x14ac:dyDescent="0.3">
      <c r="A76" s="280"/>
      <c r="C76" s="552" t="s">
        <v>586</v>
      </c>
      <c r="D76" s="552"/>
      <c r="E76" s="41">
        <f>1.2*E71+F71+G71</f>
        <v>44.139560000000003</v>
      </c>
      <c r="F76" t="s">
        <v>452</v>
      </c>
      <c r="G76" s="45">
        <f>1.2*E72+F72+1*G72</f>
        <v>23.2941</v>
      </c>
      <c r="H76" t="s">
        <v>452</v>
      </c>
      <c r="I76" s="225"/>
      <c r="K76" s="280"/>
      <c r="M76" s="552" t="s">
        <v>586</v>
      </c>
      <c r="N76" s="552"/>
      <c r="O76" s="41">
        <f>1.2*O71+P71+Q71</f>
        <v>60.470979999999997</v>
      </c>
      <c r="P76" t="s">
        <v>452</v>
      </c>
      <c r="Q76" s="45">
        <f>1.2*O72+P72+1*Q72</f>
        <v>37.118879999999997</v>
      </c>
      <c r="R76" t="s">
        <v>452</v>
      </c>
      <c r="S76" s="225"/>
    </row>
    <row r="77" spans="1:19" x14ac:dyDescent="0.3">
      <c r="A77" s="280"/>
      <c r="C77" s="552" t="s">
        <v>454</v>
      </c>
      <c r="D77" s="552"/>
      <c r="E77" s="41">
        <f>0.9*E71+G71</f>
        <v>39.955220000000004</v>
      </c>
      <c r="F77" t="s">
        <v>452</v>
      </c>
      <c r="G77" s="45">
        <f>0.9*E72+G72</f>
        <v>20.693650000000002</v>
      </c>
      <c r="H77" t="s">
        <v>452</v>
      </c>
      <c r="I77" s="225"/>
      <c r="K77" s="280"/>
      <c r="M77" s="552" t="s">
        <v>454</v>
      </c>
      <c r="N77" s="552"/>
      <c r="O77" s="41">
        <f>0.9*O71+Q71</f>
        <v>49.625710000000005</v>
      </c>
      <c r="P77" t="s">
        <v>452</v>
      </c>
      <c r="Q77" s="45">
        <f>0.9*O72+Q72</f>
        <v>29.093209999999999</v>
      </c>
      <c r="R77" t="s">
        <v>452</v>
      </c>
      <c r="S77" s="225"/>
    </row>
    <row r="78" spans="1:19" x14ac:dyDescent="0.3">
      <c r="A78" s="280"/>
      <c r="B78" s="227"/>
      <c r="C78" s="285" t="s">
        <v>455</v>
      </c>
      <c r="D78" s="230" t="s">
        <v>456</v>
      </c>
      <c r="E78" s="230">
        <f>MAX(E74:E77)</f>
        <v>44.139560000000003</v>
      </c>
      <c r="F78" s="230" t="s">
        <v>452</v>
      </c>
      <c r="G78" s="231" t="s">
        <v>361</v>
      </c>
      <c r="H78" s="20"/>
      <c r="I78" s="225"/>
      <c r="K78" s="280"/>
      <c r="L78" s="227"/>
      <c r="M78" s="285" t="s">
        <v>455</v>
      </c>
      <c r="N78" s="230" t="s">
        <v>456</v>
      </c>
      <c r="O78" s="230">
        <f>MAX(O74:O77)</f>
        <v>60.470979999999997</v>
      </c>
      <c r="P78" s="230" t="s">
        <v>452</v>
      </c>
      <c r="Q78" s="231" t="s">
        <v>361</v>
      </c>
      <c r="R78" s="20"/>
      <c r="S78" s="225"/>
    </row>
    <row r="79" spans="1:19" x14ac:dyDescent="0.3">
      <c r="A79" s="280"/>
      <c r="B79" s="227"/>
      <c r="C79" s="286"/>
      <c r="D79" s="230" t="s">
        <v>456</v>
      </c>
      <c r="E79" s="230">
        <f>MAX(G74:G77)</f>
        <v>23.2941</v>
      </c>
      <c r="F79" s="230" t="s">
        <v>452</v>
      </c>
      <c r="G79" s="231" t="s">
        <v>362</v>
      </c>
      <c r="H79" s="20"/>
      <c r="I79" s="225"/>
      <c r="K79" s="280"/>
      <c r="L79" s="227"/>
      <c r="M79" s="427"/>
      <c r="N79" s="230" t="s">
        <v>456</v>
      </c>
      <c r="O79" s="230">
        <f>MAX(Q74:Q77)</f>
        <v>37.118879999999997</v>
      </c>
      <c r="P79" s="230" t="s">
        <v>452</v>
      </c>
      <c r="Q79" s="231" t="s">
        <v>362</v>
      </c>
      <c r="R79" s="20"/>
      <c r="S79" s="225"/>
    </row>
    <row r="80" spans="1:19" x14ac:dyDescent="0.3">
      <c r="A80" s="280"/>
      <c r="B80" s="227"/>
      <c r="C80" s="245"/>
      <c r="D80" s="232"/>
      <c r="E80" s="233"/>
      <c r="F80" s="232"/>
      <c r="G80" s="20"/>
      <c r="H80" s="20"/>
      <c r="I80" s="225"/>
      <c r="K80" s="280"/>
      <c r="L80" s="227"/>
      <c r="M80" s="409"/>
      <c r="N80" s="232"/>
      <c r="O80" s="233"/>
      <c r="P80" s="232"/>
      <c r="Q80" s="20"/>
      <c r="R80" s="20"/>
      <c r="S80" s="225"/>
    </row>
    <row r="81" spans="1:19" x14ac:dyDescent="0.3">
      <c r="A81" s="543" t="s">
        <v>457</v>
      </c>
      <c r="B81" s="544"/>
      <c r="C81" s="544"/>
      <c r="D81" s="544"/>
      <c r="E81" s="544"/>
      <c r="F81" s="544"/>
      <c r="G81" s="544"/>
      <c r="H81" s="544"/>
      <c r="I81" s="545"/>
      <c r="K81" s="543" t="s">
        <v>457</v>
      </c>
      <c r="L81" s="547"/>
      <c r="M81" s="547"/>
      <c r="N81" s="547"/>
      <c r="O81" s="547"/>
      <c r="P81" s="547"/>
      <c r="Q81" s="547"/>
      <c r="R81" s="547"/>
      <c r="S81" s="548"/>
    </row>
    <row r="82" spans="1:19" x14ac:dyDescent="0.3">
      <c r="A82" s="279"/>
      <c r="B82" s="238"/>
      <c r="C82" s="283"/>
      <c r="D82" s="13"/>
      <c r="E82" s="13"/>
      <c r="F82" s="13"/>
      <c r="G82" s="13"/>
      <c r="H82" s="13"/>
      <c r="I82" s="234"/>
      <c r="K82" s="279"/>
      <c r="L82" s="238"/>
      <c r="M82" s="228"/>
      <c r="N82" s="13"/>
      <c r="O82" s="13"/>
      <c r="P82" s="13"/>
      <c r="Q82" s="13"/>
      <c r="R82" s="13"/>
      <c r="S82" s="234"/>
    </row>
    <row r="83" spans="1:19" x14ac:dyDescent="0.3">
      <c r="A83" s="279" t="s">
        <v>31</v>
      </c>
      <c r="B83" s="227"/>
      <c r="C83" s="245"/>
      <c r="D83" s="9">
        <f>(0.85*B67*E66*0.003)/(B66*0.007)</f>
        <v>2.3223214285714285E-2</v>
      </c>
      <c r="E83" s="20"/>
      <c r="F83" s="20"/>
      <c r="G83" s="20"/>
      <c r="H83" s="20"/>
      <c r="I83" s="225"/>
      <c r="K83" s="279" t="s">
        <v>31</v>
      </c>
      <c r="L83" s="227"/>
      <c r="M83" s="409"/>
      <c r="N83" s="9">
        <f>(0.85*L67*O66*0.003)/(L66*0.007)</f>
        <v>2.3223214285714285E-2</v>
      </c>
      <c r="O83" s="20"/>
      <c r="P83" s="20"/>
      <c r="Q83" s="20"/>
      <c r="R83" s="20"/>
      <c r="S83" s="225"/>
    </row>
    <row r="84" spans="1:19" x14ac:dyDescent="0.3">
      <c r="A84" s="280"/>
      <c r="B84" s="227"/>
      <c r="C84" s="245"/>
      <c r="D84" s="9"/>
      <c r="E84" s="20"/>
      <c r="F84" s="20"/>
      <c r="G84" s="20"/>
      <c r="H84" s="20"/>
      <c r="I84" s="225"/>
      <c r="K84" s="280"/>
      <c r="L84" s="227"/>
      <c r="M84" s="409"/>
      <c r="N84" s="9"/>
      <c r="O84" s="20"/>
      <c r="P84" s="20"/>
      <c r="Q84" s="20"/>
      <c r="R84" s="20"/>
      <c r="S84" s="225"/>
    </row>
    <row r="85" spans="1:19" x14ac:dyDescent="0.3">
      <c r="A85" s="279" t="s">
        <v>33</v>
      </c>
      <c r="B85" s="551" t="s">
        <v>34</v>
      </c>
      <c r="C85" s="551"/>
      <c r="D85" s="9">
        <f>(0.85*B67*600*E66)/(B66*(B66+600))</f>
        <v>3.7114726027397259E-2</v>
      </c>
      <c r="E85" s="20"/>
      <c r="F85" s="20"/>
      <c r="G85" s="20"/>
      <c r="H85" s="20"/>
      <c r="I85" s="225"/>
      <c r="K85" s="279" t="s">
        <v>33</v>
      </c>
      <c r="L85" s="551" t="s">
        <v>34</v>
      </c>
      <c r="M85" s="551"/>
      <c r="N85" s="9">
        <f>(0.85*L67*600*O66)/(L66*(L66+600))</f>
        <v>3.7114726027397259E-2</v>
      </c>
      <c r="O85" s="20"/>
      <c r="P85" s="20"/>
      <c r="Q85" s="20"/>
      <c r="R85" s="20"/>
      <c r="S85" s="225"/>
    </row>
    <row r="86" spans="1:19" x14ac:dyDescent="0.3">
      <c r="A86" s="279" t="s">
        <v>35</v>
      </c>
      <c r="B86" s="551" t="s">
        <v>36</v>
      </c>
      <c r="C86" s="551"/>
      <c r="D86" s="9">
        <f>0.634*D85</f>
        <v>2.3530736301369863E-2</v>
      </c>
      <c r="E86" s="20"/>
      <c r="F86" s="20"/>
      <c r="G86" s="20"/>
      <c r="H86" s="20"/>
      <c r="I86" s="225"/>
      <c r="K86" s="279" t="s">
        <v>35</v>
      </c>
      <c r="L86" s="551" t="s">
        <v>36</v>
      </c>
      <c r="M86" s="551"/>
      <c r="N86" s="9">
        <f>0.634*N85</f>
        <v>2.3530736301369863E-2</v>
      </c>
      <c r="O86" s="20"/>
      <c r="P86" s="20"/>
      <c r="Q86" s="20"/>
      <c r="R86" s="20"/>
      <c r="S86" s="225"/>
    </row>
    <row r="87" spans="1:19" x14ac:dyDescent="0.3">
      <c r="A87" s="279" t="s">
        <v>37</v>
      </c>
      <c r="B87" s="551" t="s">
        <v>38</v>
      </c>
      <c r="C87" s="551"/>
      <c r="D87" s="9">
        <f>1.4/B66</f>
        <v>5.0724637681159417E-3</v>
      </c>
      <c r="E87" s="20"/>
      <c r="F87" s="20"/>
      <c r="G87" s="20"/>
      <c r="H87" s="20"/>
      <c r="I87" s="225"/>
      <c r="K87" s="279" t="s">
        <v>37</v>
      </c>
      <c r="L87" s="551" t="s">
        <v>38</v>
      </c>
      <c r="M87" s="551"/>
      <c r="N87" s="9">
        <f>1.4/L66</f>
        <v>5.0724637681159417E-3</v>
      </c>
      <c r="O87" s="20"/>
      <c r="P87" s="20"/>
      <c r="Q87" s="20"/>
      <c r="R87" s="20"/>
      <c r="S87" s="225"/>
    </row>
    <row r="88" spans="1:19" x14ac:dyDescent="0.3">
      <c r="A88" s="279" t="s">
        <v>26</v>
      </c>
      <c r="B88" s="551" t="s">
        <v>39</v>
      </c>
      <c r="C88" s="551"/>
      <c r="D88" s="9">
        <f>0.5*D83</f>
        <v>1.1611607142857142E-2</v>
      </c>
      <c r="E88" s="20"/>
      <c r="F88" s="20"/>
      <c r="G88" s="20"/>
      <c r="H88" s="20"/>
      <c r="I88" s="225"/>
      <c r="K88" s="279" t="s">
        <v>26</v>
      </c>
      <c r="L88" s="551" t="s">
        <v>39</v>
      </c>
      <c r="M88" s="551"/>
      <c r="N88" s="9">
        <f>0.5*N83</f>
        <v>1.1611607142857142E-2</v>
      </c>
      <c r="O88" s="20"/>
      <c r="P88" s="20"/>
      <c r="Q88" s="20"/>
      <c r="R88" s="20"/>
      <c r="S88" s="225"/>
    </row>
    <row r="89" spans="1:19" x14ac:dyDescent="0.3">
      <c r="A89" s="279"/>
      <c r="B89" s="339" t="s">
        <v>458</v>
      </c>
      <c r="C89" s="340">
        <f>IF(D88&gt;D87,D88,D87)</f>
        <v>1.1611607142857142E-2</v>
      </c>
      <c r="D89" s="9"/>
      <c r="E89" s="20"/>
      <c r="F89" s="20"/>
      <c r="G89" s="20"/>
      <c r="H89" s="20"/>
      <c r="I89" s="225"/>
      <c r="K89" s="279"/>
      <c r="L89" s="339" t="s">
        <v>458</v>
      </c>
      <c r="M89" s="340">
        <f>IF(N88&gt;N87,N88,N87)</f>
        <v>1.1611607142857142E-2</v>
      </c>
      <c r="N89" s="9"/>
      <c r="O89" s="20"/>
      <c r="P89" s="20"/>
      <c r="Q89" s="20"/>
      <c r="R89" s="20"/>
      <c r="S89" s="225"/>
    </row>
    <row r="90" spans="1:19" x14ac:dyDescent="0.3">
      <c r="A90" s="279" t="s">
        <v>40</v>
      </c>
      <c r="B90" s="551" t="s">
        <v>41</v>
      </c>
      <c r="C90" s="551"/>
      <c r="D90" s="9">
        <f>(C89*B66)/B67</f>
        <v>0.15482142857142855</v>
      </c>
      <c r="E90" s="13" t="s">
        <v>46</v>
      </c>
      <c r="F90" s="13">
        <f>(D92/(2.25))^(1/3)</f>
        <v>190.07255502600265</v>
      </c>
      <c r="G90" s="20" t="s">
        <v>42</v>
      </c>
      <c r="H90" s="13">
        <f>_xlfn.CEILING.MATH(F90,50)+50</f>
        <v>250</v>
      </c>
      <c r="I90" s="236" t="s">
        <v>43</v>
      </c>
      <c r="K90" s="279" t="s">
        <v>40</v>
      </c>
      <c r="L90" s="551" t="s">
        <v>41</v>
      </c>
      <c r="M90" s="551"/>
      <c r="N90" s="9">
        <f>(M89*L66)/L67</f>
        <v>0.15482142857142855</v>
      </c>
      <c r="O90" s="13" t="s">
        <v>46</v>
      </c>
      <c r="P90" s="13">
        <f>(N92/(2.25))^(1/3)</f>
        <v>211.10203268842119</v>
      </c>
      <c r="Q90" s="20" t="s">
        <v>42</v>
      </c>
      <c r="R90" s="13">
        <f>_xlfn.CEILING.MATH(P90,50)+30</f>
        <v>280</v>
      </c>
      <c r="S90" s="236" t="s">
        <v>43</v>
      </c>
    </row>
    <row r="91" spans="1:19" x14ac:dyDescent="0.3">
      <c r="A91" s="279" t="s">
        <v>44</v>
      </c>
      <c r="B91" s="551" t="s">
        <v>45</v>
      </c>
      <c r="C91" s="551"/>
      <c r="D91" s="20">
        <f>(0.9*B67*D90)/(1-0.59*D90)</f>
        <v>3.1742763541889794</v>
      </c>
      <c r="E91" s="13" t="s">
        <v>49</v>
      </c>
      <c r="F91" s="13">
        <v>223.54</v>
      </c>
      <c r="G91" s="20" t="s">
        <v>42</v>
      </c>
      <c r="H91" s="20">
        <v>250</v>
      </c>
      <c r="I91" s="237" t="s">
        <v>43</v>
      </c>
      <c r="K91" s="279" t="s">
        <v>44</v>
      </c>
      <c r="L91" s="551" t="s">
        <v>45</v>
      </c>
      <c r="M91" s="551"/>
      <c r="N91" s="20">
        <f>(0.9*L67*N90)/(1-0.59*N90)</f>
        <v>3.1742763541889794</v>
      </c>
      <c r="O91" s="13" t="s">
        <v>49</v>
      </c>
      <c r="P91" s="13">
        <f>1.5*P90</f>
        <v>316.65304903263177</v>
      </c>
      <c r="Q91" s="20" t="s">
        <v>42</v>
      </c>
      <c r="R91" s="20">
        <v>320</v>
      </c>
      <c r="S91" s="237" t="s">
        <v>43</v>
      </c>
    </row>
    <row r="92" spans="1:19" x14ac:dyDescent="0.3">
      <c r="A92" s="279" t="s">
        <v>47</v>
      </c>
      <c r="B92" s="551" t="s">
        <v>48</v>
      </c>
      <c r="C92" s="551"/>
      <c r="D92" s="20">
        <f>(E67/(0.9*D91))*1000000</f>
        <v>15450436.598197885</v>
      </c>
      <c r="E92" s="13" t="s">
        <v>50</v>
      </c>
      <c r="F92" s="13">
        <f>(F91+40+10+(G99/2))</f>
        <v>283.53999999999996</v>
      </c>
      <c r="G92" s="13" t="s">
        <v>42</v>
      </c>
      <c r="H92" s="20">
        <v>350</v>
      </c>
      <c r="I92" s="237" t="s">
        <v>43</v>
      </c>
      <c r="K92" s="279" t="s">
        <v>47</v>
      </c>
      <c r="L92" s="551" t="s">
        <v>48</v>
      </c>
      <c r="M92" s="551"/>
      <c r="N92" s="20">
        <f>(O67/(0.9*N91))*1000000</f>
        <v>21167022.111704152</v>
      </c>
      <c r="O92" s="13" t="s">
        <v>50</v>
      </c>
      <c r="P92" s="13">
        <f>(P91+40+10+(Q99/2))</f>
        <v>376.65304903263177</v>
      </c>
      <c r="Q92" s="13" t="s">
        <v>42</v>
      </c>
      <c r="R92" s="20">
        <v>400</v>
      </c>
      <c r="S92" s="237" t="s">
        <v>43</v>
      </c>
    </row>
    <row r="93" spans="1:19" x14ac:dyDescent="0.3">
      <c r="A93" s="279"/>
      <c r="B93" s="227"/>
      <c r="C93" s="245"/>
      <c r="D93" s="20"/>
      <c r="E93" s="13"/>
      <c r="F93" s="228"/>
      <c r="G93" s="13"/>
      <c r="H93" s="20"/>
      <c r="I93" s="225"/>
      <c r="K93" s="279"/>
      <c r="L93" s="227"/>
      <c r="M93" s="409"/>
      <c r="N93" s="20"/>
      <c r="O93" s="13"/>
      <c r="P93" s="228"/>
      <c r="Q93" s="13"/>
      <c r="R93" s="20"/>
      <c r="S93" s="225"/>
    </row>
    <row r="94" spans="1:19" x14ac:dyDescent="0.3">
      <c r="A94" s="543" t="s">
        <v>97</v>
      </c>
      <c r="B94" s="544"/>
      <c r="C94" s="544"/>
      <c r="D94" s="544"/>
      <c r="E94" s="544"/>
      <c r="F94" s="544"/>
      <c r="G94" s="544"/>
      <c r="H94" s="544"/>
      <c r="I94" s="545"/>
      <c r="K94" s="543" t="s">
        <v>97</v>
      </c>
      <c r="L94" s="557"/>
      <c r="M94" s="557"/>
      <c r="N94" s="557"/>
      <c r="O94" s="557"/>
      <c r="P94" s="557"/>
      <c r="Q94" s="557"/>
      <c r="R94" s="557"/>
      <c r="S94" s="558"/>
    </row>
    <row r="95" spans="1:19" x14ac:dyDescent="0.3">
      <c r="A95" s="549" t="s">
        <v>459</v>
      </c>
      <c r="B95" s="550"/>
      <c r="C95" s="245"/>
      <c r="D95" s="20"/>
      <c r="E95" s="20"/>
      <c r="F95" s="20"/>
      <c r="G95" s="20"/>
      <c r="H95" s="20"/>
      <c r="I95" s="225"/>
      <c r="K95" s="549" t="s">
        <v>459</v>
      </c>
      <c r="L95" s="550"/>
      <c r="M95" s="409"/>
      <c r="N95" s="20"/>
      <c r="O95" s="20"/>
      <c r="P95" s="20"/>
      <c r="Q95" s="20"/>
      <c r="R95" s="20"/>
      <c r="S95" s="225"/>
    </row>
    <row r="96" spans="1:19" x14ac:dyDescent="0.3">
      <c r="A96" s="282" t="s">
        <v>52</v>
      </c>
      <c r="B96" s="238"/>
      <c r="C96" s="245"/>
      <c r="D96" s="20"/>
      <c r="E96" s="20"/>
      <c r="F96" s="20"/>
      <c r="G96" s="20"/>
      <c r="H96" s="20"/>
      <c r="I96" s="225"/>
      <c r="K96" s="282" t="s">
        <v>52</v>
      </c>
      <c r="L96" s="238"/>
      <c r="M96" s="409"/>
      <c r="N96" s="20"/>
      <c r="O96" s="20"/>
      <c r="P96" s="20"/>
      <c r="Q96" s="20"/>
      <c r="R96" s="20"/>
      <c r="S96" s="225"/>
    </row>
    <row r="97" spans="1:19" x14ac:dyDescent="0.3">
      <c r="A97" s="280"/>
      <c r="B97" s="238" t="s">
        <v>26</v>
      </c>
      <c r="C97" s="23">
        <f>D88</f>
        <v>1.1611607142857142E-2</v>
      </c>
      <c r="D97" s="9"/>
      <c r="E97" s="20"/>
      <c r="F97" s="20"/>
      <c r="G97" s="20"/>
      <c r="H97" s="20"/>
      <c r="I97" s="225"/>
      <c r="K97" s="280"/>
      <c r="L97" s="238" t="s">
        <v>26</v>
      </c>
      <c r="M97" s="419">
        <f>N88</f>
        <v>1.1611607142857142E-2</v>
      </c>
      <c r="N97" s="9"/>
      <c r="O97" s="20"/>
      <c r="P97" s="20"/>
      <c r="Q97" s="20"/>
      <c r="R97" s="20"/>
      <c r="S97" s="225"/>
    </row>
    <row r="98" spans="1:19" x14ac:dyDescent="0.3">
      <c r="A98" s="280"/>
      <c r="B98" s="238" t="s">
        <v>53</v>
      </c>
      <c r="C98" s="245" t="s">
        <v>54</v>
      </c>
      <c r="D98" s="20">
        <f>C97*H90*H91</f>
        <v>725.72544642857144</v>
      </c>
      <c r="E98" s="20"/>
      <c r="F98" s="20"/>
      <c r="G98" s="20"/>
      <c r="H98" s="20"/>
      <c r="I98" s="225"/>
      <c r="K98" s="280"/>
      <c r="L98" s="238" t="s">
        <v>53</v>
      </c>
      <c r="M98" s="409" t="s">
        <v>54</v>
      </c>
      <c r="N98" s="20">
        <f>M97*R90*R91</f>
        <v>1040.3999999999999</v>
      </c>
      <c r="O98" s="20"/>
      <c r="P98" s="20"/>
      <c r="Q98" s="20"/>
      <c r="R98" s="20"/>
      <c r="S98" s="225"/>
    </row>
    <row r="99" spans="1:19" ht="25.2" x14ac:dyDescent="0.3">
      <c r="A99" s="282" t="s">
        <v>55</v>
      </c>
      <c r="B99" s="238"/>
      <c r="C99" s="245"/>
      <c r="D99" s="20"/>
      <c r="E99" s="20"/>
      <c r="F99" s="284" t="s">
        <v>546</v>
      </c>
      <c r="G99" s="13">
        <v>20</v>
      </c>
      <c r="H99" s="238" t="s">
        <v>43</v>
      </c>
      <c r="I99" s="225"/>
      <c r="K99" s="282" t="s">
        <v>55</v>
      </c>
      <c r="L99" s="238"/>
      <c r="M99" s="409"/>
      <c r="N99" s="20"/>
      <c r="O99" s="20"/>
      <c r="P99" s="284" t="s">
        <v>546</v>
      </c>
      <c r="Q99" s="13">
        <v>20</v>
      </c>
      <c r="R99" s="238" t="s">
        <v>43</v>
      </c>
      <c r="S99" s="225"/>
    </row>
    <row r="100" spans="1:19" x14ac:dyDescent="0.3">
      <c r="A100" s="280"/>
      <c r="B100" s="238" t="s">
        <v>56</v>
      </c>
      <c r="C100" s="245"/>
      <c r="D100" s="20"/>
      <c r="E100" s="20">
        <f>(3.141592654*(G99^2))/4</f>
        <v>314.15926539999998</v>
      </c>
      <c r="F100" s="227" t="s">
        <v>460</v>
      </c>
      <c r="G100" s="20"/>
      <c r="H100" s="20"/>
      <c r="I100" s="225"/>
      <c r="K100" s="280"/>
      <c r="L100" s="238" t="s">
        <v>56</v>
      </c>
      <c r="M100" s="409"/>
      <c r="N100" s="20"/>
      <c r="O100" s="20">
        <f>(3.141592654*(Q99^2))/4</f>
        <v>314.15926539999998</v>
      </c>
      <c r="P100" s="227" t="s">
        <v>460</v>
      </c>
      <c r="Q100" s="20"/>
      <c r="R100" s="20"/>
      <c r="S100" s="225"/>
    </row>
    <row r="101" spans="1:19" x14ac:dyDescent="0.3">
      <c r="A101" s="280"/>
      <c r="B101" s="238" t="s">
        <v>58</v>
      </c>
      <c r="C101" s="283"/>
      <c r="D101" s="20" t="s">
        <v>461</v>
      </c>
      <c r="E101" s="20">
        <f>D98/E100</f>
        <v>2.3100558422319621</v>
      </c>
      <c r="F101" s="227" t="s">
        <v>462</v>
      </c>
      <c r="G101" s="20"/>
      <c r="H101" s="20"/>
      <c r="I101" s="225"/>
      <c r="K101" s="280"/>
      <c r="L101" s="238" t="s">
        <v>58</v>
      </c>
      <c r="M101" s="228"/>
      <c r="N101" s="20" t="s">
        <v>461</v>
      </c>
      <c r="O101" s="20">
        <f>N98/O100</f>
        <v>3.3116960554237402</v>
      </c>
      <c r="P101" s="227" t="s">
        <v>462</v>
      </c>
      <c r="Q101" s="20"/>
      <c r="R101" s="20"/>
      <c r="S101" s="225"/>
    </row>
    <row r="102" spans="1:19" x14ac:dyDescent="0.3">
      <c r="A102" s="280"/>
      <c r="B102" s="238"/>
      <c r="C102" s="283"/>
      <c r="D102" s="20"/>
      <c r="E102" s="20"/>
      <c r="F102" s="20"/>
      <c r="G102" s="20"/>
      <c r="H102" s="20"/>
      <c r="I102" s="225"/>
      <c r="K102" s="280"/>
      <c r="L102" s="238"/>
      <c r="M102" s="228"/>
      <c r="N102" s="20"/>
      <c r="O102" s="20"/>
      <c r="P102" s="20"/>
      <c r="Q102" s="20"/>
      <c r="R102" s="20"/>
      <c r="S102" s="225"/>
    </row>
    <row r="103" spans="1:19" x14ac:dyDescent="0.3">
      <c r="A103" s="549" t="s">
        <v>463</v>
      </c>
      <c r="B103" s="550"/>
      <c r="C103" s="283"/>
      <c r="D103" s="20"/>
      <c r="E103" s="20"/>
      <c r="F103" s="20"/>
      <c r="G103" s="20"/>
      <c r="H103" s="20"/>
      <c r="I103" s="225"/>
      <c r="K103" s="549" t="s">
        <v>463</v>
      </c>
      <c r="L103" s="550"/>
      <c r="M103" s="228"/>
      <c r="N103" s="20"/>
      <c r="O103" s="20"/>
      <c r="P103" s="20"/>
      <c r="Q103" s="20"/>
      <c r="R103" s="20"/>
      <c r="S103" s="225"/>
    </row>
    <row r="104" spans="1:19" x14ac:dyDescent="0.3">
      <c r="A104" s="282" t="s">
        <v>52</v>
      </c>
      <c r="B104" s="238"/>
      <c r="C104" s="245"/>
      <c r="D104" s="20"/>
      <c r="E104" s="20"/>
      <c r="F104" s="20"/>
      <c r="G104" s="20"/>
      <c r="H104" s="20"/>
      <c r="I104" s="225"/>
      <c r="K104" s="282" t="s">
        <v>52</v>
      </c>
      <c r="L104" s="238"/>
      <c r="M104" s="409"/>
      <c r="N104" s="20"/>
      <c r="O104" s="20"/>
      <c r="P104" s="20"/>
      <c r="Q104" s="20"/>
      <c r="R104" s="20"/>
      <c r="S104" s="225"/>
    </row>
    <row r="105" spans="1:19" x14ac:dyDescent="0.3">
      <c r="A105" s="280"/>
      <c r="B105" s="238" t="s">
        <v>35</v>
      </c>
      <c r="C105" s="245" t="s">
        <v>36</v>
      </c>
      <c r="D105" s="20"/>
      <c r="E105" s="20"/>
      <c r="F105" s="9">
        <f>0.634*D85</f>
        <v>2.3530736301369863E-2</v>
      </c>
      <c r="G105" s="20"/>
      <c r="H105" s="20"/>
      <c r="I105" s="225"/>
      <c r="K105" s="280"/>
      <c r="L105" s="238" t="s">
        <v>35</v>
      </c>
      <c r="M105" s="409" t="s">
        <v>36</v>
      </c>
      <c r="N105" s="20"/>
      <c r="O105" s="20"/>
      <c r="P105" s="9">
        <f>0.634*N85</f>
        <v>2.3530736301369863E-2</v>
      </c>
      <c r="Q105" s="20"/>
      <c r="R105" s="20"/>
      <c r="S105" s="225"/>
    </row>
    <row r="106" spans="1:19" x14ac:dyDescent="0.3">
      <c r="A106" s="280"/>
      <c r="B106" s="238" t="s">
        <v>37</v>
      </c>
      <c r="C106" s="245" t="s">
        <v>38</v>
      </c>
      <c r="D106" s="20"/>
      <c r="E106" s="20"/>
      <c r="F106" s="9">
        <f>1.4/B66</f>
        <v>5.0724637681159417E-3</v>
      </c>
      <c r="G106" s="20"/>
      <c r="H106" s="20"/>
      <c r="I106" s="225"/>
      <c r="K106" s="280"/>
      <c r="L106" s="238" t="s">
        <v>37</v>
      </c>
      <c r="M106" s="409" t="s">
        <v>38</v>
      </c>
      <c r="N106" s="20"/>
      <c r="O106" s="20"/>
      <c r="P106" s="9">
        <f>1.4/L66</f>
        <v>5.0724637681159417E-3</v>
      </c>
      <c r="Q106" s="20"/>
      <c r="R106" s="20"/>
      <c r="S106" s="225"/>
    </row>
    <row r="107" spans="1:19" x14ac:dyDescent="0.3">
      <c r="A107" s="280"/>
      <c r="B107" s="238" t="s">
        <v>26</v>
      </c>
      <c r="C107" s="23">
        <f>(0.85*(B67)/(B66))*(1-SQRT(1-((2*E79*10^6)/(0.85*B67*0.9*H90*H91^2))))</f>
        <v>6.3144214061893744E-3</v>
      </c>
      <c r="D107" s="20"/>
      <c r="E107" s="13" t="s">
        <v>458</v>
      </c>
      <c r="F107" s="9">
        <f>IF(C107&gt;F106,C107,F106)</f>
        <v>6.3144214061893744E-3</v>
      </c>
      <c r="G107" s="20"/>
      <c r="H107" s="20"/>
      <c r="I107" s="225"/>
      <c r="K107" s="280"/>
      <c r="L107" s="238" t="s">
        <v>26</v>
      </c>
      <c r="M107" s="419">
        <f>(0.85*(L67)/(L66))*(1-SQRT(1-((2*O79*10^6)/(0.85*L67*0.9*R90*R91^2))))</f>
        <v>5.4442390496777966E-3</v>
      </c>
      <c r="N107" s="20"/>
      <c r="O107" s="13" t="s">
        <v>458</v>
      </c>
      <c r="P107" s="9">
        <f>IF(M107&gt;P106,M107,P106)</f>
        <v>5.4442390496777966E-3</v>
      </c>
      <c r="Q107" s="20"/>
      <c r="R107" s="20"/>
      <c r="S107" s="225"/>
    </row>
    <row r="108" spans="1:19" x14ac:dyDescent="0.3">
      <c r="A108" s="280"/>
      <c r="B108" s="238" t="s">
        <v>53</v>
      </c>
      <c r="C108" s="245" t="s">
        <v>54</v>
      </c>
      <c r="D108" s="20">
        <f>F107*H90*H91</f>
        <v>394.6513378868359</v>
      </c>
      <c r="E108" s="20"/>
      <c r="F108" s="20"/>
      <c r="G108" s="20"/>
      <c r="H108" s="20"/>
      <c r="I108" s="225"/>
      <c r="K108" s="280"/>
      <c r="L108" s="238" t="s">
        <v>53</v>
      </c>
      <c r="M108" s="409" t="s">
        <v>54</v>
      </c>
      <c r="N108" s="20">
        <f>P107*R90*R91</f>
        <v>487.80381885113059</v>
      </c>
      <c r="O108" s="20"/>
      <c r="P108" s="20"/>
      <c r="Q108" s="20"/>
      <c r="R108" s="20"/>
      <c r="S108" s="225"/>
    </row>
    <row r="109" spans="1:19" ht="25.2" x14ac:dyDescent="0.3">
      <c r="A109" s="282" t="s">
        <v>55</v>
      </c>
      <c r="B109" s="238"/>
      <c r="C109" s="245"/>
      <c r="D109" s="20"/>
      <c r="E109" s="20"/>
      <c r="F109" s="284" t="s">
        <v>546</v>
      </c>
      <c r="G109" s="13">
        <v>20</v>
      </c>
      <c r="H109" s="238" t="s">
        <v>43</v>
      </c>
      <c r="I109" s="225"/>
      <c r="K109" s="282" t="s">
        <v>55</v>
      </c>
      <c r="L109" s="238"/>
      <c r="M109" s="409"/>
      <c r="N109" s="20"/>
      <c r="O109" s="20"/>
      <c r="P109" s="284" t="s">
        <v>546</v>
      </c>
      <c r="Q109" s="13">
        <v>20</v>
      </c>
      <c r="R109" s="238" t="s">
        <v>43</v>
      </c>
      <c r="S109" s="225"/>
    </row>
    <row r="110" spans="1:19" x14ac:dyDescent="0.3">
      <c r="A110" s="280"/>
      <c r="B110" s="238" t="s">
        <v>56</v>
      </c>
      <c r="C110" s="245"/>
      <c r="D110" s="20"/>
      <c r="E110" s="20">
        <f>(3.141592654*(G99^2))/4</f>
        <v>314.15926539999998</v>
      </c>
      <c r="F110" s="227" t="s">
        <v>460</v>
      </c>
      <c r="G110" s="20"/>
      <c r="H110" s="20"/>
      <c r="I110" s="225"/>
      <c r="K110" s="280"/>
      <c r="L110" s="238" t="s">
        <v>56</v>
      </c>
      <c r="M110" s="409"/>
      <c r="N110" s="20"/>
      <c r="O110" s="20">
        <f>(3.141592654*(Q99^2))/4</f>
        <v>314.15926539999998</v>
      </c>
      <c r="P110" s="227" t="s">
        <v>460</v>
      </c>
      <c r="Q110" s="20"/>
      <c r="R110" s="20"/>
      <c r="S110" s="225"/>
    </row>
    <row r="111" spans="1:19" x14ac:dyDescent="0.3">
      <c r="A111" s="280"/>
      <c r="B111" s="238" t="s">
        <v>58</v>
      </c>
      <c r="C111" s="283"/>
      <c r="D111" s="20" t="s">
        <v>461</v>
      </c>
      <c r="E111" s="20">
        <f>D108/E110</f>
        <v>1.2562142242863672</v>
      </c>
      <c r="F111" s="227" t="s">
        <v>462</v>
      </c>
      <c r="G111" s="20"/>
      <c r="H111" s="20"/>
      <c r="I111" s="225"/>
      <c r="K111" s="280"/>
      <c r="L111" s="238" t="s">
        <v>58</v>
      </c>
      <c r="M111" s="228"/>
      <c r="N111" s="20" t="s">
        <v>461</v>
      </c>
      <c r="O111" s="20">
        <f>N108/O110</f>
        <v>1.5527277803824742</v>
      </c>
      <c r="P111" s="227" t="s">
        <v>462</v>
      </c>
      <c r="Q111" s="20"/>
      <c r="R111" s="20"/>
      <c r="S111" s="225"/>
    </row>
    <row r="112" spans="1:19" x14ac:dyDescent="0.3">
      <c r="A112" s="546" t="s">
        <v>604</v>
      </c>
      <c r="B112" s="547"/>
      <c r="C112" s="547"/>
      <c r="D112" s="547"/>
      <c r="E112" s="547"/>
      <c r="F112" s="547"/>
      <c r="G112" s="547"/>
      <c r="H112" s="547"/>
      <c r="I112" s="548"/>
      <c r="K112" s="546" t="s">
        <v>604</v>
      </c>
      <c r="L112" s="547"/>
      <c r="M112" s="547"/>
      <c r="N112" s="547"/>
      <c r="O112" s="547"/>
      <c r="P112" s="547"/>
      <c r="Q112" s="547"/>
      <c r="R112" s="547"/>
      <c r="S112" s="548"/>
    </row>
    <row r="113" spans="1:41" x14ac:dyDescent="0.3">
      <c r="A113" s="562" t="s">
        <v>628</v>
      </c>
      <c r="B113" s="541"/>
      <c r="C113" s="227" t="s">
        <v>629</v>
      </c>
      <c r="E113" s="20"/>
      <c r="F113" s="394" t="s">
        <v>631</v>
      </c>
      <c r="I113" s="225"/>
      <c r="K113" s="562" t="s">
        <v>628</v>
      </c>
      <c r="L113" s="541"/>
      <c r="M113" s="227" t="s">
        <v>629</v>
      </c>
      <c r="O113" s="20"/>
      <c r="P113" s="394" t="s">
        <v>631</v>
      </c>
      <c r="S113" s="225"/>
    </row>
    <row r="114" spans="1:41" x14ac:dyDescent="0.3">
      <c r="A114" s="279"/>
      <c r="B114" s="228" t="s">
        <v>625</v>
      </c>
      <c r="C114" s="390">
        <v>10</v>
      </c>
      <c r="D114" s="227" t="s">
        <v>624</v>
      </c>
      <c r="E114" s="20"/>
      <c r="F114" s="238"/>
      <c r="G114" s="20"/>
      <c r="H114" s="20"/>
      <c r="I114" s="225"/>
      <c r="K114" s="279"/>
      <c r="L114" s="228" t="s">
        <v>625</v>
      </c>
      <c r="M114" s="390">
        <v>10</v>
      </c>
      <c r="N114" s="227" t="s">
        <v>624</v>
      </c>
      <c r="O114" s="20"/>
      <c r="P114" s="238"/>
      <c r="Q114" s="20"/>
      <c r="R114" s="20"/>
      <c r="S114" s="225"/>
    </row>
    <row r="115" spans="1:41" x14ac:dyDescent="0.3">
      <c r="A115" s="279"/>
      <c r="B115" s="238" t="s">
        <v>620</v>
      </c>
      <c r="C115" s="13" t="s">
        <v>32</v>
      </c>
      <c r="D115" s="20">
        <v>100</v>
      </c>
      <c r="E115" s="227" t="s">
        <v>43</v>
      </c>
      <c r="F115" s="227" t="s">
        <v>627</v>
      </c>
      <c r="G115" s="20">
        <v>130</v>
      </c>
      <c r="H115" s="20" t="s">
        <v>43</v>
      </c>
      <c r="I115" s="225"/>
      <c r="K115" s="279"/>
      <c r="L115" s="238" t="s">
        <v>620</v>
      </c>
      <c r="M115" s="13" t="s">
        <v>32</v>
      </c>
      <c r="N115" s="20">
        <v>85</v>
      </c>
      <c r="O115" s="227" t="s">
        <v>43</v>
      </c>
      <c r="P115" s="227" t="s">
        <v>627</v>
      </c>
      <c r="Q115" s="20">
        <v>160</v>
      </c>
      <c r="R115" s="20" t="s">
        <v>43</v>
      </c>
      <c r="S115" s="225"/>
    </row>
    <row r="116" spans="1:41" x14ac:dyDescent="0.3">
      <c r="A116" s="279"/>
      <c r="B116" s="238" t="s">
        <v>621</v>
      </c>
      <c r="C116" s="13" t="s">
        <v>32</v>
      </c>
      <c r="D116" s="20">
        <v>160</v>
      </c>
      <c r="E116" s="227" t="s">
        <v>43</v>
      </c>
      <c r="F116" s="227"/>
      <c r="G116" s="20"/>
      <c r="H116" s="20"/>
      <c r="I116" s="225"/>
      <c r="K116" s="279"/>
      <c r="L116" s="238" t="s">
        <v>621</v>
      </c>
      <c r="M116" s="13" t="s">
        <v>32</v>
      </c>
      <c r="N116" s="20">
        <v>160</v>
      </c>
      <c r="O116" s="227" t="s">
        <v>43</v>
      </c>
      <c r="P116" s="227"/>
      <c r="Q116" s="20"/>
      <c r="R116" s="20"/>
      <c r="S116" s="225"/>
    </row>
    <row r="117" spans="1:41" x14ac:dyDescent="0.3">
      <c r="A117" s="280"/>
      <c r="B117" s="238" t="s">
        <v>622</v>
      </c>
      <c r="C117" s="13" t="s">
        <v>32</v>
      </c>
      <c r="D117" s="20">
        <v>240</v>
      </c>
      <c r="E117" s="227" t="s">
        <v>43</v>
      </c>
      <c r="F117" s="227"/>
      <c r="G117" s="20"/>
      <c r="H117" s="20"/>
      <c r="I117" s="225"/>
      <c r="K117" s="280"/>
      <c r="L117" s="238" t="s">
        <v>622</v>
      </c>
      <c r="M117" s="13" t="s">
        <v>32</v>
      </c>
      <c r="N117" s="20">
        <v>240</v>
      </c>
      <c r="O117" s="227" t="s">
        <v>43</v>
      </c>
      <c r="P117" s="227"/>
      <c r="Q117" s="20"/>
      <c r="R117" s="20"/>
      <c r="S117" s="225"/>
    </row>
    <row r="118" spans="1:41" x14ac:dyDescent="0.3">
      <c r="A118" s="280"/>
      <c r="B118" s="238" t="s">
        <v>623</v>
      </c>
      <c r="C118" s="13" t="s">
        <v>32</v>
      </c>
      <c r="D118" s="20">
        <v>300</v>
      </c>
      <c r="E118" s="227" t="s">
        <v>43</v>
      </c>
      <c r="F118" s="227"/>
      <c r="G118" s="20"/>
      <c r="H118" s="20"/>
      <c r="I118" s="225"/>
      <c r="K118" s="280"/>
      <c r="L118" s="238" t="s">
        <v>623</v>
      </c>
      <c r="M118" s="13" t="s">
        <v>32</v>
      </c>
      <c r="N118" s="20">
        <v>300</v>
      </c>
      <c r="O118" s="227" t="s">
        <v>43</v>
      </c>
      <c r="P118" s="227"/>
      <c r="Q118" s="20"/>
      <c r="R118" s="20"/>
      <c r="S118" s="225"/>
    </row>
    <row r="119" spans="1:41" x14ac:dyDescent="0.3">
      <c r="A119" s="280"/>
      <c r="B119" s="238"/>
      <c r="C119" s="13" t="s">
        <v>626</v>
      </c>
      <c r="D119" s="250">
        <f>MIN(D115:D118)</f>
        <v>100</v>
      </c>
      <c r="E119" s="238" t="s">
        <v>43</v>
      </c>
      <c r="F119" s="227" t="s">
        <v>129</v>
      </c>
      <c r="G119" s="20"/>
      <c r="H119" s="20"/>
      <c r="I119" s="225"/>
      <c r="K119" s="280"/>
      <c r="L119" s="238"/>
      <c r="M119" s="13" t="s">
        <v>626</v>
      </c>
      <c r="N119" s="250">
        <f>MIN(N115:N118)</f>
        <v>85</v>
      </c>
      <c r="O119" s="238" t="s">
        <v>43</v>
      </c>
      <c r="P119" s="227" t="s">
        <v>129</v>
      </c>
      <c r="Q119" s="20"/>
      <c r="R119" s="20"/>
      <c r="S119" s="225"/>
    </row>
    <row r="120" spans="1:41" x14ac:dyDescent="0.3">
      <c r="A120" s="281" t="s">
        <v>12</v>
      </c>
      <c r="B120" s="227"/>
      <c r="C120" s="245"/>
      <c r="D120" s="20"/>
      <c r="E120" s="20"/>
      <c r="F120" s="20"/>
      <c r="G120" s="13"/>
      <c r="H120" s="13"/>
      <c r="I120" s="234"/>
      <c r="K120" s="281" t="s">
        <v>12</v>
      </c>
      <c r="L120" s="227"/>
      <c r="M120" s="245"/>
      <c r="N120" s="20"/>
      <c r="O120" s="20"/>
      <c r="P120" s="20"/>
      <c r="Q120" s="13"/>
      <c r="R120" s="13"/>
      <c r="S120" s="234"/>
    </row>
    <row r="121" spans="1:41" x14ac:dyDescent="0.3">
      <c r="A121" s="335"/>
      <c r="B121" s="336" t="s">
        <v>143</v>
      </c>
      <c r="C121" s="393">
        <f>ROUNDUP(E101,0)</f>
        <v>3</v>
      </c>
      <c r="D121" s="337" t="s">
        <v>547</v>
      </c>
      <c r="E121" s="337" t="s">
        <v>630</v>
      </c>
      <c r="F121" s="338" t="s">
        <v>13</v>
      </c>
      <c r="G121" s="338"/>
      <c r="H121" s="326"/>
      <c r="I121" s="351"/>
      <c r="K121" s="335"/>
      <c r="L121" s="336" t="s">
        <v>143</v>
      </c>
      <c r="M121" s="393">
        <v>4</v>
      </c>
      <c r="N121" s="337" t="s">
        <v>547</v>
      </c>
      <c r="O121" s="337" t="s">
        <v>630</v>
      </c>
      <c r="P121" s="338" t="s">
        <v>13</v>
      </c>
      <c r="Q121" s="338"/>
      <c r="R121" s="326"/>
      <c r="S121" s="351"/>
    </row>
    <row r="122" spans="1:41" x14ac:dyDescent="0.3">
      <c r="A122" s="335"/>
      <c r="B122" s="336" t="s">
        <v>143</v>
      </c>
      <c r="C122" s="393">
        <v>2</v>
      </c>
      <c r="D122" s="337" t="s">
        <v>547</v>
      </c>
      <c r="E122" s="337" t="s">
        <v>464</v>
      </c>
      <c r="F122" s="337" t="s">
        <v>14</v>
      </c>
      <c r="G122" s="338"/>
      <c r="H122" s="326"/>
      <c r="I122" s="351"/>
      <c r="K122" s="335"/>
      <c r="L122" s="336" t="s">
        <v>143</v>
      </c>
      <c r="M122" s="393">
        <v>2</v>
      </c>
      <c r="N122" s="337" t="s">
        <v>547</v>
      </c>
      <c r="O122" s="337" t="s">
        <v>464</v>
      </c>
      <c r="P122" s="337" t="s">
        <v>14</v>
      </c>
      <c r="Q122" s="338"/>
      <c r="R122" s="326"/>
      <c r="S122" s="351"/>
    </row>
    <row r="123" spans="1:41" ht="15" thickBot="1" x14ac:dyDescent="0.35">
      <c r="A123" s="563" t="s">
        <v>654</v>
      </c>
      <c r="B123" s="564"/>
      <c r="C123" s="564"/>
      <c r="D123" s="564"/>
      <c r="E123" s="564"/>
      <c r="F123" s="564"/>
      <c r="G123" s="564"/>
      <c r="H123" s="564"/>
      <c r="I123" s="565"/>
      <c r="K123" s="563" t="s">
        <v>652</v>
      </c>
      <c r="L123" s="564"/>
      <c r="M123" s="564"/>
      <c r="N123" s="564"/>
      <c r="O123" s="564"/>
      <c r="P123" s="564"/>
      <c r="Q123" s="564"/>
      <c r="R123" s="564"/>
      <c r="S123" s="565"/>
    </row>
    <row r="124" spans="1:41" ht="15" thickBot="1" x14ac:dyDescent="0.35"/>
    <row r="125" spans="1:41" s="355" customFormat="1" ht="19.8" x14ac:dyDescent="0.4">
      <c r="A125" s="559" t="s">
        <v>465</v>
      </c>
      <c r="B125" s="560"/>
      <c r="C125" s="560"/>
      <c r="D125" s="560"/>
      <c r="E125" s="560"/>
      <c r="F125" s="560"/>
      <c r="G125" s="560"/>
      <c r="H125" s="560"/>
      <c r="I125" s="561"/>
      <c r="K125" s="559" t="s">
        <v>469</v>
      </c>
      <c r="L125" s="560"/>
      <c r="M125" s="560"/>
      <c r="N125" s="560"/>
      <c r="O125" s="560"/>
      <c r="P125" s="560"/>
      <c r="Q125" s="560"/>
      <c r="R125" s="560"/>
      <c r="S125" s="561"/>
      <c r="U125" s="358"/>
      <c r="AE125" s="358"/>
      <c r="AO125" s="358"/>
    </row>
    <row r="126" spans="1:41" x14ac:dyDescent="0.3">
      <c r="A126" s="543" t="s">
        <v>23</v>
      </c>
      <c r="B126" s="544"/>
      <c r="C126" s="544"/>
      <c r="D126" s="544"/>
      <c r="E126" s="544"/>
      <c r="F126" s="544"/>
      <c r="G126" s="544"/>
      <c r="H126" s="544"/>
      <c r="I126" s="545"/>
      <c r="K126" s="543" t="s">
        <v>23</v>
      </c>
      <c r="L126" s="544"/>
      <c r="M126" s="544"/>
      <c r="N126" s="544"/>
      <c r="O126" s="544"/>
      <c r="P126" s="544"/>
      <c r="Q126" s="544"/>
      <c r="R126" s="544"/>
      <c r="S126" s="545"/>
    </row>
    <row r="127" spans="1:41" x14ac:dyDescent="0.3">
      <c r="A127" s="279"/>
      <c r="B127" s="227"/>
      <c r="C127" s="245"/>
      <c r="D127" s="20"/>
      <c r="E127" s="20"/>
      <c r="F127" s="20"/>
      <c r="G127" s="20"/>
      <c r="H127" s="20"/>
      <c r="I127" s="225"/>
      <c r="K127" s="279"/>
      <c r="L127" s="227"/>
      <c r="M127" s="409"/>
      <c r="N127" s="20"/>
      <c r="O127" s="250"/>
      <c r="P127" s="20"/>
      <c r="Q127" s="20"/>
      <c r="R127" s="20"/>
      <c r="S127" s="225"/>
    </row>
    <row r="128" spans="1:41" x14ac:dyDescent="0.3">
      <c r="A128" s="226" t="s">
        <v>24</v>
      </c>
      <c r="B128" s="381">
        <v>276</v>
      </c>
      <c r="C128" s="245" t="s">
        <v>25</v>
      </c>
      <c r="D128" s="228" t="s">
        <v>29</v>
      </c>
      <c r="E128" s="250">
        <v>0.85</v>
      </c>
      <c r="F128" s="20"/>
      <c r="G128" s="20" t="s">
        <v>26</v>
      </c>
      <c r="H128" s="20" t="s">
        <v>27</v>
      </c>
      <c r="I128" s="225"/>
      <c r="K128" s="226" t="s">
        <v>24</v>
      </c>
      <c r="L128" s="381">
        <v>276</v>
      </c>
      <c r="M128" s="227" t="s">
        <v>25</v>
      </c>
      <c r="N128" s="228" t="s">
        <v>29</v>
      </c>
      <c r="O128" s="250">
        <v>0.85</v>
      </c>
      <c r="P128" s="20"/>
      <c r="Q128" s="20" t="s">
        <v>26</v>
      </c>
      <c r="R128" s="20" t="s">
        <v>27</v>
      </c>
      <c r="S128" s="225"/>
    </row>
    <row r="129" spans="1:19" x14ac:dyDescent="0.3">
      <c r="A129" s="226" t="s">
        <v>28</v>
      </c>
      <c r="B129" s="381">
        <v>20.7</v>
      </c>
      <c r="C129" s="245" t="s">
        <v>25</v>
      </c>
      <c r="D129" s="228" t="s">
        <v>444</v>
      </c>
      <c r="E129" s="250">
        <f>E140</f>
        <v>21.259699999999999</v>
      </c>
      <c r="F129" s="227" t="s">
        <v>445</v>
      </c>
      <c r="G129" s="20"/>
      <c r="H129" s="20" t="s">
        <v>446</v>
      </c>
      <c r="I129" s="225"/>
      <c r="K129" s="226" t="s">
        <v>28</v>
      </c>
      <c r="L129" s="381">
        <v>20.7</v>
      </c>
      <c r="M129" s="227" t="s">
        <v>25</v>
      </c>
      <c r="N129" s="228" t="s">
        <v>444</v>
      </c>
      <c r="O129" s="250">
        <f>O140</f>
        <v>62.700619999999994</v>
      </c>
      <c r="P129" s="227" t="s">
        <v>445</v>
      </c>
      <c r="Q129" s="20"/>
      <c r="R129" s="20" t="s">
        <v>446</v>
      </c>
      <c r="S129" s="225"/>
    </row>
    <row r="130" spans="1:19" x14ac:dyDescent="0.3">
      <c r="A130" s="280"/>
      <c r="B130" s="227"/>
      <c r="C130" s="245"/>
      <c r="D130" s="20"/>
      <c r="E130" s="20"/>
      <c r="F130" s="20"/>
      <c r="G130" s="20"/>
      <c r="H130" s="20"/>
      <c r="I130" s="225"/>
      <c r="K130" s="235"/>
      <c r="L130" s="227"/>
      <c r="M130" s="409"/>
      <c r="N130" s="20"/>
      <c r="O130" s="20"/>
      <c r="P130" s="20"/>
      <c r="Q130" s="20"/>
      <c r="R130" s="20"/>
      <c r="S130" s="225"/>
    </row>
    <row r="131" spans="1:19" x14ac:dyDescent="0.3">
      <c r="A131" s="280"/>
      <c r="B131" s="542" t="s">
        <v>447</v>
      </c>
      <c r="C131" s="542"/>
      <c r="D131" s="542"/>
      <c r="E131" s="41"/>
      <c r="G131" s="45"/>
      <c r="I131" s="225"/>
      <c r="K131" s="280"/>
      <c r="L131" s="542" t="s">
        <v>447</v>
      </c>
      <c r="M131" s="542"/>
      <c r="N131" s="542"/>
      <c r="O131" s="41"/>
      <c r="Q131" s="45"/>
      <c r="S131" s="225"/>
    </row>
    <row r="132" spans="1:19" x14ac:dyDescent="0.3">
      <c r="A132" s="280"/>
      <c r="D132" s="40"/>
      <c r="E132" s="41" t="s">
        <v>448</v>
      </c>
      <c r="F132" s="40" t="s">
        <v>449</v>
      </c>
      <c r="G132" s="45" t="s">
        <v>450</v>
      </c>
      <c r="I132" s="225"/>
      <c r="K132" s="280"/>
      <c r="N132" s="40"/>
      <c r="O132" s="41" t="s">
        <v>448</v>
      </c>
      <c r="P132" s="40" t="s">
        <v>449</v>
      </c>
      <c r="Q132" s="45" t="s">
        <v>450</v>
      </c>
      <c r="S132" s="225"/>
    </row>
    <row r="133" spans="1:19" x14ac:dyDescent="0.3">
      <c r="A133" s="280"/>
      <c r="D133" s="42" t="s">
        <v>361</v>
      </c>
      <c r="E133" s="110">
        <v>0.57450000000000001</v>
      </c>
      <c r="F133" s="239">
        <v>0.1903</v>
      </c>
      <c r="G133" s="240">
        <v>20.38</v>
      </c>
      <c r="I133" s="225"/>
      <c r="K133" s="280"/>
      <c r="N133" s="42" t="s">
        <v>361</v>
      </c>
      <c r="O133" s="110">
        <v>26.8796</v>
      </c>
      <c r="P133" s="239">
        <v>8.6336999999999993</v>
      </c>
      <c r="Q133" s="240">
        <v>21.811399999999999</v>
      </c>
      <c r="S133" s="225"/>
    </row>
    <row r="134" spans="1:19" x14ac:dyDescent="0.3">
      <c r="A134" s="280"/>
      <c r="D134" s="42" t="s">
        <v>362</v>
      </c>
      <c r="E134" s="110">
        <v>1.0846</v>
      </c>
      <c r="F134" s="239">
        <v>0.38919999999999999</v>
      </c>
      <c r="G134" s="240">
        <f>G133/2</f>
        <v>10.19</v>
      </c>
      <c r="I134" s="225"/>
      <c r="K134" s="280"/>
      <c r="N134" s="42" t="s">
        <v>362</v>
      </c>
      <c r="O134" s="110">
        <v>17.7089</v>
      </c>
      <c r="P134" s="239">
        <v>6.8822000000000001</v>
      </c>
      <c r="Q134" s="240">
        <f>Q133/2</f>
        <v>10.9057</v>
      </c>
      <c r="S134" s="225"/>
    </row>
    <row r="135" spans="1:19" x14ac:dyDescent="0.3">
      <c r="A135" s="280"/>
      <c r="D135" s="40"/>
      <c r="E135" s="229" t="s">
        <v>361</v>
      </c>
      <c r="F135" s="39"/>
      <c r="G135" s="229" t="s">
        <v>362</v>
      </c>
      <c r="I135" s="225"/>
      <c r="K135" s="280"/>
      <c r="N135" s="40"/>
      <c r="O135" s="229" t="s">
        <v>361</v>
      </c>
      <c r="P135" s="39"/>
      <c r="Q135" s="229" t="s">
        <v>362</v>
      </c>
      <c r="S135" s="225"/>
    </row>
    <row r="136" spans="1:19" x14ac:dyDescent="0.3">
      <c r="A136" s="280"/>
      <c r="C136" s="553" t="s">
        <v>451</v>
      </c>
      <c r="D136" s="553"/>
      <c r="E136" s="41">
        <f>1.4*E133</f>
        <v>0.80430000000000001</v>
      </c>
      <c r="F136" t="s">
        <v>452</v>
      </c>
      <c r="G136" s="45">
        <f>1.4*E134</f>
        <v>1.51844</v>
      </c>
      <c r="H136" t="s">
        <v>452</v>
      </c>
      <c r="I136" s="225"/>
      <c r="K136" s="280"/>
      <c r="M136" s="553" t="s">
        <v>451</v>
      </c>
      <c r="N136" s="553"/>
      <c r="O136" s="41">
        <f>1.4*O133</f>
        <v>37.631439999999998</v>
      </c>
      <c r="P136" t="s">
        <v>452</v>
      </c>
      <c r="Q136" s="45">
        <f>1.4*O134</f>
        <v>24.792459999999998</v>
      </c>
      <c r="R136" t="s">
        <v>452</v>
      </c>
      <c r="S136" s="225"/>
    </row>
    <row r="137" spans="1:19" x14ac:dyDescent="0.3">
      <c r="A137" s="280"/>
      <c r="C137" s="552" t="s">
        <v>453</v>
      </c>
      <c r="D137" s="552"/>
      <c r="E137" s="41">
        <f>1.2*E133 + 1.6*F133</f>
        <v>0.9938800000000001</v>
      </c>
      <c r="F137" t="s">
        <v>452</v>
      </c>
      <c r="G137" s="45">
        <f>1.2*E134+1.6*F134</f>
        <v>1.9242400000000002</v>
      </c>
      <c r="H137" t="s">
        <v>452</v>
      </c>
      <c r="I137" s="225"/>
      <c r="K137" s="280"/>
      <c r="M137" s="552" t="s">
        <v>453</v>
      </c>
      <c r="N137" s="552"/>
      <c r="O137" s="41">
        <f>1.2*O133 + 1.6*P133</f>
        <v>46.06944</v>
      </c>
      <c r="P137" t="s">
        <v>452</v>
      </c>
      <c r="Q137" s="45">
        <f>1.2*O134+1.6*P134</f>
        <v>32.2622</v>
      </c>
      <c r="R137" t="s">
        <v>452</v>
      </c>
      <c r="S137" s="225"/>
    </row>
    <row r="138" spans="1:19" x14ac:dyDescent="0.3">
      <c r="A138" s="280"/>
      <c r="C138" s="552" t="s">
        <v>586</v>
      </c>
      <c r="D138" s="552"/>
      <c r="E138" s="41">
        <f>1.2*E133+F133+G133</f>
        <v>21.259699999999999</v>
      </c>
      <c r="F138" t="s">
        <v>452</v>
      </c>
      <c r="G138" s="45">
        <f>1.2*E134+F134+1*G134</f>
        <v>11.88072</v>
      </c>
      <c r="H138" t="s">
        <v>452</v>
      </c>
      <c r="I138" s="225"/>
      <c r="K138" s="280"/>
      <c r="M138" s="552" t="s">
        <v>586</v>
      </c>
      <c r="N138" s="552"/>
      <c r="O138" s="41">
        <f>1.2*O133+P133+Q133</f>
        <v>62.700619999999994</v>
      </c>
      <c r="P138" t="s">
        <v>452</v>
      </c>
      <c r="Q138" s="45">
        <f>1.2*O134+P134+1*Q134</f>
        <v>39.038579999999996</v>
      </c>
      <c r="R138" t="s">
        <v>452</v>
      </c>
      <c r="S138" s="225"/>
    </row>
    <row r="139" spans="1:19" x14ac:dyDescent="0.3">
      <c r="A139" s="280"/>
      <c r="C139" s="552" t="s">
        <v>454</v>
      </c>
      <c r="D139" s="552"/>
      <c r="E139" s="41">
        <f>0.9*E133+G133</f>
        <v>20.89705</v>
      </c>
      <c r="F139" t="s">
        <v>452</v>
      </c>
      <c r="G139" s="45">
        <f>0.9*E134+G134</f>
        <v>11.166139999999999</v>
      </c>
      <c r="H139" t="s">
        <v>452</v>
      </c>
      <c r="I139" s="225"/>
      <c r="K139" s="280"/>
      <c r="M139" s="552" t="s">
        <v>454</v>
      </c>
      <c r="N139" s="552"/>
      <c r="O139" s="41">
        <f>0.9*O133+Q133</f>
        <v>46.003039999999999</v>
      </c>
      <c r="P139" t="s">
        <v>452</v>
      </c>
      <c r="Q139" s="45">
        <f>0.9*O134+Q134</f>
        <v>26.843710000000002</v>
      </c>
      <c r="R139" t="s">
        <v>452</v>
      </c>
      <c r="S139" s="225"/>
    </row>
    <row r="140" spans="1:19" x14ac:dyDescent="0.3">
      <c r="A140" s="280"/>
      <c r="B140" s="227"/>
      <c r="C140" s="285" t="s">
        <v>455</v>
      </c>
      <c r="D140" s="230" t="s">
        <v>456</v>
      </c>
      <c r="E140" s="230">
        <f>MAX(E136:E139)</f>
        <v>21.259699999999999</v>
      </c>
      <c r="F140" s="230" t="s">
        <v>452</v>
      </c>
      <c r="G140" s="231" t="s">
        <v>361</v>
      </c>
      <c r="H140" s="20"/>
      <c r="I140" s="225"/>
      <c r="K140" s="280"/>
      <c r="L140" s="227"/>
      <c r="M140" s="285" t="s">
        <v>455</v>
      </c>
      <c r="N140" s="230" t="s">
        <v>456</v>
      </c>
      <c r="O140" s="230">
        <f>MAX(O136:O139)</f>
        <v>62.700619999999994</v>
      </c>
      <c r="P140" s="230" t="s">
        <v>452</v>
      </c>
      <c r="Q140" s="231" t="s">
        <v>361</v>
      </c>
      <c r="R140" s="20"/>
      <c r="S140" s="225"/>
    </row>
    <row r="141" spans="1:19" x14ac:dyDescent="0.3">
      <c r="A141" s="280"/>
      <c r="B141" s="227"/>
      <c r="C141" s="286"/>
      <c r="D141" s="230" t="s">
        <v>456</v>
      </c>
      <c r="E141" s="230">
        <f>MAX(G136:G139)</f>
        <v>11.88072</v>
      </c>
      <c r="F141" s="230" t="s">
        <v>452</v>
      </c>
      <c r="G141" s="231" t="s">
        <v>362</v>
      </c>
      <c r="H141" s="20"/>
      <c r="I141" s="225"/>
      <c r="K141" s="280"/>
      <c r="L141" s="227"/>
      <c r="M141" s="427"/>
      <c r="N141" s="230" t="s">
        <v>456</v>
      </c>
      <c r="O141" s="230">
        <f>MAX(Q136:Q139)</f>
        <v>39.038579999999996</v>
      </c>
      <c r="P141" s="230" t="s">
        <v>452</v>
      </c>
      <c r="Q141" s="231" t="s">
        <v>362</v>
      </c>
      <c r="R141" s="20"/>
      <c r="S141" s="225"/>
    </row>
    <row r="142" spans="1:19" x14ac:dyDescent="0.3">
      <c r="A142" s="280"/>
      <c r="B142" s="227"/>
      <c r="C142" s="245"/>
      <c r="D142" s="232"/>
      <c r="E142" s="233"/>
      <c r="F142" s="232"/>
      <c r="G142" s="20"/>
      <c r="H142" s="20"/>
      <c r="I142" s="225"/>
      <c r="K142" s="280"/>
      <c r="L142" s="227"/>
      <c r="M142" s="409"/>
      <c r="N142" s="232"/>
      <c r="O142" s="233"/>
      <c r="P142" s="232"/>
      <c r="Q142" s="20"/>
      <c r="R142" s="20"/>
      <c r="S142" s="225"/>
    </row>
    <row r="143" spans="1:19" x14ac:dyDescent="0.3">
      <c r="A143" s="543" t="s">
        <v>457</v>
      </c>
      <c r="B143" s="544"/>
      <c r="C143" s="544"/>
      <c r="D143" s="544"/>
      <c r="E143" s="544"/>
      <c r="F143" s="544"/>
      <c r="G143" s="544"/>
      <c r="H143" s="544"/>
      <c r="I143" s="545"/>
      <c r="K143" s="543" t="s">
        <v>457</v>
      </c>
      <c r="L143" s="547"/>
      <c r="M143" s="547"/>
      <c r="N143" s="547"/>
      <c r="O143" s="547"/>
      <c r="P143" s="547"/>
      <c r="Q143" s="547"/>
      <c r="R143" s="547"/>
      <c r="S143" s="548"/>
    </row>
    <row r="144" spans="1:19" x14ac:dyDescent="0.3">
      <c r="A144" s="279"/>
      <c r="B144" s="238"/>
      <c r="C144" s="283"/>
      <c r="D144" s="13"/>
      <c r="E144" s="13"/>
      <c r="F144" s="13"/>
      <c r="G144" s="13"/>
      <c r="H144" s="13"/>
      <c r="I144" s="234"/>
      <c r="K144" s="279"/>
      <c r="L144" s="238"/>
      <c r="M144" s="228"/>
      <c r="N144" s="13"/>
      <c r="O144" s="13"/>
      <c r="P144" s="13"/>
      <c r="Q144" s="13"/>
      <c r="R144" s="13"/>
      <c r="S144" s="234"/>
    </row>
    <row r="145" spans="1:19" x14ac:dyDescent="0.3">
      <c r="A145" s="279" t="s">
        <v>31</v>
      </c>
      <c r="B145" s="227"/>
      <c r="C145" s="245"/>
      <c r="D145" s="9">
        <f>(0.85*B129*E128*0.003)/(B128*0.007)</f>
        <v>2.3223214285714285E-2</v>
      </c>
      <c r="E145" s="20"/>
      <c r="F145" s="20"/>
      <c r="G145" s="20"/>
      <c r="H145" s="20"/>
      <c r="I145" s="225"/>
      <c r="K145" s="279" t="s">
        <v>31</v>
      </c>
      <c r="L145" s="227"/>
      <c r="M145" s="409"/>
      <c r="N145" s="9">
        <f>(0.85*L129*O128*0.003)/(L128*0.007)</f>
        <v>2.3223214285714285E-2</v>
      </c>
      <c r="O145" s="20"/>
      <c r="P145" s="20"/>
      <c r="Q145" s="20"/>
      <c r="R145" s="20"/>
      <c r="S145" s="225"/>
    </row>
    <row r="146" spans="1:19" x14ac:dyDescent="0.3">
      <c r="A146" s="280"/>
      <c r="B146" s="227"/>
      <c r="C146" s="245"/>
      <c r="D146" s="9"/>
      <c r="E146" s="20"/>
      <c r="F146" s="20"/>
      <c r="G146" s="20"/>
      <c r="H146" s="20"/>
      <c r="I146" s="225"/>
      <c r="K146" s="280"/>
      <c r="L146" s="227"/>
      <c r="M146" s="409"/>
      <c r="N146" s="9"/>
      <c r="O146" s="20"/>
      <c r="P146" s="20"/>
      <c r="Q146" s="20"/>
      <c r="R146" s="20"/>
      <c r="S146" s="225"/>
    </row>
    <row r="147" spans="1:19" x14ac:dyDescent="0.3">
      <c r="A147" s="279" t="s">
        <v>33</v>
      </c>
      <c r="B147" s="551" t="s">
        <v>34</v>
      </c>
      <c r="C147" s="551"/>
      <c r="D147" s="9">
        <f>(0.85*B129*600*E128)/(B128*(B128+600))</f>
        <v>3.7114726027397259E-2</v>
      </c>
      <c r="E147" s="20"/>
      <c r="F147" s="20"/>
      <c r="G147" s="20"/>
      <c r="H147" s="20"/>
      <c r="I147" s="225"/>
      <c r="K147" s="279" t="s">
        <v>33</v>
      </c>
      <c r="L147" s="551" t="s">
        <v>34</v>
      </c>
      <c r="M147" s="551"/>
      <c r="N147" s="9">
        <f>(0.85*L129*600*O128)/(L128*(L128+600))</f>
        <v>3.7114726027397259E-2</v>
      </c>
      <c r="O147" s="20"/>
      <c r="P147" s="20"/>
      <c r="Q147" s="20"/>
      <c r="R147" s="20"/>
      <c r="S147" s="225"/>
    </row>
    <row r="148" spans="1:19" x14ac:dyDescent="0.3">
      <c r="A148" s="279" t="s">
        <v>35</v>
      </c>
      <c r="B148" s="551" t="s">
        <v>36</v>
      </c>
      <c r="C148" s="551"/>
      <c r="D148" s="9">
        <f>0.634*D147</f>
        <v>2.3530736301369863E-2</v>
      </c>
      <c r="E148" s="20"/>
      <c r="F148" s="20"/>
      <c r="G148" s="20"/>
      <c r="H148" s="20"/>
      <c r="I148" s="225"/>
      <c r="K148" s="279" t="s">
        <v>35</v>
      </c>
      <c r="L148" s="551" t="s">
        <v>36</v>
      </c>
      <c r="M148" s="551"/>
      <c r="N148" s="9">
        <f>0.634*N147</f>
        <v>2.3530736301369863E-2</v>
      </c>
      <c r="O148" s="20"/>
      <c r="P148" s="20"/>
      <c r="Q148" s="20"/>
      <c r="R148" s="20"/>
      <c r="S148" s="225"/>
    </row>
    <row r="149" spans="1:19" x14ac:dyDescent="0.3">
      <c r="A149" s="279" t="s">
        <v>37</v>
      </c>
      <c r="B149" s="551" t="s">
        <v>38</v>
      </c>
      <c r="C149" s="551"/>
      <c r="D149" s="9">
        <f>1.4/B128</f>
        <v>5.0724637681159417E-3</v>
      </c>
      <c r="E149" s="20"/>
      <c r="F149" s="20"/>
      <c r="G149" s="20"/>
      <c r="H149" s="20"/>
      <c r="I149" s="225"/>
      <c r="K149" s="279" t="s">
        <v>37</v>
      </c>
      <c r="L149" s="551" t="s">
        <v>38</v>
      </c>
      <c r="M149" s="551"/>
      <c r="N149" s="9">
        <f>1.4/L128</f>
        <v>5.0724637681159417E-3</v>
      </c>
      <c r="O149" s="20"/>
      <c r="P149" s="20"/>
      <c r="Q149" s="20"/>
      <c r="R149" s="20"/>
      <c r="S149" s="225"/>
    </row>
    <row r="150" spans="1:19" x14ac:dyDescent="0.3">
      <c r="A150" s="279" t="s">
        <v>26</v>
      </c>
      <c r="B150" s="551" t="s">
        <v>39</v>
      </c>
      <c r="C150" s="551"/>
      <c r="D150" s="9">
        <f>0.5*D145</f>
        <v>1.1611607142857142E-2</v>
      </c>
      <c r="E150" s="20"/>
      <c r="F150" s="20"/>
      <c r="G150" s="20"/>
      <c r="H150" s="20"/>
      <c r="I150" s="225"/>
      <c r="K150" s="279" t="s">
        <v>26</v>
      </c>
      <c r="L150" s="551" t="s">
        <v>39</v>
      </c>
      <c r="M150" s="551"/>
      <c r="N150" s="9">
        <f>0.5*N145</f>
        <v>1.1611607142857142E-2</v>
      </c>
      <c r="O150" s="20"/>
      <c r="P150" s="20"/>
      <c r="Q150" s="20"/>
      <c r="R150" s="20"/>
      <c r="S150" s="225"/>
    </row>
    <row r="151" spans="1:19" x14ac:dyDescent="0.3">
      <c r="A151" s="279"/>
      <c r="B151" s="339" t="s">
        <v>458</v>
      </c>
      <c r="C151" s="340">
        <f>IF(D150&gt;D149,D150,D149)</f>
        <v>1.1611607142857142E-2</v>
      </c>
      <c r="D151" s="9"/>
      <c r="E151" s="20"/>
      <c r="F151" s="20"/>
      <c r="G151" s="20"/>
      <c r="H151" s="20"/>
      <c r="I151" s="225"/>
      <c r="K151" s="279"/>
      <c r="L151" s="339" t="s">
        <v>458</v>
      </c>
      <c r="M151" s="340">
        <f>IF(N150&gt;N149,N150,N149)</f>
        <v>1.1611607142857142E-2</v>
      </c>
      <c r="N151" s="9"/>
      <c r="O151" s="20"/>
      <c r="P151" s="20"/>
      <c r="Q151" s="20"/>
      <c r="R151" s="20"/>
      <c r="S151" s="225"/>
    </row>
    <row r="152" spans="1:19" x14ac:dyDescent="0.3">
      <c r="A152" s="279" t="s">
        <v>40</v>
      </c>
      <c r="B152" s="551" t="s">
        <v>41</v>
      </c>
      <c r="C152" s="551"/>
      <c r="D152" s="9">
        <f>(C151*B128)/B129</f>
        <v>0.15482142857142855</v>
      </c>
      <c r="E152" s="13" t="s">
        <v>46</v>
      </c>
      <c r="F152" s="13">
        <f>(D154/(2.25))^(1/3)</f>
        <v>148.99183079983231</v>
      </c>
      <c r="G152" s="20" t="s">
        <v>42</v>
      </c>
      <c r="H152" s="13">
        <v>250</v>
      </c>
      <c r="I152" s="236" t="s">
        <v>43</v>
      </c>
      <c r="K152" s="279" t="s">
        <v>40</v>
      </c>
      <c r="L152" s="551" t="s">
        <v>41</v>
      </c>
      <c r="M152" s="551"/>
      <c r="N152" s="9">
        <f>(M151*L128)/L129</f>
        <v>0.15482142857142855</v>
      </c>
      <c r="O152" s="13" t="s">
        <v>46</v>
      </c>
      <c r="P152" s="13">
        <f>(N154/(2.25))^(1/3)</f>
        <v>213.665313603199</v>
      </c>
      <c r="Q152" s="20" t="s">
        <v>42</v>
      </c>
      <c r="R152" s="13">
        <v>280</v>
      </c>
      <c r="S152" s="236" t="s">
        <v>43</v>
      </c>
    </row>
    <row r="153" spans="1:19" x14ac:dyDescent="0.3">
      <c r="A153" s="279" t="s">
        <v>44</v>
      </c>
      <c r="B153" s="551" t="s">
        <v>45</v>
      </c>
      <c r="C153" s="551"/>
      <c r="D153" s="20">
        <f>(0.9*B129*D152)/(1-0.59*D152)</f>
        <v>3.1742763541889794</v>
      </c>
      <c r="E153" s="13" t="s">
        <v>49</v>
      </c>
      <c r="F153" s="13">
        <f>1.5*F152</f>
        <v>223.48774619974847</v>
      </c>
      <c r="G153" s="20" t="s">
        <v>42</v>
      </c>
      <c r="H153" s="20">
        <v>250</v>
      </c>
      <c r="I153" s="237" t="s">
        <v>43</v>
      </c>
      <c r="K153" s="279" t="s">
        <v>44</v>
      </c>
      <c r="L153" s="551" t="s">
        <v>45</v>
      </c>
      <c r="M153" s="551"/>
      <c r="N153" s="20">
        <f>(0.9*L129*N152)/(1-0.59*N152)</f>
        <v>3.1742763541889794</v>
      </c>
      <c r="O153" s="13" t="s">
        <v>49</v>
      </c>
      <c r="P153" s="13">
        <v>300</v>
      </c>
      <c r="Q153" s="20" t="s">
        <v>42</v>
      </c>
      <c r="R153" s="20">
        <v>330</v>
      </c>
      <c r="S153" s="237" t="s">
        <v>43</v>
      </c>
    </row>
    <row r="154" spans="1:19" x14ac:dyDescent="0.3">
      <c r="A154" s="279" t="s">
        <v>47</v>
      </c>
      <c r="B154" s="551" t="s">
        <v>48</v>
      </c>
      <c r="C154" s="551"/>
      <c r="D154" s="20">
        <f>(E129/(0.9*D153))*1000000</f>
        <v>7441661.1073310999</v>
      </c>
      <c r="E154" s="13" t="s">
        <v>50</v>
      </c>
      <c r="F154" s="13">
        <f>(F153+40+10+(G161/2))</f>
        <v>283.48774619974847</v>
      </c>
      <c r="G154" s="13" t="s">
        <v>42</v>
      </c>
      <c r="H154" s="20">
        <v>350</v>
      </c>
      <c r="I154" s="237" t="s">
        <v>43</v>
      </c>
      <c r="K154" s="279" t="s">
        <v>47</v>
      </c>
      <c r="L154" s="551" t="s">
        <v>48</v>
      </c>
      <c r="M154" s="551"/>
      <c r="N154" s="20">
        <f>(O129/(0.9*N153))*1000000</f>
        <v>21947476.458254185</v>
      </c>
      <c r="O154" s="13" t="s">
        <v>50</v>
      </c>
      <c r="P154" s="13">
        <f>(P153+40+10+(Q161/2))</f>
        <v>360</v>
      </c>
      <c r="Q154" s="13" t="s">
        <v>42</v>
      </c>
      <c r="R154" s="20">
        <v>450</v>
      </c>
      <c r="S154" s="237" t="s">
        <v>43</v>
      </c>
    </row>
    <row r="155" spans="1:19" x14ac:dyDescent="0.3">
      <c r="A155" s="279"/>
      <c r="B155" s="227"/>
      <c r="C155" s="245"/>
      <c r="D155" s="20"/>
      <c r="E155" s="13"/>
      <c r="F155" s="228"/>
      <c r="G155" s="13"/>
      <c r="H155" s="20"/>
      <c r="I155" s="225"/>
      <c r="K155" s="279"/>
      <c r="L155" s="227"/>
      <c r="M155" s="409"/>
      <c r="N155" s="20"/>
      <c r="O155" s="13"/>
      <c r="P155" s="228"/>
      <c r="Q155" s="13"/>
      <c r="R155" s="20"/>
      <c r="S155" s="225"/>
    </row>
    <row r="156" spans="1:19" x14ac:dyDescent="0.3">
      <c r="A156" s="543" t="s">
        <v>97</v>
      </c>
      <c r="B156" s="544"/>
      <c r="C156" s="544"/>
      <c r="D156" s="544"/>
      <c r="E156" s="544"/>
      <c r="F156" s="544"/>
      <c r="G156" s="544"/>
      <c r="H156" s="544"/>
      <c r="I156" s="545"/>
      <c r="K156" s="543" t="s">
        <v>97</v>
      </c>
      <c r="L156" s="557"/>
      <c r="M156" s="557"/>
      <c r="N156" s="557"/>
      <c r="O156" s="557"/>
      <c r="P156" s="557"/>
      <c r="Q156" s="557"/>
      <c r="R156" s="557"/>
      <c r="S156" s="558"/>
    </row>
    <row r="157" spans="1:19" x14ac:dyDescent="0.3">
      <c r="A157" s="549" t="s">
        <v>459</v>
      </c>
      <c r="B157" s="550"/>
      <c r="C157" s="245"/>
      <c r="D157" s="20"/>
      <c r="E157" s="20"/>
      <c r="F157" s="20"/>
      <c r="G157" s="20"/>
      <c r="H157" s="20"/>
      <c r="I157" s="225"/>
      <c r="K157" s="549" t="s">
        <v>459</v>
      </c>
      <c r="L157" s="550"/>
      <c r="M157" s="409"/>
      <c r="N157" s="20"/>
      <c r="O157" s="20"/>
      <c r="P157" s="20"/>
      <c r="Q157" s="20"/>
      <c r="R157" s="20"/>
      <c r="S157" s="225"/>
    </row>
    <row r="158" spans="1:19" x14ac:dyDescent="0.3">
      <c r="A158" s="282" t="s">
        <v>52</v>
      </c>
      <c r="B158" s="238"/>
      <c r="C158" s="245"/>
      <c r="D158" s="20"/>
      <c r="E158" s="20"/>
      <c r="F158" s="20"/>
      <c r="G158" s="20"/>
      <c r="H158" s="20"/>
      <c r="I158" s="225"/>
      <c r="K158" s="282" t="s">
        <v>52</v>
      </c>
      <c r="L158" s="238"/>
      <c r="M158" s="409"/>
      <c r="N158" s="20"/>
      <c r="O158" s="20"/>
      <c r="P158" s="20"/>
      <c r="Q158" s="20"/>
      <c r="R158" s="20"/>
      <c r="S158" s="225"/>
    </row>
    <row r="159" spans="1:19" x14ac:dyDescent="0.3">
      <c r="A159" s="280"/>
      <c r="B159" s="238" t="s">
        <v>26</v>
      </c>
      <c r="C159" s="23">
        <f>D150</f>
        <v>1.1611607142857142E-2</v>
      </c>
      <c r="D159" s="9"/>
      <c r="E159" s="20"/>
      <c r="F159" s="20"/>
      <c r="G159" s="20"/>
      <c r="H159" s="20"/>
      <c r="I159" s="225"/>
      <c r="K159" s="280"/>
      <c r="L159" s="238" t="s">
        <v>26</v>
      </c>
      <c r="M159" s="419">
        <f>N150</f>
        <v>1.1611607142857142E-2</v>
      </c>
      <c r="N159" s="9"/>
      <c r="O159" s="20"/>
      <c r="P159" s="20"/>
      <c r="Q159" s="20"/>
      <c r="R159" s="20"/>
      <c r="S159" s="225"/>
    </row>
    <row r="160" spans="1:19" x14ac:dyDescent="0.3">
      <c r="A160" s="280"/>
      <c r="B160" s="238" t="s">
        <v>53</v>
      </c>
      <c r="C160" s="245" t="s">
        <v>54</v>
      </c>
      <c r="D160" s="20">
        <f>C159*H152*H153</f>
        <v>725.72544642857144</v>
      </c>
      <c r="E160" s="20"/>
      <c r="F160" s="20"/>
      <c r="G160" s="20"/>
      <c r="H160" s="20"/>
      <c r="I160" s="225"/>
      <c r="K160" s="280"/>
      <c r="L160" s="238" t="s">
        <v>53</v>
      </c>
      <c r="M160" s="409" t="s">
        <v>54</v>
      </c>
      <c r="N160" s="20">
        <f>M159*R152*R153</f>
        <v>1072.9124999999999</v>
      </c>
      <c r="O160" s="20"/>
      <c r="P160" s="20"/>
      <c r="Q160" s="20"/>
      <c r="R160" s="20"/>
      <c r="S160" s="225"/>
    </row>
    <row r="161" spans="1:19" ht="25.2" x14ac:dyDescent="0.3">
      <c r="A161" s="282" t="s">
        <v>55</v>
      </c>
      <c r="B161" s="238"/>
      <c r="C161" s="245"/>
      <c r="D161" s="20"/>
      <c r="E161" s="20"/>
      <c r="F161" s="284" t="s">
        <v>546</v>
      </c>
      <c r="G161" s="13">
        <v>20</v>
      </c>
      <c r="H161" s="238" t="s">
        <v>43</v>
      </c>
      <c r="I161" s="225"/>
      <c r="K161" s="282" t="s">
        <v>55</v>
      </c>
      <c r="L161" s="238"/>
      <c r="M161" s="409"/>
      <c r="N161" s="20"/>
      <c r="O161" s="20"/>
      <c r="P161" s="284" t="s">
        <v>546</v>
      </c>
      <c r="Q161" s="13">
        <v>20</v>
      </c>
      <c r="R161" s="238" t="s">
        <v>43</v>
      </c>
      <c r="S161" s="225"/>
    </row>
    <row r="162" spans="1:19" x14ac:dyDescent="0.3">
      <c r="A162" s="280"/>
      <c r="B162" s="238" t="s">
        <v>56</v>
      </c>
      <c r="C162" s="245"/>
      <c r="D162" s="20"/>
      <c r="E162" s="20">
        <f>(3.141592654*(G161^2))/4</f>
        <v>314.15926539999998</v>
      </c>
      <c r="F162" s="227" t="s">
        <v>460</v>
      </c>
      <c r="G162" s="20"/>
      <c r="H162" s="20"/>
      <c r="I162" s="225"/>
      <c r="K162" s="280"/>
      <c r="L162" s="238" t="s">
        <v>56</v>
      </c>
      <c r="M162" s="409"/>
      <c r="N162" s="20"/>
      <c r="O162" s="20">
        <f>(3.141592654*(Q161^2))/4</f>
        <v>314.15926539999998</v>
      </c>
      <c r="P162" s="227" t="s">
        <v>460</v>
      </c>
      <c r="Q162" s="20"/>
      <c r="R162" s="20"/>
      <c r="S162" s="225"/>
    </row>
    <row r="163" spans="1:19" x14ac:dyDescent="0.3">
      <c r="A163" s="280"/>
      <c r="B163" s="238" t="s">
        <v>58</v>
      </c>
      <c r="C163" s="283"/>
      <c r="D163" s="20" t="s">
        <v>461</v>
      </c>
      <c r="E163" s="20">
        <f>D160/E162</f>
        <v>2.3100558422319621</v>
      </c>
      <c r="F163" s="227" t="s">
        <v>462</v>
      </c>
      <c r="G163" s="20"/>
      <c r="H163" s="20"/>
      <c r="I163" s="225"/>
      <c r="K163" s="280"/>
      <c r="L163" s="238" t="s">
        <v>58</v>
      </c>
      <c r="M163" s="228"/>
      <c r="N163" s="20" t="s">
        <v>461</v>
      </c>
      <c r="O163" s="20">
        <f>N160/O162</f>
        <v>3.4151865571557325</v>
      </c>
      <c r="P163" s="227" t="s">
        <v>462</v>
      </c>
      <c r="Q163" s="20"/>
      <c r="R163" s="20"/>
      <c r="S163" s="225"/>
    </row>
    <row r="164" spans="1:19" x14ac:dyDescent="0.3">
      <c r="A164" s="280"/>
      <c r="B164" s="238"/>
      <c r="C164" s="283"/>
      <c r="D164" s="20"/>
      <c r="E164" s="20"/>
      <c r="F164" s="20"/>
      <c r="G164" s="20"/>
      <c r="H164" s="20"/>
      <c r="I164" s="225"/>
      <c r="K164" s="280"/>
      <c r="L164" s="238"/>
      <c r="M164" s="228"/>
      <c r="N164" s="20"/>
      <c r="O164" s="20"/>
      <c r="P164" s="20"/>
      <c r="Q164" s="20"/>
      <c r="R164" s="20"/>
      <c r="S164" s="225"/>
    </row>
    <row r="165" spans="1:19" x14ac:dyDescent="0.3">
      <c r="A165" s="549" t="s">
        <v>463</v>
      </c>
      <c r="B165" s="550"/>
      <c r="C165" s="283"/>
      <c r="D165" s="20"/>
      <c r="E165" s="20"/>
      <c r="F165" s="20"/>
      <c r="G165" s="20"/>
      <c r="H165" s="20"/>
      <c r="I165" s="225"/>
      <c r="K165" s="549" t="s">
        <v>463</v>
      </c>
      <c r="L165" s="550"/>
      <c r="M165" s="228"/>
      <c r="N165" s="20"/>
      <c r="O165" s="20"/>
      <c r="P165" s="20"/>
      <c r="Q165" s="20"/>
      <c r="R165" s="20"/>
      <c r="S165" s="225"/>
    </row>
    <row r="166" spans="1:19" x14ac:dyDescent="0.3">
      <c r="A166" s="282" t="s">
        <v>52</v>
      </c>
      <c r="B166" s="238"/>
      <c r="C166" s="245"/>
      <c r="D166" s="20"/>
      <c r="E166" s="20"/>
      <c r="F166" s="20"/>
      <c r="G166" s="20"/>
      <c r="H166" s="20"/>
      <c r="I166" s="225"/>
      <c r="K166" s="282" t="s">
        <v>52</v>
      </c>
      <c r="L166" s="238"/>
      <c r="M166" s="409"/>
      <c r="N166" s="20"/>
      <c r="O166" s="20"/>
      <c r="P166" s="20"/>
      <c r="Q166" s="20"/>
      <c r="R166" s="20"/>
      <c r="S166" s="225"/>
    </row>
    <row r="167" spans="1:19" x14ac:dyDescent="0.3">
      <c r="A167" s="280"/>
      <c r="B167" s="238" t="s">
        <v>35</v>
      </c>
      <c r="C167" s="245" t="s">
        <v>36</v>
      </c>
      <c r="D167" s="20"/>
      <c r="E167" s="20"/>
      <c r="F167" s="9">
        <f>0.634*D147</f>
        <v>2.3530736301369863E-2</v>
      </c>
      <c r="G167" s="20"/>
      <c r="H167" s="20"/>
      <c r="I167" s="225"/>
      <c r="K167" s="280"/>
      <c r="L167" s="238" t="s">
        <v>35</v>
      </c>
      <c r="M167" s="409" t="s">
        <v>36</v>
      </c>
      <c r="N167" s="20"/>
      <c r="O167" s="20"/>
      <c r="P167" s="9">
        <f>0.634*N147</f>
        <v>2.3530736301369863E-2</v>
      </c>
      <c r="Q167" s="20"/>
      <c r="R167" s="20"/>
      <c r="S167" s="225"/>
    </row>
    <row r="168" spans="1:19" x14ac:dyDescent="0.3">
      <c r="A168" s="280"/>
      <c r="B168" s="238" t="s">
        <v>37</v>
      </c>
      <c r="C168" s="245" t="s">
        <v>38</v>
      </c>
      <c r="D168" s="20"/>
      <c r="E168" s="20"/>
      <c r="F168" s="9">
        <f>1.4/B128</f>
        <v>5.0724637681159417E-3</v>
      </c>
      <c r="G168" s="20"/>
      <c r="H168" s="20"/>
      <c r="I168" s="225"/>
      <c r="K168" s="280"/>
      <c r="L168" s="238" t="s">
        <v>37</v>
      </c>
      <c r="M168" s="409" t="s">
        <v>38</v>
      </c>
      <c r="N168" s="20"/>
      <c r="O168" s="20"/>
      <c r="P168" s="9">
        <f>1.4/L128</f>
        <v>5.0724637681159417E-3</v>
      </c>
      <c r="Q168" s="20"/>
      <c r="R168" s="20"/>
      <c r="S168" s="225"/>
    </row>
    <row r="169" spans="1:19" x14ac:dyDescent="0.3">
      <c r="A169" s="280"/>
      <c r="B169" s="238" t="s">
        <v>26</v>
      </c>
      <c r="C169" s="23">
        <f>(0.85*(B129)/(B128))*(1-SQRT(1-((2*E141*10^6)/(0.85*B129*0.9*H152*H153^2))))</f>
        <v>3.1383016385378819E-3</v>
      </c>
      <c r="D169" s="20"/>
      <c r="E169" s="13" t="s">
        <v>458</v>
      </c>
      <c r="F169" s="9">
        <f>IF(C169&gt;F168,C169,F168)</f>
        <v>5.0724637681159417E-3</v>
      </c>
      <c r="G169" s="20"/>
      <c r="H169" s="20"/>
      <c r="I169" s="225"/>
      <c r="K169" s="280"/>
      <c r="L169" s="238" t="s">
        <v>26</v>
      </c>
      <c r="M169" s="419">
        <f>(0.85*(L129)/(L128))*(1-SQRT(1-((2*O141*10^6)/(0.85*L129*0.9*R152*R153^2))))</f>
        <v>5.3812652337968695E-3</v>
      </c>
      <c r="N169" s="20"/>
      <c r="O169" s="13" t="s">
        <v>458</v>
      </c>
      <c r="P169" s="9">
        <f>IF(M169&gt;P168,M169,P168)</f>
        <v>5.3812652337968695E-3</v>
      </c>
      <c r="Q169" s="20"/>
      <c r="R169" s="20"/>
      <c r="S169" s="225"/>
    </row>
    <row r="170" spans="1:19" x14ac:dyDescent="0.3">
      <c r="A170" s="280"/>
      <c r="B170" s="238" t="s">
        <v>53</v>
      </c>
      <c r="C170" s="245" t="s">
        <v>54</v>
      </c>
      <c r="D170" s="20">
        <f>F169*H152*H153</f>
        <v>317.02898550724632</v>
      </c>
      <c r="E170" s="20"/>
      <c r="F170" s="20"/>
      <c r="G170" s="20"/>
      <c r="H170" s="20"/>
      <c r="I170" s="225"/>
      <c r="K170" s="280"/>
      <c r="L170" s="238" t="s">
        <v>53</v>
      </c>
      <c r="M170" s="409" t="s">
        <v>54</v>
      </c>
      <c r="N170" s="20">
        <f>P169*R152*R153</f>
        <v>497.2289076028307</v>
      </c>
      <c r="O170" s="20"/>
      <c r="P170" s="20"/>
      <c r="Q170" s="20"/>
      <c r="R170" s="20"/>
      <c r="S170" s="225"/>
    </row>
    <row r="171" spans="1:19" ht="25.2" x14ac:dyDescent="0.3">
      <c r="A171" s="282" t="s">
        <v>55</v>
      </c>
      <c r="B171" s="238"/>
      <c r="C171" s="245"/>
      <c r="D171" s="20"/>
      <c r="E171" s="20"/>
      <c r="F171" s="284" t="s">
        <v>546</v>
      </c>
      <c r="G171" s="13">
        <v>20</v>
      </c>
      <c r="H171" s="238" t="s">
        <v>43</v>
      </c>
      <c r="I171" s="225"/>
      <c r="K171" s="282" t="s">
        <v>55</v>
      </c>
      <c r="L171" s="238"/>
      <c r="M171" s="409"/>
      <c r="N171" s="20"/>
      <c r="O171" s="20"/>
      <c r="P171" s="284" t="s">
        <v>546</v>
      </c>
      <c r="Q171" s="13">
        <v>20</v>
      </c>
      <c r="R171" s="238" t="s">
        <v>43</v>
      </c>
      <c r="S171" s="225"/>
    </row>
    <row r="172" spans="1:19" x14ac:dyDescent="0.3">
      <c r="A172" s="280"/>
      <c r="B172" s="238" t="s">
        <v>56</v>
      </c>
      <c r="C172" s="245"/>
      <c r="D172" s="20"/>
      <c r="E172" s="20">
        <f>(3.141592654*(G161^2))/4</f>
        <v>314.15926539999998</v>
      </c>
      <c r="F172" s="227" t="s">
        <v>460</v>
      </c>
      <c r="G172" s="20"/>
      <c r="H172" s="20"/>
      <c r="I172" s="225"/>
      <c r="K172" s="280"/>
      <c r="L172" s="238" t="s">
        <v>56</v>
      </c>
      <c r="M172" s="409"/>
      <c r="N172" s="20"/>
      <c r="O172" s="20">
        <f>(3.141592654*(Q161^2))/4</f>
        <v>314.15926539999998</v>
      </c>
      <c r="P172" s="227" t="s">
        <v>460</v>
      </c>
      <c r="Q172" s="20"/>
      <c r="R172" s="20"/>
      <c r="S172" s="225"/>
    </row>
    <row r="173" spans="1:19" x14ac:dyDescent="0.3">
      <c r="A173" s="280"/>
      <c r="B173" s="238" t="s">
        <v>58</v>
      </c>
      <c r="C173" s="283"/>
      <c r="D173" s="20" t="s">
        <v>461</v>
      </c>
      <c r="E173" s="20">
        <f>D170/E172</f>
        <v>1.0091346028059764</v>
      </c>
      <c r="F173" s="227" t="s">
        <v>462</v>
      </c>
      <c r="G173" s="20"/>
      <c r="H173" s="20"/>
      <c r="I173" s="225"/>
      <c r="K173" s="280"/>
      <c r="L173" s="238" t="s">
        <v>58</v>
      </c>
      <c r="M173" s="228"/>
      <c r="N173" s="20" t="s">
        <v>461</v>
      </c>
      <c r="O173" s="20">
        <f>N170/O172</f>
        <v>1.5827287696568149</v>
      </c>
      <c r="P173" s="227" t="s">
        <v>462</v>
      </c>
      <c r="Q173" s="20"/>
      <c r="R173" s="20"/>
      <c r="S173" s="225"/>
    </row>
    <row r="174" spans="1:19" x14ac:dyDescent="0.3">
      <c r="A174" s="546" t="s">
        <v>604</v>
      </c>
      <c r="B174" s="547"/>
      <c r="C174" s="547"/>
      <c r="D174" s="547"/>
      <c r="E174" s="547"/>
      <c r="F174" s="547"/>
      <c r="G174" s="547"/>
      <c r="H174" s="547"/>
      <c r="I174" s="548"/>
      <c r="K174" s="546" t="s">
        <v>604</v>
      </c>
      <c r="L174" s="547"/>
      <c r="M174" s="547"/>
      <c r="N174" s="547"/>
      <c r="O174" s="547"/>
      <c r="P174" s="547"/>
      <c r="Q174" s="547"/>
      <c r="R174" s="547"/>
      <c r="S174" s="548"/>
    </row>
    <row r="175" spans="1:19" x14ac:dyDescent="0.3">
      <c r="A175" s="541" t="s">
        <v>628</v>
      </c>
      <c r="B175" s="541"/>
      <c r="C175" s="227" t="s">
        <v>629</v>
      </c>
      <c r="E175" s="20"/>
      <c r="F175" s="394" t="s">
        <v>631</v>
      </c>
      <c r="I175" s="225"/>
      <c r="K175" s="562" t="s">
        <v>628</v>
      </c>
      <c r="L175" s="541"/>
      <c r="M175" s="227" t="s">
        <v>629</v>
      </c>
      <c r="O175" s="20"/>
      <c r="P175" s="394" t="s">
        <v>631</v>
      </c>
      <c r="S175" s="225"/>
    </row>
    <row r="176" spans="1:19" x14ac:dyDescent="0.3">
      <c r="A176" s="279"/>
      <c r="B176" s="228" t="s">
        <v>625</v>
      </c>
      <c r="C176" s="390">
        <v>10</v>
      </c>
      <c r="D176" s="227" t="s">
        <v>624</v>
      </c>
      <c r="E176" s="20"/>
      <c r="F176" s="238"/>
      <c r="G176" s="20"/>
      <c r="H176" s="20"/>
      <c r="I176" s="225"/>
      <c r="K176" s="279"/>
      <c r="L176" s="228" t="s">
        <v>625</v>
      </c>
      <c r="M176" s="390">
        <v>10</v>
      </c>
      <c r="N176" s="227" t="s">
        <v>624</v>
      </c>
      <c r="O176" s="20"/>
      <c r="P176" s="238"/>
      <c r="Q176" s="20"/>
      <c r="R176" s="20"/>
      <c r="S176" s="225"/>
    </row>
    <row r="177" spans="1:41" x14ac:dyDescent="0.3">
      <c r="A177" s="279"/>
      <c r="B177" s="238" t="s">
        <v>620</v>
      </c>
      <c r="C177" s="13" t="s">
        <v>32</v>
      </c>
      <c r="D177" s="20">
        <v>100</v>
      </c>
      <c r="E177" s="227" t="s">
        <v>43</v>
      </c>
      <c r="F177" s="227" t="s">
        <v>627</v>
      </c>
      <c r="G177" s="20">
        <v>130</v>
      </c>
      <c r="H177" s="20" t="s">
        <v>43</v>
      </c>
      <c r="I177" s="225"/>
      <c r="K177" s="279"/>
      <c r="L177" s="238" t="s">
        <v>620</v>
      </c>
      <c r="M177" s="13" t="s">
        <v>32</v>
      </c>
      <c r="N177" s="20">
        <v>85</v>
      </c>
      <c r="O177" s="227" t="s">
        <v>43</v>
      </c>
      <c r="P177" s="227" t="s">
        <v>627</v>
      </c>
      <c r="Q177" s="20">
        <v>150</v>
      </c>
      <c r="R177" s="20" t="s">
        <v>43</v>
      </c>
      <c r="S177" s="225"/>
    </row>
    <row r="178" spans="1:41" x14ac:dyDescent="0.3">
      <c r="A178" s="279"/>
      <c r="B178" s="238" t="s">
        <v>621</v>
      </c>
      <c r="C178" s="13" t="s">
        <v>32</v>
      </c>
      <c r="D178" s="20">
        <v>160</v>
      </c>
      <c r="E178" s="227" t="s">
        <v>43</v>
      </c>
      <c r="F178" s="227"/>
      <c r="G178" s="20"/>
      <c r="H178" s="20"/>
      <c r="I178" s="225"/>
      <c r="K178" s="279"/>
      <c r="L178" s="238" t="s">
        <v>621</v>
      </c>
      <c r="M178" s="13" t="s">
        <v>32</v>
      </c>
      <c r="N178" s="20">
        <v>160</v>
      </c>
      <c r="O178" s="227" t="s">
        <v>43</v>
      </c>
      <c r="P178" s="227"/>
      <c r="Q178" s="20"/>
      <c r="R178" s="20"/>
      <c r="S178" s="225"/>
    </row>
    <row r="179" spans="1:41" x14ac:dyDescent="0.3">
      <c r="A179" s="280"/>
      <c r="B179" s="238" t="s">
        <v>622</v>
      </c>
      <c r="C179" s="13" t="s">
        <v>32</v>
      </c>
      <c r="D179" s="20">
        <v>240</v>
      </c>
      <c r="E179" s="227" t="s">
        <v>43</v>
      </c>
      <c r="F179" s="227"/>
      <c r="G179" s="20"/>
      <c r="H179" s="20"/>
      <c r="I179" s="225"/>
      <c r="K179" s="280"/>
      <c r="L179" s="238" t="s">
        <v>622</v>
      </c>
      <c r="M179" s="13" t="s">
        <v>32</v>
      </c>
      <c r="N179" s="20">
        <v>240</v>
      </c>
      <c r="O179" s="227" t="s">
        <v>43</v>
      </c>
      <c r="P179" s="227"/>
      <c r="Q179" s="20"/>
      <c r="R179" s="20"/>
      <c r="S179" s="225"/>
    </row>
    <row r="180" spans="1:41" x14ac:dyDescent="0.3">
      <c r="A180" s="280"/>
      <c r="B180" s="238" t="s">
        <v>623</v>
      </c>
      <c r="C180" s="13" t="s">
        <v>32</v>
      </c>
      <c r="D180" s="20">
        <v>300</v>
      </c>
      <c r="E180" s="227" t="s">
        <v>43</v>
      </c>
      <c r="F180" s="227"/>
      <c r="G180" s="20"/>
      <c r="H180" s="20"/>
      <c r="I180" s="225"/>
      <c r="K180" s="280"/>
      <c r="L180" s="238" t="s">
        <v>623</v>
      </c>
      <c r="M180" s="13" t="s">
        <v>32</v>
      </c>
      <c r="N180" s="20">
        <v>300</v>
      </c>
      <c r="O180" s="227" t="s">
        <v>43</v>
      </c>
      <c r="P180" s="227"/>
      <c r="Q180" s="20"/>
      <c r="R180" s="20"/>
      <c r="S180" s="225"/>
    </row>
    <row r="181" spans="1:41" x14ac:dyDescent="0.3">
      <c r="A181" s="280"/>
      <c r="B181" s="238"/>
      <c r="C181" s="13" t="s">
        <v>626</v>
      </c>
      <c r="D181" s="250">
        <f>MIN(D177:D180)</f>
        <v>100</v>
      </c>
      <c r="E181" s="238" t="s">
        <v>43</v>
      </c>
      <c r="F181" s="227" t="s">
        <v>129</v>
      </c>
      <c r="G181" s="20"/>
      <c r="H181" s="20"/>
      <c r="I181" s="225"/>
      <c r="K181" s="280"/>
      <c r="L181" s="238"/>
      <c r="M181" s="13" t="s">
        <v>626</v>
      </c>
      <c r="N181" s="250">
        <f>MIN(N177:N180)</f>
        <v>85</v>
      </c>
      <c r="O181" s="238" t="s">
        <v>43</v>
      </c>
      <c r="P181" s="227" t="s">
        <v>129</v>
      </c>
      <c r="Q181" s="20"/>
      <c r="R181" s="20"/>
      <c r="S181" s="225"/>
    </row>
    <row r="182" spans="1:41" x14ac:dyDescent="0.3">
      <c r="A182" s="281" t="s">
        <v>12</v>
      </c>
      <c r="B182" s="227"/>
      <c r="C182" s="245"/>
      <c r="D182" s="20"/>
      <c r="E182" s="20"/>
      <c r="F182" s="20"/>
      <c r="G182" s="13"/>
      <c r="H182" s="13"/>
      <c r="I182" s="234"/>
      <c r="K182" s="281" t="s">
        <v>12</v>
      </c>
      <c r="L182" s="227"/>
      <c r="M182" s="245"/>
      <c r="N182" s="20"/>
      <c r="O182" s="20"/>
      <c r="P182" s="20"/>
      <c r="Q182" s="13"/>
      <c r="R182" s="13"/>
      <c r="S182" s="234"/>
    </row>
    <row r="183" spans="1:41" x14ac:dyDescent="0.3">
      <c r="A183" s="335"/>
      <c r="B183" s="336" t="s">
        <v>143</v>
      </c>
      <c r="C183" s="393">
        <f>ROUNDUP(E163,0)</f>
        <v>3</v>
      </c>
      <c r="D183" s="337" t="s">
        <v>547</v>
      </c>
      <c r="E183" s="337" t="s">
        <v>630</v>
      </c>
      <c r="F183" s="338" t="s">
        <v>13</v>
      </c>
      <c r="G183" s="338"/>
      <c r="H183" s="326"/>
      <c r="I183" s="351"/>
      <c r="K183" s="335"/>
      <c r="L183" s="336" t="s">
        <v>143</v>
      </c>
      <c r="M183" s="393">
        <v>4</v>
      </c>
      <c r="N183" s="337" t="s">
        <v>547</v>
      </c>
      <c r="O183" s="337" t="s">
        <v>630</v>
      </c>
      <c r="P183" s="338" t="s">
        <v>13</v>
      </c>
      <c r="Q183" s="338"/>
      <c r="R183" s="326"/>
      <c r="S183" s="351"/>
    </row>
    <row r="184" spans="1:41" x14ac:dyDescent="0.3">
      <c r="A184" s="335"/>
      <c r="B184" s="336" t="s">
        <v>143</v>
      </c>
      <c r="C184" s="393">
        <v>2</v>
      </c>
      <c r="D184" s="337" t="s">
        <v>547</v>
      </c>
      <c r="E184" s="337" t="s">
        <v>464</v>
      </c>
      <c r="F184" s="337" t="s">
        <v>14</v>
      </c>
      <c r="G184" s="338"/>
      <c r="H184" s="326"/>
      <c r="I184" s="351"/>
      <c r="K184" s="335"/>
      <c r="L184" s="336" t="s">
        <v>143</v>
      </c>
      <c r="M184" s="393">
        <v>2</v>
      </c>
      <c r="N184" s="337" t="s">
        <v>547</v>
      </c>
      <c r="O184" s="337" t="s">
        <v>464</v>
      </c>
      <c r="P184" s="337" t="s">
        <v>14</v>
      </c>
      <c r="Q184" s="338"/>
      <c r="R184" s="326"/>
      <c r="S184" s="351"/>
    </row>
    <row r="185" spans="1:41" ht="15" thickBot="1" x14ac:dyDescent="0.35">
      <c r="A185" s="554" t="s">
        <v>654</v>
      </c>
      <c r="B185" s="555"/>
      <c r="C185" s="555"/>
      <c r="D185" s="555"/>
      <c r="E185" s="555"/>
      <c r="F185" s="555"/>
      <c r="G185" s="555"/>
      <c r="H185" s="555"/>
      <c r="I185" s="556"/>
      <c r="K185" s="563" t="s">
        <v>653</v>
      </c>
      <c r="L185" s="564"/>
      <c r="M185" s="564"/>
      <c r="N185" s="564"/>
      <c r="O185" s="564"/>
      <c r="P185" s="564"/>
      <c r="Q185" s="564"/>
      <c r="R185" s="564"/>
      <c r="S185" s="565"/>
    </row>
    <row r="186" spans="1:41" ht="15" thickBot="1" x14ac:dyDescent="0.35"/>
    <row r="187" spans="1:41" s="355" customFormat="1" ht="19.8" x14ac:dyDescent="0.4">
      <c r="A187" s="559" t="s">
        <v>466</v>
      </c>
      <c r="B187" s="560"/>
      <c r="C187" s="560"/>
      <c r="D187" s="560"/>
      <c r="E187" s="560"/>
      <c r="F187" s="560"/>
      <c r="G187" s="560"/>
      <c r="H187" s="560"/>
      <c r="I187" s="561"/>
      <c r="K187" s="559" t="s">
        <v>467</v>
      </c>
      <c r="L187" s="560"/>
      <c r="M187" s="560"/>
      <c r="N187" s="560"/>
      <c r="O187" s="560"/>
      <c r="P187" s="560"/>
      <c r="Q187" s="560"/>
      <c r="R187" s="560"/>
      <c r="S187" s="561"/>
      <c r="U187" s="358"/>
      <c r="AE187" s="358"/>
      <c r="AO187" s="358"/>
    </row>
    <row r="188" spans="1:41" x14ac:dyDescent="0.3">
      <c r="A188" s="543" t="s">
        <v>23</v>
      </c>
      <c r="B188" s="544"/>
      <c r="C188" s="544"/>
      <c r="D188" s="544"/>
      <c r="E188" s="544"/>
      <c r="F188" s="544"/>
      <c r="G188" s="544"/>
      <c r="H188" s="544"/>
      <c r="I188" s="545"/>
      <c r="K188" s="543" t="s">
        <v>23</v>
      </c>
      <c r="L188" s="544"/>
      <c r="M188" s="544"/>
      <c r="N188" s="544"/>
      <c r="O188" s="544"/>
      <c r="P188" s="544"/>
      <c r="Q188" s="544"/>
      <c r="R188" s="544"/>
      <c r="S188" s="545"/>
    </row>
    <row r="189" spans="1:41" x14ac:dyDescent="0.3">
      <c r="A189" s="279"/>
      <c r="B189" s="227"/>
      <c r="C189" s="245"/>
      <c r="D189" s="20"/>
      <c r="E189" s="20"/>
      <c r="F189" s="20"/>
      <c r="G189" s="20"/>
      <c r="H189" s="20"/>
      <c r="I189" s="225"/>
      <c r="K189" s="279"/>
      <c r="L189" s="227"/>
      <c r="M189" s="409"/>
      <c r="N189" s="20"/>
      <c r="O189" s="20"/>
      <c r="P189" s="20"/>
      <c r="Q189" s="20"/>
      <c r="R189" s="20"/>
      <c r="S189" s="225"/>
    </row>
    <row r="190" spans="1:41" x14ac:dyDescent="0.3">
      <c r="A190" s="226" t="s">
        <v>24</v>
      </c>
      <c r="B190" s="381">
        <v>276</v>
      </c>
      <c r="C190" s="245" t="s">
        <v>25</v>
      </c>
      <c r="D190" s="228" t="s">
        <v>29</v>
      </c>
      <c r="E190" s="250">
        <v>0.85</v>
      </c>
      <c r="F190" s="20"/>
      <c r="G190" s="20" t="s">
        <v>26</v>
      </c>
      <c r="H190" s="20" t="s">
        <v>27</v>
      </c>
      <c r="I190" s="225"/>
      <c r="K190" s="226" t="s">
        <v>24</v>
      </c>
      <c r="L190" s="381">
        <v>276</v>
      </c>
      <c r="M190" s="227" t="s">
        <v>25</v>
      </c>
      <c r="N190" s="228" t="s">
        <v>29</v>
      </c>
      <c r="O190" s="250">
        <v>0.85</v>
      </c>
      <c r="P190" s="20"/>
      <c r="Q190" s="20" t="s">
        <v>26</v>
      </c>
      <c r="R190" s="20" t="s">
        <v>27</v>
      </c>
      <c r="S190" s="225"/>
    </row>
    <row r="191" spans="1:41" x14ac:dyDescent="0.3">
      <c r="A191" s="226" t="s">
        <v>28</v>
      </c>
      <c r="B191" s="381">
        <v>20.7</v>
      </c>
      <c r="C191" s="245" t="s">
        <v>25</v>
      </c>
      <c r="D191" s="228" t="s">
        <v>444</v>
      </c>
      <c r="E191" s="250">
        <f>E202</f>
        <v>41.741259999999997</v>
      </c>
      <c r="F191" s="227" t="s">
        <v>445</v>
      </c>
      <c r="G191" s="20"/>
      <c r="H191" s="20" t="s">
        <v>446</v>
      </c>
      <c r="I191" s="225"/>
      <c r="K191" s="226" t="s">
        <v>28</v>
      </c>
      <c r="L191" s="381">
        <v>20.7</v>
      </c>
      <c r="M191" s="227" t="s">
        <v>25</v>
      </c>
      <c r="N191" s="228" t="s">
        <v>444</v>
      </c>
      <c r="O191" s="250">
        <f>O202</f>
        <v>51.46</v>
      </c>
      <c r="P191" s="227" t="s">
        <v>445</v>
      </c>
      <c r="Q191" s="20"/>
      <c r="R191" s="20" t="s">
        <v>446</v>
      </c>
      <c r="S191" s="225"/>
    </row>
    <row r="192" spans="1:41" x14ac:dyDescent="0.3">
      <c r="A192" s="280"/>
      <c r="B192" s="227"/>
      <c r="C192" s="245"/>
      <c r="D192" s="20"/>
      <c r="E192" s="20"/>
      <c r="F192" s="20"/>
      <c r="G192" s="20"/>
      <c r="I192" s="4"/>
      <c r="K192" s="235"/>
      <c r="L192" s="227"/>
      <c r="M192" s="409"/>
      <c r="N192" s="20"/>
      <c r="O192" s="20"/>
      <c r="P192" s="20"/>
      <c r="Q192" s="20"/>
      <c r="R192" s="20"/>
      <c r="S192" s="225"/>
    </row>
    <row r="193" spans="1:19" x14ac:dyDescent="0.3">
      <c r="A193" s="280"/>
      <c r="B193" s="542" t="s">
        <v>447</v>
      </c>
      <c r="C193" s="542"/>
      <c r="D193" s="542"/>
      <c r="E193" s="41"/>
      <c r="G193" s="45"/>
      <c r="I193" s="225"/>
      <c r="K193" s="280"/>
      <c r="L193" s="542" t="s">
        <v>447</v>
      </c>
      <c r="M193" s="542"/>
      <c r="N193" s="542"/>
      <c r="O193" s="41"/>
      <c r="Q193" s="45"/>
      <c r="S193" s="225"/>
    </row>
    <row r="194" spans="1:19" x14ac:dyDescent="0.3">
      <c r="A194" s="280"/>
      <c r="D194" s="40"/>
      <c r="E194" s="41" t="s">
        <v>448</v>
      </c>
      <c r="F194" s="40" t="s">
        <v>449</v>
      </c>
      <c r="G194" s="45" t="s">
        <v>450</v>
      </c>
      <c r="I194" s="225"/>
      <c r="K194" s="280"/>
      <c r="N194" s="40"/>
      <c r="O194" s="41" t="s">
        <v>448</v>
      </c>
      <c r="P194" s="40" t="s">
        <v>449</v>
      </c>
      <c r="Q194" s="45" t="s">
        <v>450</v>
      </c>
      <c r="S194" s="225"/>
    </row>
    <row r="195" spans="1:19" x14ac:dyDescent="0.3">
      <c r="A195" s="280"/>
      <c r="D195" s="42" t="s">
        <v>361</v>
      </c>
      <c r="E195" s="110">
        <v>12.0943</v>
      </c>
      <c r="F195" s="239">
        <v>0.33810000000000001</v>
      </c>
      <c r="G195" s="240">
        <v>26.89</v>
      </c>
      <c r="I195" s="225"/>
      <c r="K195" s="280"/>
      <c r="N195" s="42" t="s">
        <v>361</v>
      </c>
      <c r="O195" s="110">
        <v>28.844000000000001</v>
      </c>
      <c r="P195" s="239">
        <v>9.8942999999999994</v>
      </c>
      <c r="Q195" s="240">
        <v>6.9528999999999996</v>
      </c>
      <c r="S195" s="225"/>
    </row>
    <row r="196" spans="1:19" x14ac:dyDescent="0.3">
      <c r="A196" s="280"/>
      <c r="D196" s="42" t="s">
        <v>362</v>
      </c>
      <c r="E196" s="110">
        <v>6.9770000000000003</v>
      </c>
      <c r="F196" s="239">
        <v>0.32300000000000001</v>
      </c>
      <c r="G196" s="240">
        <f>G195/2</f>
        <v>13.445</v>
      </c>
      <c r="I196" s="225"/>
      <c r="K196" s="280"/>
      <c r="N196" s="42" t="s">
        <v>362</v>
      </c>
      <c r="O196" s="110">
        <v>18.703800000000001</v>
      </c>
      <c r="P196" s="239">
        <v>3.5629</v>
      </c>
      <c r="Q196" s="240">
        <f>Q195/2</f>
        <v>3.4764499999999998</v>
      </c>
      <c r="S196" s="225"/>
    </row>
    <row r="197" spans="1:19" x14ac:dyDescent="0.3">
      <c r="A197" s="280"/>
      <c r="D197" s="40"/>
      <c r="E197" s="229" t="s">
        <v>361</v>
      </c>
      <c r="F197" s="39"/>
      <c r="G197" s="229" t="s">
        <v>362</v>
      </c>
      <c r="I197" s="225"/>
      <c r="K197" s="280"/>
      <c r="N197" s="40"/>
      <c r="O197" s="229" t="s">
        <v>361</v>
      </c>
      <c r="P197" s="39"/>
      <c r="Q197" s="229" t="s">
        <v>362</v>
      </c>
      <c r="S197" s="225"/>
    </row>
    <row r="198" spans="1:19" x14ac:dyDescent="0.3">
      <c r="A198" s="280"/>
      <c r="C198" s="553" t="s">
        <v>451</v>
      </c>
      <c r="D198" s="553"/>
      <c r="E198" s="41">
        <f>1.4*E195</f>
        <v>16.932019999999998</v>
      </c>
      <c r="F198" t="s">
        <v>452</v>
      </c>
      <c r="G198" s="45">
        <f>1.4*E196</f>
        <v>9.7677999999999994</v>
      </c>
      <c r="H198" t="s">
        <v>452</v>
      </c>
      <c r="I198" s="225"/>
      <c r="K198" s="280"/>
      <c r="M198" s="553" t="s">
        <v>451</v>
      </c>
      <c r="N198" s="553"/>
      <c r="O198" s="41">
        <f>1.4*O195</f>
        <v>40.381599999999999</v>
      </c>
      <c r="P198" t="s">
        <v>452</v>
      </c>
      <c r="Q198" s="45">
        <f>1.4*O196</f>
        <v>26.185320000000001</v>
      </c>
      <c r="R198" t="s">
        <v>452</v>
      </c>
      <c r="S198" s="225"/>
    </row>
    <row r="199" spans="1:19" x14ac:dyDescent="0.3">
      <c r="A199" s="280"/>
      <c r="C199" s="552" t="s">
        <v>453</v>
      </c>
      <c r="D199" s="552"/>
      <c r="E199" s="41">
        <f>1.2*E195 + 1.6*F195</f>
        <v>15.054119999999999</v>
      </c>
      <c r="F199" t="s">
        <v>452</v>
      </c>
      <c r="G199" s="45">
        <f>1.2*E196+1.6*F196</f>
        <v>8.8892000000000007</v>
      </c>
      <c r="H199" t="s">
        <v>452</v>
      </c>
      <c r="I199" s="225"/>
      <c r="K199" s="280"/>
      <c r="M199" s="552" t="s">
        <v>453</v>
      </c>
      <c r="N199" s="552"/>
      <c r="O199" s="41">
        <f>1.2*O195 + 1.6*P195</f>
        <v>50.443680000000001</v>
      </c>
      <c r="P199" t="s">
        <v>452</v>
      </c>
      <c r="Q199" s="45">
        <f>1.2*O196+1.6*P196</f>
        <v>28.145199999999999</v>
      </c>
      <c r="R199" t="s">
        <v>452</v>
      </c>
      <c r="S199" s="225"/>
    </row>
    <row r="200" spans="1:19" x14ac:dyDescent="0.3">
      <c r="A200" s="280"/>
      <c r="C200" s="552" t="s">
        <v>586</v>
      </c>
      <c r="D200" s="552"/>
      <c r="E200" s="41">
        <f>1.2*E195+F195+G195</f>
        <v>41.741259999999997</v>
      </c>
      <c r="F200" t="s">
        <v>452</v>
      </c>
      <c r="G200" s="45">
        <f>1.2*E196+F196+1*G196</f>
        <v>22.1404</v>
      </c>
      <c r="H200" t="s">
        <v>452</v>
      </c>
      <c r="I200" s="225"/>
      <c r="K200" s="280"/>
      <c r="M200" s="552" t="s">
        <v>586</v>
      </c>
      <c r="N200" s="552"/>
      <c r="O200" s="41">
        <f>1.2*O195+P195+Q195</f>
        <v>51.46</v>
      </c>
      <c r="P200" t="s">
        <v>452</v>
      </c>
      <c r="Q200" s="45">
        <f>1.2*O196+P196+1*Q196</f>
        <v>29.483909999999998</v>
      </c>
      <c r="R200" t="s">
        <v>452</v>
      </c>
      <c r="S200" s="225"/>
    </row>
    <row r="201" spans="1:19" x14ac:dyDescent="0.3">
      <c r="A201" s="280"/>
      <c r="C201" s="552" t="s">
        <v>454</v>
      </c>
      <c r="D201" s="552"/>
      <c r="E201" s="41">
        <f>0.9*E195+G195</f>
        <v>37.77487</v>
      </c>
      <c r="F201" t="s">
        <v>452</v>
      </c>
      <c r="G201" s="45">
        <f>0.9*E196+G196</f>
        <v>19.724299999999999</v>
      </c>
      <c r="H201" t="s">
        <v>452</v>
      </c>
      <c r="I201" s="225"/>
      <c r="K201" s="280"/>
      <c r="M201" s="552" t="s">
        <v>454</v>
      </c>
      <c r="N201" s="552"/>
      <c r="O201" s="41">
        <f>0.9*O195+Q195</f>
        <v>32.912500000000001</v>
      </c>
      <c r="P201" t="s">
        <v>452</v>
      </c>
      <c r="Q201" s="45">
        <f>0.9*O196+Q196</f>
        <v>20.30987</v>
      </c>
      <c r="R201" t="s">
        <v>452</v>
      </c>
      <c r="S201" s="225"/>
    </row>
    <row r="202" spans="1:19" x14ac:dyDescent="0.3">
      <c r="A202" s="280"/>
      <c r="B202" s="227"/>
      <c r="C202" s="285" t="s">
        <v>455</v>
      </c>
      <c r="D202" s="230" t="s">
        <v>456</v>
      </c>
      <c r="E202" s="230">
        <f>MAX(E198:E201)</f>
        <v>41.741259999999997</v>
      </c>
      <c r="F202" s="230" t="s">
        <v>452</v>
      </c>
      <c r="G202" s="231" t="s">
        <v>361</v>
      </c>
      <c r="H202" s="20"/>
      <c r="I202" s="225"/>
      <c r="K202" s="280"/>
      <c r="L202" s="227"/>
      <c r="M202" s="285" t="s">
        <v>455</v>
      </c>
      <c r="N202" s="230" t="s">
        <v>456</v>
      </c>
      <c r="O202" s="230">
        <f>MAX(O198:O201)</f>
        <v>51.46</v>
      </c>
      <c r="P202" s="230" t="s">
        <v>452</v>
      </c>
      <c r="Q202" s="231" t="s">
        <v>361</v>
      </c>
      <c r="R202" s="20"/>
      <c r="S202" s="225"/>
    </row>
    <row r="203" spans="1:19" x14ac:dyDescent="0.3">
      <c r="A203" s="280"/>
      <c r="B203" s="227"/>
      <c r="C203" s="286"/>
      <c r="D203" s="230" t="s">
        <v>456</v>
      </c>
      <c r="E203" s="230">
        <f>MAX(G198:G201)</f>
        <v>22.1404</v>
      </c>
      <c r="F203" s="230" t="s">
        <v>452</v>
      </c>
      <c r="G203" s="231" t="s">
        <v>362</v>
      </c>
      <c r="H203" s="20"/>
      <c r="I203" s="225"/>
      <c r="K203" s="280"/>
      <c r="L203" s="227"/>
      <c r="M203" s="427"/>
      <c r="N203" s="230" t="s">
        <v>456</v>
      </c>
      <c r="O203" s="230">
        <f>MAX(Q198:Q201)</f>
        <v>29.483909999999998</v>
      </c>
      <c r="P203" s="230" t="s">
        <v>452</v>
      </c>
      <c r="Q203" s="231" t="s">
        <v>362</v>
      </c>
      <c r="R203" s="20"/>
      <c r="S203" s="225"/>
    </row>
    <row r="204" spans="1:19" x14ac:dyDescent="0.3">
      <c r="A204" s="280"/>
      <c r="B204" s="227"/>
      <c r="C204" s="245"/>
      <c r="D204" s="232"/>
      <c r="E204" s="233"/>
      <c r="F204" s="232"/>
      <c r="G204" s="20"/>
      <c r="H204" s="20"/>
      <c r="I204" s="225"/>
      <c r="K204" s="280"/>
      <c r="L204" s="227"/>
      <c r="M204" s="409"/>
      <c r="N204" s="232"/>
      <c r="O204" s="233"/>
      <c r="P204" s="232"/>
      <c r="Q204" s="20"/>
      <c r="R204" s="20"/>
      <c r="S204" s="225"/>
    </row>
    <row r="205" spans="1:19" x14ac:dyDescent="0.3">
      <c r="A205" s="543" t="s">
        <v>457</v>
      </c>
      <c r="B205" s="544"/>
      <c r="C205" s="544"/>
      <c r="D205" s="544"/>
      <c r="E205" s="544"/>
      <c r="F205" s="544"/>
      <c r="G205" s="544"/>
      <c r="H205" s="544"/>
      <c r="I205" s="545"/>
      <c r="K205" s="543" t="s">
        <v>457</v>
      </c>
      <c r="L205" s="547"/>
      <c r="M205" s="547"/>
      <c r="N205" s="547"/>
      <c r="O205" s="547"/>
      <c r="P205" s="547"/>
      <c r="Q205" s="547"/>
      <c r="R205" s="547"/>
      <c r="S205" s="548"/>
    </row>
    <row r="206" spans="1:19" x14ac:dyDescent="0.3">
      <c r="A206" s="279"/>
      <c r="B206" s="238"/>
      <c r="C206" s="283"/>
      <c r="D206" s="13"/>
      <c r="E206" s="13"/>
      <c r="F206" s="13"/>
      <c r="G206" s="13"/>
      <c r="H206" s="13"/>
      <c r="I206" s="234"/>
      <c r="K206" s="279"/>
      <c r="L206" s="238"/>
      <c r="M206" s="228"/>
      <c r="N206" s="13"/>
      <c r="O206" s="13"/>
      <c r="P206" s="13"/>
      <c r="Q206" s="13"/>
      <c r="R206" s="13"/>
      <c r="S206" s="234"/>
    </row>
    <row r="207" spans="1:19" x14ac:dyDescent="0.3">
      <c r="A207" s="279" t="s">
        <v>31</v>
      </c>
      <c r="B207" s="227"/>
      <c r="C207" s="245"/>
      <c r="D207" s="9">
        <f>(0.85*B191*E190*0.003)/(B190*0.007)</f>
        <v>2.3223214285714285E-2</v>
      </c>
      <c r="E207" s="20"/>
      <c r="F207" s="20"/>
      <c r="G207" s="20"/>
      <c r="H207" s="20"/>
      <c r="I207" s="225"/>
      <c r="K207" s="279" t="s">
        <v>31</v>
      </c>
      <c r="L207" s="227"/>
      <c r="M207" s="409"/>
      <c r="N207" s="9">
        <f>(0.85*L191*O190*0.003)/(L190*0.007)</f>
        <v>2.3223214285714285E-2</v>
      </c>
      <c r="O207" s="20"/>
      <c r="P207" s="20"/>
      <c r="Q207" s="20"/>
      <c r="R207" s="20"/>
      <c r="S207" s="225"/>
    </row>
    <row r="208" spans="1:19" x14ac:dyDescent="0.3">
      <c r="A208" s="280"/>
      <c r="B208" s="227"/>
      <c r="C208" s="245"/>
      <c r="D208" s="9"/>
      <c r="E208" s="20"/>
      <c r="F208" s="20"/>
      <c r="G208" s="20"/>
      <c r="H208" s="20"/>
      <c r="I208" s="225"/>
      <c r="K208" s="280"/>
      <c r="L208" s="227"/>
      <c r="M208" s="409"/>
      <c r="N208" s="9"/>
      <c r="O208" s="20"/>
      <c r="P208" s="20"/>
      <c r="Q208" s="20"/>
      <c r="R208" s="20"/>
      <c r="S208" s="225"/>
    </row>
    <row r="209" spans="1:19" x14ac:dyDescent="0.3">
      <c r="A209" s="279" t="s">
        <v>33</v>
      </c>
      <c r="B209" s="551" t="s">
        <v>34</v>
      </c>
      <c r="C209" s="551"/>
      <c r="D209" s="9">
        <f>(0.85*B191*600*E190)/(B190*(B190+600))</f>
        <v>3.7114726027397259E-2</v>
      </c>
      <c r="E209" s="20"/>
      <c r="F209" s="20"/>
      <c r="G209" s="20"/>
      <c r="H209" s="20"/>
      <c r="I209" s="225"/>
      <c r="K209" s="279" t="s">
        <v>33</v>
      </c>
      <c r="L209" s="551" t="s">
        <v>34</v>
      </c>
      <c r="M209" s="551"/>
      <c r="N209" s="9">
        <f>(0.85*L191*600*O190)/(L190*(L190+600))</f>
        <v>3.7114726027397259E-2</v>
      </c>
      <c r="O209" s="20"/>
      <c r="P209" s="20"/>
      <c r="Q209" s="20"/>
      <c r="R209" s="20"/>
      <c r="S209" s="225"/>
    </row>
    <row r="210" spans="1:19" x14ac:dyDescent="0.3">
      <c r="A210" s="279" t="s">
        <v>35</v>
      </c>
      <c r="B210" s="551" t="s">
        <v>36</v>
      </c>
      <c r="C210" s="551"/>
      <c r="D210" s="9">
        <f>0.634*D209</f>
        <v>2.3530736301369863E-2</v>
      </c>
      <c r="E210" s="20"/>
      <c r="F210" s="20"/>
      <c r="G210" s="20"/>
      <c r="H210" s="20"/>
      <c r="I210" s="225"/>
      <c r="K210" s="279" t="s">
        <v>35</v>
      </c>
      <c r="L210" s="551" t="s">
        <v>36</v>
      </c>
      <c r="M210" s="551"/>
      <c r="N210" s="9">
        <f>0.634*N209</f>
        <v>2.3530736301369863E-2</v>
      </c>
      <c r="O210" s="20"/>
      <c r="P210" s="20"/>
      <c r="Q210" s="20"/>
      <c r="R210" s="20"/>
      <c r="S210" s="225"/>
    </row>
    <row r="211" spans="1:19" x14ac:dyDescent="0.3">
      <c r="A211" s="279" t="s">
        <v>37</v>
      </c>
      <c r="B211" s="551" t="s">
        <v>38</v>
      </c>
      <c r="C211" s="551"/>
      <c r="D211" s="9">
        <f>1.4/B190</f>
        <v>5.0724637681159417E-3</v>
      </c>
      <c r="E211" s="20"/>
      <c r="F211" s="20"/>
      <c r="G211" s="20"/>
      <c r="H211" s="20"/>
      <c r="I211" s="225"/>
      <c r="K211" s="279" t="s">
        <v>37</v>
      </c>
      <c r="L211" s="551" t="s">
        <v>38</v>
      </c>
      <c r="M211" s="551"/>
      <c r="N211" s="9">
        <f>1.4/L190</f>
        <v>5.0724637681159417E-3</v>
      </c>
      <c r="O211" s="20"/>
      <c r="P211" s="20"/>
      <c r="Q211" s="20"/>
      <c r="R211" s="20"/>
      <c r="S211" s="225"/>
    </row>
    <row r="212" spans="1:19" x14ac:dyDescent="0.3">
      <c r="A212" s="279" t="s">
        <v>26</v>
      </c>
      <c r="B212" s="551" t="s">
        <v>39</v>
      </c>
      <c r="C212" s="551"/>
      <c r="D212" s="9">
        <f>0.5*D207</f>
        <v>1.1611607142857142E-2</v>
      </c>
      <c r="E212" s="20"/>
      <c r="F212" s="20"/>
      <c r="G212" s="20"/>
      <c r="H212" s="20"/>
      <c r="I212" s="225"/>
      <c r="K212" s="279" t="s">
        <v>26</v>
      </c>
      <c r="L212" s="551" t="s">
        <v>39</v>
      </c>
      <c r="M212" s="551"/>
      <c r="N212" s="9">
        <f>0.5*N207</f>
        <v>1.1611607142857142E-2</v>
      </c>
      <c r="O212" s="20"/>
      <c r="P212" s="20"/>
      <c r="Q212" s="20"/>
      <c r="R212" s="20"/>
      <c r="S212" s="225"/>
    </row>
    <row r="213" spans="1:19" x14ac:dyDescent="0.3">
      <c r="A213" s="279"/>
      <c r="B213" s="339" t="s">
        <v>458</v>
      </c>
      <c r="C213" s="340">
        <f>IF(D212&gt;D211,D212,D211)</f>
        <v>1.1611607142857142E-2</v>
      </c>
      <c r="D213" s="9"/>
      <c r="E213" s="20"/>
      <c r="F213" s="20"/>
      <c r="G213" s="20"/>
      <c r="H213" s="20"/>
      <c r="I213" s="225"/>
      <c r="K213" s="279"/>
      <c r="L213" s="339" t="s">
        <v>458</v>
      </c>
      <c r="M213" s="340">
        <f>IF(N212&gt;N211,N212,N211)</f>
        <v>1.1611607142857142E-2</v>
      </c>
      <c r="N213" s="9"/>
      <c r="O213" s="20"/>
      <c r="P213" s="20"/>
      <c r="Q213" s="20"/>
      <c r="R213" s="20"/>
      <c r="S213" s="225"/>
    </row>
    <row r="214" spans="1:19" x14ac:dyDescent="0.3">
      <c r="A214" s="279" t="s">
        <v>40</v>
      </c>
      <c r="B214" s="551" t="s">
        <v>41</v>
      </c>
      <c r="C214" s="551"/>
      <c r="D214" s="9">
        <f>(C213*B190)/B191</f>
        <v>0.15482142857142855</v>
      </c>
      <c r="E214" s="13" t="s">
        <v>46</v>
      </c>
      <c r="F214" s="13">
        <f>(D216/(2.25))^(1/3)</f>
        <v>186.56575543725631</v>
      </c>
      <c r="G214" s="20" t="s">
        <v>42</v>
      </c>
      <c r="H214" s="13">
        <f>_xlfn.CEILING.MATH(F214,50)+50</f>
        <v>250</v>
      </c>
      <c r="I214" s="236" t="s">
        <v>43</v>
      </c>
      <c r="K214" s="279" t="s">
        <v>40</v>
      </c>
      <c r="L214" s="551" t="s">
        <v>41</v>
      </c>
      <c r="M214" s="551"/>
      <c r="N214" s="9">
        <f>(M213*L190)/L191</f>
        <v>0.15482142857142855</v>
      </c>
      <c r="O214" s="13" t="s">
        <v>46</v>
      </c>
      <c r="P214" s="13">
        <f>(N216/(2.25))^(1/3)</f>
        <v>200.04759754216863</v>
      </c>
      <c r="Q214" s="20" t="s">
        <v>42</v>
      </c>
      <c r="R214" s="13">
        <v>280</v>
      </c>
      <c r="S214" s="236" t="s">
        <v>43</v>
      </c>
    </row>
    <row r="215" spans="1:19" x14ac:dyDescent="0.3">
      <c r="A215" s="279" t="s">
        <v>44</v>
      </c>
      <c r="B215" s="551" t="s">
        <v>45</v>
      </c>
      <c r="C215" s="551"/>
      <c r="D215" s="20">
        <f>(0.9*B191*D214)/(1-0.59*D214)</f>
        <v>3.1742763541889794</v>
      </c>
      <c r="E215" s="13" t="s">
        <v>49</v>
      </c>
      <c r="F215" s="13">
        <f>1.5*F214</f>
        <v>279.8486331558845</v>
      </c>
      <c r="G215" s="20" t="s">
        <v>42</v>
      </c>
      <c r="H215" s="20">
        <v>240</v>
      </c>
      <c r="I215" s="237" t="s">
        <v>43</v>
      </c>
      <c r="K215" s="279" t="s">
        <v>44</v>
      </c>
      <c r="L215" s="551" t="s">
        <v>45</v>
      </c>
      <c r="M215" s="551"/>
      <c r="N215" s="20">
        <f>(0.9*L191*N214)/(1-0.59*N214)</f>
        <v>3.1742763541889794</v>
      </c>
      <c r="O215" s="13" t="s">
        <v>49</v>
      </c>
      <c r="P215" s="13">
        <f>1.5*P214</f>
        <v>300.07139631325293</v>
      </c>
      <c r="Q215" s="20" t="s">
        <v>42</v>
      </c>
      <c r="R215" s="20">
        <v>310</v>
      </c>
      <c r="S215" s="237" t="s">
        <v>43</v>
      </c>
    </row>
    <row r="216" spans="1:19" x14ac:dyDescent="0.3">
      <c r="A216" s="279" t="s">
        <v>47</v>
      </c>
      <c r="B216" s="551" t="s">
        <v>48</v>
      </c>
      <c r="C216" s="551"/>
      <c r="D216" s="20">
        <f>(E191/(0.9*D215))*1000000</f>
        <v>14610945.173873354</v>
      </c>
      <c r="E216" s="13" t="s">
        <v>50</v>
      </c>
      <c r="F216" s="13">
        <f>(F215+40+10+(G223/2))</f>
        <v>337.8486331558845</v>
      </c>
      <c r="G216" s="13" t="s">
        <v>42</v>
      </c>
      <c r="H216" s="20">
        <v>350</v>
      </c>
      <c r="I216" s="237" t="s">
        <v>43</v>
      </c>
      <c r="K216" s="279" t="s">
        <v>47</v>
      </c>
      <c r="L216" s="551" t="s">
        <v>48</v>
      </c>
      <c r="M216" s="551"/>
      <c r="N216" s="20">
        <f>(O191/(0.9*N215))*1000000</f>
        <v>18012854.395088285</v>
      </c>
      <c r="O216" s="13" t="s">
        <v>50</v>
      </c>
      <c r="P216" s="13">
        <f>(P215+40+10+(Q223/2))</f>
        <v>360.07139631325293</v>
      </c>
      <c r="Q216" s="13" t="s">
        <v>42</v>
      </c>
      <c r="R216" s="20">
        <v>400</v>
      </c>
      <c r="S216" s="237" t="s">
        <v>43</v>
      </c>
    </row>
    <row r="217" spans="1:19" x14ac:dyDescent="0.3">
      <c r="A217" s="279"/>
      <c r="B217" s="227"/>
      <c r="C217" s="245"/>
      <c r="D217" s="20"/>
      <c r="E217" s="13"/>
      <c r="F217" s="228"/>
      <c r="G217" s="13"/>
      <c r="H217" s="20"/>
      <c r="I217" s="225"/>
      <c r="K217" s="279"/>
      <c r="L217" s="227"/>
      <c r="M217" s="409"/>
      <c r="N217" s="20"/>
      <c r="O217" s="13"/>
      <c r="P217" s="228"/>
      <c r="Q217" s="13"/>
      <c r="R217" s="20"/>
      <c r="S217" s="225"/>
    </row>
    <row r="218" spans="1:19" x14ac:dyDescent="0.3">
      <c r="A218" s="543" t="s">
        <v>97</v>
      </c>
      <c r="B218" s="544"/>
      <c r="C218" s="544"/>
      <c r="D218" s="544"/>
      <c r="E218" s="544"/>
      <c r="F218" s="544"/>
      <c r="G218" s="544"/>
      <c r="H218" s="544"/>
      <c r="I218" s="545"/>
      <c r="K218" s="543" t="s">
        <v>97</v>
      </c>
      <c r="L218" s="557"/>
      <c r="M218" s="557"/>
      <c r="N218" s="557"/>
      <c r="O218" s="557"/>
      <c r="P218" s="557"/>
      <c r="Q218" s="557"/>
      <c r="R218" s="557"/>
      <c r="S218" s="558"/>
    </row>
    <row r="219" spans="1:19" x14ac:dyDescent="0.3">
      <c r="A219" s="549" t="s">
        <v>459</v>
      </c>
      <c r="B219" s="550"/>
      <c r="C219" s="245"/>
      <c r="D219" s="20"/>
      <c r="E219" s="20"/>
      <c r="F219" s="20"/>
      <c r="G219" s="20"/>
      <c r="H219" s="20"/>
      <c r="I219" s="225"/>
      <c r="K219" s="549" t="s">
        <v>459</v>
      </c>
      <c r="L219" s="550"/>
      <c r="M219" s="409"/>
      <c r="N219" s="20"/>
      <c r="O219" s="20"/>
      <c r="P219" s="20"/>
      <c r="Q219" s="20"/>
      <c r="R219" s="20"/>
      <c r="S219" s="225"/>
    </row>
    <row r="220" spans="1:19" x14ac:dyDescent="0.3">
      <c r="A220" s="282" t="s">
        <v>52</v>
      </c>
      <c r="B220" s="238"/>
      <c r="C220" s="245"/>
      <c r="D220" s="20"/>
      <c r="E220" s="20"/>
      <c r="F220" s="20"/>
      <c r="G220" s="20"/>
      <c r="H220" s="20"/>
      <c r="I220" s="225"/>
      <c r="K220" s="282" t="s">
        <v>52</v>
      </c>
      <c r="L220" s="238"/>
      <c r="M220" s="409"/>
      <c r="N220" s="20"/>
      <c r="O220" s="20"/>
      <c r="P220" s="20"/>
      <c r="Q220" s="20"/>
      <c r="R220" s="20"/>
      <c r="S220" s="225"/>
    </row>
    <row r="221" spans="1:19" x14ac:dyDescent="0.3">
      <c r="A221" s="280"/>
      <c r="B221" s="238" t="s">
        <v>26</v>
      </c>
      <c r="C221" s="23">
        <f>D212</f>
        <v>1.1611607142857142E-2</v>
      </c>
      <c r="D221" s="9"/>
      <c r="E221" s="20"/>
      <c r="F221" s="20"/>
      <c r="G221" s="20"/>
      <c r="H221" s="20"/>
      <c r="I221" s="225"/>
      <c r="K221" s="280"/>
      <c r="L221" s="238" t="s">
        <v>26</v>
      </c>
      <c r="M221" s="419">
        <f>N212</f>
        <v>1.1611607142857142E-2</v>
      </c>
      <c r="N221" s="9"/>
      <c r="O221" s="20"/>
      <c r="P221" s="20"/>
      <c r="Q221" s="20"/>
      <c r="R221" s="20"/>
      <c r="S221" s="225"/>
    </row>
    <row r="222" spans="1:19" x14ac:dyDescent="0.3">
      <c r="A222" s="280"/>
      <c r="B222" s="238" t="s">
        <v>53</v>
      </c>
      <c r="C222" s="245" t="s">
        <v>54</v>
      </c>
      <c r="D222" s="20">
        <f>C221*H214*H215</f>
        <v>696.69642857142856</v>
      </c>
      <c r="E222" s="20"/>
      <c r="F222" s="20"/>
      <c r="G222" s="20"/>
      <c r="H222" s="20"/>
      <c r="I222" s="225"/>
      <c r="K222" s="280"/>
      <c r="L222" s="238" t="s">
        <v>53</v>
      </c>
      <c r="M222" s="409" t="s">
        <v>54</v>
      </c>
      <c r="N222" s="20">
        <f>M221*R214*R215</f>
        <v>1007.8874999999999</v>
      </c>
      <c r="O222" s="20"/>
      <c r="P222" s="20"/>
      <c r="Q222" s="20"/>
      <c r="R222" s="20"/>
      <c r="S222" s="225"/>
    </row>
    <row r="223" spans="1:19" ht="25.2" x14ac:dyDescent="0.3">
      <c r="A223" s="562" t="s">
        <v>55</v>
      </c>
      <c r="B223" s="541"/>
      <c r="C223" s="245"/>
      <c r="D223" s="20"/>
      <c r="E223" s="20"/>
      <c r="F223" s="284" t="s">
        <v>546</v>
      </c>
      <c r="G223" s="13">
        <v>16</v>
      </c>
      <c r="H223" s="238" t="s">
        <v>43</v>
      </c>
      <c r="I223" s="225"/>
      <c r="K223" s="282" t="s">
        <v>55</v>
      </c>
      <c r="L223" s="238"/>
      <c r="M223" s="409"/>
      <c r="N223" s="20"/>
      <c r="O223" s="20"/>
      <c r="P223" s="284" t="s">
        <v>546</v>
      </c>
      <c r="Q223" s="13">
        <v>20</v>
      </c>
      <c r="R223" s="238" t="s">
        <v>43</v>
      </c>
      <c r="S223" s="225"/>
    </row>
    <row r="224" spans="1:19" x14ac:dyDescent="0.3">
      <c r="A224" s="280"/>
      <c r="B224" s="238" t="s">
        <v>56</v>
      </c>
      <c r="C224" s="245"/>
      <c r="D224" s="20"/>
      <c r="E224" s="20">
        <f>(3.141592654*(G223^2))/4</f>
        <v>201.06192985600001</v>
      </c>
      <c r="F224" s="227" t="s">
        <v>460</v>
      </c>
      <c r="G224" s="20"/>
      <c r="H224" s="20"/>
      <c r="I224" s="225"/>
      <c r="K224" s="280"/>
      <c r="L224" s="238" t="s">
        <v>56</v>
      </c>
      <c r="M224" s="409"/>
      <c r="N224" s="20"/>
      <c r="O224" s="20">
        <f>(3.141592654*(Q223^2))/4</f>
        <v>314.15926539999998</v>
      </c>
      <c r="P224" s="227" t="s">
        <v>460</v>
      </c>
      <c r="Q224" s="20"/>
      <c r="R224" s="20"/>
      <c r="S224" s="225"/>
    </row>
    <row r="225" spans="1:19" x14ac:dyDescent="0.3">
      <c r="A225" s="280"/>
      <c r="B225" s="238" t="s">
        <v>58</v>
      </c>
      <c r="C225" s="283"/>
      <c r="D225" s="20" t="s">
        <v>461</v>
      </c>
      <c r="E225" s="20">
        <f>D222/E224</f>
        <v>3.4650837633479425</v>
      </c>
      <c r="F225" s="227" t="s">
        <v>462</v>
      </c>
      <c r="G225" s="20"/>
      <c r="H225" s="20"/>
      <c r="I225" s="225"/>
      <c r="K225" s="280"/>
      <c r="L225" s="238" t="s">
        <v>58</v>
      </c>
      <c r="M225" s="228"/>
      <c r="N225" s="20" t="s">
        <v>461</v>
      </c>
      <c r="O225" s="20">
        <f>N222/O224</f>
        <v>3.2082055536917484</v>
      </c>
      <c r="P225" s="227" t="s">
        <v>462</v>
      </c>
      <c r="Q225" s="20"/>
      <c r="R225" s="20"/>
      <c r="S225" s="225"/>
    </row>
    <row r="226" spans="1:19" x14ac:dyDescent="0.3">
      <c r="A226" s="280"/>
      <c r="B226" s="238"/>
      <c r="C226" s="283"/>
      <c r="D226" s="20"/>
      <c r="E226" s="20"/>
      <c r="F226" s="20"/>
      <c r="G226" s="20"/>
      <c r="H226" s="20"/>
      <c r="I226" s="225"/>
      <c r="K226" s="280"/>
      <c r="L226" s="238"/>
      <c r="M226" s="228"/>
      <c r="N226" s="20"/>
      <c r="O226" s="20"/>
      <c r="P226" s="20"/>
      <c r="Q226" s="20"/>
      <c r="R226" s="20"/>
      <c r="S226" s="225"/>
    </row>
    <row r="227" spans="1:19" x14ac:dyDescent="0.3">
      <c r="A227" s="549" t="s">
        <v>463</v>
      </c>
      <c r="B227" s="550"/>
      <c r="C227" s="283"/>
      <c r="D227" s="20"/>
      <c r="E227" s="20"/>
      <c r="F227" s="20"/>
      <c r="G227" s="20"/>
      <c r="H227" s="20"/>
      <c r="I227" s="225"/>
      <c r="K227" s="549" t="s">
        <v>463</v>
      </c>
      <c r="L227" s="550"/>
      <c r="M227" s="228"/>
      <c r="N227" s="20"/>
      <c r="O227" s="20"/>
      <c r="P227" s="20"/>
      <c r="Q227" s="20"/>
      <c r="R227" s="20"/>
      <c r="S227" s="225"/>
    </row>
    <row r="228" spans="1:19" x14ac:dyDescent="0.3">
      <c r="A228" s="282" t="s">
        <v>52</v>
      </c>
      <c r="B228" s="238"/>
      <c r="C228" s="245"/>
      <c r="D228" s="20"/>
      <c r="E228" s="20"/>
      <c r="F228" s="20"/>
      <c r="G228" s="20"/>
      <c r="H228" s="20"/>
      <c r="I228" s="225"/>
      <c r="K228" s="282" t="s">
        <v>52</v>
      </c>
      <c r="L228" s="238"/>
      <c r="M228" s="409"/>
      <c r="N228" s="20"/>
      <c r="O228" s="20"/>
      <c r="P228" s="20"/>
      <c r="Q228" s="20"/>
      <c r="R228" s="20"/>
      <c r="S228" s="225"/>
    </row>
    <row r="229" spans="1:19" x14ac:dyDescent="0.3">
      <c r="A229" s="280"/>
      <c r="B229" s="238" t="s">
        <v>35</v>
      </c>
      <c r="C229" s="245" t="s">
        <v>36</v>
      </c>
      <c r="D229" s="20"/>
      <c r="E229" s="20"/>
      <c r="F229" s="9">
        <f>0.634*D209</f>
        <v>2.3530736301369863E-2</v>
      </c>
      <c r="G229" s="20"/>
      <c r="H229" s="20"/>
      <c r="I229" s="225"/>
      <c r="K229" s="280"/>
      <c r="L229" s="238" t="s">
        <v>35</v>
      </c>
      <c r="M229" s="409" t="s">
        <v>36</v>
      </c>
      <c r="N229" s="20"/>
      <c r="O229" s="20"/>
      <c r="P229" s="9">
        <f>0.634*N209</f>
        <v>2.3530736301369863E-2</v>
      </c>
      <c r="Q229" s="20"/>
      <c r="R229" s="20"/>
      <c r="S229" s="225"/>
    </row>
    <row r="230" spans="1:19" x14ac:dyDescent="0.3">
      <c r="A230" s="280"/>
      <c r="B230" s="238" t="s">
        <v>37</v>
      </c>
      <c r="C230" s="245" t="s">
        <v>38</v>
      </c>
      <c r="D230" s="20"/>
      <c r="E230" s="20"/>
      <c r="F230" s="9">
        <f>1.4/B190</f>
        <v>5.0724637681159417E-3</v>
      </c>
      <c r="G230" s="20"/>
      <c r="H230" s="20"/>
      <c r="I230" s="225"/>
      <c r="K230" s="280"/>
      <c r="L230" s="238" t="s">
        <v>37</v>
      </c>
      <c r="M230" s="409" t="s">
        <v>38</v>
      </c>
      <c r="N230" s="20"/>
      <c r="O230" s="20"/>
      <c r="P230" s="9">
        <f>1.4/L190</f>
        <v>5.0724637681159417E-3</v>
      </c>
      <c r="Q230" s="20"/>
      <c r="R230" s="20"/>
      <c r="S230" s="225"/>
    </row>
    <row r="231" spans="1:19" x14ac:dyDescent="0.3">
      <c r="A231" s="280"/>
      <c r="B231" s="238" t="s">
        <v>26</v>
      </c>
      <c r="C231" s="23">
        <f>(0.85*(B191)/(B190))*(1-SQRT(1-((2*E203*10^6)/(0.85*B191*0.9*H214*H215^2))))</f>
        <v>6.523498119796094E-3</v>
      </c>
      <c r="D231" s="20"/>
      <c r="E231" s="13" t="s">
        <v>458</v>
      </c>
      <c r="F231" s="9">
        <f>IF(C231&gt;F230,C231,F230)</f>
        <v>6.523498119796094E-3</v>
      </c>
      <c r="G231" s="20"/>
      <c r="H231" s="20"/>
      <c r="I231" s="225"/>
      <c r="K231" s="280"/>
      <c r="L231" s="238" t="s">
        <v>26</v>
      </c>
      <c r="M231" s="419">
        <f>(0.85*(L191)/(L190))*(1-SQRT(1-((2*O203*10^6)/(0.85*L191*0.9*R214*R215^2))))</f>
        <v>4.5753384977816666E-3</v>
      </c>
      <c r="N231" s="20"/>
      <c r="O231" s="13" t="s">
        <v>458</v>
      </c>
      <c r="P231" s="9">
        <f>IF(M231&gt;P230,M231,P230)</f>
        <v>5.0724637681159417E-3</v>
      </c>
      <c r="Q231" s="20"/>
      <c r="R231" s="20"/>
      <c r="S231" s="225"/>
    </row>
    <row r="232" spans="1:19" x14ac:dyDescent="0.3">
      <c r="A232" s="280"/>
      <c r="B232" s="238" t="s">
        <v>53</v>
      </c>
      <c r="C232" s="245" t="s">
        <v>54</v>
      </c>
      <c r="D232" s="20">
        <f>F231*H214*H215</f>
        <v>391.40988718776566</v>
      </c>
      <c r="E232" s="20"/>
      <c r="F232" s="20"/>
      <c r="G232" s="20"/>
      <c r="H232" s="20"/>
      <c r="I232" s="225"/>
      <c r="K232" s="280"/>
      <c r="L232" s="238" t="s">
        <v>53</v>
      </c>
      <c r="M232" s="409" t="s">
        <v>54</v>
      </c>
      <c r="N232" s="20">
        <f>P231*R214*R215</f>
        <v>440.28985507246375</v>
      </c>
      <c r="O232" s="20"/>
      <c r="P232" s="20"/>
      <c r="Q232" s="20"/>
      <c r="R232" s="20"/>
      <c r="S232" s="225"/>
    </row>
    <row r="233" spans="1:19" ht="25.2" x14ac:dyDescent="0.3">
      <c r="A233" s="282" t="s">
        <v>55</v>
      </c>
      <c r="B233" s="238"/>
      <c r="C233" s="245"/>
      <c r="D233" s="20"/>
      <c r="E233" s="20"/>
      <c r="F233" s="284" t="s">
        <v>546</v>
      </c>
      <c r="G233" s="13">
        <v>16</v>
      </c>
      <c r="H233" s="238" t="s">
        <v>43</v>
      </c>
      <c r="I233" s="225"/>
      <c r="K233" s="282" t="s">
        <v>55</v>
      </c>
      <c r="L233" s="238"/>
      <c r="M233" s="409"/>
      <c r="N233" s="20"/>
      <c r="O233" s="20"/>
      <c r="P233" s="284" t="s">
        <v>546</v>
      </c>
      <c r="Q233" s="13">
        <v>20</v>
      </c>
      <c r="R233" s="238" t="s">
        <v>43</v>
      </c>
      <c r="S233" s="225"/>
    </row>
    <row r="234" spans="1:19" x14ac:dyDescent="0.3">
      <c r="A234" s="280"/>
      <c r="B234" s="238" t="s">
        <v>56</v>
      </c>
      <c r="C234" s="245"/>
      <c r="D234" s="20"/>
      <c r="E234" s="20">
        <f>(3.141592654*(G223^2))/4</f>
        <v>201.06192985600001</v>
      </c>
      <c r="F234" s="227" t="s">
        <v>460</v>
      </c>
      <c r="G234" s="20"/>
      <c r="H234" s="20"/>
      <c r="I234" s="225"/>
      <c r="K234" s="280"/>
      <c r="L234" s="238" t="s">
        <v>56</v>
      </c>
      <c r="M234" s="409"/>
      <c r="N234" s="20"/>
      <c r="O234" s="20">
        <f>(3.141592654*(Q223^2))/4</f>
        <v>314.15926539999998</v>
      </c>
      <c r="P234" s="227" t="s">
        <v>460</v>
      </c>
      <c r="Q234" s="20"/>
      <c r="R234" s="20"/>
      <c r="S234" s="225"/>
    </row>
    <row r="235" spans="1:19" x14ac:dyDescent="0.3">
      <c r="A235" s="280"/>
      <c r="B235" s="238" t="s">
        <v>58</v>
      </c>
      <c r="C235" s="283"/>
      <c r="D235" s="20" t="s">
        <v>461</v>
      </c>
      <c r="E235" s="20">
        <f>D232/E234</f>
        <v>1.94671307227625</v>
      </c>
      <c r="F235" s="227" t="s">
        <v>462</v>
      </c>
      <c r="G235" s="20"/>
      <c r="H235" s="20"/>
      <c r="I235" s="225"/>
      <c r="K235" s="280"/>
      <c r="L235" s="238" t="s">
        <v>58</v>
      </c>
      <c r="M235" s="228"/>
      <c r="N235" s="20" t="s">
        <v>461</v>
      </c>
      <c r="O235" s="20">
        <f>N232/O234</f>
        <v>1.4014861363769402</v>
      </c>
      <c r="P235" s="227" t="s">
        <v>462</v>
      </c>
      <c r="Q235" s="20"/>
      <c r="R235" s="20"/>
      <c r="S235" s="225"/>
    </row>
    <row r="236" spans="1:19" x14ac:dyDescent="0.3">
      <c r="A236" s="546" t="s">
        <v>604</v>
      </c>
      <c r="B236" s="547"/>
      <c r="C236" s="547"/>
      <c r="D236" s="547"/>
      <c r="E236" s="547"/>
      <c r="F236" s="547"/>
      <c r="G236" s="547"/>
      <c r="H236" s="547"/>
      <c r="I236" s="548"/>
      <c r="K236" s="546" t="s">
        <v>604</v>
      </c>
      <c r="L236" s="547"/>
      <c r="M236" s="547"/>
      <c r="N236" s="547"/>
      <c r="O236" s="547"/>
      <c r="P236" s="547"/>
      <c r="Q236" s="547"/>
      <c r="R236" s="547"/>
      <c r="S236" s="548"/>
    </row>
    <row r="237" spans="1:19" x14ac:dyDescent="0.3">
      <c r="A237" s="541" t="s">
        <v>628</v>
      </c>
      <c r="B237" s="541"/>
      <c r="C237" s="227" t="s">
        <v>629</v>
      </c>
      <c r="E237" s="20"/>
      <c r="F237" s="394" t="s">
        <v>631</v>
      </c>
      <c r="I237" s="225"/>
      <c r="K237" s="562" t="s">
        <v>628</v>
      </c>
      <c r="L237" s="541"/>
      <c r="M237" s="227" t="s">
        <v>629</v>
      </c>
      <c r="O237" s="20"/>
      <c r="P237" s="394" t="s">
        <v>631</v>
      </c>
      <c r="S237" s="225"/>
    </row>
    <row r="238" spans="1:19" x14ac:dyDescent="0.3">
      <c r="A238" s="279"/>
      <c r="B238" s="228" t="s">
        <v>625</v>
      </c>
      <c r="C238" s="390">
        <v>10</v>
      </c>
      <c r="D238" s="227" t="s">
        <v>624</v>
      </c>
      <c r="E238" s="20"/>
      <c r="F238" s="238"/>
      <c r="G238" s="20"/>
      <c r="H238" s="20"/>
      <c r="I238" s="225"/>
      <c r="K238" s="279"/>
      <c r="L238" s="228" t="s">
        <v>625</v>
      </c>
      <c r="M238" s="390">
        <v>10</v>
      </c>
      <c r="N238" s="227" t="s">
        <v>624</v>
      </c>
      <c r="O238" s="20"/>
      <c r="P238" s="238"/>
      <c r="Q238" s="20"/>
      <c r="R238" s="20"/>
      <c r="S238" s="225"/>
    </row>
    <row r="239" spans="1:19" x14ac:dyDescent="0.3">
      <c r="A239" s="279"/>
      <c r="B239" s="238" t="s">
        <v>620</v>
      </c>
      <c r="C239" s="13" t="s">
        <v>32</v>
      </c>
      <c r="D239" s="20">
        <v>100</v>
      </c>
      <c r="E239" s="227" t="s">
        <v>43</v>
      </c>
      <c r="F239" s="227" t="s">
        <v>627</v>
      </c>
      <c r="G239" s="20">
        <v>130</v>
      </c>
      <c r="H239" s="20" t="s">
        <v>43</v>
      </c>
      <c r="I239" s="225"/>
      <c r="K239" s="279"/>
      <c r="L239" s="238" t="s">
        <v>620</v>
      </c>
      <c r="M239" s="13" t="s">
        <v>32</v>
      </c>
      <c r="N239" s="20">
        <v>85</v>
      </c>
      <c r="O239" s="227" t="s">
        <v>43</v>
      </c>
      <c r="P239" s="227" t="s">
        <v>627</v>
      </c>
      <c r="Q239" s="20">
        <v>160</v>
      </c>
      <c r="R239" s="20" t="s">
        <v>43</v>
      </c>
      <c r="S239" s="225"/>
    </row>
    <row r="240" spans="1:19" x14ac:dyDescent="0.3">
      <c r="A240" s="279"/>
      <c r="B240" s="238" t="s">
        <v>621</v>
      </c>
      <c r="C240" s="13" t="s">
        <v>32</v>
      </c>
      <c r="D240" s="20">
        <v>160</v>
      </c>
      <c r="E240" s="227" t="s">
        <v>43</v>
      </c>
      <c r="F240" s="227"/>
      <c r="G240" s="20"/>
      <c r="H240" s="20"/>
      <c r="I240" s="225"/>
      <c r="K240" s="279"/>
      <c r="L240" s="238" t="s">
        <v>621</v>
      </c>
      <c r="M240" s="13" t="s">
        <v>32</v>
      </c>
      <c r="N240" s="20">
        <v>160</v>
      </c>
      <c r="O240" s="227" t="s">
        <v>43</v>
      </c>
      <c r="P240" s="227"/>
      <c r="Q240" s="20"/>
      <c r="R240" s="20"/>
      <c r="S240" s="225"/>
    </row>
    <row r="241" spans="1:19" x14ac:dyDescent="0.3">
      <c r="A241" s="280"/>
      <c r="B241" s="238" t="s">
        <v>622</v>
      </c>
      <c r="C241" s="13" t="s">
        <v>32</v>
      </c>
      <c r="D241" s="20">
        <v>240</v>
      </c>
      <c r="E241" s="227" t="s">
        <v>43</v>
      </c>
      <c r="F241" s="227"/>
      <c r="G241" s="20"/>
      <c r="H241" s="20"/>
      <c r="I241" s="225"/>
      <c r="K241" s="280"/>
      <c r="L241" s="238" t="s">
        <v>622</v>
      </c>
      <c r="M241" s="13" t="s">
        <v>32</v>
      </c>
      <c r="N241" s="20">
        <v>240</v>
      </c>
      <c r="O241" s="227" t="s">
        <v>43</v>
      </c>
      <c r="P241" s="227"/>
      <c r="Q241" s="20"/>
      <c r="R241" s="20"/>
      <c r="S241" s="225"/>
    </row>
    <row r="242" spans="1:19" x14ac:dyDescent="0.3">
      <c r="A242" s="280"/>
      <c r="B242" s="238" t="s">
        <v>623</v>
      </c>
      <c r="C242" s="13" t="s">
        <v>32</v>
      </c>
      <c r="D242" s="20">
        <v>300</v>
      </c>
      <c r="E242" s="227" t="s">
        <v>43</v>
      </c>
      <c r="F242" s="227"/>
      <c r="G242" s="20"/>
      <c r="H242" s="20"/>
      <c r="I242" s="225"/>
      <c r="K242" s="280"/>
      <c r="L242" s="238" t="s">
        <v>623</v>
      </c>
      <c r="M242" s="13" t="s">
        <v>32</v>
      </c>
      <c r="N242" s="20">
        <v>300</v>
      </c>
      <c r="O242" s="227" t="s">
        <v>43</v>
      </c>
      <c r="P242" s="227"/>
      <c r="Q242" s="20"/>
      <c r="R242" s="20"/>
      <c r="S242" s="225"/>
    </row>
    <row r="243" spans="1:19" x14ac:dyDescent="0.3">
      <c r="A243" s="280"/>
      <c r="B243" s="238"/>
      <c r="C243" s="13" t="s">
        <v>626</v>
      </c>
      <c r="D243" s="250">
        <f>MIN(D239:D242)</f>
        <v>100</v>
      </c>
      <c r="E243" s="238" t="s">
        <v>43</v>
      </c>
      <c r="F243" s="227" t="s">
        <v>129</v>
      </c>
      <c r="G243" s="20"/>
      <c r="H243" s="20"/>
      <c r="I243" s="225"/>
      <c r="K243" s="280"/>
      <c r="L243" s="238"/>
      <c r="M243" s="13" t="s">
        <v>626</v>
      </c>
      <c r="N243" s="250">
        <f>MIN(N239:N242)</f>
        <v>85</v>
      </c>
      <c r="O243" s="238" t="s">
        <v>43</v>
      </c>
      <c r="P243" s="227" t="s">
        <v>129</v>
      </c>
      <c r="Q243" s="20"/>
      <c r="R243" s="20"/>
      <c r="S243" s="225"/>
    </row>
    <row r="244" spans="1:19" x14ac:dyDescent="0.3">
      <c r="A244" s="281" t="s">
        <v>12</v>
      </c>
      <c r="B244" s="227"/>
      <c r="C244" s="245"/>
      <c r="D244" s="20"/>
      <c r="E244" s="20"/>
      <c r="F244" s="20"/>
      <c r="G244" s="13"/>
      <c r="H244" s="13"/>
      <c r="I244" s="234"/>
      <c r="K244" s="281" t="s">
        <v>12</v>
      </c>
      <c r="L244" s="227"/>
      <c r="M244" s="245"/>
      <c r="N244" s="20"/>
      <c r="O244" s="20"/>
      <c r="P244" s="20"/>
      <c r="Q244" s="13"/>
      <c r="R244" s="13"/>
      <c r="S244" s="234"/>
    </row>
    <row r="245" spans="1:19" x14ac:dyDescent="0.3">
      <c r="A245" s="335"/>
      <c r="B245" s="336" t="s">
        <v>143</v>
      </c>
      <c r="C245" s="393">
        <f>ROUNDUP(E225,0)</f>
        <v>4</v>
      </c>
      <c r="D245" s="337" t="s">
        <v>547</v>
      </c>
      <c r="E245" s="337" t="s">
        <v>630</v>
      </c>
      <c r="F245" s="338" t="s">
        <v>13</v>
      </c>
      <c r="G245" s="338"/>
      <c r="H245" s="326"/>
      <c r="I245" s="351"/>
      <c r="K245" s="335"/>
      <c r="L245" s="336" t="s">
        <v>143</v>
      </c>
      <c r="M245" s="393">
        <v>4</v>
      </c>
      <c r="N245" s="337" t="s">
        <v>547</v>
      </c>
      <c r="O245" s="337" t="s">
        <v>630</v>
      </c>
      <c r="P245" s="338" t="s">
        <v>13</v>
      </c>
      <c r="Q245" s="338"/>
      <c r="R245" s="326"/>
      <c r="S245" s="351"/>
    </row>
    <row r="246" spans="1:19" x14ac:dyDescent="0.3">
      <c r="A246" s="335"/>
      <c r="B246" s="336" t="s">
        <v>143</v>
      </c>
      <c r="C246" s="393">
        <v>2</v>
      </c>
      <c r="D246" s="337" t="s">
        <v>547</v>
      </c>
      <c r="E246" s="337" t="s">
        <v>464</v>
      </c>
      <c r="F246" s="337" t="s">
        <v>14</v>
      </c>
      <c r="G246" s="338"/>
      <c r="H246" s="326"/>
      <c r="I246" s="351"/>
      <c r="K246" s="335"/>
      <c r="L246" s="336" t="s">
        <v>143</v>
      </c>
      <c r="M246" s="393">
        <v>2</v>
      </c>
      <c r="N246" s="337" t="s">
        <v>547</v>
      </c>
      <c r="O246" s="337" t="s">
        <v>464</v>
      </c>
      <c r="P246" s="337" t="s">
        <v>14</v>
      </c>
      <c r="Q246" s="338"/>
      <c r="R246" s="326"/>
      <c r="S246" s="351"/>
    </row>
    <row r="247" spans="1:19" ht="15" thickBot="1" x14ac:dyDescent="0.35">
      <c r="A247" s="554" t="s">
        <v>654</v>
      </c>
      <c r="B247" s="555"/>
      <c r="C247" s="555"/>
      <c r="D247" s="555"/>
      <c r="E247" s="555"/>
      <c r="F247" s="555"/>
      <c r="G247" s="555"/>
      <c r="H247" s="555"/>
      <c r="I247" s="556"/>
      <c r="K247" s="563" t="s">
        <v>652</v>
      </c>
      <c r="L247" s="564"/>
      <c r="M247" s="564"/>
      <c r="N247" s="564"/>
      <c r="O247" s="564"/>
      <c r="P247" s="564"/>
      <c r="Q247" s="564"/>
      <c r="R247" s="564"/>
      <c r="S247" s="565"/>
    </row>
  </sheetData>
  <mergeCells count="235">
    <mergeCell ref="K236:S236"/>
    <mergeCell ref="K237:L237"/>
    <mergeCell ref="K247:S247"/>
    <mergeCell ref="M199:N199"/>
    <mergeCell ref="M200:N200"/>
    <mergeCell ref="M201:N201"/>
    <mergeCell ref="K188:S188"/>
    <mergeCell ref="L193:N193"/>
    <mergeCell ref="M198:N198"/>
    <mergeCell ref="L211:M211"/>
    <mergeCell ref="L212:M212"/>
    <mergeCell ref="L214:M214"/>
    <mergeCell ref="K205:S205"/>
    <mergeCell ref="L209:M209"/>
    <mergeCell ref="L210:M210"/>
    <mergeCell ref="A112:I112"/>
    <mergeCell ref="A113:B113"/>
    <mergeCell ref="A123:I123"/>
    <mergeCell ref="K112:S112"/>
    <mergeCell ref="K113:L113"/>
    <mergeCell ref="K123:S123"/>
    <mergeCell ref="K174:S174"/>
    <mergeCell ref="K175:L175"/>
    <mergeCell ref="K185:S185"/>
    <mergeCell ref="A125:I125"/>
    <mergeCell ref="K125:S125"/>
    <mergeCell ref="B149:C149"/>
    <mergeCell ref="L149:M149"/>
    <mergeCell ref="B150:C150"/>
    <mergeCell ref="L150:M150"/>
    <mergeCell ref="B152:C152"/>
    <mergeCell ref="L152:M152"/>
    <mergeCell ref="A143:I143"/>
    <mergeCell ref="K143:S143"/>
    <mergeCell ref="B147:C147"/>
    <mergeCell ref="L147:M147"/>
    <mergeCell ref="B148:C148"/>
    <mergeCell ref="L148:M148"/>
    <mergeCell ref="A157:B157"/>
    <mergeCell ref="A50:B50"/>
    <mergeCell ref="A49:I49"/>
    <mergeCell ref="A60:I60"/>
    <mergeCell ref="K49:S49"/>
    <mergeCell ref="K50:L50"/>
    <mergeCell ref="K60:S60"/>
    <mergeCell ref="U49:AC49"/>
    <mergeCell ref="U50:V50"/>
    <mergeCell ref="U60:AC60"/>
    <mergeCell ref="AE49:AM49"/>
    <mergeCell ref="AE50:AF50"/>
    <mergeCell ref="AE60:AM60"/>
    <mergeCell ref="AO49:AW49"/>
    <mergeCell ref="AO50:AP50"/>
    <mergeCell ref="AO60:AW60"/>
    <mergeCell ref="A31:I31"/>
    <mergeCell ref="K31:S31"/>
    <mergeCell ref="U31:AC31"/>
    <mergeCell ref="AE31:AM31"/>
    <mergeCell ref="AO31:AW31"/>
    <mergeCell ref="AO36:AP36"/>
    <mergeCell ref="A40:B40"/>
    <mergeCell ref="K40:L40"/>
    <mergeCell ref="U40:V40"/>
    <mergeCell ref="AE40:AF40"/>
    <mergeCell ref="AO40:AP40"/>
    <mergeCell ref="A32:B32"/>
    <mergeCell ref="K32:L32"/>
    <mergeCell ref="U32:V32"/>
    <mergeCell ref="AE32:AF32"/>
    <mergeCell ref="AO32:AP32"/>
    <mergeCell ref="K41:L41"/>
    <mergeCell ref="A46:D46"/>
    <mergeCell ref="AF28:AG28"/>
    <mergeCell ref="AP28:AQ28"/>
    <mergeCell ref="B29:C29"/>
    <mergeCell ref="L29:M29"/>
    <mergeCell ref="V29:W29"/>
    <mergeCell ref="AF29:AG29"/>
    <mergeCell ref="AP29:AQ29"/>
    <mergeCell ref="B30:C30"/>
    <mergeCell ref="L30:M30"/>
    <mergeCell ref="V30:W30"/>
    <mergeCell ref="AF30:AG30"/>
    <mergeCell ref="AP30:AQ30"/>
    <mergeCell ref="B28:C28"/>
    <mergeCell ref="L28:M28"/>
    <mergeCell ref="V28:W28"/>
    <mergeCell ref="AP24:AQ24"/>
    <mergeCell ref="B25:C25"/>
    <mergeCell ref="L25:M25"/>
    <mergeCell ref="V25:W25"/>
    <mergeCell ref="AF25:AG25"/>
    <mergeCell ref="AP25:AQ25"/>
    <mergeCell ref="B26:C26"/>
    <mergeCell ref="L26:M26"/>
    <mergeCell ref="V26:W26"/>
    <mergeCell ref="AF26:AG26"/>
    <mergeCell ref="AP26:AQ26"/>
    <mergeCell ref="B24:C24"/>
    <mergeCell ref="L24:M24"/>
    <mergeCell ref="V24:W24"/>
    <mergeCell ref="AF24:AG24"/>
    <mergeCell ref="AP7:AR7"/>
    <mergeCell ref="AQ14:AR14"/>
    <mergeCell ref="AQ15:AR15"/>
    <mergeCell ref="A19:I19"/>
    <mergeCell ref="K19:S19"/>
    <mergeCell ref="U19:AC19"/>
    <mergeCell ref="AE19:AM19"/>
    <mergeCell ref="AO19:AW19"/>
    <mergeCell ref="B23:C23"/>
    <mergeCell ref="L23:M23"/>
    <mergeCell ref="V23:W23"/>
    <mergeCell ref="AF23:AG23"/>
    <mergeCell ref="AP23:AQ23"/>
    <mergeCell ref="C15:D15"/>
    <mergeCell ref="M15:N15"/>
    <mergeCell ref="W15:X15"/>
    <mergeCell ref="AG15:AH15"/>
    <mergeCell ref="C14:D14"/>
    <mergeCell ref="M14:N14"/>
    <mergeCell ref="W14:X14"/>
    <mergeCell ref="AG14:AH14"/>
    <mergeCell ref="AQ12:AR12"/>
    <mergeCell ref="C13:D13"/>
    <mergeCell ref="M13:N13"/>
    <mergeCell ref="W13:X13"/>
    <mergeCell ref="AG13:AH13"/>
    <mergeCell ref="AQ13:AR13"/>
    <mergeCell ref="A1:I1"/>
    <mergeCell ref="K1:S1"/>
    <mergeCell ref="U1:AC1"/>
    <mergeCell ref="AE1:AM1"/>
    <mergeCell ref="C12:D12"/>
    <mergeCell ref="M12:N12"/>
    <mergeCell ref="W12:X12"/>
    <mergeCell ref="AG12:AH12"/>
    <mergeCell ref="AO1:AW1"/>
    <mergeCell ref="A2:I2"/>
    <mergeCell ref="K2:S2"/>
    <mergeCell ref="U2:AC2"/>
    <mergeCell ref="AE2:AM2"/>
    <mergeCell ref="AO2:AW2"/>
    <mergeCell ref="B7:D7"/>
    <mergeCell ref="L7:N7"/>
    <mergeCell ref="V7:X7"/>
    <mergeCell ref="AF7:AH7"/>
    <mergeCell ref="A63:I63"/>
    <mergeCell ref="A64:I64"/>
    <mergeCell ref="B69:D69"/>
    <mergeCell ref="C74:D74"/>
    <mergeCell ref="C75:D75"/>
    <mergeCell ref="C76:D76"/>
    <mergeCell ref="C77:D77"/>
    <mergeCell ref="A81:I81"/>
    <mergeCell ref="B85:C85"/>
    <mergeCell ref="B86:C86"/>
    <mergeCell ref="B87:C87"/>
    <mergeCell ref="B88:C88"/>
    <mergeCell ref="B90:C90"/>
    <mergeCell ref="B91:C91"/>
    <mergeCell ref="B92:C92"/>
    <mergeCell ref="A94:I94"/>
    <mergeCell ref="A95:B95"/>
    <mergeCell ref="K103:L103"/>
    <mergeCell ref="A103:B103"/>
    <mergeCell ref="L86:M86"/>
    <mergeCell ref="L87:M87"/>
    <mergeCell ref="L88:M88"/>
    <mergeCell ref="L90:M90"/>
    <mergeCell ref="L91:M91"/>
    <mergeCell ref="L92:M92"/>
    <mergeCell ref="K94:S94"/>
    <mergeCell ref="K95:L95"/>
    <mergeCell ref="K63:S63"/>
    <mergeCell ref="K64:S64"/>
    <mergeCell ref="L69:N69"/>
    <mergeCell ref="M137:N137"/>
    <mergeCell ref="M138:N138"/>
    <mergeCell ref="M139:N139"/>
    <mergeCell ref="K126:S126"/>
    <mergeCell ref="L131:N131"/>
    <mergeCell ref="M136:N136"/>
    <mergeCell ref="M74:N74"/>
    <mergeCell ref="M75:N75"/>
    <mergeCell ref="M76:N76"/>
    <mergeCell ref="M77:N77"/>
    <mergeCell ref="K81:S81"/>
    <mergeCell ref="L85:M85"/>
    <mergeCell ref="K157:L157"/>
    <mergeCell ref="L153:M153"/>
    <mergeCell ref="L154:M154"/>
    <mergeCell ref="K156:S156"/>
    <mergeCell ref="K187:S187"/>
    <mergeCell ref="K165:L165"/>
    <mergeCell ref="K227:L227"/>
    <mergeCell ref="A219:B219"/>
    <mergeCell ref="K219:L219"/>
    <mergeCell ref="A223:B223"/>
    <mergeCell ref="B215:C215"/>
    <mergeCell ref="L215:M215"/>
    <mergeCell ref="B216:C216"/>
    <mergeCell ref="L216:M216"/>
    <mergeCell ref="A218:I218"/>
    <mergeCell ref="K218:S218"/>
    <mergeCell ref="C201:D201"/>
    <mergeCell ref="C200:D200"/>
    <mergeCell ref="C199:D199"/>
    <mergeCell ref="C198:D198"/>
    <mergeCell ref="B193:D193"/>
    <mergeCell ref="A188:I188"/>
    <mergeCell ref="A187:I187"/>
    <mergeCell ref="A185:I185"/>
    <mergeCell ref="A247:I247"/>
    <mergeCell ref="A237:B237"/>
    <mergeCell ref="A236:I236"/>
    <mergeCell ref="B214:C214"/>
    <mergeCell ref="B212:C212"/>
    <mergeCell ref="B211:C211"/>
    <mergeCell ref="B210:C210"/>
    <mergeCell ref="B209:C209"/>
    <mergeCell ref="A205:I205"/>
    <mergeCell ref="A227:B227"/>
    <mergeCell ref="A175:B175"/>
    <mergeCell ref="B131:D131"/>
    <mergeCell ref="A126:I126"/>
    <mergeCell ref="A174:I174"/>
    <mergeCell ref="A165:B165"/>
    <mergeCell ref="A156:I156"/>
    <mergeCell ref="B154:C154"/>
    <mergeCell ref="B153:C153"/>
    <mergeCell ref="C139:D139"/>
    <mergeCell ref="C138:D138"/>
    <mergeCell ref="C137:D137"/>
    <mergeCell ref="C136:D136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77" fitToWidth="0" fitToHeight="0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R55"/>
  <sheetViews>
    <sheetView showGridLines="0" view="pageBreakPreview" topLeftCell="V28" zoomScale="85" zoomScaleNormal="100" zoomScaleSheetLayoutView="85" workbookViewId="0">
      <selection activeCell="Q7" sqref="Q7"/>
    </sheetView>
  </sheetViews>
  <sheetFormatPr defaultRowHeight="14.4" x14ac:dyDescent="0.3"/>
  <cols>
    <col min="2" max="2" width="14.33203125" customWidth="1"/>
    <col min="3" max="3" width="10.88671875" customWidth="1"/>
    <col min="8" max="8" width="10.6640625" customWidth="1"/>
    <col min="9" max="9" width="1.6640625" customWidth="1"/>
    <col min="12" max="12" width="11.44140625" customWidth="1"/>
    <col min="18" max="18" width="1.6640625" customWidth="1"/>
    <col min="21" max="21" width="11.109375" customWidth="1"/>
    <col min="27" max="27" width="1.6640625" customWidth="1"/>
    <col min="30" max="30" width="11.33203125" customWidth="1"/>
    <col min="36" max="36" width="1" customWidth="1"/>
    <col min="39" max="39" width="12" customWidth="1"/>
  </cols>
  <sheetData>
    <row r="1" spans="1:44" s="355" customFormat="1" ht="20.399999999999999" x14ac:dyDescent="0.4">
      <c r="A1" s="580" t="s">
        <v>133</v>
      </c>
      <c r="B1" s="581"/>
      <c r="C1" s="581"/>
      <c r="D1" s="581"/>
      <c r="E1" s="581"/>
      <c r="F1" s="581"/>
      <c r="G1" s="581"/>
      <c r="H1" s="582"/>
      <c r="I1" s="354"/>
      <c r="J1" s="580" t="s">
        <v>134</v>
      </c>
      <c r="K1" s="581"/>
      <c r="L1" s="581"/>
      <c r="M1" s="581"/>
      <c r="N1" s="581"/>
      <c r="O1" s="581"/>
      <c r="P1" s="581"/>
      <c r="Q1" s="582"/>
      <c r="R1" s="354"/>
      <c r="S1" s="580" t="s">
        <v>135</v>
      </c>
      <c r="T1" s="581"/>
      <c r="U1" s="581"/>
      <c r="V1" s="581"/>
      <c r="W1" s="581"/>
      <c r="X1" s="581"/>
      <c r="Y1" s="581"/>
      <c r="Z1" s="582"/>
      <c r="AA1" s="354"/>
      <c r="AB1" s="580" t="s">
        <v>136</v>
      </c>
      <c r="AC1" s="581"/>
      <c r="AD1" s="581"/>
      <c r="AE1" s="581"/>
      <c r="AF1" s="581"/>
      <c r="AG1" s="581"/>
      <c r="AH1" s="581"/>
      <c r="AI1" s="582"/>
      <c r="AJ1" s="354"/>
      <c r="AK1" s="580" t="s">
        <v>553</v>
      </c>
      <c r="AL1" s="581"/>
      <c r="AM1" s="581"/>
      <c r="AN1" s="581"/>
      <c r="AO1" s="581"/>
      <c r="AP1" s="581"/>
      <c r="AQ1" s="581"/>
      <c r="AR1" s="582"/>
    </row>
    <row r="2" spans="1:44" x14ac:dyDescent="0.3">
      <c r="A2" s="499" t="s">
        <v>483</v>
      </c>
      <c r="B2" s="500"/>
      <c r="C2" s="500"/>
      <c r="D2" s="500"/>
      <c r="E2" s="500"/>
      <c r="F2" s="500"/>
      <c r="G2" s="500"/>
      <c r="H2" s="501"/>
      <c r="I2" s="6"/>
      <c r="J2" s="499" t="s">
        <v>483</v>
      </c>
      <c r="K2" s="500"/>
      <c r="L2" s="500"/>
      <c r="M2" s="500"/>
      <c r="N2" s="500"/>
      <c r="O2" s="500"/>
      <c r="P2" s="500"/>
      <c r="Q2" s="501"/>
      <c r="R2" s="6"/>
      <c r="S2" s="499" t="s">
        <v>483</v>
      </c>
      <c r="T2" s="500"/>
      <c r="U2" s="500"/>
      <c r="V2" s="500"/>
      <c r="W2" s="500"/>
      <c r="X2" s="500"/>
      <c r="Y2" s="500"/>
      <c r="Z2" s="501"/>
      <c r="AA2" s="6"/>
      <c r="AB2" s="499" t="s">
        <v>483</v>
      </c>
      <c r="AC2" s="500"/>
      <c r="AD2" s="500"/>
      <c r="AE2" s="500"/>
      <c r="AF2" s="500"/>
      <c r="AG2" s="500"/>
      <c r="AH2" s="500"/>
      <c r="AI2" s="501"/>
      <c r="AJ2" s="6"/>
      <c r="AK2" s="499" t="s">
        <v>483</v>
      </c>
      <c r="AL2" s="500"/>
      <c r="AM2" s="500"/>
      <c r="AN2" s="500"/>
      <c r="AO2" s="500"/>
      <c r="AP2" s="500"/>
      <c r="AQ2" s="500"/>
      <c r="AR2" s="501"/>
    </row>
    <row r="3" spans="1:44" x14ac:dyDescent="0.3">
      <c r="A3" s="7"/>
      <c r="B3" s="6" t="s">
        <v>484</v>
      </c>
      <c r="C3" s="250">
        <f>'[1]BEAM WITH EQ'!H29</f>
        <v>340</v>
      </c>
      <c r="D3" s="241" t="s">
        <v>43</v>
      </c>
      <c r="E3" s="17"/>
      <c r="F3" s="12" t="s">
        <v>28</v>
      </c>
      <c r="G3" s="379">
        <v>20.7</v>
      </c>
      <c r="H3" s="242" t="s">
        <v>25</v>
      </c>
      <c r="I3" s="6"/>
      <c r="J3" s="7"/>
      <c r="K3" s="6" t="s">
        <v>484</v>
      </c>
      <c r="L3" s="250">
        <f>'[1]BEAM WITH EQ'!R29</f>
        <v>340</v>
      </c>
      <c r="M3" s="241" t="s">
        <v>43</v>
      </c>
      <c r="N3" s="6"/>
      <c r="O3" s="12" t="s">
        <v>28</v>
      </c>
      <c r="P3" s="379">
        <v>20.7</v>
      </c>
      <c r="Q3" s="242" t="s">
        <v>25</v>
      </c>
      <c r="R3" s="6"/>
      <c r="S3" s="7"/>
      <c r="T3" s="6" t="s">
        <v>484</v>
      </c>
      <c r="U3" s="250">
        <f>'[1]BEAM WITH EQ'!AB29</f>
        <v>340</v>
      </c>
      <c r="V3" s="241" t="s">
        <v>43</v>
      </c>
      <c r="W3" s="17"/>
      <c r="X3" s="12" t="s">
        <v>28</v>
      </c>
      <c r="Y3" s="379">
        <v>20.7</v>
      </c>
      <c r="Z3" s="242" t="s">
        <v>25</v>
      </c>
      <c r="AA3" s="6"/>
      <c r="AB3" s="7"/>
      <c r="AC3" s="6" t="s">
        <v>484</v>
      </c>
      <c r="AD3" s="250">
        <f>'[1]BEAM WITH EQ'!AL29</f>
        <v>340</v>
      </c>
      <c r="AE3" s="241" t="s">
        <v>43</v>
      </c>
      <c r="AF3" s="6"/>
      <c r="AG3" s="12" t="s">
        <v>28</v>
      </c>
      <c r="AH3" s="379">
        <v>20.7</v>
      </c>
      <c r="AI3" s="242" t="s">
        <v>25</v>
      </c>
      <c r="AJ3" s="6"/>
      <c r="AK3" s="7"/>
      <c r="AL3" s="6" t="s">
        <v>484</v>
      </c>
      <c r="AM3" s="250">
        <f>'[1]BEAM WITH EQ'!AV29</f>
        <v>290</v>
      </c>
      <c r="AN3" s="241" t="s">
        <v>43</v>
      </c>
      <c r="AO3" s="6"/>
      <c r="AP3" s="12" t="s">
        <v>28</v>
      </c>
      <c r="AQ3" s="379">
        <v>20.7</v>
      </c>
      <c r="AR3" s="242" t="s">
        <v>25</v>
      </c>
    </row>
    <row r="4" spans="1:44" x14ac:dyDescent="0.3">
      <c r="A4" s="7"/>
      <c r="B4" s="12" t="s">
        <v>485</v>
      </c>
      <c r="C4" s="22">
        <f>'[2]LD. COMB. AND NEW BEAM FINAL'!C37</f>
        <v>250</v>
      </c>
      <c r="D4" s="241" t="s">
        <v>43</v>
      </c>
      <c r="E4" s="17"/>
      <c r="F4" s="12" t="s">
        <v>486</v>
      </c>
      <c r="G4" s="379">
        <v>276</v>
      </c>
      <c r="H4" s="242" t="s">
        <v>25</v>
      </c>
      <c r="I4" s="6"/>
      <c r="J4" s="7"/>
      <c r="K4" s="12" t="s">
        <v>485</v>
      </c>
      <c r="L4" s="22">
        <v>250</v>
      </c>
      <c r="M4" s="241" t="s">
        <v>43</v>
      </c>
      <c r="N4" s="6"/>
      <c r="O4" s="12" t="s">
        <v>486</v>
      </c>
      <c r="P4" s="379">
        <v>276</v>
      </c>
      <c r="Q4" s="242" t="s">
        <v>25</v>
      </c>
      <c r="R4" s="6"/>
      <c r="S4" s="7"/>
      <c r="T4" s="12" t="s">
        <v>485</v>
      </c>
      <c r="U4" s="22">
        <v>250</v>
      </c>
      <c r="V4" s="241" t="s">
        <v>43</v>
      </c>
      <c r="W4" s="17"/>
      <c r="X4" s="12" t="s">
        <v>486</v>
      </c>
      <c r="Y4" s="379">
        <v>276</v>
      </c>
      <c r="Z4" s="242" t="s">
        <v>25</v>
      </c>
      <c r="AA4" s="6"/>
      <c r="AB4" s="7"/>
      <c r="AC4" s="12" t="s">
        <v>485</v>
      </c>
      <c r="AD4" s="22">
        <v>250</v>
      </c>
      <c r="AE4" s="241" t="s">
        <v>43</v>
      </c>
      <c r="AF4" s="6"/>
      <c r="AG4" s="12" t="s">
        <v>486</v>
      </c>
      <c r="AH4" s="379">
        <v>276</v>
      </c>
      <c r="AI4" s="242" t="s">
        <v>25</v>
      </c>
      <c r="AJ4" s="6"/>
      <c r="AK4" s="7"/>
      <c r="AL4" s="12" t="s">
        <v>485</v>
      </c>
      <c r="AM4" s="22">
        <v>250</v>
      </c>
      <c r="AN4" s="241" t="s">
        <v>43</v>
      </c>
      <c r="AO4" s="6"/>
      <c r="AP4" s="12" t="s">
        <v>486</v>
      </c>
      <c r="AQ4" s="379">
        <v>276</v>
      </c>
      <c r="AR4" s="242" t="s">
        <v>25</v>
      </c>
    </row>
    <row r="5" spans="1:44" x14ac:dyDescent="0.3">
      <c r="A5" s="27"/>
      <c r="B5" s="6" t="s">
        <v>487</v>
      </c>
      <c r="C5" s="250">
        <f>'JM GRASP SUMMARY'!B25</f>
        <v>16.1493</v>
      </c>
      <c r="D5" s="17" t="s">
        <v>488</v>
      </c>
      <c r="E5" s="17"/>
      <c r="F5" s="12" t="s">
        <v>489</v>
      </c>
      <c r="G5" s="379">
        <v>0.75</v>
      </c>
      <c r="H5" s="16"/>
      <c r="I5" s="6"/>
      <c r="J5" s="27"/>
      <c r="K5" s="6" t="s">
        <v>487</v>
      </c>
      <c r="L5" s="250">
        <f>'JM GRASP SUMMARY'!B30</f>
        <v>16.1493</v>
      </c>
      <c r="M5" s="17" t="s">
        <v>488</v>
      </c>
      <c r="N5" s="6"/>
      <c r="O5" s="12" t="s">
        <v>489</v>
      </c>
      <c r="P5" s="379">
        <v>0.75</v>
      </c>
      <c r="Q5" s="16"/>
      <c r="R5" s="6"/>
      <c r="S5" s="27"/>
      <c r="T5" s="6" t="s">
        <v>487</v>
      </c>
      <c r="U5" s="250">
        <f>'JM GRASP SUMMARY'!B30</f>
        <v>16.1493</v>
      </c>
      <c r="V5" s="17" t="s">
        <v>488</v>
      </c>
      <c r="W5" s="17"/>
      <c r="X5" s="12" t="s">
        <v>489</v>
      </c>
      <c r="Y5" s="379">
        <v>0.75</v>
      </c>
      <c r="Z5" s="16"/>
      <c r="AA5" s="6"/>
      <c r="AB5" s="27"/>
      <c r="AC5" s="6" t="s">
        <v>487</v>
      </c>
      <c r="AD5" s="250">
        <f>'JM GRASP SUMMARY'!B35</f>
        <v>20.0669</v>
      </c>
      <c r="AE5" s="17" t="s">
        <v>488</v>
      </c>
      <c r="AF5" s="6"/>
      <c r="AG5" s="12" t="s">
        <v>489</v>
      </c>
      <c r="AH5" s="379">
        <v>0.75</v>
      </c>
      <c r="AI5" s="16"/>
      <c r="AJ5" s="6"/>
      <c r="AK5" s="27"/>
      <c r="AL5" s="6" t="s">
        <v>487</v>
      </c>
      <c r="AM5" s="250">
        <f>'JM GRASP SUMMARY'!B26</f>
        <v>12.1928</v>
      </c>
      <c r="AN5" s="17" t="s">
        <v>488</v>
      </c>
      <c r="AO5" s="6"/>
      <c r="AP5" s="12" t="s">
        <v>489</v>
      </c>
      <c r="AQ5" s="379">
        <v>0.75</v>
      </c>
      <c r="AR5" s="16"/>
    </row>
    <row r="6" spans="1:44" x14ac:dyDescent="0.3">
      <c r="A6" s="27"/>
      <c r="B6" s="6" t="s">
        <v>490</v>
      </c>
      <c r="C6" s="250">
        <f>'JM GRASP SUMMARY'!C24</f>
        <v>7.7290000000000001</v>
      </c>
      <c r="D6" s="17" t="s">
        <v>488</v>
      </c>
      <c r="E6" s="17"/>
      <c r="F6" s="6"/>
      <c r="G6" s="6"/>
      <c r="H6" s="16"/>
      <c r="I6" s="6"/>
      <c r="J6" s="27"/>
      <c r="K6" s="6" t="s">
        <v>490</v>
      </c>
      <c r="L6" s="250">
        <f>ABS('JM GRASP SUMMARY'!C29)</f>
        <v>7.8116000000000003</v>
      </c>
      <c r="M6" s="17" t="s">
        <v>488</v>
      </c>
      <c r="N6" s="6"/>
      <c r="O6" s="6"/>
      <c r="P6" s="6"/>
      <c r="Q6" s="16"/>
      <c r="R6" s="6"/>
      <c r="S6" s="27"/>
      <c r="T6" s="6" t="s">
        <v>490</v>
      </c>
      <c r="U6" s="250">
        <f>ABS('JM GRASP SUMMARY'!C29)</f>
        <v>7.8116000000000003</v>
      </c>
      <c r="V6" s="17" t="s">
        <v>488</v>
      </c>
      <c r="W6" s="17"/>
      <c r="X6" s="6"/>
      <c r="Y6" s="6"/>
      <c r="Z6" s="16"/>
      <c r="AA6" s="6"/>
      <c r="AB6" s="27"/>
      <c r="AC6" s="6" t="s">
        <v>490</v>
      </c>
      <c r="AD6" s="250">
        <f>'JM GRASP SUMMARY'!C35</f>
        <v>8.2175999999999991</v>
      </c>
      <c r="AE6" s="17" t="s">
        <v>488</v>
      </c>
      <c r="AF6" s="6"/>
      <c r="AG6" s="6"/>
      <c r="AH6" s="6"/>
      <c r="AI6" s="16"/>
      <c r="AJ6" s="6"/>
      <c r="AK6" s="27"/>
      <c r="AL6" s="6" t="s">
        <v>490</v>
      </c>
      <c r="AM6" s="250">
        <f>'JM GRASP SUMMARY'!C31</f>
        <v>7.1502999999999997</v>
      </c>
      <c r="AN6" s="17" t="s">
        <v>488</v>
      </c>
      <c r="AO6" s="6"/>
      <c r="AP6" s="6"/>
      <c r="AQ6" s="6"/>
      <c r="AR6" s="16"/>
    </row>
    <row r="7" spans="1:44" x14ac:dyDescent="0.3">
      <c r="A7" s="27"/>
      <c r="B7" s="6" t="s">
        <v>491</v>
      </c>
      <c r="C7" s="250">
        <f>[1]PORTAL!I15</f>
        <v>22.022400000000001</v>
      </c>
      <c r="D7" s="17" t="s">
        <v>488</v>
      </c>
      <c r="E7" s="17"/>
      <c r="F7" s="6"/>
      <c r="G7" s="6"/>
      <c r="H7" s="16"/>
      <c r="I7" s="6"/>
      <c r="J7" s="27"/>
      <c r="K7" s="6" t="s">
        <v>491</v>
      </c>
      <c r="L7" s="250">
        <f>[1]PORTAL!I45</f>
        <v>18.537600000000001</v>
      </c>
      <c r="M7" s="17" t="s">
        <v>488</v>
      </c>
      <c r="N7" s="6"/>
      <c r="O7" s="6"/>
      <c r="P7" s="6"/>
      <c r="Q7" s="16"/>
      <c r="R7" s="6"/>
      <c r="S7" s="27"/>
      <c r="T7" s="6" t="s">
        <v>491</v>
      </c>
      <c r="U7" s="250">
        <f>[1]PORTAL!I45</f>
        <v>18.537600000000001</v>
      </c>
      <c r="V7" s="17" t="s">
        <v>488</v>
      </c>
      <c r="W7" s="17"/>
      <c r="X7" s="6"/>
      <c r="Y7" s="6"/>
      <c r="Z7" s="16"/>
      <c r="AA7" s="6"/>
      <c r="AB7" s="27"/>
      <c r="AC7" s="6" t="s">
        <v>491</v>
      </c>
      <c r="AD7" s="250">
        <f>[1]PORTAL!I82</f>
        <v>14.691599999999999</v>
      </c>
      <c r="AE7" s="17" t="s">
        <v>488</v>
      </c>
      <c r="AF7" s="6"/>
      <c r="AG7" s="6"/>
      <c r="AH7" s="6"/>
      <c r="AI7" s="16"/>
      <c r="AJ7" s="6"/>
      <c r="AK7" s="27"/>
      <c r="AL7" s="6" t="s">
        <v>491</v>
      </c>
      <c r="AM7" s="250">
        <f>[1]PORTAL!H22</f>
        <v>25.765500000000003</v>
      </c>
      <c r="AN7" s="17" t="s">
        <v>488</v>
      </c>
      <c r="AO7" s="6"/>
      <c r="AP7" s="6"/>
      <c r="AQ7" s="6"/>
      <c r="AR7" s="16"/>
    </row>
    <row r="8" spans="1:44" x14ac:dyDescent="0.3">
      <c r="A8" s="27"/>
      <c r="B8" s="12" t="s">
        <v>492</v>
      </c>
      <c r="C8" s="250">
        <f>MAX(E10:E11)</f>
        <v>49.130560000000003</v>
      </c>
      <c r="D8" s="241" t="s">
        <v>138</v>
      </c>
      <c r="E8" s="17"/>
      <c r="F8" s="6"/>
      <c r="G8" s="6"/>
      <c r="H8" s="16"/>
      <c r="I8" s="6"/>
      <c r="J8" s="27"/>
      <c r="K8" s="12" t="s">
        <v>492</v>
      </c>
      <c r="L8" s="250">
        <f>MAX(N10:N11)</f>
        <v>45.728359999999995</v>
      </c>
      <c r="M8" s="241" t="s">
        <v>138</v>
      </c>
      <c r="N8" s="6"/>
      <c r="O8" s="6"/>
      <c r="P8" s="6"/>
      <c r="Q8" s="16"/>
      <c r="R8" s="6"/>
      <c r="S8" s="27"/>
      <c r="T8" s="12" t="s">
        <v>492</v>
      </c>
      <c r="U8" s="250">
        <f>MAX(W10:W11)</f>
        <v>45.728359999999995</v>
      </c>
      <c r="V8" s="241" t="s">
        <v>138</v>
      </c>
      <c r="W8" s="17"/>
      <c r="X8" s="6"/>
      <c r="Y8" s="6"/>
      <c r="Z8" s="16"/>
      <c r="AA8" s="6"/>
      <c r="AB8" s="27"/>
      <c r="AC8" s="12" t="s">
        <v>492</v>
      </c>
      <c r="AD8" s="250">
        <f>MAX(AF10:AF11)</f>
        <v>46.98948</v>
      </c>
      <c r="AE8" s="241" t="s">
        <v>138</v>
      </c>
      <c r="AF8" s="6"/>
      <c r="AG8" s="6"/>
      <c r="AH8" s="6"/>
      <c r="AI8" s="16"/>
      <c r="AJ8" s="6"/>
      <c r="AK8" s="27"/>
      <c r="AL8" s="12" t="s">
        <v>492</v>
      </c>
      <c r="AM8" s="250">
        <f>MAX(AO10:AO11)</f>
        <v>47.547160000000005</v>
      </c>
      <c r="AN8" s="241" t="s">
        <v>138</v>
      </c>
      <c r="AO8" s="6"/>
      <c r="AP8" s="6"/>
      <c r="AQ8" s="6"/>
      <c r="AR8" s="16"/>
    </row>
    <row r="9" spans="1:44" x14ac:dyDescent="0.3">
      <c r="A9" s="27"/>
      <c r="B9" s="12" t="s">
        <v>493</v>
      </c>
      <c r="C9" s="380">
        <v>10</v>
      </c>
      <c r="D9" s="241" t="s">
        <v>43</v>
      </c>
      <c r="E9" s="241"/>
      <c r="F9" s="12"/>
      <c r="G9" s="12"/>
      <c r="H9" s="242"/>
      <c r="I9" s="6"/>
      <c r="J9" s="27"/>
      <c r="K9" s="12" t="s">
        <v>493</v>
      </c>
      <c r="L9" s="380">
        <v>10</v>
      </c>
      <c r="M9" s="241" t="s">
        <v>43</v>
      </c>
      <c r="N9" s="12"/>
      <c r="O9" s="12"/>
      <c r="P9" s="12"/>
      <c r="Q9" s="242"/>
      <c r="R9" s="6"/>
      <c r="S9" s="27"/>
      <c r="T9" s="12" t="s">
        <v>493</v>
      </c>
      <c r="U9" s="380">
        <v>10</v>
      </c>
      <c r="V9" s="241" t="s">
        <v>43</v>
      </c>
      <c r="W9" s="241"/>
      <c r="X9" s="12"/>
      <c r="Y9" s="12"/>
      <c r="Z9" s="242"/>
      <c r="AA9" s="6"/>
      <c r="AB9" s="27"/>
      <c r="AC9" s="12" t="s">
        <v>493</v>
      </c>
      <c r="AD9" s="380">
        <v>10</v>
      </c>
      <c r="AE9" s="241" t="s">
        <v>43</v>
      </c>
      <c r="AF9" s="12"/>
      <c r="AG9" s="12"/>
      <c r="AH9" s="12"/>
      <c r="AI9" s="242"/>
      <c r="AJ9" s="6"/>
      <c r="AK9" s="27"/>
      <c r="AL9" s="12" t="s">
        <v>493</v>
      </c>
      <c r="AM9" s="379">
        <v>10</v>
      </c>
      <c r="AN9" s="241" t="s">
        <v>43</v>
      </c>
      <c r="AO9" s="12"/>
      <c r="AP9" s="12"/>
      <c r="AQ9" s="12"/>
      <c r="AR9" s="242"/>
    </row>
    <row r="10" spans="1:44" x14ac:dyDescent="0.3">
      <c r="A10" s="27"/>
      <c r="B10" s="6"/>
      <c r="C10" s="15" t="s">
        <v>494</v>
      </c>
      <c r="D10" s="19"/>
      <c r="E10" s="254">
        <f>1.2*C5+1.6*C6</f>
        <v>31.745559999999998</v>
      </c>
      <c r="F10" s="6"/>
      <c r="G10" s="12" t="s">
        <v>138</v>
      </c>
      <c r="H10" s="16"/>
      <c r="I10" s="6"/>
      <c r="J10" s="27"/>
      <c r="K10" s="6"/>
      <c r="L10" s="15" t="s">
        <v>494</v>
      </c>
      <c r="M10" s="19"/>
      <c r="N10" s="253">
        <f>1.2*L5+1.6*L6</f>
        <v>31.87772</v>
      </c>
      <c r="O10" s="6"/>
      <c r="P10" s="12" t="s">
        <v>138</v>
      </c>
      <c r="Q10" s="16"/>
      <c r="R10" s="6"/>
      <c r="S10" s="27"/>
      <c r="T10" s="6"/>
      <c r="U10" s="15" t="s">
        <v>494</v>
      </c>
      <c r="V10" s="19"/>
      <c r="W10" s="254">
        <f>1.2*U5+1.6*U6</f>
        <v>31.87772</v>
      </c>
      <c r="X10" s="6"/>
      <c r="Y10" s="12" t="s">
        <v>138</v>
      </c>
      <c r="Z10" s="16"/>
      <c r="AA10" s="6"/>
      <c r="AB10" s="27"/>
      <c r="AC10" s="6"/>
      <c r="AD10" s="15" t="s">
        <v>494</v>
      </c>
      <c r="AE10" s="19"/>
      <c r="AF10" s="253">
        <f>1.2*AD5+1.6*AD6</f>
        <v>37.228439999999999</v>
      </c>
      <c r="AG10" s="6"/>
      <c r="AH10" s="12" t="s">
        <v>138</v>
      </c>
      <c r="AI10" s="16"/>
      <c r="AJ10" s="6"/>
      <c r="AK10" s="27"/>
      <c r="AL10" s="6"/>
      <c r="AM10" s="15" t="s">
        <v>494</v>
      </c>
      <c r="AN10" s="19"/>
      <c r="AO10" s="253">
        <f>1.2*AM5+1.6*AM6</f>
        <v>26.071840000000002</v>
      </c>
      <c r="AP10" s="6"/>
      <c r="AQ10" s="12" t="s">
        <v>138</v>
      </c>
      <c r="AR10" s="16"/>
    </row>
    <row r="11" spans="1:44" x14ac:dyDescent="0.3">
      <c r="A11" s="27"/>
      <c r="B11" s="6"/>
      <c r="C11" s="15" t="s">
        <v>587</v>
      </c>
      <c r="D11" s="19"/>
      <c r="E11" s="254">
        <f>1.2*C5+C6+1*C7</f>
        <v>49.130560000000003</v>
      </c>
      <c r="F11" s="6"/>
      <c r="G11" s="12" t="s">
        <v>138</v>
      </c>
      <c r="H11" s="16"/>
      <c r="I11" s="6"/>
      <c r="J11" s="27"/>
      <c r="K11" s="6"/>
      <c r="L11" s="15" t="s">
        <v>587</v>
      </c>
      <c r="M11" s="19"/>
      <c r="N11" s="254">
        <f>1.2*L5+L6+1*L7</f>
        <v>45.728359999999995</v>
      </c>
      <c r="O11" s="6"/>
      <c r="P11" s="12" t="s">
        <v>138</v>
      </c>
      <c r="Q11" s="16"/>
      <c r="R11" s="6"/>
      <c r="S11" s="27"/>
      <c r="T11" s="6"/>
      <c r="U11" s="15" t="s">
        <v>587</v>
      </c>
      <c r="V11" s="19"/>
      <c r="W11" s="254">
        <f>1.2*U5+U6+1*U7</f>
        <v>45.728359999999995</v>
      </c>
      <c r="X11" s="6"/>
      <c r="Y11" s="12" t="s">
        <v>138</v>
      </c>
      <c r="Z11" s="16"/>
      <c r="AA11" s="6"/>
      <c r="AB11" s="27"/>
      <c r="AC11" s="6"/>
      <c r="AD11" s="15" t="s">
        <v>587</v>
      </c>
      <c r="AE11" s="19"/>
      <c r="AF11" s="254">
        <f>1.2*AD5+AD6+1*AD7</f>
        <v>46.98948</v>
      </c>
      <c r="AG11" s="6"/>
      <c r="AH11" s="12" t="s">
        <v>138</v>
      </c>
      <c r="AI11" s="16"/>
      <c r="AJ11" s="6"/>
      <c r="AK11" s="27"/>
      <c r="AL11" s="6"/>
      <c r="AM11" s="15" t="s">
        <v>587</v>
      </c>
      <c r="AN11" s="19"/>
      <c r="AO11" s="254">
        <f>1.2*AM5+AM6+1*AM7</f>
        <v>47.547160000000005</v>
      </c>
      <c r="AP11" s="6"/>
      <c r="AQ11" s="12" t="s">
        <v>138</v>
      </c>
      <c r="AR11" s="16"/>
    </row>
    <row r="12" spans="1:44" x14ac:dyDescent="0.3">
      <c r="A12" s="577" t="s">
        <v>495</v>
      </c>
      <c r="B12" s="578"/>
      <c r="C12" s="578"/>
      <c r="D12" s="578"/>
      <c r="E12" s="578"/>
      <c r="F12" s="578"/>
      <c r="G12" s="578"/>
      <c r="H12" s="579"/>
      <c r="I12" s="6"/>
      <c r="J12" s="577" t="s">
        <v>495</v>
      </c>
      <c r="K12" s="578"/>
      <c r="L12" s="578"/>
      <c r="M12" s="578"/>
      <c r="N12" s="578"/>
      <c r="O12" s="578"/>
      <c r="P12" s="578"/>
      <c r="Q12" s="579"/>
      <c r="R12" s="6"/>
      <c r="S12" s="577" t="s">
        <v>495</v>
      </c>
      <c r="T12" s="578"/>
      <c r="U12" s="578"/>
      <c r="V12" s="578"/>
      <c r="W12" s="578"/>
      <c r="X12" s="578"/>
      <c r="Y12" s="578"/>
      <c r="Z12" s="579"/>
      <c r="AA12" s="6"/>
      <c r="AB12" s="577" t="s">
        <v>495</v>
      </c>
      <c r="AC12" s="578"/>
      <c r="AD12" s="578"/>
      <c r="AE12" s="578"/>
      <c r="AF12" s="578"/>
      <c r="AG12" s="578"/>
      <c r="AH12" s="578"/>
      <c r="AI12" s="579"/>
      <c r="AJ12" s="6"/>
      <c r="AK12" s="577" t="s">
        <v>495</v>
      </c>
      <c r="AL12" s="578"/>
      <c r="AM12" s="578"/>
      <c r="AN12" s="578"/>
      <c r="AO12" s="578"/>
      <c r="AP12" s="578"/>
      <c r="AQ12" s="578"/>
      <c r="AR12" s="579"/>
    </row>
    <row r="13" spans="1:44" x14ac:dyDescent="0.3">
      <c r="A13" s="27"/>
      <c r="B13" s="566"/>
      <c r="C13" s="566"/>
      <c r="D13" s="17">
        <f>0.17*C4*C3*SQRT(G3)/1000</f>
        <v>65.743530099926943</v>
      </c>
      <c r="E13" s="241" t="s">
        <v>138</v>
      </c>
      <c r="F13" s="12"/>
      <c r="G13" s="6"/>
      <c r="H13" s="16"/>
      <c r="I13" s="6"/>
      <c r="J13" s="27"/>
      <c r="K13" s="566"/>
      <c r="L13" s="566"/>
      <c r="M13" s="17">
        <f>0.17*L4*L3*SQRT(P3)/1000</f>
        <v>65.743530099926943</v>
      </c>
      <c r="N13" s="12" t="s">
        <v>138</v>
      </c>
      <c r="O13" s="12"/>
      <c r="P13" s="6"/>
      <c r="Q13" s="16"/>
      <c r="R13" s="6"/>
      <c r="S13" s="27"/>
      <c r="T13" s="566"/>
      <c r="U13" s="566"/>
      <c r="V13" s="17">
        <f>0.17*U4*U3*SQRT(Y3)/1000</f>
        <v>65.743530099926943</v>
      </c>
      <c r="W13" s="241" t="s">
        <v>138</v>
      </c>
      <c r="X13" s="12"/>
      <c r="Y13" s="6"/>
      <c r="Z13" s="16"/>
      <c r="AA13" s="6"/>
      <c r="AB13" s="27"/>
      <c r="AC13" s="566"/>
      <c r="AD13" s="566"/>
      <c r="AE13" s="17">
        <f>0.17*AD4*AD3*SQRT(AH3)/1000</f>
        <v>65.743530099926943</v>
      </c>
      <c r="AF13" s="12" t="s">
        <v>138</v>
      </c>
      <c r="AG13" s="12"/>
      <c r="AH13" s="6"/>
      <c r="AI13" s="16"/>
      <c r="AJ13" s="6"/>
      <c r="AK13" s="27"/>
      <c r="AL13" s="566"/>
      <c r="AM13" s="566"/>
      <c r="AN13" s="17">
        <f>0.17*AM4*AM3*SQRT(AQ3)/1000</f>
        <v>56.075363908761219</v>
      </c>
      <c r="AO13" s="12" t="s">
        <v>138</v>
      </c>
      <c r="AP13" s="12"/>
      <c r="AQ13" s="6"/>
      <c r="AR13" s="16"/>
    </row>
    <row r="14" spans="1:44" x14ac:dyDescent="0.3">
      <c r="A14" s="341" t="s">
        <v>139</v>
      </c>
      <c r="B14" s="6"/>
      <c r="C14" s="6"/>
      <c r="D14" s="17"/>
      <c r="E14" s="17"/>
      <c r="F14" s="6"/>
      <c r="G14" s="6"/>
      <c r="H14" s="16"/>
      <c r="I14" s="6"/>
      <c r="J14" s="341" t="s">
        <v>139</v>
      </c>
      <c r="K14" s="6"/>
      <c r="L14" s="6"/>
      <c r="M14" s="17"/>
      <c r="N14" s="6"/>
      <c r="O14" s="6"/>
      <c r="P14" s="6"/>
      <c r="Q14" s="16"/>
      <c r="R14" s="6"/>
      <c r="S14" s="341" t="s">
        <v>139</v>
      </c>
      <c r="T14" s="6"/>
      <c r="U14" s="6"/>
      <c r="V14" s="17"/>
      <c r="W14" s="17"/>
      <c r="X14" s="6"/>
      <c r="Y14" s="6"/>
      <c r="Z14" s="16"/>
      <c r="AA14" s="6"/>
      <c r="AB14" s="341" t="s">
        <v>139</v>
      </c>
      <c r="AC14" s="6"/>
      <c r="AD14" s="6"/>
      <c r="AE14" s="17"/>
      <c r="AF14" s="6"/>
      <c r="AG14" s="6"/>
      <c r="AH14" s="6"/>
      <c r="AI14" s="16"/>
      <c r="AJ14" s="6"/>
      <c r="AK14" s="341" t="s">
        <v>139</v>
      </c>
      <c r="AL14" s="6"/>
      <c r="AM14" s="6"/>
      <c r="AN14" s="17"/>
      <c r="AO14" s="6"/>
      <c r="AP14" s="6"/>
      <c r="AQ14" s="6"/>
      <c r="AR14" s="16"/>
    </row>
    <row r="15" spans="1:44" x14ac:dyDescent="0.3">
      <c r="A15" s="27"/>
      <c r="B15" s="566" t="s">
        <v>129</v>
      </c>
      <c r="C15" s="566"/>
      <c r="D15" s="241">
        <f>C8</f>
        <v>49.130560000000003</v>
      </c>
      <c r="E15" s="41" t="s">
        <v>551</v>
      </c>
      <c r="F15" s="243">
        <f>G5*D13/2</f>
        <v>24.653823787472604</v>
      </c>
      <c r="G15" s="6"/>
      <c r="H15" s="342" t="str">
        <f>IF(D15&lt;=F15,"True","False")</f>
        <v>False</v>
      </c>
      <c r="I15" s="6"/>
      <c r="J15" s="27"/>
      <c r="K15" s="566" t="s">
        <v>129</v>
      </c>
      <c r="L15" s="566"/>
      <c r="M15" s="241">
        <f>L8</f>
        <v>45.728359999999995</v>
      </c>
      <c r="N15" s="40" t="s">
        <v>551</v>
      </c>
      <c r="O15" s="243">
        <f>P5*M13/2</f>
        <v>24.653823787472604</v>
      </c>
      <c r="P15" s="6"/>
      <c r="Q15" s="342" t="str">
        <f>IF(M15&lt;=O15,"True","False")</f>
        <v>False</v>
      </c>
      <c r="R15" s="6"/>
      <c r="S15" s="27"/>
      <c r="T15" s="566" t="s">
        <v>129</v>
      </c>
      <c r="U15" s="566"/>
      <c r="V15" s="241">
        <f>U8</f>
        <v>45.728359999999995</v>
      </c>
      <c r="W15" s="41" t="s">
        <v>551</v>
      </c>
      <c r="X15" s="243">
        <f>Y5*V13/2</f>
        <v>24.653823787472604</v>
      </c>
      <c r="Y15" s="6"/>
      <c r="Z15" s="342" t="str">
        <f>IF(V15&lt;=X15,"True","False")</f>
        <v>False</v>
      </c>
      <c r="AA15" s="6"/>
      <c r="AB15" s="27"/>
      <c r="AC15" s="566" t="s">
        <v>129</v>
      </c>
      <c r="AD15" s="566"/>
      <c r="AE15" s="241">
        <f>AD8</f>
        <v>46.98948</v>
      </c>
      <c r="AF15" s="40" t="s">
        <v>551</v>
      </c>
      <c r="AG15" s="243">
        <f>AH5*AE13/2</f>
        <v>24.653823787472604</v>
      </c>
      <c r="AH15" s="6"/>
      <c r="AI15" s="342" t="str">
        <f>IF(AE15&lt;=AG15,"True","False")</f>
        <v>False</v>
      </c>
      <c r="AJ15" s="6"/>
      <c r="AK15" s="27"/>
      <c r="AL15" s="566" t="s">
        <v>129</v>
      </c>
      <c r="AM15" s="566"/>
      <c r="AN15" s="241">
        <f>AM8</f>
        <v>47.547160000000005</v>
      </c>
      <c r="AO15" s="40" t="s">
        <v>551</v>
      </c>
      <c r="AP15" s="243">
        <f>AQ5*AN13/2</f>
        <v>21.028261465785455</v>
      </c>
      <c r="AQ15" s="6"/>
      <c r="AR15" s="342" t="str">
        <f>IF(AN15&lt;=AP15,"True","False")</f>
        <v>False</v>
      </c>
    </row>
    <row r="16" spans="1:44" x14ac:dyDescent="0.3">
      <c r="A16" s="27"/>
      <c r="B16" s="566"/>
      <c r="C16" s="566"/>
      <c r="D16" s="17"/>
      <c r="E16" s="17"/>
      <c r="F16" s="6"/>
      <c r="G16" s="6"/>
      <c r="H16" s="16"/>
      <c r="I16" s="6"/>
      <c r="J16" s="27"/>
      <c r="K16" s="566"/>
      <c r="L16" s="566"/>
      <c r="M16" s="17"/>
      <c r="N16" s="6"/>
      <c r="O16" s="6"/>
      <c r="P16" s="6"/>
      <c r="Q16" s="16"/>
      <c r="R16" s="6"/>
      <c r="S16" s="27"/>
      <c r="T16" s="566"/>
      <c r="U16" s="566"/>
      <c r="V16" s="17"/>
      <c r="W16" s="17"/>
      <c r="X16" s="6"/>
      <c r="Y16" s="6"/>
      <c r="Z16" s="16"/>
      <c r="AA16" s="6"/>
      <c r="AB16" s="27"/>
      <c r="AC16" s="566"/>
      <c r="AD16" s="566"/>
      <c r="AE16" s="17"/>
      <c r="AF16" s="6"/>
      <c r="AG16" s="6"/>
      <c r="AH16" s="6"/>
      <c r="AI16" s="16"/>
      <c r="AJ16" s="6"/>
      <c r="AK16" s="27"/>
      <c r="AL16" s="566"/>
      <c r="AM16" s="566"/>
      <c r="AN16" s="17"/>
      <c r="AO16" s="6"/>
      <c r="AP16" s="6"/>
      <c r="AQ16" s="6"/>
      <c r="AR16" s="16"/>
    </row>
    <row r="17" spans="1:44" x14ac:dyDescent="0.3">
      <c r="A17" s="27"/>
      <c r="B17" s="6"/>
      <c r="C17" s="6"/>
      <c r="D17" s="576" t="s">
        <v>140</v>
      </c>
      <c r="E17" s="576"/>
      <c r="F17" s="576"/>
      <c r="G17" s="576"/>
      <c r="H17" s="16"/>
      <c r="I17" s="6"/>
      <c r="J17" s="27"/>
      <c r="K17" s="6"/>
      <c r="L17" s="6"/>
      <c r="M17" s="576" t="s">
        <v>140</v>
      </c>
      <c r="N17" s="576"/>
      <c r="O17" s="576"/>
      <c r="P17" s="576"/>
      <c r="Q17" s="16"/>
      <c r="R17" s="6"/>
      <c r="S17" s="27"/>
      <c r="T17" s="6"/>
      <c r="U17" s="6"/>
      <c r="V17" s="576" t="s">
        <v>140</v>
      </c>
      <c r="W17" s="576"/>
      <c r="X17" s="576"/>
      <c r="Y17" s="576"/>
      <c r="Z17" s="16"/>
      <c r="AA17" s="6"/>
      <c r="AB17" s="27"/>
      <c r="AC17" s="6"/>
      <c r="AD17" s="6"/>
      <c r="AE17" s="576" t="s">
        <v>140</v>
      </c>
      <c r="AF17" s="576"/>
      <c r="AG17" s="576"/>
      <c r="AH17" s="576"/>
      <c r="AI17" s="16"/>
      <c r="AJ17" s="6"/>
      <c r="AK17" s="27"/>
      <c r="AL17" s="6"/>
      <c r="AM17" s="6"/>
      <c r="AN17" s="576" t="s">
        <v>140</v>
      </c>
      <c r="AO17" s="576"/>
      <c r="AP17" s="576"/>
      <c r="AQ17" s="576"/>
      <c r="AR17" s="16"/>
    </row>
    <row r="18" spans="1:44" x14ac:dyDescent="0.3">
      <c r="A18" s="341" t="s">
        <v>141</v>
      </c>
      <c r="B18" s="6"/>
      <c r="C18" s="6"/>
      <c r="D18" s="17"/>
      <c r="E18" s="343"/>
      <c r="F18" s="28"/>
      <c r="G18" s="6"/>
      <c r="H18" s="16"/>
      <c r="I18" s="6"/>
      <c r="J18" s="341" t="s">
        <v>141</v>
      </c>
      <c r="K18" s="6"/>
      <c r="L18" s="6"/>
      <c r="M18" s="17"/>
      <c r="N18" s="28"/>
      <c r="O18" s="28"/>
      <c r="P18" s="6"/>
      <c r="Q18" s="16"/>
      <c r="R18" s="6"/>
      <c r="S18" s="341" t="s">
        <v>141</v>
      </c>
      <c r="T18" s="6"/>
      <c r="U18" s="6"/>
      <c r="V18" s="17"/>
      <c r="W18" s="343"/>
      <c r="X18" s="28"/>
      <c r="Y18" s="6"/>
      <c r="Z18" s="16"/>
      <c r="AA18" s="6"/>
      <c r="AB18" s="341" t="s">
        <v>141</v>
      </c>
      <c r="AC18" s="6"/>
      <c r="AD18" s="6"/>
      <c r="AE18" s="17"/>
      <c r="AF18" s="28"/>
      <c r="AG18" s="28"/>
      <c r="AH18" s="6"/>
      <c r="AI18" s="16"/>
      <c r="AJ18" s="6"/>
      <c r="AK18" s="341" t="s">
        <v>141</v>
      </c>
      <c r="AL18" s="6"/>
      <c r="AM18" s="6"/>
      <c r="AN18" s="17"/>
      <c r="AO18" s="28"/>
      <c r="AP18" s="28"/>
      <c r="AQ18" s="6"/>
      <c r="AR18" s="16"/>
    </row>
    <row r="19" spans="1:44" x14ac:dyDescent="0.3">
      <c r="A19" s="244"/>
      <c r="B19" s="10" t="s">
        <v>142</v>
      </c>
      <c r="C19" s="6"/>
      <c r="D19" s="245">
        <f>3.14159*2*C9*C9/4</f>
        <v>157.0795</v>
      </c>
      <c r="E19" s="227" t="s">
        <v>57</v>
      </c>
      <c r="F19" s="246"/>
      <c r="G19" s="6"/>
      <c r="H19" s="16"/>
      <c r="I19" s="6"/>
      <c r="J19" s="244"/>
      <c r="K19" s="10" t="s">
        <v>142</v>
      </c>
      <c r="L19" s="6"/>
      <c r="M19" s="245">
        <f>3.14159*2*L9*L9/4</f>
        <v>157.0795</v>
      </c>
      <c r="N19" s="246" t="s">
        <v>57</v>
      </c>
      <c r="O19" s="246"/>
      <c r="P19" s="6"/>
      <c r="Q19" s="16"/>
      <c r="R19" s="6"/>
      <c r="S19" s="244"/>
      <c r="T19" s="10" t="s">
        <v>142</v>
      </c>
      <c r="U19" s="6"/>
      <c r="V19" s="245">
        <f>3.14159*2*U9*U9/4</f>
        <v>157.0795</v>
      </c>
      <c r="W19" s="227" t="s">
        <v>57</v>
      </c>
      <c r="X19" s="246"/>
      <c r="Y19" s="6"/>
      <c r="Z19" s="16"/>
      <c r="AA19" s="6"/>
      <c r="AB19" s="244"/>
      <c r="AC19" s="10" t="s">
        <v>142</v>
      </c>
      <c r="AD19" s="6"/>
      <c r="AE19" s="245">
        <f>3.14159*2*AD9*AD9/4</f>
        <v>157.0795</v>
      </c>
      <c r="AF19" s="246" t="s">
        <v>57</v>
      </c>
      <c r="AG19" s="246"/>
      <c r="AH19" s="6"/>
      <c r="AI19" s="16"/>
      <c r="AJ19" s="6"/>
      <c r="AK19" s="244"/>
      <c r="AL19" s="10" t="s">
        <v>142</v>
      </c>
      <c r="AM19" s="6"/>
      <c r="AN19" s="245">
        <f>3.14159*2*AM9*AM9/4</f>
        <v>157.0795</v>
      </c>
      <c r="AO19" s="246" t="s">
        <v>57</v>
      </c>
      <c r="AP19" s="246"/>
      <c r="AQ19" s="6"/>
      <c r="AR19" s="16"/>
    </row>
    <row r="20" spans="1:44" x14ac:dyDescent="0.3">
      <c r="A20" s="27"/>
      <c r="B20" s="15"/>
      <c r="C20" s="15"/>
      <c r="D20" s="551">
        <f>G5*D13/2</f>
        <v>24.653823787472604</v>
      </c>
      <c r="E20" s="574">
        <f>C8</f>
        <v>49.130560000000003</v>
      </c>
      <c r="F20" s="574"/>
      <c r="G20" s="574">
        <f>G5*D13</f>
        <v>49.307647574945207</v>
      </c>
      <c r="H20" s="342" t="str">
        <f>IF(AND(D20&lt;E20,E20&lt;=G20),"True","False")</f>
        <v>True</v>
      </c>
      <c r="I20" s="6"/>
      <c r="J20" s="27"/>
      <c r="K20" s="15"/>
      <c r="L20" s="15"/>
      <c r="M20" s="551">
        <f>P5*M13/2</f>
        <v>24.653823787472604</v>
      </c>
      <c r="N20" s="574">
        <f>L8</f>
        <v>45.728359999999995</v>
      </c>
      <c r="O20" s="574"/>
      <c r="P20" s="574">
        <f>P5*M13</f>
        <v>49.307647574945207</v>
      </c>
      <c r="Q20" s="342" t="str">
        <f>IF(AND(M20&lt;N20,N20&lt;=P20),"True","False")</f>
        <v>True</v>
      </c>
      <c r="R20" s="6"/>
      <c r="S20" s="27"/>
      <c r="T20" s="15"/>
      <c r="U20" s="15"/>
      <c r="V20" s="551">
        <f>Y5*V13/2</f>
        <v>24.653823787472604</v>
      </c>
      <c r="W20" s="574">
        <f>U8</f>
        <v>45.728359999999995</v>
      </c>
      <c r="X20" s="574"/>
      <c r="Y20" s="574">
        <f>Y5*V13</f>
        <v>49.307647574945207</v>
      </c>
      <c r="Z20" s="342" t="str">
        <f>IF(AND(V20&lt;W20,W20&lt;=Y20),"True","False")</f>
        <v>True</v>
      </c>
      <c r="AA20" s="6"/>
      <c r="AB20" s="27"/>
      <c r="AC20" s="15"/>
      <c r="AD20" s="15"/>
      <c r="AE20" s="551">
        <f>AH5*AE13/2</f>
        <v>24.653823787472604</v>
      </c>
      <c r="AF20" s="574">
        <f>AD8</f>
        <v>46.98948</v>
      </c>
      <c r="AG20" s="574"/>
      <c r="AH20" s="574">
        <f>AH5*AE13</f>
        <v>49.307647574945207</v>
      </c>
      <c r="AI20" s="342" t="str">
        <f>IF(AND(AE20&lt;AF20,AF20&lt;=AH20),"True","False")</f>
        <v>True</v>
      </c>
      <c r="AJ20" s="6"/>
      <c r="AK20" s="27"/>
      <c r="AL20" s="15"/>
      <c r="AM20" s="15"/>
      <c r="AN20" s="551">
        <f>AQ5*AN13/2</f>
        <v>21.028261465785455</v>
      </c>
      <c r="AO20" s="574">
        <f>AM8</f>
        <v>47.547160000000005</v>
      </c>
      <c r="AP20" s="574"/>
      <c r="AQ20" s="574">
        <f>AQ5*AN13</f>
        <v>42.05652293157091</v>
      </c>
      <c r="AR20" s="342" t="str">
        <f>IF(AND(AN20&lt;AO20,AO20&lt;=AQ20),"True","False")</f>
        <v>False</v>
      </c>
    </row>
    <row r="21" spans="1:44" x14ac:dyDescent="0.3">
      <c r="A21" s="27"/>
      <c r="B21" s="15"/>
      <c r="C21" s="15"/>
      <c r="D21" s="551"/>
      <c r="E21" s="574"/>
      <c r="F21" s="574"/>
      <c r="G21" s="574"/>
      <c r="H21" s="16"/>
      <c r="I21" s="6"/>
      <c r="J21" s="27"/>
      <c r="K21" s="15"/>
      <c r="L21" s="15"/>
      <c r="M21" s="551"/>
      <c r="N21" s="574"/>
      <c r="O21" s="574"/>
      <c r="P21" s="574"/>
      <c r="Q21" s="16"/>
      <c r="R21" s="6"/>
      <c r="S21" s="27"/>
      <c r="T21" s="15"/>
      <c r="U21" s="15"/>
      <c r="V21" s="551"/>
      <c r="W21" s="574"/>
      <c r="X21" s="574"/>
      <c r="Y21" s="574"/>
      <c r="Z21" s="16"/>
      <c r="AA21" s="6"/>
      <c r="AB21" s="27"/>
      <c r="AC21" s="15"/>
      <c r="AD21" s="15"/>
      <c r="AE21" s="551"/>
      <c r="AF21" s="574"/>
      <c r="AG21" s="574"/>
      <c r="AH21" s="574"/>
      <c r="AI21" s="16"/>
      <c r="AJ21" s="6"/>
      <c r="AK21" s="27"/>
      <c r="AL21" s="15"/>
      <c r="AM21" s="15"/>
      <c r="AN21" s="551"/>
      <c r="AO21" s="574"/>
      <c r="AP21" s="574"/>
      <c r="AQ21" s="574"/>
      <c r="AR21" s="16"/>
    </row>
    <row r="22" spans="1:44" x14ac:dyDescent="0.3">
      <c r="A22" s="27"/>
      <c r="B22" s="15"/>
      <c r="C22" s="15"/>
      <c r="D22" s="551">
        <f>D19*G4/(0.062*C4*SQRT(G3))</f>
        <v>614.76866235555894</v>
      </c>
      <c r="E22" s="575" t="s">
        <v>42</v>
      </c>
      <c r="F22" s="574">
        <f>_xlfn.FLOOR.MATH(D22,10)</f>
        <v>610</v>
      </c>
      <c r="G22" s="6"/>
      <c r="H22" s="16"/>
      <c r="I22" s="6"/>
      <c r="J22" s="27"/>
      <c r="K22" s="15"/>
      <c r="L22" s="15"/>
      <c r="M22" s="551">
        <f>M19*P4/(0.062*L4*SQRT(P3))</f>
        <v>614.76866235555894</v>
      </c>
      <c r="N22" s="573" t="s">
        <v>42</v>
      </c>
      <c r="O22" s="574">
        <f>_xlfn.FLOOR.MATH(M22,10)</f>
        <v>610</v>
      </c>
      <c r="P22" s="6"/>
      <c r="Q22" s="16"/>
      <c r="R22" s="6"/>
      <c r="S22" s="27"/>
      <c r="T22" s="15"/>
      <c r="U22" s="15"/>
      <c r="V22" s="551">
        <f>V19*Y4/(0.062*U4*SQRT(Y3))</f>
        <v>614.76866235555894</v>
      </c>
      <c r="W22" s="575" t="s">
        <v>42</v>
      </c>
      <c r="X22" s="574">
        <f>_xlfn.FLOOR.MATH(V22,10)</f>
        <v>610</v>
      </c>
      <c r="Y22" s="6"/>
      <c r="Z22" s="16"/>
      <c r="AA22" s="6"/>
      <c r="AB22" s="27"/>
      <c r="AC22" s="15"/>
      <c r="AD22" s="15"/>
      <c r="AE22" s="551">
        <f>AE19*AH4/(0.062*AD4*SQRT(AH3))</f>
        <v>614.76866235555894</v>
      </c>
      <c r="AF22" s="573" t="s">
        <v>42</v>
      </c>
      <c r="AG22" s="574">
        <f>_xlfn.FLOOR.MATH(AE22,10)</f>
        <v>610</v>
      </c>
      <c r="AH22" s="6"/>
      <c r="AI22" s="16"/>
      <c r="AJ22" s="6"/>
      <c r="AK22" s="27"/>
      <c r="AL22" s="15"/>
      <c r="AM22" s="15"/>
      <c r="AN22" s="551">
        <f>AN19*AQ4/(0.062*AM4*SQRT(AQ3))</f>
        <v>614.76866235555894</v>
      </c>
      <c r="AO22" s="573" t="s">
        <v>42</v>
      </c>
      <c r="AP22" s="574">
        <f>_xlfn.FLOOR.MATH(AN22,10)</f>
        <v>610</v>
      </c>
      <c r="AQ22" s="6"/>
      <c r="AR22" s="16"/>
    </row>
    <row r="23" spans="1:44" x14ac:dyDescent="0.3">
      <c r="A23" s="27"/>
      <c r="B23" s="15"/>
      <c r="C23" s="15"/>
      <c r="D23" s="551"/>
      <c r="E23" s="575"/>
      <c r="F23" s="574"/>
      <c r="G23" s="570" t="s">
        <v>143</v>
      </c>
      <c r="H23" s="571"/>
      <c r="I23" s="6"/>
      <c r="J23" s="27"/>
      <c r="K23" s="15"/>
      <c r="L23" s="15"/>
      <c r="M23" s="551"/>
      <c r="N23" s="573"/>
      <c r="O23" s="574"/>
      <c r="P23" s="570" t="s">
        <v>143</v>
      </c>
      <c r="Q23" s="571"/>
      <c r="R23" s="6"/>
      <c r="S23" s="27"/>
      <c r="T23" s="15"/>
      <c r="U23" s="15"/>
      <c r="V23" s="551"/>
      <c r="W23" s="575"/>
      <c r="X23" s="574"/>
      <c r="Y23" s="570" t="s">
        <v>143</v>
      </c>
      <c r="Z23" s="571"/>
      <c r="AA23" s="6"/>
      <c r="AB23" s="27"/>
      <c r="AC23" s="15"/>
      <c r="AD23" s="15"/>
      <c r="AE23" s="551"/>
      <c r="AF23" s="573"/>
      <c r="AG23" s="574"/>
      <c r="AH23" s="570" t="s">
        <v>143</v>
      </c>
      <c r="AI23" s="571"/>
      <c r="AJ23" s="6"/>
      <c r="AK23" s="27"/>
      <c r="AL23" s="15"/>
      <c r="AM23" s="15"/>
      <c r="AN23" s="551"/>
      <c r="AO23" s="573"/>
      <c r="AP23" s="574"/>
      <c r="AQ23" s="570" t="s">
        <v>143</v>
      </c>
      <c r="AR23" s="571"/>
    </row>
    <row r="24" spans="1:44" x14ac:dyDescent="0.3">
      <c r="A24" s="27"/>
      <c r="B24" s="15"/>
      <c r="C24" s="15"/>
      <c r="D24" s="551">
        <f>D19*G4/(0.35*C4)</f>
        <v>495.4736228571428</v>
      </c>
      <c r="E24" s="575" t="s">
        <v>42</v>
      </c>
      <c r="F24" s="574">
        <f>_xlfn.FLOOR.MATH(D24,10)</f>
        <v>490</v>
      </c>
      <c r="G24" s="18">
        <f>MIN(F22,F24,F26)</f>
        <v>170</v>
      </c>
      <c r="H24" s="278" t="s">
        <v>43</v>
      </c>
      <c r="I24" s="6"/>
      <c r="J24" s="27"/>
      <c r="K24" s="15"/>
      <c r="L24" s="15"/>
      <c r="M24" s="551">
        <f>M19*P4/(0.35*L4)</f>
        <v>495.4736228571428</v>
      </c>
      <c r="N24" s="573" t="s">
        <v>42</v>
      </c>
      <c r="O24" s="574">
        <f>_xlfn.FLOOR.MATH(M24,10)</f>
        <v>490</v>
      </c>
      <c r="P24" s="18">
        <f>MIN(O22,O24,O26)</f>
        <v>170</v>
      </c>
      <c r="Q24" s="278" t="s">
        <v>43</v>
      </c>
      <c r="R24" s="6"/>
      <c r="S24" s="27"/>
      <c r="T24" s="15"/>
      <c r="U24" s="15"/>
      <c r="V24" s="551">
        <f>V19*Y4/(0.35*U4)</f>
        <v>495.4736228571428</v>
      </c>
      <c r="W24" s="575" t="s">
        <v>42</v>
      </c>
      <c r="X24" s="574">
        <f>_xlfn.FLOOR.MATH(V24,10)</f>
        <v>490</v>
      </c>
      <c r="Y24" s="18">
        <f>MIN(X22,X24,X26)</f>
        <v>170</v>
      </c>
      <c r="Z24" s="278" t="s">
        <v>43</v>
      </c>
      <c r="AA24" s="6"/>
      <c r="AB24" s="27"/>
      <c r="AC24" s="15"/>
      <c r="AD24" s="15"/>
      <c r="AE24" s="551">
        <f>AE19*AH4/(0.35*AD4)</f>
        <v>495.4736228571428</v>
      </c>
      <c r="AF24" s="573" t="s">
        <v>42</v>
      </c>
      <c r="AG24" s="574">
        <f>_xlfn.FLOOR.MATH(AE24,10)</f>
        <v>490</v>
      </c>
      <c r="AH24" s="18">
        <f>MIN(AG22,AG24,AG26)</f>
        <v>170</v>
      </c>
      <c r="AI24" s="278" t="s">
        <v>43</v>
      </c>
      <c r="AJ24" s="6"/>
      <c r="AK24" s="27"/>
      <c r="AL24" s="15"/>
      <c r="AM24" s="15"/>
      <c r="AN24" s="551">
        <f>AN19*AQ4/(0.35*AM4)</f>
        <v>495.4736228571428</v>
      </c>
      <c r="AO24" s="573" t="s">
        <v>42</v>
      </c>
      <c r="AP24" s="574">
        <f>_xlfn.FLOOR.MATH(AN24,10)</f>
        <v>490</v>
      </c>
      <c r="AQ24" s="18">
        <f>MIN(AP22,AP24,AP26)</f>
        <v>140</v>
      </c>
      <c r="AR24" s="278" t="s">
        <v>43</v>
      </c>
    </row>
    <row r="25" spans="1:44" x14ac:dyDescent="0.3">
      <c r="A25" s="27"/>
      <c r="B25" s="15"/>
      <c r="C25" s="15"/>
      <c r="D25" s="551"/>
      <c r="E25" s="575"/>
      <c r="F25" s="574"/>
      <c r="G25" s="6"/>
      <c r="H25" s="16"/>
      <c r="I25" s="6"/>
      <c r="J25" s="27"/>
      <c r="K25" s="15"/>
      <c r="L25" s="15"/>
      <c r="M25" s="551"/>
      <c r="N25" s="573"/>
      <c r="O25" s="574"/>
      <c r="P25" s="6"/>
      <c r="Q25" s="16"/>
      <c r="R25" s="6"/>
      <c r="S25" s="27"/>
      <c r="T25" s="15"/>
      <c r="U25" s="15"/>
      <c r="V25" s="551"/>
      <c r="W25" s="575"/>
      <c r="X25" s="574"/>
      <c r="Y25" s="6"/>
      <c r="Z25" s="16"/>
      <c r="AA25" s="6"/>
      <c r="AB25" s="27"/>
      <c r="AC25" s="15"/>
      <c r="AD25" s="15"/>
      <c r="AE25" s="551"/>
      <c r="AF25" s="573"/>
      <c r="AG25" s="574"/>
      <c r="AH25" s="6"/>
      <c r="AI25" s="16"/>
      <c r="AJ25" s="6"/>
      <c r="AK25" s="27"/>
      <c r="AL25" s="15"/>
      <c r="AM25" s="15"/>
      <c r="AN25" s="551"/>
      <c r="AO25" s="573"/>
      <c r="AP25" s="574"/>
      <c r="AQ25" s="6"/>
      <c r="AR25" s="16"/>
    </row>
    <row r="26" spans="1:44" x14ac:dyDescent="0.3">
      <c r="A26" s="27"/>
      <c r="B26" s="15"/>
      <c r="C26" s="6"/>
      <c r="D26" s="551">
        <f>C3/2</f>
        <v>170</v>
      </c>
      <c r="E26" s="575" t="s">
        <v>42</v>
      </c>
      <c r="F26" s="574">
        <f>_xlfn.FLOOR.MATH(D26,10)</f>
        <v>170</v>
      </c>
      <c r="G26" s="6"/>
      <c r="H26" s="16"/>
      <c r="I26" s="6"/>
      <c r="J26" s="27"/>
      <c r="K26" s="15"/>
      <c r="L26" s="6"/>
      <c r="M26" s="551">
        <f>L3/2</f>
        <v>170</v>
      </c>
      <c r="N26" s="573" t="s">
        <v>42</v>
      </c>
      <c r="O26" s="574">
        <f>_xlfn.FLOOR.MATH(M26,10)</f>
        <v>170</v>
      </c>
      <c r="P26" s="6"/>
      <c r="Q26" s="16"/>
      <c r="R26" s="6"/>
      <c r="S26" s="27"/>
      <c r="T26" s="15"/>
      <c r="U26" s="6"/>
      <c r="V26" s="551">
        <f>U3/2</f>
        <v>170</v>
      </c>
      <c r="W26" s="575" t="s">
        <v>42</v>
      </c>
      <c r="X26" s="574">
        <f>_xlfn.FLOOR.MATH(V26,10)</f>
        <v>170</v>
      </c>
      <c r="Y26" s="6"/>
      <c r="Z26" s="16"/>
      <c r="AA26" s="6"/>
      <c r="AB26" s="27"/>
      <c r="AC26" s="15"/>
      <c r="AD26" s="6"/>
      <c r="AE26" s="551">
        <f>AD3/2</f>
        <v>170</v>
      </c>
      <c r="AF26" s="573" t="s">
        <v>42</v>
      </c>
      <c r="AG26" s="574">
        <f>_xlfn.FLOOR.MATH(AE26,10)</f>
        <v>170</v>
      </c>
      <c r="AH26" s="6"/>
      <c r="AI26" s="16"/>
      <c r="AJ26" s="6"/>
      <c r="AK26" s="27"/>
      <c r="AL26" s="15"/>
      <c r="AM26" s="6"/>
      <c r="AN26" s="551">
        <f>AM3/2</f>
        <v>145</v>
      </c>
      <c r="AO26" s="573" t="s">
        <v>42</v>
      </c>
      <c r="AP26" s="574">
        <f>_xlfn.FLOOR.MATH(AN26,10)</f>
        <v>140</v>
      </c>
      <c r="AQ26" s="6"/>
      <c r="AR26" s="16"/>
    </row>
    <row r="27" spans="1:44" x14ac:dyDescent="0.3">
      <c r="A27" s="27"/>
      <c r="B27" s="15"/>
      <c r="C27" s="6"/>
      <c r="D27" s="551"/>
      <c r="E27" s="575"/>
      <c r="F27" s="574"/>
      <c r="G27" s="6"/>
      <c r="H27" s="16"/>
      <c r="I27" s="6"/>
      <c r="J27" s="27"/>
      <c r="K27" s="15"/>
      <c r="L27" s="6"/>
      <c r="M27" s="551"/>
      <c r="N27" s="573"/>
      <c r="O27" s="574"/>
      <c r="P27" s="6"/>
      <c r="Q27" s="16"/>
      <c r="R27" s="6"/>
      <c r="S27" s="27"/>
      <c r="T27" s="15"/>
      <c r="U27" s="6"/>
      <c r="V27" s="551"/>
      <c r="W27" s="575"/>
      <c r="X27" s="574"/>
      <c r="Y27" s="6"/>
      <c r="Z27" s="16"/>
      <c r="AA27" s="6"/>
      <c r="AB27" s="27"/>
      <c r="AC27" s="15"/>
      <c r="AD27" s="6"/>
      <c r="AE27" s="551"/>
      <c r="AF27" s="573"/>
      <c r="AG27" s="574"/>
      <c r="AH27" s="6"/>
      <c r="AI27" s="16"/>
      <c r="AJ27" s="6"/>
      <c r="AK27" s="27"/>
      <c r="AL27" s="15"/>
      <c r="AM27" s="6"/>
      <c r="AN27" s="551"/>
      <c r="AO27" s="573"/>
      <c r="AP27" s="574"/>
      <c r="AQ27" s="6"/>
      <c r="AR27" s="16"/>
    </row>
    <row r="28" spans="1:44" x14ac:dyDescent="0.3">
      <c r="A28" s="341" t="s">
        <v>144</v>
      </c>
      <c r="B28" s="6"/>
      <c r="C28" s="6"/>
      <c r="D28" s="17"/>
      <c r="E28" s="17"/>
      <c r="F28" s="6"/>
      <c r="G28" s="6"/>
      <c r="H28" s="16"/>
      <c r="I28" s="6"/>
      <c r="J28" s="341" t="s">
        <v>144</v>
      </c>
      <c r="K28" s="6"/>
      <c r="L28" s="6"/>
      <c r="M28" s="17"/>
      <c r="N28" s="6"/>
      <c r="O28" s="6"/>
      <c r="P28" s="6"/>
      <c r="Q28" s="16"/>
      <c r="R28" s="6"/>
      <c r="S28" s="341" t="s">
        <v>144</v>
      </c>
      <c r="T28" s="6"/>
      <c r="U28" s="6"/>
      <c r="V28" s="17"/>
      <c r="W28" s="17"/>
      <c r="X28" s="6"/>
      <c r="Y28" s="6"/>
      <c r="Z28" s="16"/>
      <c r="AA28" s="6"/>
      <c r="AB28" s="341" t="s">
        <v>144</v>
      </c>
      <c r="AC28" s="6"/>
      <c r="AD28" s="6"/>
      <c r="AE28" s="17"/>
      <c r="AF28" s="6"/>
      <c r="AG28" s="6"/>
      <c r="AH28" s="6"/>
      <c r="AI28" s="16"/>
      <c r="AJ28" s="6"/>
      <c r="AK28" s="341" t="s">
        <v>144</v>
      </c>
      <c r="AL28" s="6"/>
      <c r="AM28" s="6"/>
      <c r="AN28" s="17"/>
      <c r="AO28" s="6"/>
      <c r="AP28" s="6"/>
      <c r="AQ28" s="6"/>
      <c r="AR28" s="16"/>
    </row>
    <row r="29" spans="1:44" x14ac:dyDescent="0.3">
      <c r="A29" s="244"/>
      <c r="B29" s="15"/>
      <c r="C29" s="15"/>
      <c r="D29" s="245">
        <f>(C8/G5)-D13</f>
        <v>-0.23611676659361081</v>
      </c>
      <c r="E29" s="227" t="s">
        <v>138</v>
      </c>
      <c r="F29" s="246"/>
      <c r="G29" s="6"/>
      <c r="H29" s="16"/>
      <c r="I29" s="6"/>
      <c r="J29" s="244"/>
      <c r="K29" s="15"/>
      <c r="L29" s="15"/>
      <c r="M29" s="245">
        <f>(L8/P5)-M13</f>
        <v>-4.7723834332602806</v>
      </c>
      <c r="N29" s="246" t="s">
        <v>138</v>
      </c>
      <c r="O29" s="246"/>
      <c r="P29" s="6"/>
      <c r="Q29" s="16"/>
      <c r="R29" s="6"/>
      <c r="S29" s="244"/>
      <c r="T29" s="15"/>
      <c r="U29" s="15"/>
      <c r="V29" s="245">
        <f>(U8/Y5)-V13</f>
        <v>-4.7723834332602806</v>
      </c>
      <c r="W29" s="227" t="s">
        <v>138</v>
      </c>
      <c r="X29" s="246"/>
      <c r="Y29" s="6"/>
      <c r="Z29" s="16"/>
      <c r="AA29" s="6"/>
      <c r="AB29" s="244"/>
      <c r="AC29" s="15"/>
      <c r="AD29" s="15"/>
      <c r="AE29" s="245">
        <f>(AD8/AH5)-AE13</f>
        <v>-3.0908900999269449</v>
      </c>
      <c r="AF29" s="246" t="s">
        <v>138</v>
      </c>
      <c r="AG29" s="246"/>
      <c r="AH29" s="6"/>
      <c r="AI29" s="16"/>
      <c r="AJ29" s="6"/>
      <c r="AK29" s="244"/>
      <c r="AL29" s="15"/>
      <c r="AM29" s="15"/>
      <c r="AN29" s="245">
        <f>(AM8/AQ5)-AN13</f>
        <v>7.3208494245721241</v>
      </c>
      <c r="AO29" s="246" t="s">
        <v>138</v>
      </c>
      <c r="AP29" s="246"/>
      <c r="AQ29" s="6"/>
      <c r="AR29" s="16"/>
    </row>
    <row r="30" spans="1:44" x14ac:dyDescent="0.3">
      <c r="A30" s="27"/>
      <c r="B30" s="15"/>
      <c r="C30" s="15"/>
      <c r="D30" s="241">
        <f>(C8/G5)-D13</f>
        <v>-0.23611676659361081</v>
      </c>
      <c r="E30" s="45" t="s">
        <v>552</v>
      </c>
      <c r="F30" s="11">
        <f>0.33*C4*C3*SQRT(G3)/1000</f>
        <v>127.6197937233876</v>
      </c>
      <c r="G30" s="6"/>
      <c r="H30" s="342" t="str">
        <f>IF(D30&lt;=F30,"True","False")</f>
        <v>True</v>
      </c>
      <c r="I30" s="6"/>
      <c r="J30" s="27"/>
      <c r="K30" s="15"/>
      <c r="L30" s="15"/>
      <c r="M30" s="241">
        <f>(L8/P5)-M13</f>
        <v>-4.7723834332602806</v>
      </c>
      <c r="N30" s="39" t="s">
        <v>552</v>
      </c>
      <c r="O30" s="11">
        <f>0.33*L4*L3*SQRT(P3)/1000</f>
        <v>127.6197937233876</v>
      </c>
      <c r="P30" s="6"/>
      <c r="Q30" s="342" t="str">
        <f>IF(M30&lt;=O30,"True","False")</f>
        <v>True</v>
      </c>
      <c r="R30" s="6"/>
      <c r="S30" s="27"/>
      <c r="T30" s="15"/>
      <c r="U30" s="15"/>
      <c r="V30" s="241">
        <f>(U8/Y5)-V13</f>
        <v>-4.7723834332602806</v>
      </c>
      <c r="W30" s="45" t="s">
        <v>552</v>
      </c>
      <c r="X30" s="11">
        <f>0.33*U4*U3*SQRT(Y3)/1000</f>
        <v>127.6197937233876</v>
      </c>
      <c r="Y30" s="6"/>
      <c r="Z30" s="342" t="str">
        <f>IF(V30&lt;=X30,"True","False")</f>
        <v>True</v>
      </c>
      <c r="AA30" s="6"/>
      <c r="AB30" s="27"/>
      <c r="AC30" s="15"/>
      <c r="AD30" s="15"/>
      <c r="AE30" s="241">
        <f>(AD8/AH5)-AE13</f>
        <v>-3.0908900999269449</v>
      </c>
      <c r="AF30" s="39" t="s">
        <v>552</v>
      </c>
      <c r="AG30" s="11">
        <f>0.33*AD4*AD3*SQRT(AH3)/1000</f>
        <v>127.6197937233876</v>
      </c>
      <c r="AH30" s="6"/>
      <c r="AI30" s="342" t="str">
        <f>IF(AE30&lt;=AG30,"True","False")</f>
        <v>True</v>
      </c>
      <c r="AJ30" s="6"/>
      <c r="AK30" s="27"/>
      <c r="AL30" s="15"/>
      <c r="AM30" s="15"/>
      <c r="AN30" s="241">
        <f>(AM8/AQ5)-AN13</f>
        <v>7.3208494245721241</v>
      </c>
      <c r="AO30" s="39" t="s">
        <v>552</v>
      </c>
      <c r="AP30" s="11">
        <f>0.33*AM4*AM3*SQRT(AQ3)/1000</f>
        <v>108.85217699936</v>
      </c>
      <c r="AQ30" s="6"/>
      <c r="AR30" s="342" t="str">
        <f>IF(AN30&lt;=AP30,"True","False")</f>
        <v>True</v>
      </c>
    </row>
    <row r="31" spans="1:44" x14ac:dyDescent="0.3">
      <c r="A31" s="27"/>
      <c r="B31" s="15"/>
      <c r="C31" s="15"/>
      <c r="D31" s="241">
        <f>C8</f>
        <v>49.130560000000003</v>
      </c>
      <c r="E31" s="45" t="s">
        <v>552</v>
      </c>
      <c r="F31" s="12">
        <f>3*G5*D13</f>
        <v>147.92294272483562</v>
      </c>
      <c r="G31" s="6"/>
      <c r="H31" s="342" t="str">
        <f>IF(D31&lt;=F31,"True","False")</f>
        <v>True</v>
      </c>
      <c r="I31" s="6"/>
      <c r="J31" s="27"/>
      <c r="K31" s="15"/>
      <c r="L31" s="15"/>
      <c r="M31" s="241">
        <f>L8</f>
        <v>45.728359999999995</v>
      </c>
      <c r="N31" s="39" t="s">
        <v>552</v>
      </c>
      <c r="O31" s="12">
        <f>3*P5*M13</f>
        <v>147.92294272483562</v>
      </c>
      <c r="P31" s="6"/>
      <c r="Q31" s="342" t="str">
        <f>IF(M31&lt;=O31,"True","False")</f>
        <v>True</v>
      </c>
      <c r="R31" s="6"/>
      <c r="S31" s="27"/>
      <c r="T31" s="15"/>
      <c r="U31" s="15"/>
      <c r="V31" s="241">
        <f>U8</f>
        <v>45.728359999999995</v>
      </c>
      <c r="W31" s="45" t="s">
        <v>552</v>
      </c>
      <c r="X31" s="12">
        <f>3*Y5*V13</f>
        <v>147.92294272483562</v>
      </c>
      <c r="Y31" s="6"/>
      <c r="Z31" s="342" t="str">
        <f>IF(V31&lt;=X31,"True","False")</f>
        <v>True</v>
      </c>
      <c r="AA31" s="6"/>
      <c r="AB31" s="27"/>
      <c r="AC31" s="15"/>
      <c r="AD31" s="15"/>
      <c r="AE31" s="241">
        <f>AD8</f>
        <v>46.98948</v>
      </c>
      <c r="AF31" s="39" t="s">
        <v>552</v>
      </c>
      <c r="AG31" s="12">
        <f>3*AH5*AE13</f>
        <v>147.92294272483562</v>
      </c>
      <c r="AH31" s="6"/>
      <c r="AI31" s="342" t="str">
        <f>IF(AE31&lt;=AG31,"True","False")</f>
        <v>True</v>
      </c>
      <c r="AJ31" s="6"/>
      <c r="AK31" s="27"/>
      <c r="AL31" s="15"/>
      <c r="AM31" s="15"/>
      <c r="AN31" s="241">
        <f>AM8</f>
        <v>47.547160000000005</v>
      </c>
      <c r="AO31" s="39" t="s">
        <v>552</v>
      </c>
      <c r="AP31" s="12">
        <f>3*AQ5*AN13</f>
        <v>126.16956879471275</v>
      </c>
      <c r="AQ31" s="6"/>
      <c r="AR31" s="342" t="str">
        <f>IF(AN31&lt;=AP31,"True","False")</f>
        <v>True</v>
      </c>
    </row>
    <row r="32" spans="1:44" x14ac:dyDescent="0.3">
      <c r="A32" s="27"/>
      <c r="B32" s="6"/>
      <c r="C32" s="6"/>
      <c r="D32" s="17"/>
      <c r="E32" s="17"/>
      <c r="F32" s="6"/>
      <c r="G32" s="6"/>
      <c r="H32" s="16"/>
      <c r="I32" s="6"/>
      <c r="J32" s="27"/>
      <c r="K32" s="6"/>
      <c r="L32" s="6"/>
      <c r="M32" s="17"/>
      <c r="N32" s="6"/>
      <c r="O32" s="6"/>
      <c r="P32" s="6"/>
      <c r="Q32" s="16"/>
      <c r="R32" s="6"/>
      <c r="S32" s="27"/>
      <c r="T32" s="6"/>
      <c r="U32" s="6"/>
      <c r="V32" s="17"/>
      <c r="W32" s="17"/>
      <c r="X32" s="6"/>
      <c r="Y32" s="6"/>
      <c r="Z32" s="16"/>
      <c r="AA32" s="6"/>
      <c r="AB32" s="27"/>
      <c r="AC32" s="6"/>
      <c r="AD32" s="6"/>
      <c r="AE32" s="17"/>
      <c r="AF32" s="6"/>
      <c r="AG32" s="6"/>
      <c r="AH32" s="6"/>
      <c r="AI32" s="16"/>
      <c r="AJ32" s="6"/>
      <c r="AK32" s="27"/>
      <c r="AL32" s="6"/>
      <c r="AM32" s="6"/>
      <c r="AN32" s="17"/>
      <c r="AO32" s="6"/>
      <c r="AP32" s="6"/>
      <c r="AQ32" s="6"/>
      <c r="AR32" s="16"/>
    </row>
    <row r="33" spans="1:44" x14ac:dyDescent="0.3">
      <c r="A33" s="27"/>
      <c r="B33" s="15"/>
      <c r="C33" s="15"/>
      <c r="D33" s="241">
        <f>D22</f>
        <v>614.76866235555894</v>
      </c>
      <c r="E33" s="20" t="s">
        <v>42</v>
      </c>
      <c r="F33" s="12">
        <f>_xlfn.FLOOR.MATH(D33,10)</f>
        <v>610</v>
      </c>
      <c r="G33" s="6"/>
      <c r="H33" s="16"/>
      <c r="I33" s="6"/>
      <c r="J33" s="27"/>
      <c r="K33" s="15"/>
      <c r="L33" s="15"/>
      <c r="M33" s="241">
        <f>M22</f>
        <v>614.76866235555894</v>
      </c>
      <c r="N33" s="8" t="s">
        <v>42</v>
      </c>
      <c r="O33" s="12">
        <f>_xlfn.FLOOR.MATH(M33,10)</f>
        <v>610</v>
      </c>
      <c r="P33" s="6"/>
      <c r="Q33" s="16"/>
      <c r="R33" s="6"/>
      <c r="S33" s="27"/>
      <c r="T33" s="15"/>
      <c r="U33" s="15"/>
      <c r="V33" s="241">
        <f>V22</f>
        <v>614.76866235555894</v>
      </c>
      <c r="W33" s="20" t="s">
        <v>42</v>
      </c>
      <c r="X33" s="12">
        <f>_xlfn.FLOOR.MATH(V33,10)</f>
        <v>610</v>
      </c>
      <c r="Y33" s="6"/>
      <c r="Z33" s="16"/>
      <c r="AA33" s="6"/>
      <c r="AB33" s="27"/>
      <c r="AC33" s="15"/>
      <c r="AD33" s="15"/>
      <c r="AE33" s="241">
        <f>AE22</f>
        <v>614.76866235555894</v>
      </c>
      <c r="AF33" s="8" t="s">
        <v>42</v>
      </c>
      <c r="AG33" s="12">
        <f>_xlfn.FLOOR.MATH(AE33,10)</f>
        <v>610</v>
      </c>
      <c r="AH33" s="6"/>
      <c r="AI33" s="16"/>
      <c r="AJ33" s="6"/>
      <c r="AK33" s="27"/>
      <c r="AL33" s="15"/>
      <c r="AM33" s="15"/>
      <c r="AN33" s="241">
        <f>AN22</f>
        <v>614.76866235555894</v>
      </c>
      <c r="AO33" s="8" t="s">
        <v>42</v>
      </c>
      <c r="AP33" s="12">
        <f>_xlfn.FLOOR.MATH(AN33,10)</f>
        <v>610</v>
      </c>
      <c r="AQ33" s="6"/>
      <c r="AR33" s="16"/>
    </row>
    <row r="34" spans="1:44" x14ac:dyDescent="0.3">
      <c r="A34" s="27"/>
      <c r="B34" s="15"/>
      <c r="C34" s="15"/>
      <c r="D34" s="17"/>
      <c r="E34" s="17"/>
      <c r="F34" s="6"/>
      <c r="G34" s="6"/>
      <c r="H34" s="16"/>
      <c r="I34" s="6"/>
      <c r="J34" s="27"/>
      <c r="K34" s="15"/>
      <c r="L34" s="15"/>
      <c r="M34" s="17"/>
      <c r="N34" s="6"/>
      <c r="O34" s="6"/>
      <c r="P34" s="6"/>
      <c r="Q34" s="16"/>
      <c r="R34" s="6"/>
      <c r="S34" s="27"/>
      <c r="T34" s="15"/>
      <c r="U34" s="15"/>
      <c r="V34" s="17"/>
      <c r="W34" s="17"/>
      <c r="X34" s="6"/>
      <c r="Y34" s="6"/>
      <c r="Z34" s="16"/>
      <c r="AA34" s="6"/>
      <c r="AB34" s="27"/>
      <c r="AC34" s="15"/>
      <c r="AD34" s="15"/>
      <c r="AE34" s="17"/>
      <c r="AF34" s="6"/>
      <c r="AG34" s="6"/>
      <c r="AH34" s="6"/>
      <c r="AI34" s="16"/>
      <c r="AJ34" s="6"/>
      <c r="AK34" s="27"/>
      <c r="AL34" s="15"/>
      <c r="AM34" s="15"/>
      <c r="AN34" s="17"/>
      <c r="AO34" s="6"/>
      <c r="AP34" s="6"/>
      <c r="AQ34" s="6"/>
      <c r="AR34" s="16"/>
    </row>
    <row r="35" spans="1:44" x14ac:dyDescent="0.3">
      <c r="A35" s="27"/>
      <c r="B35" s="15"/>
      <c r="C35" s="15"/>
      <c r="D35" s="241">
        <f>D24</f>
        <v>495.4736228571428</v>
      </c>
      <c r="E35" s="20" t="s">
        <v>42</v>
      </c>
      <c r="F35" s="12">
        <f>_xlfn.FLOOR.MATH(D35,10)</f>
        <v>490</v>
      </c>
      <c r="G35" s="570" t="s">
        <v>143</v>
      </c>
      <c r="H35" s="571"/>
      <c r="I35" s="6"/>
      <c r="J35" s="27"/>
      <c r="K35" s="15"/>
      <c r="L35" s="15"/>
      <c r="M35" s="241">
        <f>M24</f>
        <v>495.4736228571428</v>
      </c>
      <c r="N35" s="8" t="s">
        <v>42</v>
      </c>
      <c r="O35" s="12">
        <f>_xlfn.FLOOR.MATH(M35,10)</f>
        <v>490</v>
      </c>
      <c r="P35" s="570" t="s">
        <v>143</v>
      </c>
      <c r="Q35" s="571"/>
      <c r="R35" s="6"/>
      <c r="S35" s="27"/>
      <c r="T35" s="15"/>
      <c r="U35" s="15"/>
      <c r="V35" s="241">
        <f>V24</f>
        <v>495.4736228571428</v>
      </c>
      <c r="W35" s="20" t="s">
        <v>42</v>
      </c>
      <c r="X35" s="12">
        <f>_xlfn.FLOOR.MATH(V35,10)</f>
        <v>490</v>
      </c>
      <c r="Y35" s="570" t="s">
        <v>143</v>
      </c>
      <c r="Z35" s="571"/>
      <c r="AA35" s="6"/>
      <c r="AB35" s="27"/>
      <c r="AC35" s="15"/>
      <c r="AD35" s="15"/>
      <c r="AE35" s="241">
        <f>AE24</f>
        <v>495.4736228571428</v>
      </c>
      <c r="AF35" s="8" t="s">
        <v>42</v>
      </c>
      <c r="AG35" s="12">
        <f>_xlfn.FLOOR.MATH(AE35,10)</f>
        <v>490</v>
      </c>
      <c r="AH35" s="570" t="s">
        <v>143</v>
      </c>
      <c r="AI35" s="571"/>
      <c r="AJ35" s="6"/>
      <c r="AK35" s="27"/>
      <c r="AL35" s="15"/>
      <c r="AM35" s="15"/>
      <c r="AN35" s="241">
        <f>AN24</f>
        <v>495.4736228571428</v>
      </c>
      <c r="AO35" s="8" t="s">
        <v>42</v>
      </c>
      <c r="AP35" s="12">
        <f>_xlfn.FLOOR.MATH(AN35,10)</f>
        <v>490</v>
      </c>
      <c r="AQ35" s="570" t="s">
        <v>143</v>
      </c>
      <c r="AR35" s="571"/>
    </row>
    <row r="36" spans="1:44" x14ac:dyDescent="0.3">
      <c r="A36" s="27"/>
      <c r="B36" s="15"/>
      <c r="C36" s="15"/>
      <c r="D36" s="17"/>
      <c r="E36" s="17"/>
      <c r="F36" s="6"/>
      <c r="G36" s="18">
        <f>MIN(F33,F35,F37,F39)</f>
        <v>170</v>
      </c>
      <c r="H36" s="247" t="s">
        <v>43</v>
      </c>
      <c r="I36" s="6"/>
      <c r="J36" s="27"/>
      <c r="K36" s="15"/>
      <c r="L36" s="15"/>
      <c r="M36" s="17"/>
      <c r="N36" s="6"/>
      <c r="O36" s="6"/>
      <c r="P36" s="18">
        <f>MIN(O33,O35,O37,O39)</f>
        <v>170</v>
      </c>
      <c r="Q36" s="247" t="s">
        <v>43</v>
      </c>
      <c r="R36" s="6"/>
      <c r="S36" s="27"/>
      <c r="T36" s="15"/>
      <c r="U36" s="15"/>
      <c r="V36" s="17"/>
      <c r="W36" s="17"/>
      <c r="X36" s="6"/>
      <c r="Y36" s="18">
        <f>MIN(X33,X35,X37,X39)</f>
        <v>170</v>
      </c>
      <c r="Z36" s="247" t="s">
        <v>43</v>
      </c>
      <c r="AA36" s="6"/>
      <c r="AB36" s="27"/>
      <c r="AC36" s="15"/>
      <c r="AD36" s="15"/>
      <c r="AE36" s="17"/>
      <c r="AF36" s="6"/>
      <c r="AG36" s="6"/>
      <c r="AH36" s="18">
        <f>MIN(AG33,AG35,AG37,AG39)</f>
        <v>170</v>
      </c>
      <c r="AI36" s="247" t="s">
        <v>43</v>
      </c>
      <c r="AJ36" s="6"/>
      <c r="AK36" s="27"/>
      <c r="AL36" s="15"/>
      <c r="AM36" s="15"/>
      <c r="AN36" s="17"/>
      <c r="AO36" s="6"/>
      <c r="AP36" s="6"/>
      <c r="AQ36" s="18">
        <f>MIN(AP33,AP35,AP37,AP39)</f>
        <v>140</v>
      </c>
      <c r="AR36" s="247" t="s">
        <v>43</v>
      </c>
    </row>
    <row r="37" spans="1:44" x14ac:dyDescent="0.3">
      <c r="A37" s="27"/>
      <c r="B37" s="15"/>
      <c r="C37" s="15"/>
      <c r="D37" s="241">
        <f>ABS(D19*G4*C3/(D29*1000))</f>
        <v>62428.181160764994</v>
      </c>
      <c r="E37" s="20" t="s">
        <v>42</v>
      </c>
      <c r="F37" s="12">
        <f>_xlfn.FLOOR.MATH(D37,10)</f>
        <v>62420</v>
      </c>
      <c r="G37" s="6"/>
      <c r="H37" s="16"/>
      <c r="I37" s="6"/>
      <c r="J37" s="27"/>
      <c r="K37" s="15"/>
      <c r="L37" s="15"/>
      <c r="M37" s="241">
        <f>ABS(M19*P4*L3/(M29*1000))</f>
        <v>3088.6747651644687</v>
      </c>
      <c r="N37" s="8" t="s">
        <v>42</v>
      </c>
      <c r="O37" s="12">
        <f>_xlfn.FLOOR.MATH(M37,10)</f>
        <v>3080</v>
      </c>
      <c r="P37" s="6"/>
      <c r="Q37" s="16"/>
      <c r="R37" s="6"/>
      <c r="S37" s="27"/>
      <c r="T37" s="15"/>
      <c r="U37" s="15"/>
      <c r="V37" s="241">
        <f>ABS(V19*Y4*U3/(V29*1000))</f>
        <v>3088.6747651644687</v>
      </c>
      <c r="W37" s="20" t="s">
        <v>42</v>
      </c>
      <c r="X37" s="12">
        <f>_xlfn.FLOOR.MATH(V37,10)</f>
        <v>3080</v>
      </c>
      <c r="Y37" s="6"/>
      <c r="Z37" s="16"/>
      <c r="AA37" s="6"/>
      <c r="AB37" s="27"/>
      <c r="AC37" s="15"/>
      <c r="AD37" s="15"/>
      <c r="AE37" s="241">
        <f>ABS(AE19*AH4*AD3/(AE29*1000))</f>
        <v>4768.9629211819583</v>
      </c>
      <c r="AF37" s="8" t="s">
        <v>42</v>
      </c>
      <c r="AG37" s="12">
        <f>_xlfn.FLOOR.MATH(AE37,10)</f>
        <v>4760</v>
      </c>
      <c r="AH37" s="6"/>
      <c r="AI37" s="16"/>
      <c r="AJ37" s="6"/>
      <c r="AK37" s="27"/>
      <c r="AL37" s="15"/>
      <c r="AM37" s="15"/>
      <c r="AN37" s="241">
        <f>ABS(AN19*AQ4*AM3/(AN29*1000))</f>
        <v>1717.3749179706454</v>
      </c>
      <c r="AO37" s="8" t="s">
        <v>42</v>
      </c>
      <c r="AP37" s="12">
        <f>_xlfn.FLOOR.MATH(AN37,10)</f>
        <v>1710</v>
      </c>
      <c r="AQ37" s="6"/>
      <c r="AR37" s="16"/>
    </row>
    <row r="38" spans="1:44" x14ac:dyDescent="0.3">
      <c r="A38" s="27"/>
      <c r="B38" s="15"/>
      <c r="C38" s="15"/>
      <c r="D38" s="17"/>
      <c r="E38" s="17"/>
      <c r="F38" s="6"/>
      <c r="G38" s="6"/>
      <c r="H38" s="16"/>
      <c r="I38" s="6"/>
      <c r="J38" s="27"/>
      <c r="K38" s="15"/>
      <c r="L38" s="15"/>
      <c r="M38" s="17"/>
      <c r="N38" s="6"/>
      <c r="O38" s="6"/>
      <c r="P38" s="6"/>
      <c r="Q38" s="16"/>
      <c r="R38" s="6"/>
      <c r="S38" s="27"/>
      <c r="T38" s="15"/>
      <c r="U38" s="15"/>
      <c r="V38" s="17"/>
      <c r="W38" s="17"/>
      <c r="X38" s="6"/>
      <c r="Y38" s="6"/>
      <c r="Z38" s="16"/>
      <c r="AA38" s="6"/>
      <c r="AB38" s="27"/>
      <c r="AC38" s="15"/>
      <c r="AD38" s="15"/>
      <c r="AE38" s="17"/>
      <c r="AF38" s="6"/>
      <c r="AG38" s="6"/>
      <c r="AH38" s="6"/>
      <c r="AI38" s="16"/>
      <c r="AJ38" s="6"/>
      <c r="AK38" s="27"/>
      <c r="AL38" s="15"/>
      <c r="AM38" s="15"/>
      <c r="AN38" s="17"/>
      <c r="AO38" s="6"/>
      <c r="AP38" s="6"/>
      <c r="AQ38" s="6"/>
      <c r="AR38" s="16"/>
    </row>
    <row r="39" spans="1:44" x14ac:dyDescent="0.3">
      <c r="A39" s="27"/>
      <c r="B39" s="15"/>
      <c r="C39" s="6"/>
      <c r="D39" s="241">
        <f>D26</f>
        <v>170</v>
      </c>
      <c r="E39" s="20" t="s">
        <v>42</v>
      </c>
      <c r="F39" s="12">
        <f>_xlfn.FLOOR.MATH(D39,10)</f>
        <v>170</v>
      </c>
      <c r="G39" s="6"/>
      <c r="H39" s="16"/>
      <c r="I39" s="6"/>
      <c r="J39" s="27"/>
      <c r="K39" s="15"/>
      <c r="L39" s="6"/>
      <c r="M39" s="241">
        <f>M26</f>
        <v>170</v>
      </c>
      <c r="N39" s="8" t="s">
        <v>42</v>
      </c>
      <c r="O39" s="12">
        <f>_xlfn.FLOOR.MATH(M39,10)</f>
        <v>170</v>
      </c>
      <c r="P39" s="6"/>
      <c r="Q39" s="16"/>
      <c r="R39" s="6"/>
      <c r="S39" s="27"/>
      <c r="T39" s="15"/>
      <c r="U39" s="6"/>
      <c r="V39" s="241">
        <f>V26</f>
        <v>170</v>
      </c>
      <c r="W39" s="20" t="s">
        <v>42</v>
      </c>
      <c r="X39" s="12">
        <f>_xlfn.FLOOR.MATH(V39,10)</f>
        <v>170</v>
      </c>
      <c r="Y39" s="6"/>
      <c r="Z39" s="16"/>
      <c r="AA39" s="6"/>
      <c r="AB39" s="27"/>
      <c r="AC39" s="15"/>
      <c r="AD39" s="6"/>
      <c r="AE39" s="241">
        <f>AE26</f>
        <v>170</v>
      </c>
      <c r="AF39" s="8" t="s">
        <v>42</v>
      </c>
      <c r="AG39" s="12">
        <f>_xlfn.FLOOR.MATH(AE39,10)</f>
        <v>170</v>
      </c>
      <c r="AH39" s="6"/>
      <c r="AI39" s="16"/>
      <c r="AJ39" s="6"/>
      <c r="AK39" s="27"/>
      <c r="AL39" s="15"/>
      <c r="AM39" s="6"/>
      <c r="AN39" s="241">
        <f>AN26</f>
        <v>145</v>
      </c>
      <c r="AO39" s="8" t="s">
        <v>42</v>
      </c>
      <c r="AP39" s="12">
        <f>_xlfn.FLOOR.MATH(AN39,10)</f>
        <v>140</v>
      </c>
      <c r="AQ39" s="6"/>
      <c r="AR39" s="16"/>
    </row>
    <row r="40" spans="1:44" x14ac:dyDescent="0.3">
      <c r="A40" s="27"/>
      <c r="B40" s="15"/>
      <c r="C40" s="6"/>
      <c r="D40" s="17"/>
      <c r="E40" s="17"/>
      <c r="F40" s="6"/>
      <c r="G40" s="6"/>
      <c r="H40" s="16"/>
      <c r="I40" s="6"/>
      <c r="J40" s="27"/>
      <c r="K40" s="15"/>
      <c r="L40" s="6"/>
      <c r="M40" s="17"/>
      <c r="N40" s="6"/>
      <c r="O40" s="6"/>
      <c r="P40" s="6"/>
      <c r="Q40" s="16"/>
      <c r="R40" s="6"/>
      <c r="S40" s="27"/>
      <c r="T40" s="15"/>
      <c r="U40" s="6"/>
      <c r="V40" s="17"/>
      <c r="W40" s="17"/>
      <c r="X40" s="6"/>
      <c r="Y40" s="6"/>
      <c r="Z40" s="16"/>
      <c r="AA40" s="6"/>
      <c r="AB40" s="27"/>
      <c r="AC40" s="15"/>
      <c r="AD40" s="6"/>
      <c r="AE40" s="17"/>
      <c r="AF40" s="6"/>
      <c r="AG40" s="6"/>
      <c r="AH40" s="6"/>
      <c r="AI40" s="16"/>
      <c r="AJ40" s="6"/>
      <c r="AK40" s="27"/>
      <c r="AL40" s="15"/>
      <c r="AM40" s="6"/>
      <c r="AN40" s="17"/>
      <c r="AO40" s="6"/>
      <c r="AP40" s="6"/>
      <c r="AQ40" s="6"/>
      <c r="AR40" s="16"/>
    </row>
    <row r="41" spans="1:44" x14ac:dyDescent="0.3">
      <c r="A41" s="341" t="s">
        <v>145</v>
      </c>
      <c r="B41" s="6"/>
      <c r="C41" s="6"/>
      <c r="D41" s="17"/>
      <c r="E41" s="17"/>
      <c r="F41" s="6"/>
      <c r="G41" s="6"/>
      <c r="H41" s="16"/>
      <c r="I41" s="6"/>
      <c r="J41" s="341" t="s">
        <v>145</v>
      </c>
      <c r="K41" s="6"/>
      <c r="L41" s="6"/>
      <c r="M41" s="17"/>
      <c r="N41" s="6"/>
      <c r="O41" s="6"/>
      <c r="P41" s="6"/>
      <c r="Q41" s="16"/>
      <c r="R41" s="6"/>
      <c r="S41" s="341" t="s">
        <v>145</v>
      </c>
      <c r="T41" s="6"/>
      <c r="U41" s="6"/>
      <c r="V41" s="17"/>
      <c r="W41" s="17"/>
      <c r="X41" s="6"/>
      <c r="Y41" s="6"/>
      <c r="Z41" s="16"/>
      <c r="AA41" s="6"/>
      <c r="AB41" s="341" t="s">
        <v>145</v>
      </c>
      <c r="AC41" s="6"/>
      <c r="AD41" s="6"/>
      <c r="AE41" s="17"/>
      <c r="AF41" s="6"/>
      <c r="AG41" s="6"/>
      <c r="AH41" s="6"/>
      <c r="AI41" s="16"/>
      <c r="AJ41" s="6"/>
      <c r="AK41" s="341" t="s">
        <v>145</v>
      </c>
      <c r="AL41" s="6"/>
      <c r="AM41" s="6"/>
      <c r="AN41" s="17"/>
      <c r="AO41" s="6"/>
      <c r="AP41" s="6"/>
      <c r="AQ41" s="6"/>
      <c r="AR41" s="16"/>
    </row>
    <row r="42" spans="1:44" x14ac:dyDescent="0.3">
      <c r="A42" s="27"/>
      <c r="B42" s="15"/>
      <c r="C42" s="15"/>
      <c r="D42" s="245">
        <f>D29</f>
        <v>-0.23611676659361081</v>
      </c>
      <c r="E42" s="227" t="s">
        <v>138</v>
      </c>
      <c r="F42" s="246"/>
      <c r="G42" s="6"/>
      <c r="H42" s="16"/>
      <c r="I42" s="6"/>
      <c r="J42" s="27"/>
      <c r="K42" s="15"/>
      <c r="L42" s="15"/>
      <c r="M42" s="245">
        <f>M29</f>
        <v>-4.7723834332602806</v>
      </c>
      <c r="N42" s="246" t="s">
        <v>138</v>
      </c>
      <c r="O42" s="246"/>
      <c r="P42" s="6"/>
      <c r="Q42" s="16"/>
      <c r="R42" s="6"/>
      <c r="S42" s="27"/>
      <c r="T42" s="15"/>
      <c r="U42" s="15"/>
      <c r="V42" s="245">
        <f>V29</f>
        <v>-4.7723834332602806</v>
      </c>
      <c r="W42" s="227" t="s">
        <v>138</v>
      </c>
      <c r="X42" s="246"/>
      <c r="Y42" s="6"/>
      <c r="Z42" s="16"/>
      <c r="AA42" s="6"/>
      <c r="AB42" s="27"/>
      <c r="AC42" s="15"/>
      <c r="AD42" s="15"/>
      <c r="AE42" s="245">
        <f>AE29</f>
        <v>-3.0908900999269449</v>
      </c>
      <c r="AF42" s="246" t="s">
        <v>138</v>
      </c>
      <c r="AG42" s="246"/>
      <c r="AH42" s="6"/>
      <c r="AI42" s="16"/>
      <c r="AJ42" s="6"/>
      <c r="AK42" s="27"/>
      <c r="AL42" s="15"/>
      <c r="AM42" s="15"/>
      <c r="AN42" s="245">
        <f>AN29</f>
        <v>7.3208494245721241</v>
      </c>
      <c r="AO42" s="246" t="s">
        <v>138</v>
      </c>
      <c r="AP42" s="246"/>
      <c r="AQ42" s="6"/>
      <c r="AR42" s="16"/>
    </row>
    <row r="43" spans="1:44" x14ac:dyDescent="0.3">
      <c r="A43" s="248"/>
      <c r="B43" s="15"/>
      <c r="C43" s="15"/>
      <c r="D43" s="241">
        <f>F30</f>
        <v>127.6197937233876</v>
      </c>
      <c r="E43" s="572">
        <f>D29</f>
        <v>-0.23611676659361081</v>
      </c>
      <c r="F43" s="572"/>
      <c r="G43" s="12">
        <f>0.66*C4*C3*SQRT(G3)/1000</f>
        <v>255.2395874467752</v>
      </c>
      <c r="H43" s="342" t="str">
        <f>IF(AND(D43&lt;E43,E43&lt;=G43),"True","False")</f>
        <v>False</v>
      </c>
      <c r="I43" s="6"/>
      <c r="J43" s="248"/>
      <c r="K43" s="15"/>
      <c r="L43" s="15"/>
      <c r="M43" s="241">
        <f>O30</f>
        <v>127.6197937233876</v>
      </c>
      <c r="N43" s="572">
        <f>M29</f>
        <v>-4.7723834332602806</v>
      </c>
      <c r="O43" s="572"/>
      <c r="P43" s="12">
        <f>0.66*L4*L3*SQRT(P3)/1000</f>
        <v>255.2395874467752</v>
      </c>
      <c r="Q43" s="342" t="str">
        <f>IF(AND(M43&lt;N43,N43&lt;=P43),"True","False")</f>
        <v>False</v>
      </c>
      <c r="R43" s="6"/>
      <c r="S43" s="248"/>
      <c r="T43" s="15"/>
      <c r="U43" s="15"/>
      <c r="V43" s="241">
        <f>X30</f>
        <v>127.6197937233876</v>
      </c>
      <c r="W43" s="572">
        <f>V29</f>
        <v>-4.7723834332602806</v>
      </c>
      <c r="X43" s="572"/>
      <c r="Y43" s="12">
        <f>0.66*U4*U3*SQRT(Y3)/1000</f>
        <v>255.2395874467752</v>
      </c>
      <c r="Z43" s="342" t="str">
        <f>IF(AND(V43&lt;W43,W43&lt;=Y43),"True","False")</f>
        <v>False</v>
      </c>
      <c r="AA43" s="6"/>
      <c r="AB43" s="248"/>
      <c r="AC43" s="15"/>
      <c r="AD43" s="15"/>
      <c r="AE43" s="241">
        <f>AG30</f>
        <v>127.6197937233876</v>
      </c>
      <c r="AF43" s="572">
        <f>AE29</f>
        <v>-3.0908900999269449</v>
      </c>
      <c r="AG43" s="572"/>
      <c r="AH43" s="12">
        <f>0.66*AD4*AD3*SQRT(AH3)/1000</f>
        <v>255.2395874467752</v>
      </c>
      <c r="AI43" s="342" t="str">
        <f>IF(AND(AE43&lt;AF43,AF43&lt;=AH43),"True","False")</f>
        <v>False</v>
      </c>
      <c r="AJ43" s="6"/>
      <c r="AK43" s="248"/>
      <c r="AL43" s="15"/>
      <c r="AM43" s="15"/>
      <c r="AN43" s="241">
        <f>AP30</f>
        <v>108.85217699936</v>
      </c>
      <c r="AO43" s="572">
        <f>AN29</f>
        <v>7.3208494245721241</v>
      </c>
      <c r="AP43" s="572"/>
      <c r="AQ43" s="12">
        <f>0.66*AM4*AM3*SQRT(AQ3)/1000</f>
        <v>217.70435399871999</v>
      </c>
      <c r="AR43" s="342" t="str">
        <f>IF(AND(AN43&lt;AO43,AO43&lt;=AQ43),"True","False")</f>
        <v>False</v>
      </c>
    </row>
    <row r="44" spans="1:44" x14ac:dyDescent="0.3">
      <c r="A44" s="27"/>
      <c r="B44" s="15"/>
      <c r="C44" s="15"/>
      <c r="D44" s="241">
        <f>F31</f>
        <v>147.92294272483562</v>
      </c>
      <c r="E44" s="566">
        <f>D31</f>
        <v>49.130560000000003</v>
      </c>
      <c r="F44" s="566"/>
      <c r="G44" s="12">
        <f>5*G5*D13</f>
        <v>246.53823787472604</v>
      </c>
      <c r="H44" s="342" t="str">
        <f>IF(AND(D44&lt;E44,E44&lt;=G44),"True","False")</f>
        <v>False</v>
      </c>
      <c r="I44" s="6"/>
      <c r="J44" s="27"/>
      <c r="K44" s="15"/>
      <c r="L44" s="15"/>
      <c r="M44" s="241">
        <f>O31</f>
        <v>147.92294272483562</v>
      </c>
      <c r="N44" s="566">
        <f>M31</f>
        <v>45.728359999999995</v>
      </c>
      <c r="O44" s="566"/>
      <c r="P44" s="12">
        <f>5*P5*M13</f>
        <v>246.53823787472604</v>
      </c>
      <c r="Q44" s="342" t="str">
        <f>IF(AND(M44&lt;N44,N44&lt;=P44),"True","False")</f>
        <v>False</v>
      </c>
      <c r="R44" s="6"/>
      <c r="S44" s="27"/>
      <c r="T44" s="15"/>
      <c r="U44" s="15"/>
      <c r="V44" s="241">
        <f>X31</f>
        <v>147.92294272483562</v>
      </c>
      <c r="W44" s="566">
        <f>V31</f>
        <v>45.728359999999995</v>
      </c>
      <c r="X44" s="566"/>
      <c r="Y44" s="12">
        <f>5*Y5*V13</f>
        <v>246.53823787472604</v>
      </c>
      <c r="Z44" s="342" t="str">
        <f>IF(AND(V44&lt;W44,W44&lt;=Y44),"True","False")</f>
        <v>False</v>
      </c>
      <c r="AA44" s="6"/>
      <c r="AB44" s="27"/>
      <c r="AC44" s="15"/>
      <c r="AD44" s="15"/>
      <c r="AE44" s="241">
        <f>AG31</f>
        <v>147.92294272483562</v>
      </c>
      <c r="AF44" s="566">
        <f>AE31</f>
        <v>46.98948</v>
      </c>
      <c r="AG44" s="566"/>
      <c r="AH44" s="12">
        <f>5*AH5*AE13</f>
        <v>246.53823787472604</v>
      </c>
      <c r="AI44" s="342" t="str">
        <f>IF(AND(AE44&lt;AF44,AF44&lt;=AH44),"True","False")</f>
        <v>False</v>
      </c>
      <c r="AJ44" s="6"/>
      <c r="AK44" s="27"/>
      <c r="AL44" s="15"/>
      <c r="AM44" s="15"/>
      <c r="AN44" s="241">
        <f>AP31</f>
        <v>126.16956879471275</v>
      </c>
      <c r="AO44" s="566">
        <f>AN31</f>
        <v>47.547160000000005</v>
      </c>
      <c r="AP44" s="566"/>
      <c r="AQ44" s="12">
        <f>5*AQ5*AN13</f>
        <v>210.28261465785457</v>
      </c>
      <c r="AR44" s="342" t="str">
        <f>IF(AND(AN44&lt;AO44,AO44&lt;=AQ44),"True","False")</f>
        <v>False</v>
      </c>
    </row>
    <row r="45" spans="1:44" x14ac:dyDescent="0.3">
      <c r="A45" s="27"/>
      <c r="B45" s="6"/>
      <c r="C45" s="6"/>
      <c r="D45" s="17"/>
      <c r="E45" s="17"/>
      <c r="F45" s="6"/>
      <c r="G45" s="6"/>
      <c r="H45" s="16"/>
      <c r="I45" s="6"/>
      <c r="J45" s="27"/>
      <c r="K45" s="6"/>
      <c r="L45" s="6"/>
      <c r="M45" s="17"/>
      <c r="N45" s="6"/>
      <c r="O45" s="6"/>
      <c r="P45" s="6"/>
      <c r="Q45" s="16"/>
      <c r="R45" s="6"/>
      <c r="S45" s="27"/>
      <c r="T45" s="6"/>
      <c r="U45" s="6"/>
      <c r="V45" s="17"/>
      <c r="W45" s="17"/>
      <c r="X45" s="6"/>
      <c r="Y45" s="6"/>
      <c r="Z45" s="16"/>
      <c r="AA45" s="6"/>
      <c r="AB45" s="27"/>
      <c r="AC45" s="6"/>
      <c r="AD45" s="6"/>
      <c r="AE45" s="17"/>
      <c r="AF45" s="6"/>
      <c r="AG45" s="6"/>
      <c r="AH45" s="6"/>
      <c r="AI45" s="16"/>
      <c r="AJ45" s="6"/>
      <c r="AK45" s="27"/>
      <c r="AL45" s="6"/>
      <c r="AM45" s="6"/>
      <c r="AN45" s="17"/>
      <c r="AO45" s="6"/>
      <c r="AP45" s="6"/>
      <c r="AQ45" s="6"/>
      <c r="AR45" s="16"/>
    </row>
    <row r="46" spans="1:44" x14ac:dyDescent="0.3">
      <c r="A46" s="27"/>
      <c r="B46" s="15"/>
      <c r="C46" s="10" t="s">
        <v>32</v>
      </c>
      <c r="D46" s="241">
        <f>ABS(D37)</f>
        <v>62428.181160764994</v>
      </c>
      <c r="E46" s="249" t="s">
        <v>42</v>
      </c>
      <c r="F46" s="12">
        <f>_xlfn.FLOOR.MATH(D46,10)</f>
        <v>62420</v>
      </c>
      <c r="G46" s="179" t="s">
        <v>143</v>
      </c>
      <c r="H46" s="16"/>
      <c r="I46" s="6"/>
      <c r="J46" s="27"/>
      <c r="K46" s="15"/>
      <c r="L46" s="10" t="s">
        <v>32</v>
      </c>
      <c r="M46" s="241">
        <f>ABS(M37)</f>
        <v>3088.6747651644687</v>
      </c>
      <c r="N46" s="10" t="s">
        <v>42</v>
      </c>
      <c r="O46" s="12">
        <f>_xlfn.FLOOR.MATH(M46,10)</f>
        <v>3080</v>
      </c>
      <c r="P46" s="179" t="s">
        <v>143</v>
      </c>
      <c r="Q46" s="16"/>
      <c r="R46" s="6"/>
      <c r="S46" s="27"/>
      <c r="T46" s="15"/>
      <c r="U46" s="10" t="s">
        <v>32</v>
      </c>
      <c r="V46" s="241">
        <f>ABS(V37)</f>
        <v>3088.6747651644687</v>
      </c>
      <c r="W46" s="249" t="s">
        <v>42</v>
      </c>
      <c r="X46" s="12">
        <f>_xlfn.FLOOR.MATH(V46,10)</f>
        <v>3080</v>
      </c>
      <c r="Y46" s="179" t="s">
        <v>143</v>
      </c>
      <c r="Z46" s="16"/>
      <c r="AA46" s="6"/>
      <c r="AB46" s="27"/>
      <c r="AC46" s="15"/>
      <c r="AD46" s="10" t="s">
        <v>32</v>
      </c>
      <c r="AE46" s="241">
        <f>ABS(AE37)</f>
        <v>4768.9629211819583</v>
      </c>
      <c r="AF46" s="10" t="s">
        <v>42</v>
      </c>
      <c r="AG46" s="12">
        <f>_xlfn.FLOOR.MATH(AE46,10)</f>
        <v>4760</v>
      </c>
      <c r="AH46" s="179" t="s">
        <v>143</v>
      </c>
      <c r="AI46" s="16"/>
      <c r="AJ46" s="6"/>
      <c r="AK46" s="27"/>
      <c r="AL46" s="15"/>
      <c r="AM46" s="10" t="s">
        <v>32</v>
      </c>
      <c r="AN46" s="241">
        <f>ABS(AN37)</f>
        <v>1717.3749179706454</v>
      </c>
      <c r="AO46" s="10" t="s">
        <v>42</v>
      </c>
      <c r="AP46" s="12">
        <f>_xlfn.FLOOR.MATH(AN46,10)</f>
        <v>1710</v>
      </c>
      <c r="AQ46" s="179" t="s">
        <v>143</v>
      </c>
      <c r="AR46" s="16"/>
    </row>
    <row r="47" spans="1:44" x14ac:dyDescent="0.3">
      <c r="A47" s="27"/>
      <c r="B47" s="15"/>
      <c r="C47" s="10"/>
      <c r="D47" s="17"/>
      <c r="E47" s="17"/>
      <c r="F47" s="6"/>
      <c r="G47" s="14">
        <f>MIN(F48,F46)</f>
        <v>80</v>
      </c>
      <c r="H47" s="16"/>
      <c r="I47" s="6"/>
      <c r="J47" s="27"/>
      <c r="K47" s="15"/>
      <c r="L47" s="10"/>
      <c r="M47" s="17"/>
      <c r="N47" s="6"/>
      <c r="O47" s="6"/>
      <c r="P47" s="14">
        <f>MIN(O48,O46)</f>
        <v>80</v>
      </c>
      <c r="Q47" s="16"/>
      <c r="R47" s="6"/>
      <c r="S47" s="27"/>
      <c r="T47" s="15"/>
      <c r="U47" s="10"/>
      <c r="V47" s="17"/>
      <c r="W47" s="17"/>
      <c r="X47" s="6"/>
      <c r="Y47" s="14">
        <f>MIN(X48,X46)</f>
        <v>80</v>
      </c>
      <c r="Z47" s="16"/>
      <c r="AA47" s="6"/>
      <c r="AB47" s="27"/>
      <c r="AC47" s="15"/>
      <c r="AD47" s="10"/>
      <c r="AE47" s="17"/>
      <c r="AF47" s="6"/>
      <c r="AG47" s="6"/>
      <c r="AH47" s="14">
        <f>MIN(AG48,AG46)</f>
        <v>80</v>
      </c>
      <c r="AI47" s="16"/>
      <c r="AJ47" s="6"/>
      <c r="AK47" s="27"/>
      <c r="AL47" s="15"/>
      <c r="AM47" s="10"/>
      <c r="AN47" s="17"/>
      <c r="AO47" s="6"/>
      <c r="AP47" s="6"/>
      <c r="AQ47" s="14">
        <f>MIN(AP48,AP46)</f>
        <v>70</v>
      </c>
      <c r="AR47" s="16"/>
    </row>
    <row r="48" spans="1:44" x14ac:dyDescent="0.3">
      <c r="A48" s="27"/>
      <c r="B48" s="15"/>
      <c r="C48" s="10" t="s">
        <v>32</v>
      </c>
      <c r="D48" s="241">
        <f>C3/4</f>
        <v>85</v>
      </c>
      <c r="E48" s="249" t="s">
        <v>42</v>
      </c>
      <c r="F48" s="12">
        <f>_xlfn.FLOOR.MATH(D48,10)</f>
        <v>80</v>
      </c>
      <c r="G48" s="6"/>
      <c r="H48" s="16"/>
      <c r="I48" s="6"/>
      <c r="J48" s="27"/>
      <c r="K48" s="15"/>
      <c r="L48" s="10" t="s">
        <v>32</v>
      </c>
      <c r="M48" s="241">
        <f>L3/4</f>
        <v>85</v>
      </c>
      <c r="N48" s="10" t="s">
        <v>42</v>
      </c>
      <c r="O48" s="12">
        <f>_xlfn.FLOOR.MATH(M48,10)</f>
        <v>80</v>
      </c>
      <c r="P48" s="6"/>
      <c r="Q48" s="16"/>
      <c r="R48" s="6"/>
      <c r="S48" s="27"/>
      <c r="T48" s="15"/>
      <c r="U48" s="10" t="s">
        <v>32</v>
      </c>
      <c r="V48" s="241">
        <f>U3/4</f>
        <v>85</v>
      </c>
      <c r="W48" s="249" t="s">
        <v>42</v>
      </c>
      <c r="X48" s="12">
        <f>_xlfn.FLOOR.MATH(V48,10)</f>
        <v>80</v>
      </c>
      <c r="Y48" s="6"/>
      <c r="Z48" s="16"/>
      <c r="AA48" s="6"/>
      <c r="AB48" s="27"/>
      <c r="AC48" s="15"/>
      <c r="AD48" s="10" t="s">
        <v>32</v>
      </c>
      <c r="AE48" s="241">
        <f>AD3/4</f>
        <v>85</v>
      </c>
      <c r="AF48" s="10" t="s">
        <v>42</v>
      </c>
      <c r="AG48" s="12">
        <f>_xlfn.FLOOR.MATH(AE48,10)</f>
        <v>80</v>
      </c>
      <c r="AH48" s="6"/>
      <c r="AI48" s="16"/>
      <c r="AJ48" s="6"/>
      <c r="AK48" s="27"/>
      <c r="AL48" s="15"/>
      <c r="AM48" s="10" t="s">
        <v>32</v>
      </c>
      <c r="AN48" s="241">
        <f>AM3/4</f>
        <v>72.5</v>
      </c>
      <c r="AO48" s="10" t="s">
        <v>42</v>
      </c>
      <c r="AP48" s="12">
        <f>_xlfn.FLOOR.MATH(AN48,10)</f>
        <v>70</v>
      </c>
      <c r="AQ48" s="6"/>
      <c r="AR48" s="16"/>
    </row>
    <row r="49" spans="1:44" x14ac:dyDescent="0.3">
      <c r="A49" s="341" t="s">
        <v>146</v>
      </c>
      <c r="B49" s="6"/>
      <c r="C49" s="6"/>
      <c r="D49" s="17"/>
      <c r="E49" s="17"/>
      <c r="F49" s="6"/>
      <c r="G49" s="6"/>
      <c r="H49" s="16"/>
      <c r="I49" s="6"/>
      <c r="J49" s="341" t="s">
        <v>146</v>
      </c>
      <c r="K49" s="6"/>
      <c r="L49" s="6"/>
      <c r="M49" s="17"/>
      <c r="N49" s="6"/>
      <c r="O49" s="6"/>
      <c r="P49" s="6"/>
      <c r="Q49" s="16"/>
      <c r="R49" s="6"/>
      <c r="S49" s="341" t="s">
        <v>146</v>
      </c>
      <c r="T49" s="6"/>
      <c r="U49" s="6"/>
      <c r="V49" s="17"/>
      <c r="W49" s="17"/>
      <c r="X49" s="6"/>
      <c r="Y49" s="6"/>
      <c r="Z49" s="16"/>
      <c r="AA49" s="6"/>
      <c r="AB49" s="341" t="s">
        <v>146</v>
      </c>
      <c r="AC49" s="6"/>
      <c r="AD49" s="6"/>
      <c r="AE49" s="17"/>
      <c r="AF49" s="6"/>
      <c r="AG49" s="6"/>
      <c r="AH49" s="6"/>
      <c r="AI49" s="16"/>
      <c r="AJ49" s="6"/>
      <c r="AK49" s="341" t="s">
        <v>146</v>
      </c>
      <c r="AL49" s="6"/>
      <c r="AM49" s="6"/>
      <c r="AN49" s="17"/>
      <c r="AO49" s="6"/>
      <c r="AP49" s="6"/>
      <c r="AQ49" s="6"/>
      <c r="AR49" s="16"/>
    </row>
    <row r="50" spans="1:44" x14ac:dyDescent="0.3">
      <c r="A50" s="27"/>
      <c r="B50" s="179"/>
      <c r="C50" s="179"/>
      <c r="D50" s="241">
        <f>D42</f>
        <v>-0.23611676659361081</v>
      </c>
      <c r="E50" s="241">
        <f>G43</f>
        <v>255.2395874467752</v>
      </c>
      <c r="F50" s="11"/>
      <c r="G50" s="6"/>
      <c r="H50" s="342" t="str">
        <f>IF(D50&gt;E50,"True","False")</f>
        <v>False</v>
      </c>
      <c r="I50" s="6"/>
      <c r="J50" s="27"/>
      <c r="K50" s="179"/>
      <c r="L50" s="179"/>
      <c r="M50" s="241">
        <f>M42</f>
        <v>-4.7723834332602806</v>
      </c>
      <c r="N50" s="11">
        <f>P43</f>
        <v>255.2395874467752</v>
      </c>
      <c r="O50" s="11"/>
      <c r="P50" s="6"/>
      <c r="Q50" s="342" t="str">
        <f>IF(M50&gt;N50,"True","False")</f>
        <v>False</v>
      </c>
      <c r="R50" s="6"/>
      <c r="S50" s="27"/>
      <c r="T50" s="179"/>
      <c r="U50" s="179"/>
      <c r="V50" s="241">
        <f>V42</f>
        <v>-4.7723834332602806</v>
      </c>
      <c r="W50" s="241">
        <f>Y43</f>
        <v>255.2395874467752</v>
      </c>
      <c r="X50" s="11"/>
      <c r="Y50" s="6"/>
      <c r="Z50" s="342" t="str">
        <f>IF(V50&gt;W50,"True","False")</f>
        <v>False</v>
      </c>
      <c r="AA50" s="6"/>
      <c r="AB50" s="27"/>
      <c r="AC50" s="179"/>
      <c r="AD50" s="179"/>
      <c r="AE50" s="241">
        <f>AE42</f>
        <v>-3.0908900999269449</v>
      </c>
      <c r="AF50" s="11">
        <f>AH43</f>
        <v>255.2395874467752</v>
      </c>
      <c r="AG50" s="11"/>
      <c r="AH50" s="6"/>
      <c r="AI50" s="342" t="str">
        <f>IF(AE50&gt;AF50,"True","False")</f>
        <v>False</v>
      </c>
      <c r="AJ50" s="6"/>
      <c r="AK50" s="27"/>
      <c r="AL50" s="179"/>
      <c r="AM50" s="179"/>
      <c r="AN50" s="241">
        <f>AN42</f>
        <v>7.3208494245721241</v>
      </c>
      <c r="AO50" s="11">
        <f>AQ43</f>
        <v>217.70435399871999</v>
      </c>
      <c r="AP50" s="11"/>
      <c r="AQ50" s="6"/>
      <c r="AR50" s="342" t="str">
        <f>IF(AN50&gt;AO50,"True","False")</f>
        <v>False</v>
      </c>
    </row>
    <row r="51" spans="1:44" x14ac:dyDescent="0.3">
      <c r="A51" s="27"/>
      <c r="B51" s="15"/>
      <c r="C51" s="15"/>
      <c r="D51" s="241">
        <f>E44</f>
        <v>49.130560000000003</v>
      </c>
      <c r="E51" s="241">
        <f>G44</f>
        <v>246.53823787472604</v>
      </c>
      <c r="F51" s="12"/>
      <c r="G51" s="6"/>
      <c r="H51" s="342" t="str">
        <f>IF(D51&gt;E51,"True","False")</f>
        <v>False</v>
      </c>
      <c r="I51" s="6"/>
      <c r="J51" s="27"/>
      <c r="K51" s="15"/>
      <c r="L51" s="15"/>
      <c r="M51" s="241">
        <f>N44</f>
        <v>45.728359999999995</v>
      </c>
      <c r="N51" s="12">
        <f>P44</f>
        <v>246.53823787472604</v>
      </c>
      <c r="O51" s="12"/>
      <c r="P51" s="6"/>
      <c r="Q51" s="342" t="str">
        <f>IF(M51&gt;N51,"True","False")</f>
        <v>False</v>
      </c>
      <c r="R51" s="6"/>
      <c r="S51" s="27"/>
      <c r="T51" s="15"/>
      <c r="U51" s="15"/>
      <c r="V51" s="241">
        <f>W44</f>
        <v>45.728359999999995</v>
      </c>
      <c r="W51" s="241">
        <f>Y44</f>
        <v>246.53823787472604</v>
      </c>
      <c r="X51" s="12"/>
      <c r="Y51" s="6"/>
      <c r="Z51" s="342" t="str">
        <f>IF(V51&gt;W51,"True","False")</f>
        <v>False</v>
      </c>
      <c r="AA51" s="6"/>
      <c r="AB51" s="27"/>
      <c r="AC51" s="15"/>
      <c r="AD51" s="15"/>
      <c r="AE51" s="241">
        <f>AF44</f>
        <v>46.98948</v>
      </c>
      <c r="AF51" s="12">
        <f>AH44</f>
        <v>246.53823787472604</v>
      </c>
      <c r="AG51" s="12"/>
      <c r="AH51" s="6"/>
      <c r="AI51" s="342" t="str">
        <f>IF(AE51&gt;AF51,"True","False")</f>
        <v>False</v>
      </c>
      <c r="AJ51" s="6"/>
      <c r="AK51" s="27"/>
      <c r="AL51" s="15"/>
      <c r="AM51" s="15"/>
      <c r="AN51" s="241">
        <f>AO44</f>
        <v>47.547160000000005</v>
      </c>
      <c r="AO51" s="12">
        <f>AQ44</f>
        <v>210.28261465785457</v>
      </c>
      <c r="AP51" s="12"/>
      <c r="AQ51" s="6"/>
      <c r="AR51" s="342" t="str">
        <f>IF(AN51&gt;AO51,"True","False")</f>
        <v>False</v>
      </c>
    </row>
    <row r="52" spans="1:44" x14ac:dyDescent="0.3">
      <c r="A52" s="27"/>
      <c r="B52" s="6"/>
      <c r="C52" s="6"/>
      <c r="D52" s="17"/>
      <c r="E52" s="17"/>
      <c r="F52" s="6"/>
      <c r="G52" s="6"/>
      <c r="H52" s="16"/>
      <c r="I52" s="6"/>
      <c r="J52" s="27"/>
      <c r="K52" s="6"/>
      <c r="L52" s="6"/>
      <c r="M52" s="17"/>
      <c r="N52" s="6"/>
      <c r="O52" s="6"/>
      <c r="P52" s="6"/>
      <c r="Q52" s="16"/>
      <c r="R52" s="6"/>
      <c r="S52" s="27"/>
      <c r="T52" s="6"/>
      <c r="U52" s="6"/>
      <c r="V52" s="17"/>
      <c r="W52" s="17"/>
      <c r="X52" s="6"/>
      <c r="Y52" s="6"/>
      <c r="Z52" s="16"/>
      <c r="AA52" s="6"/>
      <c r="AB52" s="27"/>
      <c r="AC52" s="6"/>
      <c r="AD52" s="6"/>
      <c r="AE52" s="17"/>
      <c r="AF52" s="6"/>
      <c r="AG52" s="6"/>
      <c r="AH52" s="6"/>
      <c r="AI52" s="16"/>
      <c r="AJ52" s="6"/>
      <c r="AK52" s="27"/>
      <c r="AL52" s="6"/>
      <c r="AM52" s="6"/>
      <c r="AN52" s="17"/>
      <c r="AO52" s="6"/>
      <c r="AP52" s="6"/>
      <c r="AQ52" s="6"/>
      <c r="AR52" s="16"/>
    </row>
    <row r="53" spans="1:44" x14ac:dyDescent="0.3">
      <c r="A53" s="27"/>
      <c r="B53" s="15"/>
      <c r="C53" s="15"/>
      <c r="D53" s="19"/>
      <c r="E53" s="19"/>
      <c r="F53" s="15"/>
      <c r="G53" s="6"/>
      <c r="H53" s="16"/>
      <c r="I53" s="6"/>
      <c r="J53" s="27"/>
      <c r="K53" s="15"/>
      <c r="L53" s="15"/>
      <c r="M53" s="19"/>
      <c r="N53" s="15"/>
      <c r="O53" s="15"/>
      <c r="P53" s="6"/>
      <c r="Q53" s="16"/>
      <c r="R53" s="6"/>
      <c r="S53" s="27"/>
      <c r="T53" s="15"/>
      <c r="U53" s="15"/>
      <c r="V53" s="19"/>
      <c r="W53" s="19"/>
      <c r="X53" s="15"/>
      <c r="Y53" s="6"/>
      <c r="Z53" s="16"/>
      <c r="AA53" s="6"/>
      <c r="AB53" s="27"/>
      <c r="AC53" s="15"/>
      <c r="AD53" s="15"/>
      <c r="AE53" s="19"/>
      <c r="AF53" s="15"/>
      <c r="AG53" s="15"/>
      <c r="AH53" s="6"/>
      <c r="AI53" s="16"/>
      <c r="AJ53" s="6"/>
      <c r="AK53" s="27"/>
      <c r="AL53" s="15"/>
      <c r="AM53" s="15"/>
      <c r="AN53" s="19"/>
      <c r="AO53" s="15"/>
      <c r="AP53" s="15"/>
      <c r="AQ53" s="6"/>
      <c r="AR53" s="16"/>
    </row>
    <row r="54" spans="1:44" x14ac:dyDescent="0.3">
      <c r="A54" s="27"/>
      <c r="B54" s="15"/>
      <c r="C54" s="15"/>
      <c r="D54" s="19"/>
      <c r="E54" s="19"/>
      <c r="F54" s="15"/>
      <c r="G54" s="6"/>
      <c r="H54" s="16"/>
      <c r="I54" s="6"/>
      <c r="J54" s="27"/>
      <c r="K54" s="15"/>
      <c r="L54" s="15"/>
      <c r="M54" s="19"/>
      <c r="N54" s="15"/>
      <c r="O54" s="15"/>
      <c r="P54" s="6"/>
      <c r="Q54" s="16"/>
      <c r="R54" s="6"/>
      <c r="S54" s="27"/>
      <c r="T54" s="15"/>
      <c r="U54" s="15"/>
      <c r="V54" s="19"/>
      <c r="W54" s="19"/>
      <c r="X54" s="15"/>
      <c r="Y54" s="6"/>
      <c r="Z54" s="16"/>
      <c r="AA54" s="6"/>
      <c r="AB54" s="27"/>
      <c r="AC54" s="15"/>
      <c r="AD54" s="15"/>
      <c r="AE54" s="19"/>
      <c r="AF54" s="15"/>
      <c r="AG54" s="15"/>
      <c r="AH54" s="6"/>
      <c r="AI54" s="16"/>
      <c r="AJ54" s="6"/>
      <c r="AK54" s="27"/>
      <c r="AL54" s="15"/>
      <c r="AM54" s="15"/>
      <c r="AN54" s="19"/>
      <c r="AO54" s="15"/>
      <c r="AP54" s="15"/>
      <c r="AQ54" s="6"/>
      <c r="AR54" s="16"/>
    </row>
    <row r="55" spans="1:44" ht="15" thickBot="1" x14ac:dyDescent="0.35">
      <c r="A55" s="567" t="s">
        <v>496</v>
      </c>
      <c r="B55" s="568"/>
      <c r="C55" s="568"/>
      <c r="D55" s="568"/>
      <c r="E55" s="568"/>
      <c r="F55" s="568"/>
      <c r="G55" s="568"/>
      <c r="H55" s="569"/>
      <c r="I55" s="6"/>
      <c r="J55" s="567" t="s">
        <v>496</v>
      </c>
      <c r="K55" s="568"/>
      <c r="L55" s="568"/>
      <c r="M55" s="568"/>
      <c r="N55" s="568"/>
      <c r="O55" s="568"/>
      <c r="P55" s="568"/>
      <c r="Q55" s="569"/>
      <c r="R55" s="6"/>
      <c r="S55" s="567" t="s">
        <v>496</v>
      </c>
      <c r="T55" s="568"/>
      <c r="U55" s="568"/>
      <c r="V55" s="568"/>
      <c r="W55" s="568"/>
      <c r="X55" s="568"/>
      <c r="Y55" s="568"/>
      <c r="Z55" s="569"/>
      <c r="AA55" s="6"/>
      <c r="AB55" s="567" t="s">
        <v>496</v>
      </c>
      <c r="AC55" s="568"/>
      <c r="AD55" s="568"/>
      <c r="AE55" s="568"/>
      <c r="AF55" s="568"/>
      <c r="AG55" s="568"/>
      <c r="AH55" s="568"/>
      <c r="AI55" s="569"/>
      <c r="AJ55" s="6"/>
      <c r="AK55" s="567" t="s">
        <v>497</v>
      </c>
      <c r="AL55" s="568"/>
      <c r="AM55" s="568"/>
      <c r="AN55" s="568"/>
      <c r="AO55" s="568"/>
      <c r="AP55" s="568"/>
      <c r="AQ55" s="568"/>
      <c r="AR55" s="569"/>
    </row>
  </sheetData>
  <mergeCells count="115">
    <mergeCell ref="A1:H1"/>
    <mergeCell ref="J1:Q1"/>
    <mergeCell ref="S1:Z1"/>
    <mergeCell ref="AB1:AI1"/>
    <mergeCell ref="AK1:AR1"/>
    <mergeCell ref="A2:H2"/>
    <mergeCell ref="J2:Q2"/>
    <mergeCell ref="S2:Z2"/>
    <mergeCell ref="AB2:AI2"/>
    <mergeCell ref="AK2:AR2"/>
    <mergeCell ref="A12:H12"/>
    <mergeCell ref="J12:Q12"/>
    <mergeCell ref="S12:Z12"/>
    <mergeCell ref="AB12:AI12"/>
    <mergeCell ref="AK12:AR12"/>
    <mergeCell ref="B13:C13"/>
    <mergeCell ref="K13:L13"/>
    <mergeCell ref="T13:U13"/>
    <mergeCell ref="AC13:AD13"/>
    <mergeCell ref="AL13:AM13"/>
    <mergeCell ref="B15:C16"/>
    <mergeCell ref="K15:L16"/>
    <mergeCell ref="T15:U16"/>
    <mergeCell ref="AC15:AD16"/>
    <mergeCell ref="AL15:AM16"/>
    <mergeCell ref="D17:G17"/>
    <mergeCell ref="M17:P17"/>
    <mergeCell ref="V17:Y17"/>
    <mergeCell ref="AE17:AH17"/>
    <mergeCell ref="AH20:AH21"/>
    <mergeCell ref="AN20:AN21"/>
    <mergeCell ref="AO20:AP21"/>
    <mergeCell ref="AQ20:AQ21"/>
    <mergeCell ref="AN17:AQ17"/>
    <mergeCell ref="D20:D21"/>
    <mergeCell ref="E20:F21"/>
    <mergeCell ref="G20:G21"/>
    <mergeCell ref="M20:M21"/>
    <mergeCell ref="N20:O21"/>
    <mergeCell ref="P20:P21"/>
    <mergeCell ref="V20:V21"/>
    <mergeCell ref="W20:X21"/>
    <mergeCell ref="Y20:Y21"/>
    <mergeCell ref="AF22:AF23"/>
    <mergeCell ref="AG22:AG23"/>
    <mergeCell ref="D22:D23"/>
    <mergeCell ref="E22:E23"/>
    <mergeCell ref="F22:F23"/>
    <mergeCell ref="M22:M23"/>
    <mergeCell ref="N22:N23"/>
    <mergeCell ref="O22:O23"/>
    <mergeCell ref="AE20:AE21"/>
    <mergeCell ref="AF20:AG21"/>
    <mergeCell ref="AN24:AN25"/>
    <mergeCell ref="AO24:AO25"/>
    <mergeCell ref="AP24:AP25"/>
    <mergeCell ref="AQ23:AR23"/>
    <mergeCell ref="D24:D25"/>
    <mergeCell ref="E24:E25"/>
    <mergeCell ref="F24:F25"/>
    <mergeCell ref="M24:M25"/>
    <mergeCell ref="N24:N25"/>
    <mergeCell ref="O24:O25"/>
    <mergeCell ref="V24:V25"/>
    <mergeCell ref="W24:W25"/>
    <mergeCell ref="X24:X25"/>
    <mergeCell ref="AN22:AN23"/>
    <mergeCell ref="AO22:AO23"/>
    <mergeCell ref="AP22:AP23"/>
    <mergeCell ref="G23:H23"/>
    <mergeCell ref="P23:Q23"/>
    <mergeCell ref="Y23:Z23"/>
    <mergeCell ref="AH23:AI23"/>
    <mergeCell ref="V22:V23"/>
    <mergeCell ref="W22:W23"/>
    <mergeCell ref="X22:X23"/>
    <mergeCell ref="AE22:AE23"/>
    <mergeCell ref="D26:D27"/>
    <mergeCell ref="E26:E27"/>
    <mergeCell ref="F26:F27"/>
    <mergeCell ref="M26:M27"/>
    <mergeCell ref="N26:N27"/>
    <mergeCell ref="O26:O27"/>
    <mergeCell ref="AE24:AE25"/>
    <mergeCell ref="AF24:AF25"/>
    <mergeCell ref="AG24:AG25"/>
    <mergeCell ref="AQ35:AR35"/>
    <mergeCell ref="E43:F43"/>
    <mergeCell ref="N43:O43"/>
    <mergeCell ref="W43:X43"/>
    <mergeCell ref="AF43:AG43"/>
    <mergeCell ref="AO43:AP43"/>
    <mergeCell ref="AN26:AN27"/>
    <mergeCell ref="AO26:AO27"/>
    <mergeCell ref="AP26:AP27"/>
    <mergeCell ref="G35:H35"/>
    <mergeCell ref="P35:Q35"/>
    <mergeCell ref="Y35:Z35"/>
    <mergeCell ref="AH35:AI35"/>
    <mergeCell ref="V26:V27"/>
    <mergeCell ref="W26:W27"/>
    <mergeCell ref="X26:X27"/>
    <mergeCell ref="AE26:AE27"/>
    <mergeCell ref="AF26:AF27"/>
    <mergeCell ref="AG26:AG27"/>
    <mergeCell ref="E44:F44"/>
    <mergeCell ref="N44:O44"/>
    <mergeCell ref="W44:X44"/>
    <mergeCell ref="AF44:AG44"/>
    <mergeCell ref="AO44:AP44"/>
    <mergeCell ref="A55:H55"/>
    <mergeCell ref="J55:Q55"/>
    <mergeCell ref="S55:Z55"/>
    <mergeCell ref="AB55:AI55"/>
    <mergeCell ref="AK55:AR55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95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Q167"/>
  <sheetViews>
    <sheetView showGridLines="0" view="pageBreakPreview" zoomScale="115" zoomScaleNormal="70" zoomScaleSheetLayoutView="115" workbookViewId="0">
      <selection activeCell="A12" sqref="A12:H12"/>
    </sheetView>
  </sheetViews>
  <sheetFormatPr defaultRowHeight="14.4" x14ac:dyDescent="0.3"/>
  <cols>
    <col min="2" max="2" width="13.6640625" customWidth="1"/>
    <col min="3" max="3" width="9.33203125" customWidth="1"/>
    <col min="9" max="9" width="3.33203125" customWidth="1"/>
    <col min="11" max="11" width="12.33203125" bestFit="1" customWidth="1"/>
    <col min="17" max="17" width="10.88671875" customWidth="1"/>
  </cols>
  <sheetData>
    <row r="1" spans="1:17" s="359" customFormat="1" ht="19.8" x14ac:dyDescent="0.4">
      <c r="A1" s="580" t="s">
        <v>498</v>
      </c>
      <c r="B1" s="581"/>
      <c r="C1" s="581"/>
      <c r="D1" s="581"/>
      <c r="E1" s="581"/>
      <c r="F1" s="581"/>
      <c r="G1" s="581"/>
      <c r="H1" s="582"/>
      <c r="J1" s="580" t="s">
        <v>499</v>
      </c>
      <c r="K1" s="581"/>
      <c r="L1" s="581"/>
      <c r="M1" s="581"/>
      <c r="N1" s="581"/>
      <c r="O1" s="581"/>
      <c r="P1" s="581"/>
      <c r="Q1" s="582"/>
    </row>
    <row r="2" spans="1:17" x14ac:dyDescent="0.3">
      <c r="A2" s="499" t="s">
        <v>483</v>
      </c>
      <c r="B2" s="500"/>
      <c r="C2" s="500"/>
      <c r="D2" s="500"/>
      <c r="E2" s="500"/>
      <c r="F2" s="500"/>
      <c r="G2" s="500"/>
      <c r="H2" s="501"/>
      <c r="J2" s="499" t="s">
        <v>483</v>
      </c>
      <c r="K2" s="500"/>
      <c r="L2" s="500"/>
      <c r="M2" s="500"/>
      <c r="N2" s="500"/>
      <c r="O2" s="500"/>
      <c r="P2" s="500"/>
      <c r="Q2" s="501"/>
    </row>
    <row r="3" spans="1:17" x14ac:dyDescent="0.3">
      <c r="A3" s="7"/>
      <c r="B3" s="6" t="s">
        <v>484</v>
      </c>
      <c r="C3" s="250">
        <v>260</v>
      </c>
      <c r="D3" s="241" t="s">
        <v>43</v>
      </c>
      <c r="E3" s="17"/>
      <c r="F3" s="12" t="s">
        <v>28</v>
      </c>
      <c r="G3" s="379">
        <v>20.7</v>
      </c>
      <c r="H3" s="242" t="s">
        <v>25</v>
      </c>
      <c r="J3" s="7"/>
      <c r="K3" s="6" t="s">
        <v>484</v>
      </c>
      <c r="L3" s="250">
        <v>320</v>
      </c>
      <c r="M3" s="241" t="s">
        <v>43</v>
      </c>
      <c r="N3" s="17"/>
      <c r="O3" s="12" t="s">
        <v>28</v>
      </c>
      <c r="P3" s="379">
        <v>20.7</v>
      </c>
      <c r="Q3" s="242" t="s">
        <v>25</v>
      </c>
    </row>
    <row r="4" spans="1:17" x14ac:dyDescent="0.3">
      <c r="A4" s="7"/>
      <c r="B4" s="12" t="s">
        <v>485</v>
      </c>
      <c r="C4" s="22">
        <v>250</v>
      </c>
      <c r="D4" s="241" t="s">
        <v>43</v>
      </c>
      <c r="E4" s="17"/>
      <c r="F4" s="12" t="s">
        <v>486</v>
      </c>
      <c r="G4" s="379">
        <v>276</v>
      </c>
      <c r="H4" s="242" t="s">
        <v>25</v>
      </c>
      <c r="J4" s="7"/>
      <c r="K4" s="12" t="s">
        <v>485</v>
      </c>
      <c r="L4" s="22">
        <v>300</v>
      </c>
      <c r="M4" s="241" t="s">
        <v>43</v>
      </c>
      <c r="N4" s="17"/>
      <c r="O4" s="12" t="s">
        <v>486</v>
      </c>
      <c r="P4" s="379">
        <v>276</v>
      </c>
      <c r="Q4" s="242" t="s">
        <v>25</v>
      </c>
    </row>
    <row r="5" spans="1:17" x14ac:dyDescent="0.3">
      <c r="A5" s="27"/>
      <c r="B5" s="6" t="s">
        <v>487</v>
      </c>
      <c r="C5" s="250">
        <v>19.1326</v>
      </c>
      <c r="D5" s="17" t="s">
        <v>488</v>
      </c>
      <c r="E5" s="17"/>
      <c r="F5" s="12" t="s">
        <v>489</v>
      </c>
      <c r="G5" s="379">
        <v>0.75</v>
      </c>
      <c r="H5" s="16"/>
      <c r="J5" s="27"/>
      <c r="K5" s="6" t="s">
        <v>487</v>
      </c>
      <c r="L5" s="250">
        <v>35.3887</v>
      </c>
      <c r="M5" s="17" t="s">
        <v>488</v>
      </c>
      <c r="N5" s="17"/>
      <c r="O5" s="12" t="s">
        <v>489</v>
      </c>
      <c r="P5" s="379">
        <v>0.75</v>
      </c>
      <c r="Q5" s="16"/>
    </row>
    <row r="6" spans="1:17" x14ac:dyDescent="0.3">
      <c r="A6" s="27"/>
      <c r="B6" s="6" t="s">
        <v>490</v>
      </c>
      <c r="C6" s="250">
        <v>1.9</v>
      </c>
      <c r="D6" s="17" t="s">
        <v>488</v>
      </c>
      <c r="E6" s="17"/>
      <c r="F6" s="6"/>
      <c r="G6" s="6"/>
      <c r="H6" s="16"/>
      <c r="J6" s="27"/>
      <c r="K6" s="6" t="s">
        <v>490</v>
      </c>
      <c r="L6" s="250">
        <v>7.5362</v>
      </c>
      <c r="M6" s="17" t="s">
        <v>488</v>
      </c>
      <c r="N6" s="17"/>
      <c r="O6" s="6"/>
      <c r="P6" s="6"/>
      <c r="Q6" s="16"/>
    </row>
    <row r="7" spans="1:17" x14ac:dyDescent="0.3">
      <c r="A7" s="27"/>
      <c r="B7" s="6" t="s">
        <v>491</v>
      </c>
      <c r="C7" s="250">
        <v>28.763000000000002</v>
      </c>
      <c r="D7" s="17" t="s">
        <v>488</v>
      </c>
      <c r="E7" s="17"/>
      <c r="F7" s="6"/>
      <c r="G7" s="6"/>
      <c r="H7" s="16"/>
      <c r="J7" s="27"/>
      <c r="K7" s="6" t="s">
        <v>491</v>
      </c>
      <c r="L7" s="250">
        <v>30.382000000000001</v>
      </c>
      <c r="M7" s="17" t="s">
        <v>488</v>
      </c>
      <c r="N7" s="17"/>
      <c r="O7" s="6"/>
      <c r="P7" s="6"/>
      <c r="Q7" s="16"/>
    </row>
    <row r="8" spans="1:17" x14ac:dyDescent="0.3">
      <c r="A8" s="27"/>
      <c r="B8" s="12" t="s">
        <v>492</v>
      </c>
      <c r="C8" s="20">
        <f>MAX(E10:E11)</f>
        <v>53.622119999999995</v>
      </c>
      <c r="D8" s="241" t="s">
        <v>138</v>
      </c>
      <c r="E8" s="17"/>
      <c r="F8" s="6"/>
      <c r="G8" s="6"/>
      <c r="H8" s="16"/>
      <c r="J8" s="27"/>
      <c r="K8" s="12" t="s">
        <v>492</v>
      </c>
      <c r="L8" s="20">
        <f>MAX(N10:N11)</f>
        <v>80.384640000000005</v>
      </c>
      <c r="M8" s="241" t="s">
        <v>138</v>
      </c>
      <c r="N8" s="17"/>
      <c r="O8" s="6"/>
      <c r="P8" s="6"/>
      <c r="Q8" s="16"/>
    </row>
    <row r="9" spans="1:17" x14ac:dyDescent="0.3">
      <c r="A9" s="27"/>
      <c r="B9" s="12" t="s">
        <v>493</v>
      </c>
      <c r="C9" s="10">
        <v>10</v>
      </c>
      <c r="D9" s="241" t="s">
        <v>43</v>
      </c>
      <c r="E9" s="241"/>
      <c r="F9" s="12"/>
      <c r="G9" s="12"/>
      <c r="H9" s="242"/>
      <c r="J9" s="27"/>
      <c r="K9" s="12" t="s">
        <v>493</v>
      </c>
      <c r="L9" s="10">
        <v>10</v>
      </c>
      <c r="M9" s="241" t="s">
        <v>43</v>
      </c>
      <c r="N9" s="241"/>
      <c r="O9" s="12"/>
      <c r="P9" s="12"/>
      <c r="Q9" s="242"/>
    </row>
    <row r="10" spans="1:17" x14ac:dyDescent="0.3">
      <c r="A10" s="27"/>
      <c r="B10" s="6"/>
      <c r="C10" s="15" t="s">
        <v>494</v>
      </c>
      <c r="D10" s="19"/>
      <c r="E10" s="17">
        <f>1.2*C5+1.6*C6</f>
        <v>25.999119999999998</v>
      </c>
      <c r="F10" s="6"/>
      <c r="G10" s="12" t="s">
        <v>138</v>
      </c>
      <c r="H10" s="16"/>
      <c r="J10" s="27"/>
      <c r="K10" s="6"/>
      <c r="L10" s="15" t="s">
        <v>494</v>
      </c>
      <c r="M10" s="19"/>
      <c r="N10" s="17">
        <f>1.2*L5+1.6*L6</f>
        <v>54.524360000000001</v>
      </c>
      <c r="O10" s="6"/>
      <c r="P10" s="12" t="s">
        <v>138</v>
      </c>
      <c r="Q10" s="16"/>
    </row>
    <row r="11" spans="1:17" x14ac:dyDescent="0.3">
      <c r="A11" s="27"/>
      <c r="B11" s="6"/>
      <c r="C11" s="15" t="s">
        <v>587</v>
      </c>
      <c r="D11" s="19"/>
      <c r="E11" s="17">
        <f>1.2*C5+C6+C7</f>
        <v>53.622119999999995</v>
      </c>
      <c r="F11" s="6"/>
      <c r="G11" s="12" t="s">
        <v>138</v>
      </c>
      <c r="H11" s="16"/>
      <c r="J11" s="27"/>
      <c r="K11" s="6"/>
      <c r="L11" s="15" t="s">
        <v>587</v>
      </c>
      <c r="M11" s="19"/>
      <c r="N11" s="17">
        <f>1.2*L5+L6+1*L7</f>
        <v>80.384640000000005</v>
      </c>
      <c r="O11" s="6"/>
      <c r="P11" s="12" t="s">
        <v>138</v>
      </c>
      <c r="Q11" s="16"/>
    </row>
    <row r="12" spans="1:17" x14ac:dyDescent="0.3">
      <c r="A12" s="577" t="s">
        <v>495</v>
      </c>
      <c r="B12" s="578"/>
      <c r="C12" s="578"/>
      <c r="D12" s="578"/>
      <c r="E12" s="578"/>
      <c r="F12" s="578"/>
      <c r="G12" s="578"/>
      <c r="H12" s="579"/>
      <c r="J12" s="577" t="s">
        <v>495</v>
      </c>
      <c r="K12" s="578"/>
      <c r="L12" s="578"/>
      <c r="M12" s="578"/>
      <c r="N12" s="578"/>
      <c r="O12" s="578"/>
      <c r="P12" s="578"/>
      <c r="Q12" s="579"/>
    </row>
    <row r="13" spans="1:17" x14ac:dyDescent="0.3">
      <c r="A13" s="27"/>
      <c r="B13" s="566"/>
      <c r="C13" s="566"/>
      <c r="D13" s="17">
        <f>0.17*C4*C3*SQRT(G3)/1000</f>
        <v>50.274464194061778</v>
      </c>
      <c r="E13" s="241" t="s">
        <v>138</v>
      </c>
      <c r="F13" s="12"/>
      <c r="G13" s="6"/>
      <c r="H13" s="16"/>
      <c r="J13" s="27"/>
      <c r="K13" s="566"/>
      <c r="L13" s="566"/>
      <c r="M13" s="17">
        <f>0.17*L4*L3*SQRT(P3)/1000</f>
        <v>74.251516348152791</v>
      </c>
      <c r="N13" s="241" t="s">
        <v>138</v>
      </c>
      <c r="O13" s="12"/>
      <c r="P13" s="6"/>
      <c r="Q13" s="16"/>
    </row>
    <row r="14" spans="1:17" x14ac:dyDescent="0.3">
      <c r="A14" s="341" t="s">
        <v>139</v>
      </c>
      <c r="B14" s="6"/>
      <c r="C14" s="6"/>
      <c r="D14" s="17"/>
      <c r="E14" s="17"/>
      <c r="F14" s="6"/>
      <c r="G14" s="6"/>
      <c r="H14" s="16"/>
      <c r="J14" s="341" t="s">
        <v>139</v>
      </c>
      <c r="K14" s="6"/>
      <c r="L14" s="6"/>
      <c r="M14" s="17"/>
      <c r="N14" s="17"/>
      <c r="O14" s="6"/>
      <c r="P14" s="6"/>
      <c r="Q14" s="16"/>
    </row>
    <row r="15" spans="1:17" x14ac:dyDescent="0.3">
      <c r="A15" s="27"/>
      <c r="B15" s="566" t="s">
        <v>129</v>
      </c>
      <c r="C15" s="566"/>
      <c r="D15" s="241">
        <f>C8</f>
        <v>53.622119999999995</v>
      </c>
      <c r="E15" s="41" t="s">
        <v>551</v>
      </c>
      <c r="F15" s="243">
        <f>G5*D13/2</f>
        <v>18.852924072773167</v>
      </c>
      <c r="G15" s="6"/>
      <c r="H15" s="342" t="str">
        <f>IF(D15&lt;=F15,"True","False")</f>
        <v>False</v>
      </c>
      <c r="J15" s="27"/>
      <c r="K15" s="566" t="s">
        <v>129</v>
      </c>
      <c r="L15" s="566"/>
      <c r="M15" s="241">
        <f>L8</f>
        <v>80.384640000000005</v>
      </c>
      <c r="N15" s="41" t="s">
        <v>551</v>
      </c>
      <c r="O15" s="243">
        <f>P5*M13/2</f>
        <v>27.844318630557297</v>
      </c>
      <c r="P15" s="6"/>
      <c r="Q15" s="342" t="str">
        <f>IF(M15&lt;=O15,"True","False")</f>
        <v>False</v>
      </c>
    </row>
    <row r="16" spans="1:17" x14ac:dyDescent="0.3">
      <c r="A16" s="27"/>
      <c r="B16" s="566"/>
      <c r="C16" s="566"/>
      <c r="D16" s="17"/>
      <c r="E16" s="17"/>
      <c r="F16" s="6"/>
      <c r="G16" s="6"/>
      <c r="H16" s="16"/>
      <c r="J16" s="27"/>
      <c r="K16" s="566"/>
      <c r="L16" s="566"/>
      <c r="M16" s="17"/>
      <c r="N16" s="17"/>
      <c r="O16" s="6"/>
      <c r="P16" s="6"/>
      <c r="Q16" s="16"/>
    </row>
    <row r="17" spans="1:17" x14ac:dyDescent="0.3">
      <c r="A17" s="27"/>
      <c r="B17" s="6"/>
      <c r="C17" s="6"/>
      <c r="D17" s="576" t="s">
        <v>140</v>
      </c>
      <c r="E17" s="576"/>
      <c r="F17" s="576"/>
      <c r="G17" s="576"/>
      <c r="H17" s="16"/>
      <c r="J17" s="27"/>
      <c r="K17" s="6"/>
      <c r="L17" s="6"/>
      <c r="M17" s="576" t="s">
        <v>140</v>
      </c>
      <c r="N17" s="576"/>
      <c r="O17" s="576"/>
      <c r="P17" s="576"/>
      <c r="Q17" s="16"/>
    </row>
    <row r="18" spans="1:17" x14ac:dyDescent="0.3">
      <c r="A18" s="341" t="s">
        <v>141</v>
      </c>
      <c r="B18" s="6"/>
      <c r="C18" s="6"/>
      <c r="D18" s="17"/>
      <c r="E18" s="343"/>
      <c r="F18" s="28"/>
      <c r="G18" s="6"/>
      <c r="H18" s="16"/>
      <c r="J18" s="341" t="s">
        <v>141</v>
      </c>
      <c r="K18" s="6"/>
      <c r="L18" s="6"/>
      <c r="M18" s="17"/>
      <c r="N18" s="343"/>
      <c r="O18" s="28"/>
      <c r="P18" s="6"/>
      <c r="Q18" s="16"/>
    </row>
    <row r="19" spans="1:17" x14ac:dyDescent="0.3">
      <c r="A19" s="244"/>
      <c r="B19" s="10" t="s">
        <v>142</v>
      </c>
      <c r="C19" s="6"/>
      <c r="D19" s="245">
        <f>3.14159*2*C9*C9/4</f>
        <v>157.0795</v>
      </c>
      <c r="E19" s="227" t="s">
        <v>57</v>
      </c>
      <c r="F19" s="246"/>
      <c r="G19" s="6"/>
      <c r="H19" s="16"/>
      <c r="J19" s="244"/>
      <c r="K19" s="10" t="s">
        <v>142</v>
      </c>
      <c r="L19" s="6"/>
      <c r="M19" s="245">
        <f>3.14159*2*L9*L9/4</f>
        <v>157.0795</v>
      </c>
      <c r="N19" s="227" t="s">
        <v>57</v>
      </c>
      <c r="O19" s="246"/>
      <c r="P19" s="6"/>
      <c r="Q19" s="16"/>
    </row>
    <row r="20" spans="1:17" x14ac:dyDescent="0.3">
      <c r="A20" s="27"/>
      <c r="B20" s="15"/>
      <c r="C20" s="15"/>
      <c r="D20" s="551">
        <f>G5*D13/2</f>
        <v>18.852924072773167</v>
      </c>
      <c r="E20" s="574">
        <f>C8</f>
        <v>53.622119999999995</v>
      </c>
      <c r="F20" s="574"/>
      <c r="G20" s="574">
        <f>G5*D13</f>
        <v>37.705848145546334</v>
      </c>
      <c r="H20" s="342" t="str">
        <f>IF(AND(D20&lt;E20,E20&lt;=G20),"True","False")</f>
        <v>False</v>
      </c>
      <c r="J20" s="27"/>
      <c r="K20" s="15"/>
      <c r="L20" s="15"/>
      <c r="M20" s="551">
        <f>P5*M13/2</f>
        <v>27.844318630557297</v>
      </c>
      <c r="N20" s="574">
        <f>L8</f>
        <v>80.384640000000005</v>
      </c>
      <c r="O20" s="574"/>
      <c r="P20" s="574">
        <f>P5*M13</f>
        <v>55.688637261114593</v>
      </c>
      <c r="Q20" s="342" t="str">
        <f>IF(AND(M20&lt;N20,N20&lt;=P20),"True","False")</f>
        <v>False</v>
      </c>
    </row>
    <row r="21" spans="1:17" x14ac:dyDescent="0.3">
      <c r="A21" s="27"/>
      <c r="B21" s="15"/>
      <c r="C21" s="15"/>
      <c r="D21" s="551"/>
      <c r="E21" s="574"/>
      <c r="F21" s="574"/>
      <c r="G21" s="574"/>
      <c r="H21" s="16"/>
      <c r="J21" s="27"/>
      <c r="K21" s="15"/>
      <c r="L21" s="15"/>
      <c r="M21" s="551"/>
      <c r="N21" s="574"/>
      <c r="O21" s="574"/>
      <c r="P21" s="574"/>
      <c r="Q21" s="16"/>
    </row>
    <row r="22" spans="1:17" x14ac:dyDescent="0.3">
      <c r="A22" s="27"/>
      <c r="B22" s="15"/>
      <c r="C22" s="15"/>
      <c r="D22" s="551">
        <f>D19*G4/(0.062*C4*SQRT(G3))</f>
        <v>614.76866235555894</v>
      </c>
      <c r="E22" s="575" t="s">
        <v>42</v>
      </c>
      <c r="F22" s="574">
        <f>_xlfn.FLOOR.MATH(D22,10)</f>
        <v>610</v>
      </c>
      <c r="G22" s="6"/>
      <c r="H22" s="16"/>
      <c r="J22" s="27"/>
      <c r="K22" s="15"/>
      <c r="L22" s="15"/>
      <c r="M22" s="551">
        <f>M19*P4/(0.062*L4*SQRT(P3))</f>
        <v>512.30721862963242</v>
      </c>
      <c r="N22" s="575" t="s">
        <v>42</v>
      </c>
      <c r="O22" s="574">
        <f>_xlfn.FLOOR.MATH(M22,10)</f>
        <v>510</v>
      </c>
      <c r="P22" s="6"/>
      <c r="Q22" s="16"/>
    </row>
    <row r="23" spans="1:17" x14ac:dyDescent="0.3">
      <c r="A23" s="27"/>
      <c r="B23" s="15"/>
      <c r="C23" s="15"/>
      <c r="D23" s="551"/>
      <c r="E23" s="575"/>
      <c r="F23" s="574"/>
      <c r="G23" s="570" t="s">
        <v>143</v>
      </c>
      <c r="H23" s="571"/>
      <c r="J23" s="27"/>
      <c r="K23" s="15"/>
      <c r="L23" s="15"/>
      <c r="M23" s="551"/>
      <c r="N23" s="575"/>
      <c r="O23" s="574"/>
      <c r="P23" s="570" t="s">
        <v>143</v>
      </c>
      <c r="Q23" s="571"/>
    </row>
    <row r="24" spans="1:17" x14ac:dyDescent="0.3">
      <c r="A24" s="27"/>
      <c r="B24" s="15"/>
      <c r="C24" s="15"/>
      <c r="D24" s="551">
        <f>D19*G4/(0.35*C4)</f>
        <v>495.4736228571428</v>
      </c>
      <c r="E24" s="575" t="s">
        <v>42</v>
      </c>
      <c r="F24" s="574">
        <f>_xlfn.FLOOR.MATH(D24,10)</f>
        <v>490</v>
      </c>
      <c r="G24" s="18">
        <f>MIN(F22,F24,F26)</f>
        <v>130</v>
      </c>
      <c r="H24" s="278" t="s">
        <v>43</v>
      </c>
      <c r="J24" s="27"/>
      <c r="K24" s="15"/>
      <c r="L24" s="15"/>
      <c r="M24" s="551">
        <f>M19*P4/(0.35*L4)</f>
        <v>412.89468571428569</v>
      </c>
      <c r="N24" s="575" t="s">
        <v>42</v>
      </c>
      <c r="O24" s="574">
        <f>_xlfn.FLOOR.MATH(M24,10)</f>
        <v>410</v>
      </c>
      <c r="P24" s="18">
        <f>MIN(O22,O24,O26)</f>
        <v>160</v>
      </c>
      <c r="Q24" s="278" t="s">
        <v>43</v>
      </c>
    </row>
    <row r="25" spans="1:17" x14ac:dyDescent="0.3">
      <c r="A25" s="27"/>
      <c r="B25" s="15"/>
      <c r="C25" s="15"/>
      <c r="D25" s="551"/>
      <c r="E25" s="575"/>
      <c r="F25" s="574"/>
      <c r="G25" s="6"/>
      <c r="H25" s="16"/>
      <c r="J25" s="27"/>
      <c r="K25" s="15"/>
      <c r="L25" s="15"/>
      <c r="M25" s="551"/>
      <c r="N25" s="575"/>
      <c r="O25" s="574"/>
      <c r="P25" s="6"/>
      <c r="Q25" s="16"/>
    </row>
    <row r="26" spans="1:17" x14ac:dyDescent="0.3">
      <c r="A26" s="27"/>
      <c r="B26" s="15"/>
      <c r="C26" s="6"/>
      <c r="D26" s="551">
        <f>C3/2</f>
        <v>130</v>
      </c>
      <c r="E26" s="575" t="s">
        <v>42</v>
      </c>
      <c r="F26" s="574">
        <f>_xlfn.FLOOR.MATH(D26,10)</f>
        <v>130</v>
      </c>
      <c r="G26" s="6"/>
      <c r="H26" s="16"/>
      <c r="J26" s="27"/>
      <c r="K26" s="15"/>
      <c r="L26" s="6"/>
      <c r="M26" s="551">
        <f>L3/2</f>
        <v>160</v>
      </c>
      <c r="N26" s="575" t="s">
        <v>42</v>
      </c>
      <c r="O26" s="574">
        <f>_xlfn.FLOOR.MATH(M26,10)</f>
        <v>160</v>
      </c>
      <c r="P26" s="6"/>
      <c r="Q26" s="16"/>
    </row>
    <row r="27" spans="1:17" x14ac:dyDescent="0.3">
      <c r="A27" s="27"/>
      <c r="B27" s="15"/>
      <c r="C27" s="6"/>
      <c r="D27" s="551"/>
      <c r="E27" s="575"/>
      <c r="F27" s="574"/>
      <c r="G27" s="6"/>
      <c r="H27" s="16"/>
      <c r="J27" s="27"/>
      <c r="K27" s="15"/>
      <c r="L27" s="6"/>
      <c r="M27" s="551"/>
      <c r="N27" s="575"/>
      <c r="O27" s="574"/>
      <c r="P27" s="6"/>
      <c r="Q27" s="16"/>
    </row>
    <row r="28" spans="1:17" x14ac:dyDescent="0.3">
      <c r="A28" s="341" t="s">
        <v>144</v>
      </c>
      <c r="B28" s="6"/>
      <c r="C28" s="6"/>
      <c r="D28" s="17"/>
      <c r="E28" s="17"/>
      <c r="F28" s="6"/>
      <c r="G28" s="6"/>
      <c r="H28" s="16"/>
      <c r="J28" s="341" t="s">
        <v>144</v>
      </c>
      <c r="K28" s="6"/>
      <c r="L28" s="6"/>
      <c r="M28" s="17"/>
      <c r="N28" s="17"/>
      <c r="O28" s="6"/>
      <c r="P28" s="6"/>
      <c r="Q28" s="16"/>
    </row>
    <row r="29" spans="1:17" x14ac:dyDescent="0.3">
      <c r="A29" s="244"/>
      <c r="B29" s="15"/>
      <c r="C29" s="15"/>
      <c r="D29" s="245">
        <f>(C8/G5)-D13</f>
        <v>21.221695805938211</v>
      </c>
      <c r="E29" s="227" t="s">
        <v>138</v>
      </c>
      <c r="F29" s="246"/>
      <c r="G29" s="6"/>
      <c r="H29" s="16"/>
      <c r="J29" s="244"/>
      <c r="K29" s="15"/>
      <c r="L29" s="15"/>
      <c r="M29" s="245">
        <f>(L8/P5)-M13</f>
        <v>32.92800365184722</v>
      </c>
      <c r="N29" s="227" t="s">
        <v>138</v>
      </c>
      <c r="O29" s="246"/>
      <c r="P29" s="6"/>
      <c r="Q29" s="16"/>
    </row>
    <row r="30" spans="1:17" x14ac:dyDescent="0.3">
      <c r="A30" s="27"/>
      <c r="B30" s="15"/>
      <c r="C30" s="15"/>
      <c r="D30" s="241">
        <f>(C8/G5)-D13</f>
        <v>21.221695805938211</v>
      </c>
      <c r="E30" s="45" t="s">
        <v>552</v>
      </c>
      <c r="F30" s="11">
        <f>0.33*C4*C3*SQRT(G3)/1000</f>
        <v>97.591606964943452</v>
      </c>
      <c r="G30" s="6"/>
      <c r="H30" s="342" t="str">
        <f>IF(D30&lt;=F30,"True","False")</f>
        <v>True</v>
      </c>
      <c r="J30" s="27"/>
      <c r="K30" s="15"/>
      <c r="L30" s="15"/>
      <c r="M30" s="241">
        <f>(L8/P5)-M13</f>
        <v>32.92800365184722</v>
      </c>
      <c r="N30" s="45" t="s">
        <v>552</v>
      </c>
      <c r="O30" s="11">
        <f>0.33*L4*L3*SQRT(P3)/1000</f>
        <v>144.13529644053187</v>
      </c>
      <c r="P30" s="6"/>
      <c r="Q30" s="342" t="str">
        <f>IF(M30&lt;=O30,"True","False")</f>
        <v>True</v>
      </c>
    </row>
    <row r="31" spans="1:17" x14ac:dyDescent="0.3">
      <c r="A31" s="27"/>
      <c r="B31" s="15"/>
      <c r="C31" s="15"/>
      <c r="D31" s="241">
        <f>C8</f>
        <v>53.622119999999995</v>
      </c>
      <c r="E31" s="45" t="s">
        <v>552</v>
      </c>
      <c r="F31" s="12">
        <f>3*G5*D13</f>
        <v>113.11754443663901</v>
      </c>
      <c r="G31" s="6"/>
      <c r="H31" s="342" t="str">
        <f>IF(D31&lt;=F31,"True","False")</f>
        <v>True</v>
      </c>
      <c r="J31" s="27"/>
      <c r="K31" s="15"/>
      <c r="L31" s="15"/>
      <c r="M31" s="241">
        <f>L8</f>
        <v>80.384640000000005</v>
      </c>
      <c r="N31" s="45" t="s">
        <v>552</v>
      </c>
      <c r="O31" s="12">
        <f>3*P5*M13</f>
        <v>167.06591178334378</v>
      </c>
      <c r="P31" s="6"/>
      <c r="Q31" s="342" t="str">
        <f>IF(M31&lt;=O31,"True","False")</f>
        <v>True</v>
      </c>
    </row>
    <row r="32" spans="1:17" x14ac:dyDescent="0.3">
      <c r="A32" s="27"/>
      <c r="B32" s="6"/>
      <c r="C32" s="6"/>
      <c r="D32" s="17"/>
      <c r="E32" s="17"/>
      <c r="F32" s="6"/>
      <c r="G32" s="6"/>
      <c r="H32" s="16"/>
      <c r="J32" s="27"/>
      <c r="K32" s="6"/>
      <c r="L32" s="6"/>
      <c r="M32" s="17"/>
      <c r="N32" s="17"/>
      <c r="O32" s="6"/>
      <c r="P32" s="6"/>
      <c r="Q32" s="16"/>
    </row>
    <row r="33" spans="1:17" x14ac:dyDescent="0.3">
      <c r="A33" s="27"/>
      <c r="B33" s="15"/>
      <c r="C33" s="15"/>
      <c r="D33" s="241">
        <f>D22</f>
        <v>614.76866235555894</v>
      </c>
      <c r="E33" s="20" t="s">
        <v>42</v>
      </c>
      <c r="F33" s="12">
        <f>_xlfn.FLOOR.MATH(D33,10)</f>
        <v>610</v>
      </c>
      <c r="G33" s="6"/>
      <c r="H33" s="16"/>
      <c r="J33" s="27"/>
      <c r="K33" s="15"/>
      <c r="L33" s="15"/>
      <c r="M33" s="241">
        <f>M22</f>
        <v>512.30721862963242</v>
      </c>
      <c r="N33" s="20" t="s">
        <v>42</v>
      </c>
      <c r="O33" s="12">
        <f>_xlfn.FLOOR.MATH(M33,10)</f>
        <v>510</v>
      </c>
      <c r="P33" s="6"/>
      <c r="Q33" s="16"/>
    </row>
    <row r="34" spans="1:17" x14ac:dyDescent="0.3">
      <c r="A34" s="27"/>
      <c r="B34" s="15"/>
      <c r="C34" s="15"/>
      <c r="D34" s="17"/>
      <c r="E34" s="17"/>
      <c r="F34" s="6"/>
      <c r="G34" s="6"/>
      <c r="H34" s="16"/>
      <c r="J34" s="27"/>
      <c r="K34" s="15"/>
      <c r="L34" s="15"/>
      <c r="M34" s="17"/>
      <c r="N34" s="17"/>
      <c r="O34" s="6"/>
      <c r="P34" s="6"/>
      <c r="Q34" s="16"/>
    </row>
    <row r="35" spans="1:17" x14ac:dyDescent="0.3">
      <c r="A35" s="27"/>
      <c r="B35" s="15"/>
      <c r="C35" s="15"/>
      <c r="D35" s="241">
        <f>D24</f>
        <v>495.4736228571428</v>
      </c>
      <c r="E35" s="20" t="s">
        <v>42</v>
      </c>
      <c r="F35" s="12">
        <f>_xlfn.FLOOR.MATH(D35,10)</f>
        <v>490</v>
      </c>
      <c r="G35" s="570" t="s">
        <v>143</v>
      </c>
      <c r="H35" s="571"/>
      <c r="J35" s="27"/>
      <c r="K35" s="15"/>
      <c r="L35" s="15"/>
      <c r="M35" s="241">
        <f>M24</f>
        <v>412.89468571428569</v>
      </c>
      <c r="N35" s="20" t="s">
        <v>42</v>
      </c>
      <c r="O35" s="12">
        <f>_xlfn.FLOOR.MATH(M35,10)</f>
        <v>410</v>
      </c>
      <c r="P35" s="570" t="s">
        <v>143</v>
      </c>
      <c r="Q35" s="571"/>
    </row>
    <row r="36" spans="1:17" x14ac:dyDescent="0.3">
      <c r="A36" s="27"/>
      <c r="B36" s="15"/>
      <c r="C36" s="15"/>
      <c r="D36" s="17"/>
      <c r="E36" s="17"/>
      <c r="F36" s="6"/>
      <c r="G36" s="18">
        <f>MIN(F33,F35,F37,F39)</f>
        <v>130</v>
      </c>
      <c r="H36" s="247" t="s">
        <v>43</v>
      </c>
      <c r="J36" s="27"/>
      <c r="K36" s="15"/>
      <c r="L36" s="15"/>
      <c r="M36" s="17"/>
      <c r="N36" s="17"/>
      <c r="O36" s="6"/>
      <c r="P36" s="18">
        <f>MIN(O33,O35,O37,O39)</f>
        <v>160</v>
      </c>
      <c r="Q36" s="247" t="s">
        <v>43</v>
      </c>
    </row>
    <row r="37" spans="1:17" x14ac:dyDescent="0.3">
      <c r="A37" s="27"/>
      <c r="B37" s="15"/>
      <c r="C37" s="15"/>
      <c r="D37" s="241">
        <f>ABS(D19*G4*C3/(D29*1000))</f>
        <v>531.15571079130643</v>
      </c>
      <c r="E37" s="20" t="s">
        <v>42</v>
      </c>
      <c r="F37" s="12">
        <f>_xlfn.FLOOR.MATH(D37,10)</f>
        <v>530</v>
      </c>
      <c r="G37" s="6"/>
      <c r="H37" s="16"/>
      <c r="J37" s="27"/>
      <c r="K37" s="15"/>
      <c r="L37" s="15"/>
      <c r="M37" s="241">
        <f>ABS(M19*P4*L3/(M29*1000))</f>
        <v>421.32106114552516</v>
      </c>
      <c r="N37" s="20" t="s">
        <v>42</v>
      </c>
      <c r="O37" s="12">
        <f>_xlfn.FLOOR.MATH(M37,10)</f>
        <v>420</v>
      </c>
      <c r="P37" s="6"/>
      <c r="Q37" s="16"/>
    </row>
    <row r="38" spans="1:17" x14ac:dyDescent="0.3">
      <c r="A38" s="27"/>
      <c r="B38" s="15"/>
      <c r="C38" s="15"/>
      <c r="D38" s="17"/>
      <c r="E38" s="17"/>
      <c r="F38" s="6"/>
      <c r="G38" s="6"/>
      <c r="H38" s="16"/>
      <c r="J38" s="27"/>
      <c r="K38" s="15"/>
      <c r="L38" s="15"/>
      <c r="M38" s="17"/>
      <c r="N38" s="17"/>
      <c r="O38" s="6"/>
      <c r="P38" s="6"/>
      <c r="Q38" s="16"/>
    </row>
    <row r="39" spans="1:17" x14ac:dyDescent="0.3">
      <c r="A39" s="27"/>
      <c r="B39" s="15"/>
      <c r="C39" s="6"/>
      <c r="D39" s="241">
        <f>D26</f>
        <v>130</v>
      </c>
      <c r="E39" s="20" t="s">
        <v>42</v>
      </c>
      <c r="F39" s="12">
        <f>_xlfn.FLOOR.MATH(D39,10)</f>
        <v>130</v>
      </c>
      <c r="G39" s="6"/>
      <c r="H39" s="16"/>
      <c r="J39" s="27"/>
      <c r="K39" s="15"/>
      <c r="L39" s="6"/>
      <c r="M39" s="241">
        <f>M26</f>
        <v>160</v>
      </c>
      <c r="N39" s="20" t="s">
        <v>42</v>
      </c>
      <c r="O39" s="12">
        <f>_xlfn.FLOOR.MATH(M39,10)</f>
        <v>160</v>
      </c>
      <c r="P39" s="6"/>
      <c r="Q39" s="16"/>
    </row>
    <row r="40" spans="1:17" x14ac:dyDescent="0.3">
      <c r="A40" s="27"/>
      <c r="B40" s="15"/>
      <c r="C40" s="6"/>
      <c r="D40" s="17"/>
      <c r="E40" s="17"/>
      <c r="F40" s="6"/>
      <c r="G40" s="6"/>
      <c r="H40" s="16"/>
      <c r="J40" s="27"/>
      <c r="K40" s="15"/>
      <c r="L40" s="6"/>
      <c r="M40" s="17"/>
      <c r="N40" s="17"/>
      <c r="O40" s="6"/>
      <c r="P40" s="6"/>
      <c r="Q40" s="16"/>
    </row>
    <row r="41" spans="1:17" x14ac:dyDescent="0.3">
      <c r="A41" s="341" t="s">
        <v>145</v>
      </c>
      <c r="B41" s="6"/>
      <c r="C41" s="6"/>
      <c r="D41" s="17"/>
      <c r="E41" s="17"/>
      <c r="F41" s="6"/>
      <c r="G41" s="6"/>
      <c r="H41" s="16"/>
      <c r="J41" s="341" t="s">
        <v>145</v>
      </c>
      <c r="K41" s="6"/>
      <c r="L41" s="6"/>
      <c r="M41" s="17"/>
      <c r="N41" s="17"/>
      <c r="O41" s="6"/>
      <c r="P41" s="6"/>
      <c r="Q41" s="16"/>
    </row>
    <row r="42" spans="1:17" x14ac:dyDescent="0.3">
      <c r="A42" s="27"/>
      <c r="B42" s="15"/>
      <c r="C42" s="15"/>
      <c r="D42" s="245">
        <f>D29</f>
        <v>21.221695805938211</v>
      </c>
      <c r="E42" s="227" t="s">
        <v>138</v>
      </c>
      <c r="F42" s="246"/>
      <c r="G42" s="6"/>
      <c r="H42" s="16"/>
      <c r="J42" s="27"/>
      <c r="K42" s="15"/>
      <c r="L42" s="15"/>
      <c r="M42" s="245">
        <f>M29</f>
        <v>32.92800365184722</v>
      </c>
      <c r="N42" s="227" t="s">
        <v>138</v>
      </c>
      <c r="O42" s="246"/>
      <c r="P42" s="6"/>
      <c r="Q42" s="16"/>
    </row>
    <row r="43" spans="1:17" x14ac:dyDescent="0.3">
      <c r="A43" s="248"/>
      <c r="B43" s="15"/>
      <c r="C43" s="15"/>
      <c r="D43" s="241">
        <f>F30</f>
        <v>97.591606964943452</v>
      </c>
      <c r="E43" s="572">
        <f>D29</f>
        <v>21.221695805938211</v>
      </c>
      <c r="F43" s="572"/>
      <c r="G43" s="12">
        <f>0.66*C4*C3*SQRT(G3)/1000</f>
        <v>195.1832139298869</v>
      </c>
      <c r="H43" s="342" t="str">
        <f>IF(AND(D43&lt;E43,E43&lt;=G43),"True","False")</f>
        <v>False</v>
      </c>
      <c r="J43" s="248"/>
      <c r="K43" s="15"/>
      <c r="L43" s="15"/>
      <c r="M43" s="241">
        <f>O30</f>
        <v>144.13529644053187</v>
      </c>
      <c r="N43" s="572">
        <f>M29</f>
        <v>32.92800365184722</v>
      </c>
      <c r="O43" s="572"/>
      <c r="P43" s="12">
        <f>0.66*L4*L3*SQRT(P3)/1000</f>
        <v>288.27059288106375</v>
      </c>
      <c r="Q43" s="342" t="str">
        <f>IF(AND(M43&lt;N43,N43&lt;=P43),"True","False")</f>
        <v>False</v>
      </c>
    </row>
    <row r="44" spans="1:17" x14ac:dyDescent="0.3">
      <c r="A44" s="27"/>
      <c r="B44" s="15"/>
      <c r="C44" s="15"/>
      <c r="D44" s="241">
        <f>F31</f>
        <v>113.11754443663901</v>
      </c>
      <c r="E44" s="566">
        <f>D31</f>
        <v>53.622119999999995</v>
      </c>
      <c r="F44" s="566"/>
      <c r="G44" s="12">
        <f>5*G5*D13</f>
        <v>188.52924072773166</v>
      </c>
      <c r="H44" s="342" t="str">
        <f>IF(AND(D44&lt;E44,E44&lt;=G44),"True","False")</f>
        <v>False</v>
      </c>
      <c r="J44" s="27"/>
      <c r="K44" s="15"/>
      <c r="L44" s="15"/>
      <c r="M44" s="241">
        <f>O31</f>
        <v>167.06591178334378</v>
      </c>
      <c r="N44" s="566">
        <f>M31</f>
        <v>80.384640000000005</v>
      </c>
      <c r="O44" s="566"/>
      <c r="P44" s="12">
        <f>5*P5*M13</f>
        <v>278.44318630557297</v>
      </c>
      <c r="Q44" s="342" t="str">
        <f>IF(AND(M44&lt;N44,N44&lt;=P44),"True","False")</f>
        <v>False</v>
      </c>
    </row>
    <row r="45" spans="1:17" x14ac:dyDescent="0.3">
      <c r="A45" s="27"/>
      <c r="B45" s="6"/>
      <c r="C45" s="6"/>
      <c r="D45" s="17"/>
      <c r="E45" s="17"/>
      <c r="F45" s="6"/>
      <c r="G45" s="6"/>
      <c r="H45" s="16"/>
      <c r="J45" s="27"/>
      <c r="K45" s="6"/>
      <c r="L45" s="6"/>
      <c r="M45" s="17"/>
      <c r="N45" s="17"/>
      <c r="O45" s="6"/>
      <c r="P45" s="6"/>
      <c r="Q45" s="16"/>
    </row>
    <row r="46" spans="1:17" x14ac:dyDescent="0.3">
      <c r="A46" s="27"/>
      <c r="B46" s="15"/>
      <c r="C46" s="10" t="s">
        <v>32</v>
      </c>
      <c r="D46" s="241">
        <f>ABS(D37)</f>
        <v>531.15571079130643</v>
      </c>
      <c r="E46" s="249" t="s">
        <v>42</v>
      </c>
      <c r="F46" s="12">
        <f>_xlfn.FLOOR.MATH(D46,10)</f>
        <v>530</v>
      </c>
      <c r="G46" s="179" t="s">
        <v>143</v>
      </c>
      <c r="H46" s="16"/>
      <c r="J46" s="27"/>
      <c r="K46" s="15"/>
      <c r="L46" s="10" t="s">
        <v>32</v>
      </c>
      <c r="M46" s="241">
        <f>ABS(M37)</f>
        <v>421.32106114552516</v>
      </c>
      <c r="N46" s="249" t="s">
        <v>42</v>
      </c>
      <c r="O46" s="12">
        <f>_xlfn.FLOOR.MATH(M46,10)</f>
        <v>420</v>
      </c>
      <c r="P46" s="179" t="s">
        <v>143</v>
      </c>
      <c r="Q46" s="16"/>
    </row>
    <row r="47" spans="1:17" x14ac:dyDescent="0.3">
      <c r="A47" s="27"/>
      <c r="B47" s="15"/>
      <c r="C47" s="10"/>
      <c r="D47" s="17"/>
      <c r="E47" s="17"/>
      <c r="F47" s="6"/>
      <c r="G47" s="14">
        <f>MIN(F48,F46)</f>
        <v>60</v>
      </c>
      <c r="H47" s="16"/>
      <c r="J47" s="27"/>
      <c r="K47" s="15"/>
      <c r="L47" s="10"/>
      <c r="M47" s="17"/>
      <c r="N47" s="17"/>
      <c r="O47" s="6"/>
      <c r="P47" s="14">
        <f>MIN(O48,O46)</f>
        <v>80</v>
      </c>
      <c r="Q47" s="16"/>
    </row>
    <row r="48" spans="1:17" x14ac:dyDescent="0.3">
      <c r="A48" s="27"/>
      <c r="B48" s="15"/>
      <c r="C48" s="10" t="s">
        <v>32</v>
      </c>
      <c r="D48" s="241">
        <f>C3/4</f>
        <v>65</v>
      </c>
      <c r="E48" s="249" t="s">
        <v>42</v>
      </c>
      <c r="F48" s="12">
        <f>_xlfn.FLOOR.MATH(D48,10)</f>
        <v>60</v>
      </c>
      <c r="G48" s="6"/>
      <c r="H48" s="16"/>
      <c r="J48" s="27"/>
      <c r="K48" s="15"/>
      <c r="L48" s="10" t="s">
        <v>32</v>
      </c>
      <c r="M48" s="241">
        <f>L3/4</f>
        <v>80</v>
      </c>
      <c r="N48" s="249" t="s">
        <v>42</v>
      </c>
      <c r="O48" s="12">
        <f>_xlfn.FLOOR.MATH(M48,10)</f>
        <v>80</v>
      </c>
      <c r="P48" s="6"/>
      <c r="Q48" s="16"/>
    </row>
    <row r="49" spans="1:17" x14ac:dyDescent="0.3">
      <c r="A49" s="341" t="s">
        <v>146</v>
      </c>
      <c r="B49" s="6"/>
      <c r="C49" s="6"/>
      <c r="D49" s="17"/>
      <c r="E49" s="17"/>
      <c r="F49" s="6"/>
      <c r="G49" s="6"/>
      <c r="H49" s="16"/>
      <c r="J49" s="341" t="s">
        <v>146</v>
      </c>
      <c r="K49" s="6"/>
      <c r="L49" s="6"/>
      <c r="M49" s="17"/>
      <c r="N49" s="17"/>
      <c r="O49" s="6"/>
      <c r="P49" s="6"/>
      <c r="Q49" s="16"/>
    </row>
    <row r="50" spans="1:17" x14ac:dyDescent="0.3">
      <c r="A50" s="27"/>
      <c r="B50" s="179"/>
      <c r="C50" s="179"/>
      <c r="D50" s="241">
        <f>D42</f>
        <v>21.221695805938211</v>
      </c>
      <c r="E50" s="241">
        <f>G43</f>
        <v>195.1832139298869</v>
      </c>
      <c r="F50" s="11"/>
      <c r="G50" s="6"/>
      <c r="H50" s="342" t="str">
        <f>IF(D50&gt;E50,"True","False")</f>
        <v>False</v>
      </c>
      <c r="J50" s="27"/>
      <c r="K50" s="179"/>
      <c r="L50" s="179"/>
      <c r="M50" s="241">
        <f>M42</f>
        <v>32.92800365184722</v>
      </c>
      <c r="N50" s="241">
        <f>P43</f>
        <v>288.27059288106375</v>
      </c>
      <c r="O50" s="11"/>
      <c r="P50" s="6"/>
      <c r="Q50" s="342" t="str">
        <f>IF(M50&gt;N50,"True","False")</f>
        <v>False</v>
      </c>
    </row>
    <row r="51" spans="1:17" x14ac:dyDescent="0.3">
      <c r="A51" s="27"/>
      <c r="B51" s="15"/>
      <c r="C51" s="15"/>
      <c r="D51" s="241">
        <f>E44</f>
        <v>53.622119999999995</v>
      </c>
      <c r="E51" s="241">
        <f>G44</f>
        <v>188.52924072773166</v>
      </c>
      <c r="F51" s="12"/>
      <c r="G51" s="6"/>
      <c r="H51" s="342" t="str">
        <f>IF(D51&gt;E51,"True","False")</f>
        <v>False</v>
      </c>
      <c r="J51" s="27"/>
      <c r="K51" s="15"/>
      <c r="L51" s="15"/>
      <c r="M51" s="241">
        <f>N44</f>
        <v>80.384640000000005</v>
      </c>
      <c r="N51" s="241">
        <f>P44</f>
        <v>278.44318630557297</v>
      </c>
      <c r="O51" s="12"/>
      <c r="P51" s="6"/>
      <c r="Q51" s="342" t="str">
        <f>IF(M51&gt;N51,"True","False")</f>
        <v>False</v>
      </c>
    </row>
    <row r="52" spans="1:17" x14ac:dyDescent="0.3">
      <c r="A52" s="27"/>
      <c r="B52" s="6"/>
      <c r="C52" s="6"/>
      <c r="D52" s="17"/>
      <c r="E52" s="17"/>
      <c r="F52" s="6"/>
      <c r="G52" s="6"/>
      <c r="H52" s="16"/>
      <c r="J52" s="27"/>
      <c r="K52" s="6"/>
      <c r="L52" s="6"/>
      <c r="M52" s="17"/>
      <c r="N52" s="17"/>
      <c r="O52" s="6"/>
      <c r="P52" s="6"/>
      <c r="Q52" s="16"/>
    </row>
    <row r="53" spans="1:17" x14ac:dyDescent="0.3">
      <c r="A53" s="27"/>
      <c r="B53" s="15"/>
      <c r="C53" s="15"/>
      <c r="D53" s="19"/>
      <c r="E53" s="19"/>
      <c r="F53" s="15"/>
      <c r="G53" s="6"/>
      <c r="H53" s="16"/>
      <c r="J53" s="27"/>
      <c r="K53" s="15"/>
      <c r="L53" s="15"/>
      <c r="M53" s="19"/>
      <c r="N53" s="19"/>
      <c r="O53" s="15"/>
      <c r="P53" s="6"/>
      <c r="Q53" s="16"/>
    </row>
    <row r="54" spans="1:17" x14ac:dyDescent="0.3">
      <c r="A54" s="27"/>
      <c r="B54" s="15"/>
      <c r="C54" s="15"/>
      <c r="D54" s="19"/>
      <c r="E54" s="19"/>
      <c r="F54" s="15"/>
      <c r="G54" s="6"/>
      <c r="H54" s="16"/>
      <c r="J54" s="27"/>
      <c r="K54" s="15"/>
      <c r="L54" s="15"/>
      <c r="M54" s="19"/>
      <c r="N54" s="19"/>
      <c r="O54" s="15"/>
      <c r="P54" s="6"/>
      <c r="Q54" s="16"/>
    </row>
    <row r="55" spans="1:17" ht="15" thickBot="1" x14ac:dyDescent="0.35">
      <c r="A55" s="567" t="s">
        <v>500</v>
      </c>
      <c r="B55" s="568"/>
      <c r="C55" s="568"/>
      <c r="D55" s="568"/>
      <c r="E55" s="568"/>
      <c r="F55" s="568"/>
      <c r="G55" s="568"/>
      <c r="H55" s="569"/>
      <c r="J55" s="567" t="s">
        <v>501</v>
      </c>
      <c r="K55" s="568"/>
      <c r="L55" s="568"/>
      <c r="M55" s="568"/>
      <c r="N55" s="568"/>
      <c r="O55" s="568"/>
      <c r="P55" s="568"/>
      <c r="Q55" s="569"/>
    </row>
    <row r="56" spans="1:17" ht="15" thickBot="1" x14ac:dyDescent="0.35"/>
    <row r="57" spans="1:17" s="359" customFormat="1" ht="19.8" x14ac:dyDescent="0.4">
      <c r="A57" s="580" t="s">
        <v>502</v>
      </c>
      <c r="B57" s="581"/>
      <c r="C57" s="581"/>
      <c r="D57" s="581"/>
      <c r="E57" s="581"/>
      <c r="F57" s="581"/>
      <c r="G57" s="581"/>
      <c r="H57" s="582"/>
      <c r="J57" s="580" t="s">
        <v>503</v>
      </c>
      <c r="K57" s="581"/>
      <c r="L57" s="581"/>
      <c r="M57" s="581"/>
      <c r="N57" s="581"/>
      <c r="O57" s="581"/>
      <c r="P57" s="581"/>
      <c r="Q57" s="582"/>
    </row>
    <row r="58" spans="1:17" x14ac:dyDescent="0.3">
      <c r="A58" s="499" t="s">
        <v>483</v>
      </c>
      <c r="B58" s="500"/>
      <c r="C58" s="500"/>
      <c r="D58" s="500"/>
      <c r="E58" s="500"/>
      <c r="F58" s="500"/>
      <c r="G58" s="500"/>
      <c r="H58" s="501"/>
      <c r="J58" s="499" t="s">
        <v>483</v>
      </c>
      <c r="K58" s="500"/>
      <c r="L58" s="500"/>
      <c r="M58" s="500"/>
      <c r="N58" s="500"/>
      <c r="O58" s="500"/>
      <c r="P58" s="500"/>
      <c r="Q58" s="501"/>
    </row>
    <row r="59" spans="1:17" x14ac:dyDescent="0.3">
      <c r="A59" s="7"/>
      <c r="B59" s="6" t="s">
        <v>484</v>
      </c>
      <c r="C59" s="250">
        <v>160</v>
      </c>
      <c r="D59" s="241" t="s">
        <v>43</v>
      </c>
      <c r="E59" s="17"/>
      <c r="F59" s="12" t="s">
        <v>28</v>
      </c>
      <c r="G59" s="379">
        <v>20.7</v>
      </c>
      <c r="H59" s="242" t="s">
        <v>25</v>
      </c>
      <c r="J59" s="7"/>
      <c r="K59" s="6" t="s">
        <v>484</v>
      </c>
      <c r="L59" s="250">
        <v>300</v>
      </c>
      <c r="M59" s="241" t="s">
        <v>43</v>
      </c>
      <c r="N59" s="17"/>
      <c r="O59" s="12" t="s">
        <v>28</v>
      </c>
      <c r="P59" s="379">
        <v>20.7</v>
      </c>
      <c r="Q59" s="242" t="s">
        <v>25</v>
      </c>
    </row>
    <row r="60" spans="1:17" x14ac:dyDescent="0.3">
      <c r="A60" s="7"/>
      <c r="B60" s="12" t="s">
        <v>485</v>
      </c>
      <c r="C60" s="22">
        <v>250</v>
      </c>
      <c r="D60" s="241" t="s">
        <v>43</v>
      </c>
      <c r="E60" s="17"/>
      <c r="F60" s="12" t="s">
        <v>486</v>
      </c>
      <c r="G60" s="379">
        <v>276</v>
      </c>
      <c r="H60" s="242" t="s">
        <v>25</v>
      </c>
      <c r="J60" s="7"/>
      <c r="K60" s="12" t="s">
        <v>485</v>
      </c>
      <c r="L60" s="22">
        <v>250</v>
      </c>
      <c r="M60" s="241" t="s">
        <v>43</v>
      </c>
      <c r="N60" s="17"/>
      <c r="O60" s="12" t="s">
        <v>486</v>
      </c>
      <c r="P60" s="379">
        <v>276</v>
      </c>
      <c r="Q60" s="242" t="s">
        <v>25</v>
      </c>
    </row>
    <row r="61" spans="1:17" x14ac:dyDescent="0.3">
      <c r="A61" s="27"/>
      <c r="B61" s="6" t="s">
        <v>487</v>
      </c>
      <c r="C61" s="250">
        <v>0.50309999999999999</v>
      </c>
      <c r="D61" s="17" t="s">
        <v>488</v>
      </c>
      <c r="E61" s="17"/>
      <c r="F61" s="12" t="s">
        <v>489</v>
      </c>
      <c r="G61" s="379">
        <v>0.75</v>
      </c>
      <c r="H61" s="16"/>
      <c r="J61" s="27"/>
      <c r="K61" s="6" t="s">
        <v>487</v>
      </c>
      <c r="L61" s="250">
        <v>43.802300000000002</v>
      </c>
      <c r="M61" s="17" t="s">
        <v>488</v>
      </c>
      <c r="N61" s="17"/>
      <c r="O61" s="12" t="s">
        <v>489</v>
      </c>
      <c r="P61" s="379">
        <v>0.75</v>
      </c>
      <c r="Q61" s="16"/>
    </row>
    <row r="62" spans="1:17" x14ac:dyDescent="0.3">
      <c r="A62" s="27"/>
      <c r="B62" s="6" t="s">
        <v>490</v>
      </c>
      <c r="C62" s="250">
        <v>1.4843999999999999</v>
      </c>
      <c r="D62" s="17" t="s">
        <v>488</v>
      </c>
      <c r="E62" s="17"/>
      <c r="F62" s="6"/>
      <c r="G62" s="6"/>
      <c r="H62" s="16"/>
      <c r="J62" s="27"/>
      <c r="K62" s="6" t="s">
        <v>490</v>
      </c>
      <c r="L62" s="250">
        <v>15.005599999999999</v>
      </c>
      <c r="M62" s="17" t="s">
        <v>488</v>
      </c>
      <c r="N62" s="17"/>
      <c r="O62" s="6"/>
      <c r="P62" s="6"/>
      <c r="Q62" s="16"/>
    </row>
    <row r="63" spans="1:17" x14ac:dyDescent="0.3">
      <c r="A63" s="27"/>
      <c r="B63" s="6" t="s">
        <v>491</v>
      </c>
      <c r="C63" s="250">
        <v>20.38</v>
      </c>
      <c r="D63" s="17" t="s">
        <v>488</v>
      </c>
      <c r="E63" s="17"/>
      <c r="F63" s="6"/>
      <c r="G63" s="6"/>
      <c r="H63" s="16"/>
      <c r="J63" s="27"/>
      <c r="K63" s="6" t="s">
        <v>491</v>
      </c>
      <c r="L63" s="250">
        <v>21.811</v>
      </c>
      <c r="M63" s="17" t="s">
        <v>488</v>
      </c>
      <c r="N63" s="17"/>
      <c r="O63" s="6"/>
      <c r="P63" s="6"/>
      <c r="Q63" s="16"/>
    </row>
    <row r="64" spans="1:17" x14ac:dyDescent="0.3">
      <c r="A64" s="27"/>
      <c r="B64" s="12" t="s">
        <v>492</v>
      </c>
      <c r="C64" s="20">
        <f>MAX(E66:E67)</f>
        <v>22.468119999999999</v>
      </c>
      <c r="D64" s="241" t="s">
        <v>138</v>
      </c>
      <c r="E64" s="17"/>
      <c r="F64" s="6"/>
      <c r="G64" s="6"/>
      <c r="H64" s="16"/>
      <c r="J64" s="27"/>
      <c r="K64" s="12" t="s">
        <v>492</v>
      </c>
      <c r="L64" s="20">
        <f>MAX(N66:N67)</f>
        <v>89.379359999999991</v>
      </c>
      <c r="M64" s="241" t="s">
        <v>138</v>
      </c>
      <c r="N64" s="17"/>
      <c r="O64" s="6"/>
      <c r="P64" s="6"/>
      <c r="Q64" s="16"/>
    </row>
    <row r="65" spans="1:17" x14ac:dyDescent="0.3">
      <c r="A65" s="27"/>
      <c r="B65" s="12" t="s">
        <v>493</v>
      </c>
      <c r="C65" s="10">
        <v>10</v>
      </c>
      <c r="D65" s="241" t="s">
        <v>43</v>
      </c>
      <c r="E65" s="241"/>
      <c r="F65" s="12"/>
      <c r="G65" s="12"/>
      <c r="H65" s="242"/>
      <c r="J65" s="27"/>
      <c r="K65" s="12" t="s">
        <v>493</v>
      </c>
      <c r="L65" s="10">
        <v>10</v>
      </c>
      <c r="M65" s="241" t="s">
        <v>43</v>
      </c>
      <c r="N65" s="241"/>
      <c r="O65" s="12"/>
      <c r="P65" s="12"/>
      <c r="Q65" s="242"/>
    </row>
    <row r="66" spans="1:17" x14ac:dyDescent="0.3">
      <c r="A66" s="27"/>
      <c r="B66" s="6"/>
      <c r="C66" s="15" t="s">
        <v>494</v>
      </c>
      <c r="D66" s="19"/>
      <c r="E66" s="17">
        <f>1.2*C61+1.6*C62</f>
        <v>2.9787599999999999</v>
      </c>
      <c r="F66" s="6"/>
      <c r="G66" s="12" t="s">
        <v>138</v>
      </c>
      <c r="H66" s="16"/>
      <c r="J66" s="27"/>
      <c r="K66" s="6"/>
      <c r="L66" s="15" t="s">
        <v>494</v>
      </c>
      <c r="M66" s="19"/>
      <c r="N66" s="17">
        <f>1.2*L61+1.6*L62</f>
        <v>76.571719999999999</v>
      </c>
      <c r="O66" s="6"/>
      <c r="P66" s="12" t="s">
        <v>138</v>
      </c>
      <c r="Q66" s="16"/>
    </row>
    <row r="67" spans="1:17" x14ac:dyDescent="0.3">
      <c r="A67" s="27"/>
      <c r="B67" s="6"/>
      <c r="C67" s="15" t="s">
        <v>587</v>
      </c>
      <c r="D67" s="19"/>
      <c r="E67" s="17">
        <f>1.2*C61+C62+1*C63</f>
        <v>22.468119999999999</v>
      </c>
      <c r="F67" s="6"/>
      <c r="G67" s="12" t="s">
        <v>138</v>
      </c>
      <c r="H67" s="16"/>
      <c r="J67" s="27"/>
      <c r="K67" s="6"/>
      <c r="L67" s="15" t="s">
        <v>587</v>
      </c>
      <c r="M67" s="19"/>
      <c r="N67" s="17">
        <f>1.2*L61+L62+1*L63</f>
        <v>89.379359999999991</v>
      </c>
      <c r="O67" s="6"/>
      <c r="P67" s="12" t="s">
        <v>138</v>
      </c>
      <c r="Q67" s="16"/>
    </row>
    <row r="68" spans="1:17" x14ac:dyDescent="0.3">
      <c r="A68" s="577" t="s">
        <v>495</v>
      </c>
      <c r="B68" s="578"/>
      <c r="C68" s="578"/>
      <c r="D68" s="578"/>
      <c r="E68" s="578"/>
      <c r="F68" s="578"/>
      <c r="G68" s="578"/>
      <c r="H68" s="579"/>
      <c r="J68" s="577" t="s">
        <v>495</v>
      </c>
      <c r="K68" s="578"/>
      <c r="L68" s="578"/>
      <c r="M68" s="578"/>
      <c r="N68" s="578"/>
      <c r="O68" s="578"/>
      <c r="P68" s="578"/>
      <c r="Q68" s="579"/>
    </row>
    <row r="69" spans="1:17" x14ac:dyDescent="0.3">
      <c r="A69" s="27"/>
      <c r="B69" s="566"/>
      <c r="C69" s="566"/>
      <c r="D69" s="17">
        <f>0.17*C60*C59*SQRT(G59)/1000</f>
        <v>30.938131811730326</v>
      </c>
      <c r="E69" s="241" t="s">
        <v>138</v>
      </c>
      <c r="F69" s="12"/>
      <c r="G69" s="6"/>
      <c r="H69" s="16"/>
      <c r="J69" s="27"/>
      <c r="K69" s="566"/>
      <c r="L69" s="566"/>
      <c r="M69" s="17">
        <f>0.17*L60*L59*SQRT(P59)/1000</f>
        <v>58.008997146994361</v>
      </c>
      <c r="N69" s="241" t="s">
        <v>138</v>
      </c>
      <c r="O69" s="12"/>
      <c r="P69" s="6"/>
      <c r="Q69" s="16"/>
    </row>
    <row r="70" spans="1:17" x14ac:dyDescent="0.3">
      <c r="A70" s="341" t="s">
        <v>139</v>
      </c>
      <c r="B70" s="6"/>
      <c r="C70" s="6"/>
      <c r="D70" s="17"/>
      <c r="E70" s="17"/>
      <c r="F70" s="6"/>
      <c r="G70" s="6"/>
      <c r="H70" s="16"/>
      <c r="J70" s="341" t="s">
        <v>139</v>
      </c>
      <c r="K70" s="6"/>
      <c r="L70" s="6"/>
      <c r="M70" s="17"/>
      <c r="N70" s="17"/>
      <c r="O70" s="6"/>
      <c r="P70" s="6"/>
      <c r="Q70" s="16"/>
    </row>
    <row r="71" spans="1:17" x14ac:dyDescent="0.3">
      <c r="A71" s="27"/>
      <c r="B71" s="566" t="s">
        <v>129</v>
      </c>
      <c r="C71" s="566"/>
      <c r="D71" s="241">
        <f>C64</f>
        <v>22.468119999999999</v>
      </c>
      <c r="E71" s="41" t="s">
        <v>551</v>
      </c>
      <c r="F71" s="243">
        <f>G61*D69/2</f>
        <v>11.601799429398872</v>
      </c>
      <c r="G71" s="6"/>
      <c r="H71" s="342" t="str">
        <f>IF(D71&lt;=F71,"True","False")</f>
        <v>False</v>
      </c>
      <c r="J71" s="27"/>
      <c r="K71" s="566" t="s">
        <v>129</v>
      </c>
      <c r="L71" s="566"/>
      <c r="M71" s="241">
        <f>L64</f>
        <v>89.379359999999991</v>
      </c>
      <c r="N71" s="41" t="s">
        <v>551</v>
      </c>
      <c r="O71" s="243">
        <f>P61*M69/2</f>
        <v>21.753373930122883</v>
      </c>
      <c r="P71" s="6"/>
      <c r="Q71" s="342" t="str">
        <f>IF(M71&lt;=O71,"True","False")</f>
        <v>False</v>
      </c>
    </row>
    <row r="72" spans="1:17" x14ac:dyDescent="0.3">
      <c r="A72" s="27"/>
      <c r="B72" s="566"/>
      <c r="C72" s="566"/>
      <c r="D72" s="17"/>
      <c r="E72" s="17"/>
      <c r="F72" s="6"/>
      <c r="G72" s="6"/>
      <c r="H72" s="16"/>
      <c r="J72" s="27"/>
      <c r="K72" s="566"/>
      <c r="L72" s="566"/>
      <c r="M72" s="17"/>
      <c r="N72" s="17"/>
      <c r="O72" s="6"/>
      <c r="P72" s="6"/>
      <c r="Q72" s="16"/>
    </row>
    <row r="73" spans="1:17" x14ac:dyDescent="0.3">
      <c r="A73" s="27"/>
      <c r="B73" s="6"/>
      <c r="C73" s="6"/>
      <c r="D73" s="576" t="s">
        <v>140</v>
      </c>
      <c r="E73" s="576"/>
      <c r="F73" s="576"/>
      <c r="G73" s="576"/>
      <c r="H73" s="16"/>
      <c r="J73" s="27"/>
      <c r="K73" s="6"/>
      <c r="L73" s="6"/>
      <c r="M73" s="576" t="s">
        <v>140</v>
      </c>
      <c r="N73" s="576"/>
      <c r="O73" s="576"/>
      <c r="P73" s="576"/>
      <c r="Q73" s="16"/>
    </row>
    <row r="74" spans="1:17" x14ac:dyDescent="0.3">
      <c r="A74" s="341" t="s">
        <v>141</v>
      </c>
      <c r="B74" s="6"/>
      <c r="C74" s="6"/>
      <c r="D74" s="17"/>
      <c r="E74" s="343"/>
      <c r="F74" s="28"/>
      <c r="G74" s="6"/>
      <c r="H74" s="16"/>
      <c r="J74" s="341" t="s">
        <v>141</v>
      </c>
      <c r="K74" s="6"/>
      <c r="L74" s="6"/>
      <c r="M74" s="17"/>
      <c r="N74" s="343"/>
      <c r="O74" s="28"/>
      <c r="P74" s="6"/>
      <c r="Q74" s="16"/>
    </row>
    <row r="75" spans="1:17" x14ac:dyDescent="0.3">
      <c r="A75" s="244"/>
      <c r="B75" s="10" t="s">
        <v>142</v>
      </c>
      <c r="C75" s="6"/>
      <c r="D75" s="245">
        <f>3.14159*2*C65*C65/4</f>
        <v>157.0795</v>
      </c>
      <c r="E75" s="227" t="s">
        <v>57</v>
      </c>
      <c r="F75" s="246"/>
      <c r="G75" s="6"/>
      <c r="H75" s="16"/>
      <c r="J75" s="244"/>
      <c r="K75" s="10" t="s">
        <v>142</v>
      </c>
      <c r="L75" s="6"/>
      <c r="M75" s="245">
        <f>3.14159*2*L65*L65/4</f>
        <v>157.0795</v>
      </c>
      <c r="N75" s="227" t="s">
        <v>57</v>
      </c>
      <c r="O75" s="246"/>
      <c r="P75" s="6"/>
      <c r="Q75" s="16"/>
    </row>
    <row r="76" spans="1:17" x14ac:dyDescent="0.3">
      <c r="A76" s="27"/>
      <c r="B76" s="15"/>
      <c r="C76" s="15"/>
      <c r="D76" s="551">
        <f>G61*D69/2</f>
        <v>11.601799429398872</v>
      </c>
      <c r="E76" s="574">
        <f>C64</f>
        <v>22.468119999999999</v>
      </c>
      <c r="F76" s="574"/>
      <c r="G76" s="574">
        <f>G61*D69</f>
        <v>23.203598858797744</v>
      </c>
      <c r="H76" s="342" t="str">
        <f>IF(AND(D76&lt;E76,E76&lt;=G76),"True","False")</f>
        <v>True</v>
      </c>
      <c r="J76" s="27"/>
      <c r="K76" s="15"/>
      <c r="L76" s="15"/>
      <c r="M76" s="551">
        <f>P61*M69/2</f>
        <v>21.753373930122883</v>
      </c>
      <c r="N76" s="574">
        <f>L64</f>
        <v>89.379359999999991</v>
      </c>
      <c r="O76" s="574"/>
      <c r="P76" s="574">
        <f>P61*M69</f>
        <v>43.506747860245767</v>
      </c>
      <c r="Q76" s="342" t="str">
        <f>IF(AND(M76&lt;N76,N76&lt;=P76),"True","False")</f>
        <v>False</v>
      </c>
    </row>
    <row r="77" spans="1:17" x14ac:dyDescent="0.3">
      <c r="A77" s="27"/>
      <c r="B77" s="15"/>
      <c r="C77" s="15"/>
      <c r="D77" s="551"/>
      <c r="E77" s="574"/>
      <c r="F77" s="574"/>
      <c r="G77" s="574"/>
      <c r="H77" s="16"/>
      <c r="J77" s="27"/>
      <c r="K77" s="15"/>
      <c r="L77" s="15"/>
      <c r="M77" s="551"/>
      <c r="N77" s="574"/>
      <c r="O77" s="574"/>
      <c r="P77" s="574"/>
      <c r="Q77" s="16"/>
    </row>
    <row r="78" spans="1:17" x14ac:dyDescent="0.3">
      <c r="A78" s="27"/>
      <c r="B78" s="15"/>
      <c r="C78" s="15"/>
      <c r="D78" s="551">
        <f>D75*G60/(0.062*C60*SQRT(G59))</f>
        <v>614.76866235555894</v>
      </c>
      <c r="E78" s="575" t="s">
        <v>42</v>
      </c>
      <c r="F78" s="574">
        <f>_xlfn.FLOOR.MATH(D78,10)</f>
        <v>610</v>
      </c>
      <c r="G78" s="6"/>
      <c r="H78" s="16"/>
      <c r="J78" s="27"/>
      <c r="K78" s="15"/>
      <c r="L78" s="15"/>
      <c r="M78" s="551">
        <f>M75*P60/(0.062*L60*SQRT(P59))</f>
        <v>614.76866235555894</v>
      </c>
      <c r="N78" s="575" t="s">
        <v>42</v>
      </c>
      <c r="O78" s="574">
        <f>_xlfn.FLOOR.MATH(M78,10)</f>
        <v>610</v>
      </c>
      <c r="P78" s="6"/>
      <c r="Q78" s="16"/>
    </row>
    <row r="79" spans="1:17" x14ac:dyDescent="0.3">
      <c r="A79" s="27"/>
      <c r="B79" s="15"/>
      <c r="C79" s="15"/>
      <c r="D79" s="551"/>
      <c r="E79" s="575"/>
      <c r="F79" s="574"/>
      <c r="G79" s="570" t="s">
        <v>143</v>
      </c>
      <c r="H79" s="571"/>
      <c r="J79" s="27"/>
      <c r="K79" s="15"/>
      <c r="L79" s="15"/>
      <c r="M79" s="551"/>
      <c r="N79" s="575"/>
      <c r="O79" s="574"/>
      <c r="P79" s="570" t="s">
        <v>143</v>
      </c>
      <c r="Q79" s="571"/>
    </row>
    <row r="80" spans="1:17" x14ac:dyDescent="0.3">
      <c r="A80" s="27"/>
      <c r="B80" s="15"/>
      <c r="C80" s="15"/>
      <c r="D80" s="551">
        <f>D75*G60/(0.35*C60)</f>
        <v>495.4736228571428</v>
      </c>
      <c r="E80" s="575" t="s">
        <v>42</v>
      </c>
      <c r="F80" s="574">
        <f>_xlfn.FLOOR.MATH(D80,10)</f>
        <v>490</v>
      </c>
      <c r="G80" s="18">
        <f>MIN(F78,F80,F82)</f>
        <v>80</v>
      </c>
      <c r="H80" s="278" t="s">
        <v>43</v>
      </c>
      <c r="J80" s="27"/>
      <c r="K80" s="15"/>
      <c r="L80" s="15"/>
      <c r="M80" s="551">
        <f>M75*P60/(0.35*L60)</f>
        <v>495.4736228571428</v>
      </c>
      <c r="N80" s="575" t="s">
        <v>42</v>
      </c>
      <c r="O80" s="574">
        <f>_xlfn.FLOOR.MATH(M80,10)</f>
        <v>490</v>
      </c>
      <c r="P80" s="18">
        <f>MIN(O78,O80,O82)</f>
        <v>150</v>
      </c>
      <c r="Q80" s="278" t="s">
        <v>43</v>
      </c>
    </row>
    <row r="81" spans="1:17" x14ac:dyDescent="0.3">
      <c r="A81" s="27"/>
      <c r="B81" s="15"/>
      <c r="C81" s="15"/>
      <c r="D81" s="551"/>
      <c r="E81" s="575"/>
      <c r="F81" s="574"/>
      <c r="G81" s="6"/>
      <c r="H81" s="16"/>
      <c r="J81" s="27"/>
      <c r="K81" s="15"/>
      <c r="L81" s="15"/>
      <c r="M81" s="551"/>
      <c r="N81" s="575"/>
      <c r="O81" s="574"/>
      <c r="P81" s="6"/>
      <c r="Q81" s="16"/>
    </row>
    <row r="82" spans="1:17" x14ac:dyDescent="0.3">
      <c r="A82" s="27"/>
      <c r="B82" s="15"/>
      <c r="C82" s="6"/>
      <c r="D82" s="551">
        <f>C59/2</f>
        <v>80</v>
      </c>
      <c r="E82" s="575" t="s">
        <v>42</v>
      </c>
      <c r="F82" s="574">
        <f>_xlfn.FLOOR.MATH(D82,10)</f>
        <v>80</v>
      </c>
      <c r="G82" s="6"/>
      <c r="H82" s="16"/>
      <c r="J82" s="27"/>
      <c r="K82" s="15"/>
      <c r="L82" s="6"/>
      <c r="M82" s="551">
        <f>L59/2</f>
        <v>150</v>
      </c>
      <c r="N82" s="575" t="s">
        <v>42</v>
      </c>
      <c r="O82" s="574">
        <f>_xlfn.FLOOR.MATH(M82,10)</f>
        <v>150</v>
      </c>
      <c r="P82" s="6"/>
      <c r="Q82" s="16"/>
    </row>
    <row r="83" spans="1:17" x14ac:dyDescent="0.3">
      <c r="A83" s="27"/>
      <c r="B83" s="15"/>
      <c r="C83" s="6"/>
      <c r="D83" s="551"/>
      <c r="E83" s="575"/>
      <c r="F83" s="574"/>
      <c r="G83" s="6"/>
      <c r="H83" s="16"/>
      <c r="J83" s="27"/>
      <c r="K83" s="15"/>
      <c r="L83" s="6"/>
      <c r="M83" s="551"/>
      <c r="N83" s="575"/>
      <c r="O83" s="574"/>
      <c r="P83" s="6"/>
      <c r="Q83" s="16"/>
    </row>
    <row r="84" spans="1:17" x14ac:dyDescent="0.3">
      <c r="A84" s="341" t="s">
        <v>144</v>
      </c>
      <c r="B84" s="6"/>
      <c r="C84" s="6"/>
      <c r="D84" s="17"/>
      <c r="E84" s="17"/>
      <c r="F84" s="6"/>
      <c r="G84" s="6"/>
      <c r="H84" s="16"/>
      <c r="J84" s="341" t="s">
        <v>144</v>
      </c>
      <c r="K84" s="6"/>
      <c r="L84" s="6"/>
      <c r="M84" s="17"/>
      <c r="N84" s="17"/>
      <c r="O84" s="6"/>
      <c r="P84" s="6"/>
      <c r="Q84" s="16"/>
    </row>
    <row r="85" spans="1:17" x14ac:dyDescent="0.3">
      <c r="A85" s="244"/>
      <c r="B85" s="15"/>
      <c r="C85" s="15"/>
      <c r="D85" s="245">
        <f>(C64/G61)-D69</f>
        <v>-0.98063847839699392</v>
      </c>
      <c r="E85" s="227" t="s">
        <v>138</v>
      </c>
      <c r="F85" s="246"/>
      <c r="G85" s="6"/>
      <c r="H85" s="16"/>
      <c r="J85" s="244"/>
      <c r="K85" s="15"/>
      <c r="L85" s="15"/>
      <c r="M85" s="245">
        <f>(L64/P61)-M69</f>
        <v>61.163482853005632</v>
      </c>
      <c r="N85" s="227" t="s">
        <v>138</v>
      </c>
      <c r="O85" s="246"/>
      <c r="P85" s="6"/>
      <c r="Q85" s="16"/>
    </row>
    <row r="86" spans="1:17" x14ac:dyDescent="0.3">
      <c r="A86" s="27"/>
      <c r="B86" s="15"/>
      <c r="C86" s="15"/>
      <c r="D86" s="241">
        <f>(C64/G61)-D69</f>
        <v>-0.98063847839699392</v>
      </c>
      <c r="E86" s="45" t="s">
        <v>552</v>
      </c>
      <c r="F86" s="11">
        <f>0.33*C60*C59*SQRT(G59)/1000</f>
        <v>60.056373516888279</v>
      </c>
      <c r="G86" s="6"/>
      <c r="H86" s="342" t="str">
        <f>IF(D86&lt;=F86,"True","False")</f>
        <v>True</v>
      </c>
      <c r="J86" s="27"/>
      <c r="K86" s="15"/>
      <c r="L86" s="15"/>
      <c r="M86" s="241">
        <f>(L64/P61)-M69</f>
        <v>61.163482853005632</v>
      </c>
      <c r="N86" s="45" t="s">
        <v>552</v>
      </c>
      <c r="O86" s="11">
        <f>0.33*L60*L59*SQRT(P59)/1000</f>
        <v>112.60570034416553</v>
      </c>
      <c r="P86" s="6"/>
      <c r="Q86" s="342" t="str">
        <f>IF(M86&lt;=O86,"True","False")</f>
        <v>True</v>
      </c>
    </row>
    <row r="87" spans="1:17" x14ac:dyDescent="0.3">
      <c r="A87" s="27"/>
      <c r="B87" s="15"/>
      <c r="C87" s="15"/>
      <c r="D87" s="241">
        <f>C64</f>
        <v>22.468119999999999</v>
      </c>
      <c r="E87" s="45" t="s">
        <v>552</v>
      </c>
      <c r="F87" s="12">
        <f>3*G61*D69</f>
        <v>69.610796576393227</v>
      </c>
      <c r="G87" s="6"/>
      <c r="H87" s="342" t="str">
        <f>IF(D87&lt;=F87,"True","False")</f>
        <v>True</v>
      </c>
      <c r="J87" s="27"/>
      <c r="K87" s="15"/>
      <c r="L87" s="15"/>
      <c r="M87" s="241">
        <f>L64</f>
        <v>89.379359999999991</v>
      </c>
      <c r="N87" s="45" t="s">
        <v>552</v>
      </c>
      <c r="O87" s="12">
        <f>3*P61*M69</f>
        <v>130.52024358073731</v>
      </c>
      <c r="P87" s="6"/>
      <c r="Q87" s="342" t="str">
        <f>IF(M87&lt;=O87,"True","False")</f>
        <v>True</v>
      </c>
    </row>
    <row r="88" spans="1:17" x14ac:dyDescent="0.3">
      <c r="A88" s="27"/>
      <c r="B88" s="6"/>
      <c r="C88" s="6"/>
      <c r="D88" s="17"/>
      <c r="E88" s="17"/>
      <c r="F88" s="6"/>
      <c r="G88" s="6"/>
      <c r="H88" s="16"/>
      <c r="J88" s="27"/>
      <c r="K88" s="6"/>
      <c r="L88" s="6"/>
      <c r="M88" s="17"/>
      <c r="N88" s="17"/>
      <c r="O88" s="6"/>
      <c r="P88" s="6"/>
      <c r="Q88" s="16"/>
    </row>
    <row r="89" spans="1:17" x14ac:dyDescent="0.3">
      <c r="A89" s="27"/>
      <c r="B89" s="15"/>
      <c r="C89" s="15"/>
      <c r="D89" s="241">
        <f>D78</f>
        <v>614.76866235555894</v>
      </c>
      <c r="E89" s="20" t="s">
        <v>42</v>
      </c>
      <c r="F89" s="12">
        <f>_xlfn.FLOOR.MATH(D89,10)</f>
        <v>610</v>
      </c>
      <c r="G89" s="6"/>
      <c r="H89" s="16"/>
      <c r="J89" s="27"/>
      <c r="K89" s="15"/>
      <c r="L89" s="15"/>
      <c r="M89" s="241">
        <f>M78</f>
        <v>614.76866235555894</v>
      </c>
      <c r="N89" s="20" t="s">
        <v>42</v>
      </c>
      <c r="O89" s="12">
        <f>_xlfn.FLOOR.MATH(M89,10)</f>
        <v>610</v>
      </c>
      <c r="P89" s="6"/>
      <c r="Q89" s="16"/>
    </row>
    <row r="90" spans="1:17" x14ac:dyDescent="0.3">
      <c r="A90" s="27"/>
      <c r="B90" s="15"/>
      <c r="C90" s="15"/>
      <c r="D90" s="17"/>
      <c r="E90" s="17"/>
      <c r="F90" s="6"/>
      <c r="G90" s="6"/>
      <c r="H90" s="16"/>
      <c r="J90" s="27"/>
      <c r="K90" s="15"/>
      <c r="L90" s="15"/>
      <c r="M90" s="17"/>
      <c r="N90" s="17"/>
      <c r="O90" s="6"/>
      <c r="P90" s="6"/>
      <c r="Q90" s="16"/>
    </row>
    <row r="91" spans="1:17" x14ac:dyDescent="0.3">
      <c r="A91" s="27"/>
      <c r="B91" s="15"/>
      <c r="C91" s="15"/>
      <c r="D91" s="241">
        <f>D80</f>
        <v>495.4736228571428</v>
      </c>
      <c r="E91" s="20" t="s">
        <v>42</v>
      </c>
      <c r="F91" s="12">
        <f>_xlfn.FLOOR.MATH(D91,10)</f>
        <v>490</v>
      </c>
      <c r="G91" s="570" t="s">
        <v>143</v>
      </c>
      <c r="H91" s="571"/>
      <c r="J91" s="27"/>
      <c r="K91" s="15"/>
      <c r="L91" s="15"/>
      <c r="M91" s="241">
        <f>M80</f>
        <v>495.4736228571428</v>
      </c>
      <c r="N91" s="20" t="s">
        <v>42</v>
      </c>
      <c r="O91" s="12">
        <f>_xlfn.FLOOR.MATH(M91,10)</f>
        <v>490</v>
      </c>
      <c r="P91" s="570" t="s">
        <v>143</v>
      </c>
      <c r="Q91" s="571"/>
    </row>
    <row r="92" spans="1:17" x14ac:dyDescent="0.3">
      <c r="A92" s="27"/>
      <c r="B92" s="15"/>
      <c r="C92" s="15"/>
      <c r="D92" s="17"/>
      <c r="E92" s="17"/>
      <c r="F92" s="6"/>
      <c r="G92" s="18">
        <f>MIN(F89,F91,F93,F95)</f>
        <v>80</v>
      </c>
      <c r="H92" s="247" t="s">
        <v>43</v>
      </c>
      <c r="J92" s="27"/>
      <c r="K92" s="15"/>
      <c r="L92" s="15"/>
      <c r="M92" s="17"/>
      <c r="N92" s="17"/>
      <c r="O92" s="6"/>
      <c r="P92" s="18">
        <f>MIN(O89,O91,O93,O95)</f>
        <v>150</v>
      </c>
      <c r="Q92" s="247" t="s">
        <v>43</v>
      </c>
    </row>
    <row r="93" spans="1:17" x14ac:dyDescent="0.3">
      <c r="A93" s="27"/>
      <c r="B93" s="15"/>
      <c r="C93" s="15"/>
      <c r="D93" s="241">
        <f>ABS(D75*G60*C59/(D85*1000))</f>
        <v>7073.5861102850058</v>
      </c>
      <c r="E93" s="20" t="s">
        <v>42</v>
      </c>
      <c r="F93" s="12">
        <f>_xlfn.FLOOR.MATH(D93,10)</f>
        <v>7070</v>
      </c>
      <c r="G93" s="6"/>
      <c r="H93" s="16"/>
      <c r="J93" s="27"/>
      <c r="K93" s="15"/>
      <c r="L93" s="15"/>
      <c r="M93" s="241">
        <f>ABS(M75*P60*L59/(M85*1000))</f>
        <v>212.64620641793391</v>
      </c>
      <c r="N93" s="20" t="s">
        <v>42</v>
      </c>
      <c r="O93" s="12">
        <f>_xlfn.FLOOR.MATH(M93,10)</f>
        <v>210</v>
      </c>
      <c r="P93" s="6"/>
      <c r="Q93" s="16"/>
    </row>
    <row r="94" spans="1:17" x14ac:dyDescent="0.3">
      <c r="A94" s="27"/>
      <c r="B94" s="15"/>
      <c r="C94" s="15"/>
      <c r="D94" s="17"/>
      <c r="E94" s="17"/>
      <c r="F94" s="6"/>
      <c r="G94" s="6"/>
      <c r="H94" s="16"/>
      <c r="J94" s="27"/>
      <c r="K94" s="15"/>
      <c r="L94" s="15"/>
      <c r="M94" s="17"/>
      <c r="N94" s="17"/>
      <c r="O94" s="6"/>
      <c r="P94" s="6"/>
      <c r="Q94" s="16"/>
    </row>
    <row r="95" spans="1:17" x14ac:dyDescent="0.3">
      <c r="A95" s="27"/>
      <c r="B95" s="15"/>
      <c r="C95" s="6"/>
      <c r="D95" s="241">
        <f>D82</f>
        <v>80</v>
      </c>
      <c r="E95" s="20" t="s">
        <v>42</v>
      </c>
      <c r="F95" s="12">
        <f>_xlfn.FLOOR.MATH(D95,10)</f>
        <v>80</v>
      </c>
      <c r="G95" s="6"/>
      <c r="H95" s="16"/>
      <c r="J95" s="27"/>
      <c r="K95" s="15"/>
      <c r="L95" s="6"/>
      <c r="M95" s="241">
        <f>M82</f>
        <v>150</v>
      </c>
      <c r="N95" s="20" t="s">
        <v>42</v>
      </c>
      <c r="O95" s="12">
        <f>_xlfn.FLOOR.MATH(M95,10)</f>
        <v>150</v>
      </c>
      <c r="P95" s="6"/>
      <c r="Q95" s="16"/>
    </row>
    <row r="96" spans="1:17" x14ac:dyDescent="0.3">
      <c r="A96" s="27"/>
      <c r="B96" s="15"/>
      <c r="C96" s="6"/>
      <c r="D96" s="17"/>
      <c r="E96" s="17"/>
      <c r="F96" s="6"/>
      <c r="G96" s="6"/>
      <c r="H96" s="16"/>
      <c r="J96" s="27"/>
      <c r="K96" s="15"/>
      <c r="L96" s="6"/>
      <c r="M96" s="17"/>
      <c r="N96" s="17"/>
      <c r="O96" s="6"/>
      <c r="P96" s="6"/>
      <c r="Q96" s="16"/>
    </row>
    <row r="97" spans="1:17" x14ac:dyDescent="0.3">
      <c r="A97" s="341" t="s">
        <v>145</v>
      </c>
      <c r="B97" s="6"/>
      <c r="C97" s="6"/>
      <c r="D97" s="17"/>
      <c r="E97" s="17"/>
      <c r="F97" s="6"/>
      <c r="G97" s="6"/>
      <c r="H97" s="16"/>
      <c r="J97" s="341" t="s">
        <v>145</v>
      </c>
      <c r="K97" s="6"/>
      <c r="L97" s="6"/>
      <c r="M97" s="17"/>
      <c r="N97" s="17"/>
      <c r="O97" s="6"/>
      <c r="P97" s="6"/>
      <c r="Q97" s="16"/>
    </row>
    <row r="98" spans="1:17" x14ac:dyDescent="0.3">
      <c r="A98" s="27"/>
      <c r="B98" s="15"/>
      <c r="C98" s="15"/>
      <c r="D98" s="245">
        <f>D85</f>
        <v>-0.98063847839699392</v>
      </c>
      <c r="E98" s="227" t="s">
        <v>138</v>
      </c>
      <c r="F98" s="246"/>
      <c r="G98" s="6"/>
      <c r="H98" s="16"/>
      <c r="J98" s="27"/>
      <c r="K98" s="15"/>
      <c r="L98" s="15"/>
      <c r="M98" s="245">
        <f>M85</f>
        <v>61.163482853005632</v>
      </c>
      <c r="N98" s="227" t="s">
        <v>138</v>
      </c>
      <c r="O98" s="246"/>
      <c r="P98" s="6"/>
      <c r="Q98" s="16"/>
    </row>
    <row r="99" spans="1:17" x14ac:dyDescent="0.3">
      <c r="A99" s="248"/>
      <c r="B99" s="15"/>
      <c r="C99" s="15"/>
      <c r="D99" s="241">
        <f>F86</f>
        <v>60.056373516888279</v>
      </c>
      <c r="E99" s="572">
        <f>D85</f>
        <v>-0.98063847839699392</v>
      </c>
      <c r="F99" s="572"/>
      <c r="G99" s="12">
        <f>0.66*C60*C59*SQRT(G59)/1000</f>
        <v>120.11274703377656</v>
      </c>
      <c r="H99" s="342" t="str">
        <f>IF(AND(D99&lt;E99,E99&lt;=G99),"True","False")</f>
        <v>False</v>
      </c>
      <c r="J99" s="248"/>
      <c r="K99" s="15"/>
      <c r="L99" s="15"/>
      <c r="M99" s="241">
        <f>O86</f>
        <v>112.60570034416553</v>
      </c>
      <c r="N99" s="572">
        <f>M85</f>
        <v>61.163482853005632</v>
      </c>
      <c r="O99" s="572"/>
      <c r="P99" s="12">
        <f>0.66*L60*L59*SQRT(P59)/1000</f>
        <v>225.21140068833105</v>
      </c>
      <c r="Q99" s="342" t="str">
        <f>IF(AND(M99&lt;N99,N99&lt;=P99),"True","False")</f>
        <v>False</v>
      </c>
    </row>
    <row r="100" spans="1:17" x14ac:dyDescent="0.3">
      <c r="A100" s="27"/>
      <c r="B100" s="15"/>
      <c r="C100" s="15"/>
      <c r="D100" s="241">
        <f>F87</f>
        <v>69.610796576393227</v>
      </c>
      <c r="E100" s="566">
        <f>D87</f>
        <v>22.468119999999999</v>
      </c>
      <c r="F100" s="566"/>
      <c r="G100" s="12">
        <f>5*G61*D69</f>
        <v>116.01799429398872</v>
      </c>
      <c r="H100" s="342" t="str">
        <f>IF(AND(D100&lt;E100,E100&lt;=G100),"True","False")</f>
        <v>False</v>
      </c>
      <c r="J100" s="27"/>
      <c r="K100" s="15"/>
      <c r="L100" s="15"/>
      <c r="M100" s="241">
        <f>O87</f>
        <v>130.52024358073731</v>
      </c>
      <c r="N100" s="566">
        <f>M87</f>
        <v>89.379359999999991</v>
      </c>
      <c r="O100" s="566"/>
      <c r="P100" s="12">
        <f>5*P61*M69</f>
        <v>217.53373930122885</v>
      </c>
      <c r="Q100" s="342" t="str">
        <f>IF(AND(M100&lt;N100,N100&lt;=P100),"True","False")</f>
        <v>False</v>
      </c>
    </row>
    <row r="101" spans="1:17" x14ac:dyDescent="0.3">
      <c r="A101" s="27"/>
      <c r="B101" s="6"/>
      <c r="C101" s="6"/>
      <c r="D101" s="17"/>
      <c r="E101" s="17"/>
      <c r="F101" s="6"/>
      <c r="G101" s="6"/>
      <c r="H101" s="16"/>
      <c r="J101" s="27"/>
      <c r="K101" s="6"/>
      <c r="L101" s="6"/>
      <c r="M101" s="17"/>
      <c r="N101" s="17"/>
      <c r="O101" s="6"/>
      <c r="P101" s="6"/>
      <c r="Q101" s="16"/>
    </row>
    <row r="102" spans="1:17" x14ac:dyDescent="0.3">
      <c r="A102" s="27"/>
      <c r="B102" s="15"/>
      <c r="C102" s="10" t="s">
        <v>32</v>
      </c>
      <c r="D102" s="241">
        <f>ABS(D93)</f>
        <v>7073.5861102850058</v>
      </c>
      <c r="E102" s="249" t="s">
        <v>42</v>
      </c>
      <c r="F102" s="12">
        <f>_xlfn.FLOOR.MATH(D102,10)</f>
        <v>7070</v>
      </c>
      <c r="G102" s="179" t="s">
        <v>143</v>
      </c>
      <c r="H102" s="16"/>
      <c r="J102" s="27"/>
      <c r="K102" s="15"/>
      <c r="L102" s="10" t="s">
        <v>32</v>
      </c>
      <c r="M102" s="241">
        <f>ABS(M93)</f>
        <v>212.64620641793391</v>
      </c>
      <c r="N102" s="249" t="s">
        <v>42</v>
      </c>
      <c r="O102" s="12">
        <f>_xlfn.FLOOR.MATH(M102,10)</f>
        <v>210</v>
      </c>
      <c r="P102" s="179" t="s">
        <v>143</v>
      </c>
      <c r="Q102" s="16"/>
    </row>
    <row r="103" spans="1:17" x14ac:dyDescent="0.3">
      <c r="A103" s="27"/>
      <c r="B103" s="15"/>
      <c r="C103" s="10"/>
      <c r="D103" s="17"/>
      <c r="E103" s="17"/>
      <c r="F103" s="6"/>
      <c r="G103" s="14">
        <f>MIN(F104,F102)</f>
        <v>40</v>
      </c>
      <c r="H103" s="16"/>
      <c r="J103" s="27"/>
      <c r="K103" s="15"/>
      <c r="L103" s="10"/>
      <c r="M103" s="17"/>
      <c r="N103" s="17"/>
      <c r="O103" s="6"/>
      <c r="P103" s="14">
        <f>MIN(O104,O102)</f>
        <v>70</v>
      </c>
      <c r="Q103" s="16"/>
    </row>
    <row r="104" spans="1:17" x14ac:dyDescent="0.3">
      <c r="A104" s="27"/>
      <c r="B104" s="15"/>
      <c r="C104" s="10" t="s">
        <v>32</v>
      </c>
      <c r="D104" s="241">
        <f>C59/4</f>
        <v>40</v>
      </c>
      <c r="E104" s="249" t="s">
        <v>42</v>
      </c>
      <c r="F104" s="12">
        <f>_xlfn.FLOOR.MATH(D104,10)</f>
        <v>40</v>
      </c>
      <c r="G104" s="6"/>
      <c r="H104" s="16"/>
      <c r="J104" s="27"/>
      <c r="K104" s="15"/>
      <c r="L104" s="10" t="s">
        <v>32</v>
      </c>
      <c r="M104" s="241">
        <f>L59/4</f>
        <v>75</v>
      </c>
      <c r="N104" s="249" t="s">
        <v>42</v>
      </c>
      <c r="O104" s="12">
        <f>_xlfn.FLOOR.MATH(M104,10)</f>
        <v>70</v>
      </c>
      <c r="P104" s="6"/>
      <c r="Q104" s="16"/>
    </row>
    <row r="105" spans="1:17" x14ac:dyDescent="0.3">
      <c r="A105" s="341" t="s">
        <v>146</v>
      </c>
      <c r="B105" s="6"/>
      <c r="C105" s="6"/>
      <c r="D105" s="17"/>
      <c r="E105" s="17"/>
      <c r="F105" s="6"/>
      <c r="G105" s="6"/>
      <c r="H105" s="16"/>
      <c r="J105" s="341" t="s">
        <v>146</v>
      </c>
      <c r="K105" s="6"/>
      <c r="L105" s="6"/>
      <c r="M105" s="17"/>
      <c r="N105" s="17"/>
      <c r="O105" s="6"/>
      <c r="P105" s="6"/>
      <c r="Q105" s="16"/>
    </row>
    <row r="106" spans="1:17" x14ac:dyDescent="0.3">
      <c r="A106" s="27"/>
      <c r="B106" s="179"/>
      <c r="C106" s="179"/>
      <c r="D106" s="241">
        <f>D98</f>
        <v>-0.98063847839699392</v>
      </c>
      <c r="E106" s="241">
        <f>G99</f>
        <v>120.11274703377656</v>
      </c>
      <c r="F106" s="11"/>
      <c r="G106" s="6"/>
      <c r="H106" s="342" t="str">
        <f>IF(D106&gt;E106,"True","False")</f>
        <v>False</v>
      </c>
      <c r="J106" s="27"/>
      <c r="K106" s="179"/>
      <c r="L106" s="179"/>
      <c r="M106" s="241">
        <f>M98</f>
        <v>61.163482853005632</v>
      </c>
      <c r="N106" s="241">
        <f>P99</f>
        <v>225.21140068833105</v>
      </c>
      <c r="O106" s="11"/>
      <c r="P106" s="6"/>
      <c r="Q106" s="342" t="str">
        <f>IF(M106&gt;N106,"True","False")</f>
        <v>False</v>
      </c>
    </row>
    <row r="107" spans="1:17" x14ac:dyDescent="0.3">
      <c r="A107" s="27"/>
      <c r="B107" s="15"/>
      <c r="C107" s="15"/>
      <c r="D107" s="241">
        <f>E100</f>
        <v>22.468119999999999</v>
      </c>
      <c r="E107" s="241">
        <f>G100</f>
        <v>116.01799429398872</v>
      </c>
      <c r="F107" s="12"/>
      <c r="G107" s="6"/>
      <c r="H107" s="342" t="str">
        <f>IF(D107&gt;E107,"True","False")</f>
        <v>False</v>
      </c>
      <c r="J107" s="27"/>
      <c r="K107" s="15"/>
      <c r="L107" s="15"/>
      <c r="M107" s="241">
        <f>N100</f>
        <v>89.379359999999991</v>
      </c>
      <c r="N107" s="241">
        <f>P100</f>
        <v>217.53373930122885</v>
      </c>
      <c r="O107" s="12"/>
      <c r="P107" s="6"/>
      <c r="Q107" s="342" t="str">
        <f>IF(M107&gt;N107,"True","False")</f>
        <v>False</v>
      </c>
    </row>
    <row r="108" spans="1:17" x14ac:dyDescent="0.3">
      <c r="A108" s="27"/>
      <c r="B108" s="6"/>
      <c r="C108" s="6"/>
      <c r="D108" s="17"/>
      <c r="E108" s="17"/>
      <c r="F108" s="6"/>
      <c r="G108" s="6"/>
      <c r="H108" s="16"/>
      <c r="J108" s="27"/>
      <c r="K108" s="6"/>
      <c r="L108" s="6"/>
      <c r="M108" s="17"/>
      <c r="N108" s="17"/>
      <c r="O108" s="6"/>
      <c r="P108" s="6"/>
      <c r="Q108" s="16"/>
    </row>
    <row r="109" spans="1:17" x14ac:dyDescent="0.3">
      <c r="A109" s="27"/>
      <c r="B109" s="15"/>
      <c r="C109" s="15"/>
      <c r="D109" s="19"/>
      <c r="E109" s="19"/>
      <c r="F109" s="15"/>
      <c r="G109" s="6"/>
      <c r="H109" s="16"/>
      <c r="J109" s="27"/>
      <c r="K109" s="15"/>
      <c r="L109" s="15"/>
      <c r="M109" s="19"/>
      <c r="N109" s="19"/>
      <c r="O109" s="15"/>
      <c r="P109" s="6"/>
      <c r="Q109" s="16"/>
    </row>
    <row r="110" spans="1:17" x14ac:dyDescent="0.3">
      <c r="A110" s="27"/>
      <c r="B110" s="15"/>
      <c r="C110" s="15"/>
      <c r="D110" s="19"/>
      <c r="E110" s="19"/>
      <c r="F110" s="15"/>
      <c r="G110" s="6"/>
      <c r="H110" s="16"/>
      <c r="J110" s="27"/>
      <c r="K110" s="15"/>
      <c r="L110" s="15"/>
      <c r="M110" s="19"/>
      <c r="N110" s="19"/>
      <c r="O110" s="15"/>
      <c r="P110" s="6"/>
      <c r="Q110" s="16"/>
    </row>
    <row r="111" spans="1:17" ht="15" thickBot="1" x14ac:dyDescent="0.35">
      <c r="A111" s="567" t="s">
        <v>561</v>
      </c>
      <c r="B111" s="568"/>
      <c r="C111" s="568"/>
      <c r="D111" s="568"/>
      <c r="E111" s="568"/>
      <c r="F111" s="568"/>
      <c r="G111" s="568"/>
      <c r="H111" s="569"/>
      <c r="J111" s="567" t="s">
        <v>506</v>
      </c>
      <c r="K111" s="568"/>
      <c r="L111" s="568"/>
      <c r="M111" s="568"/>
      <c r="N111" s="568"/>
      <c r="O111" s="568"/>
      <c r="P111" s="568"/>
      <c r="Q111" s="569"/>
    </row>
    <row r="112" spans="1:17" ht="15" thickBot="1" x14ac:dyDescent="0.35"/>
    <row r="113" spans="1:17" s="359" customFormat="1" ht="19.8" x14ac:dyDescent="0.4">
      <c r="A113" s="580" t="s">
        <v>504</v>
      </c>
      <c r="B113" s="581"/>
      <c r="C113" s="581"/>
      <c r="D113" s="581"/>
      <c r="E113" s="581"/>
      <c r="F113" s="581"/>
      <c r="G113" s="581"/>
      <c r="H113" s="582"/>
      <c r="J113" s="580" t="s">
        <v>505</v>
      </c>
      <c r="K113" s="581"/>
      <c r="L113" s="581"/>
      <c r="M113" s="581"/>
      <c r="N113" s="581"/>
      <c r="O113" s="581"/>
      <c r="P113" s="581"/>
      <c r="Q113" s="582"/>
    </row>
    <row r="114" spans="1:17" x14ac:dyDescent="0.3">
      <c r="A114" s="499" t="s">
        <v>483</v>
      </c>
      <c r="B114" s="500"/>
      <c r="C114" s="500"/>
      <c r="D114" s="500"/>
      <c r="E114" s="500"/>
      <c r="F114" s="500"/>
      <c r="G114" s="500"/>
      <c r="H114" s="501"/>
      <c r="J114" s="499" t="s">
        <v>483</v>
      </c>
      <c r="K114" s="500"/>
      <c r="L114" s="500"/>
      <c r="M114" s="500"/>
      <c r="N114" s="500"/>
      <c r="O114" s="500"/>
      <c r="P114" s="500"/>
      <c r="Q114" s="501"/>
    </row>
    <row r="115" spans="1:17" x14ac:dyDescent="0.3">
      <c r="A115" s="7"/>
      <c r="B115" s="6" t="s">
        <v>484</v>
      </c>
      <c r="C115" s="250">
        <v>260</v>
      </c>
      <c r="D115" s="241" t="s">
        <v>43</v>
      </c>
      <c r="E115" s="17"/>
      <c r="F115" s="12" t="s">
        <v>28</v>
      </c>
      <c r="G115" s="379">
        <v>20.7</v>
      </c>
      <c r="H115" s="242" t="s">
        <v>25</v>
      </c>
      <c r="J115" s="7"/>
      <c r="K115" s="6" t="s">
        <v>484</v>
      </c>
      <c r="L115" s="250">
        <v>320</v>
      </c>
      <c r="M115" s="241" t="s">
        <v>43</v>
      </c>
      <c r="N115" s="17"/>
      <c r="O115" s="12" t="s">
        <v>28</v>
      </c>
      <c r="P115" s="379">
        <v>20.7</v>
      </c>
      <c r="Q115" s="242" t="s">
        <v>25</v>
      </c>
    </row>
    <row r="116" spans="1:17" x14ac:dyDescent="0.3">
      <c r="A116" s="7"/>
      <c r="B116" s="12" t="s">
        <v>485</v>
      </c>
      <c r="C116" s="22">
        <v>250</v>
      </c>
      <c r="D116" s="241" t="s">
        <v>43</v>
      </c>
      <c r="E116" s="17"/>
      <c r="F116" s="12" t="s">
        <v>486</v>
      </c>
      <c r="G116" s="379">
        <v>276</v>
      </c>
      <c r="H116" s="242" t="s">
        <v>25</v>
      </c>
      <c r="J116" s="7"/>
      <c r="K116" s="12" t="s">
        <v>485</v>
      </c>
      <c r="L116" s="22">
        <v>300</v>
      </c>
      <c r="M116" s="241" t="s">
        <v>43</v>
      </c>
      <c r="N116" s="17"/>
      <c r="O116" s="12" t="s">
        <v>486</v>
      </c>
      <c r="P116" s="379">
        <v>276</v>
      </c>
      <c r="Q116" s="242" t="s">
        <v>25</v>
      </c>
    </row>
    <row r="117" spans="1:17" x14ac:dyDescent="0.3">
      <c r="A117" s="27"/>
      <c r="B117" s="6" t="s">
        <v>487</v>
      </c>
      <c r="C117" s="250">
        <v>18.9437</v>
      </c>
      <c r="D117" s="17" t="s">
        <v>488</v>
      </c>
      <c r="E117" s="17"/>
      <c r="F117" s="12" t="s">
        <v>489</v>
      </c>
      <c r="G117" s="379">
        <v>0.75</v>
      </c>
      <c r="H117" s="16"/>
      <c r="J117" s="27"/>
      <c r="K117" s="6" t="s">
        <v>487</v>
      </c>
      <c r="L117" s="250">
        <v>46.893900000000002</v>
      </c>
      <c r="M117" s="17" t="s">
        <v>488</v>
      </c>
      <c r="N117" s="17"/>
      <c r="O117" s="12" t="s">
        <v>489</v>
      </c>
      <c r="P117" s="379">
        <v>0.75</v>
      </c>
      <c r="Q117" s="16"/>
    </row>
    <row r="118" spans="1:17" x14ac:dyDescent="0.3">
      <c r="A118" s="27"/>
      <c r="B118" s="6" t="s">
        <v>490</v>
      </c>
      <c r="C118" s="250">
        <v>6.6500000000000004E-2</v>
      </c>
      <c r="D118" s="17" t="s">
        <v>488</v>
      </c>
      <c r="E118" s="17"/>
      <c r="F118" s="6"/>
      <c r="G118" s="6"/>
      <c r="H118" s="16"/>
      <c r="J118" s="27"/>
      <c r="K118" s="6" t="s">
        <v>490</v>
      </c>
      <c r="L118" s="250">
        <v>16.598600000000001</v>
      </c>
      <c r="M118" s="17" t="s">
        <v>488</v>
      </c>
      <c r="N118" s="17"/>
      <c r="O118" s="6"/>
      <c r="P118" s="6"/>
      <c r="Q118" s="16"/>
    </row>
    <row r="119" spans="1:17" x14ac:dyDescent="0.3">
      <c r="A119" s="27"/>
      <c r="B119" s="6" t="s">
        <v>491</v>
      </c>
      <c r="C119" s="250">
        <v>26.89</v>
      </c>
      <c r="D119" s="17" t="s">
        <v>488</v>
      </c>
      <c r="E119" s="17"/>
      <c r="F119" s="6"/>
      <c r="G119" s="6"/>
      <c r="H119" s="16"/>
      <c r="J119" s="27"/>
      <c r="K119" s="6" t="s">
        <v>491</v>
      </c>
      <c r="L119" s="250">
        <v>27.966999999999999</v>
      </c>
      <c r="M119" s="17" t="s">
        <v>488</v>
      </c>
      <c r="N119" s="17"/>
      <c r="O119" s="6"/>
      <c r="P119" s="6"/>
      <c r="Q119" s="16"/>
    </row>
    <row r="120" spans="1:17" x14ac:dyDescent="0.3">
      <c r="A120" s="27"/>
      <c r="B120" s="12" t="s">
        <v>492</v>
      </c>
      <c r="C120" s="20">
        <f>MAX(E122:E123)</f>
        <v>49.688940000000002</v>
      </c>
      <c r="D120" s="241" t="s">
        <v>138</v>
      </c>
      <c r="E120" s="17"/>
      <c r="F120" s="6"/>
      <c r="G120" s="6"/>
      <c r="H120" s="16"/>
      <c r="J120" s="27"/>
      <c r="K120" s="12" t="s">
        <v>492</v>
      </c>
      <c r="L120" s="20">
        <f>MAX(N122:N123)</f>
        <v>100.83828</v>
      </c>
      <c r="M120" s="241" t="s">
        <v>138</v>
      </c>
      <c r="N120" s="17"/>
      <c r="O120" s="6"/>
      <c r="P120" s="6"/>
      <c r="Q120" s="16"/>
    </row>
    <row r="121" spans="1:17" x14ac:dyDescent="0.3">
      <c r="A121" s="27"/>
      <c r="B121" s="12" t="s">
        <v>493</v>
      </c>
      <c r="C121" s="10">
        <v>10</v>
      </c>
      <c r="D121" s="241" t="s">
        <v>43</v>
      </c>
      <c r="E121" s="241"/>
      <c r="F121" s="12"/>
      <c r="G121" s="12"/>
      <c r="H121" s="242"/>
      <c r="J121" s="27"/>
      <c r="K121" s="12" t="s">
        <v>493</v>
      </c>
      <c r="L121" s="10">
        <v>10</v>
      </c>
      <c r="M121" s="241" t="s">
        <v>43</v>
      </c>
      <c r="N121" s="241"/>
      <c r="O121" s="12"/>
      <c r="P121" s="12"/>
      <c r="Q121" s="242"/>
    </row>
    <row r="122" spans="1:17" x14ac:dyDescent="0.3">
      <c r="A122" s="27"/>
      <c r="B122" s="6"/>
      <c r="C122" s="15" t="s">
        <v>494</v>
      </c>
      <c r="D122" s="19"/>
      <c r="E122" s="17">
        <f>1.2*C117+1.6*C118</f>
        <v>22.838840000000001</v>
      </c>
      <c r="F122" s="6"/>
      <c r="G122" s="12" t="s">
        <v>138</v>
      </c>
      <c r="H122" s="16"/>
      <c r="J122" s="27"/>
      <c r="K122" s="6"/>
      <c r="L122" s="15" t="s">
        <v>494</v>
      </c>
      <c r="M122" s="19"/>
      <c r="N122" s="17">
        <f>1.2*L117+1.6*L118</f>
        <v>82.83044000000001</v>
      </c>
      <c r="O122" s="6"/>
      <c r="P122" s="12" t="s">
        <v>138</v>
      </c>
      <c r="Q122" s="16"/>
    </row>
    <row r="123" spans="1:17" x14ac:dyDescent="0.3">
      <c r="A123" s="27"/>
      <c r="B123" s="6"/>
      <c r="C123" s="15" t="s">
        <v>587</v>
      </c>
      <c r="D123" s="19"/>
      <c r="E123" s="17">
        <f>1.2*C117+C118+1*C119</f>
        <v>49.688940000000002</v>
      </c>
      <c r="F123" s="6"/>
      <c r="G123" s="12" t="s">
        <v>138</v>
      </c>
      <c r="H123" s="16"/>
      <c r="J123" s="27"/>
      <c r="K123" s="6"/>
      <c r="L123" s="15" t="s">
        <v>587</v>
      </c>
      <c r="M123" s="19"/>
      <c r="N123" s="17">
        <f>1.2*L117+L118+1*L119</f>
        <v>100.83828</v>
      </c>
      <c r="O123" s="6"/>
      <c r="P123" s="12" t="s">
        <v>138</v>
      </c>
      <c r="Q123" s="16"/>
    </row>
    <row r="124" spans="1:17" x14ac:dyDescent="0.3">
      <c r="A124" s="577" t="s">
        <v>495</v>
      </c>
      <c r="B124" s="578"/>
      <c r="C124" s="578"/>
      <c r="D124" s="578"/>
      <c r="E124" s="578"/>
      <c r="F124" s="578"/>
      <c r="G124" s="578"/>
      <c r="H124" s="579"/>
      <c r="J124" s="577" t="s">
        <v>495</v>
      </c>
      <c r="K124" s="578"/>
      <c r="L124" s="578"/>
      <c r="M124" s="578"/>
      <c r="N124" s="578"/>
      <c r="O124" s="578"/>
      <c r="P124" s="578"/>
      <c r="Q124" s="579"/>
    </row>
    <row r="125" spans="1:17" x14ac:dyDescent="0.3">
      <c r="A125" s="27"/>
      <c r="B125" s="566"/>
      <c r="C125" s="566"/>
      <c r="D125" s="17">
        <f>0.17*C116*C115*SQRT(G115)/1000</f>
        <v>50.274464194061778</v>
      </c>
      <c r="E125" s="241" t="s">
        <v>138</v>
      </c>
      <c r="F125" s="12"/>
      <c r="G125" s="6"/>
      <c r="H125" s="16"/>
      <c r="J125" s="27"/>
      <c r="K125" s="566"/>
      <c r="L125" s="566"/>
      <c r="M125" s="17">
        <f>0.17*L116*L115*SQRT(P115)/1000</f>
        <v>74.251516348152791</v>
      </c>
      <c r="N125" s="241" t="s">
        <v>138</v>
      </c>
      <c r="O125" s="12"/>
      <c r="P125" s="6"/>
      <c r="Q125" s="16"/>
    </row>
    <row r="126" spans="1:17" x14ac:dyDescent="0.3">
      <c r="A126" s="341" t="s">
        <v>139</v>
      </c>
      <c r="B126" s="6"/>
      <c r="C126" s="6"/>
      <c r="D126" s="17"/>
      <c r="E126" s="17"/>
      <c r="F126" s="6"/>
      <c r="G126" s="6"/>
      <c r="H126" s="16"/>
      <c r="J126" s="341" t="s">
        <v>139</v>
      </c>
      <c r="K126" s="6"/>
      <c r="L126" s="6"/>
      <c r="M126" s="17"/>
      <c r="N126" s="17"/>
      <c r="O126" s="6"/>
      <c r="P126" s="6"/>
      <c r="Q126" s="16"/>
    </row>
    <row r="127" spans="1:17" x14ac:dyDescent="0.3">
      <c r="A127" s="27"/>
      <c r="B127" s="566" t="s">
        <v>129</v>
      </c>
      <c r="C127" s="566"/>
      <c r="D127" s="241">
        <f>C120</f>
        <v>49.688940000000002</v>
      </c>
      <c r="E127" s="41" t="s">
        <v>551</v>
      </c>
      <c r="F127" s="243">
        <f>G117*D125/2</f>
        <v>18.852924072773167</v>
      </c>
      <c r="G127" s="6"/>
      <c r="H127" s="342" t="str">
        <f>IF(D127&lt;=F127,"True","False")</f>
        <v>False</v>
      </c>
      <c r="J127" s="27"/>
      <c r="K127" s="566" t="s">
        <v>129</v>
      </c>
      <c r="L127" s="566"/>
      <c r="M127" s="241">
        <f>L120</f>
        <v>100.83828</v>
      </c>
      <c r="N127" s="41" t="s">
        <v>551</v>
      </c>
      <c r="O127" s="243">
        <f>P117*M125/2</f>
        <v>27.844318630557297</v>
      </c>
      <c r="P127" s="6"/>
      <c r="Q127" s="342" t="str">
        <f>IF(M127&lt;=O127,"True","False")</f>
        <v>False</v>
      </c>
    </row>
    <row r="128" spans="1:17" x14ac:dyDescent="0.3">
      <c r="A128" s="27"/>
      <c r="B128" s="566"/>
      <c r="C128" s="566"/>
      <c r="D128" s="17"/>
      <c r="E128" s="17"/>
      <c r="F128" s="6"/>
      <c r="G128" s="6"/>
      <c r="H128" s="16"/>
      <c r="J128" s="27"/>
      <c r="K128" s="566"/>
      <c r="L128" s="566"/>
      <c r="M128" s="17"/>
      <c r="N128" s="17"/>
      <c r="O128" s="6"/>
      <c r="P128" s="6"/>
      <c r="Q128" s="16"/>
    </row>
    <row r="129" spans="1:17" x14ac:dyDescent="0.3">
      <c r="A129" s="27"/>
      <c r="B129" s="6"/>
      <c r="C129" s="6"/>
      <c r="D129" s="576" t="s">
        <v>140</v>
      </c>
      <c r="E129" s="576"/>
      <c r="F129" s="576"/>
      <c r="G129" s="576"/>
      <c r="H129" s="16"/>
      <c r="J129" s="27"/>
      <c r="K129" s="6"/>
      <c r="L129" s="6"/>
      <c r="M129" s="576" t="s">
        <v>140</v>
      </c>
      <c r="N129" s="576"/>
      <c r="O129" s="576"/>
      <c r="P129" s="576"/>
      <c r="Q129" s="16"/>
    </row>
    <row r="130" spans="1:17" x14ac:dyDescent="0.3">
      <c r="A130" s="341" t="s">
        <v>141</v>
      </c>
      <c r="B130" s="6"/>
      <c r="C130" s="6"/>
      <c r="D130" s="17"/>
      <c r="E130" s="343"/>
      <c r="F130" s="28"/>
      <c r="G130" s="6"/>
      <c r="H130" s="16"/>
      <c r="J130" s="341" t="s">
        <v>141</v>
      </c>
      <c r="K130" s="6"/>
      <c r="L130" s="6"/>
      <c r="M130" s="17"/>
      <c r="N130" s="343"/>
      <c r="O130" s="28"/>
      <c r="P130" s="6"/>
      <c r="Q130" s="16"/>
    </row>
    <row r="131" spans="1:17" x14ac:dyDescent="0.3">
      <c r="A131" s="244"/>
      <c r="B131" s="10" t="s">
        <v>142</v>
      </c>
      <c r="C131" s="6"/>
      <c r="D131" s="245">
        <f>3.14159*2*C121*C121/4</f>
        <v>157.0795</v>
      </c>
      <c r="E131" s="227" t="s">
        <v>57</v>
      </c>
      <c r="F131" s="246"/>
      <c r="G131" s="6"/>
      <c r="H131" s="16"/>
      <c r="J131" s="244"/>
      <c r="K131" s="10" t="s">
        <v>142</v>
      </c>
      <c r="L131" s="6"/>
      <c r="M131" s="245">
        <f>3.14159*2*L121*L121/4</f>
        <v>157.0795</v>
      </c>
      <c r="N131" s="227" t="s">
        <v>57</v>
      </c>
      <c r="O131" s="246"/>
      <c r="P131" s="6"/>
      <c r="Q131" s="16"/>
    </row>
    <row r="132" spans="1:17" x14ac:dyDescent="0.3">
      <c r="A132" s="27"/>
      <c r="B132" s="15"/>
      <c r="C132" s="15"/>
      <c r="D132" s="551">
        <f>G117*D125/2</f>
        <v>18.852924072773167</v>
      </c>
      <c r="E132" s="574">
        <f>C120</f>
        <v>49.688940000000002</v>
      </c>
      <c r="F132" s="574"/>
      <c r="G132" s="574">
        <f>G117*D125</f>
        <v>37.705848145546334</v>
      </c>
      <c r="H132" s="342" t="str">
        <f>IF(AND(D132&lt;E132,E132&lt;=G132),"True","False")</f>
        <v>False</v>
      </c>
      <c r="J132" s="27"/>
      <c r="K132" s="15"/>
      <c r="L132" s="15"/>
      <c r="M132" s="551">
        <f>P117*M125/2</f>
        <v>27.844318630557297</v>
      </c>
      <c r="N132" s="574">
        <f>L120</f>
        <v>100.83828</v>
      </c>
      <c r="O132" s="574"/>
      <c r="P132" s="574">
        <f>P117*M125</f>
        <v>55.688637261114593</v>
      </c>
      <c r="Q132" s="342" t="str">
        <f>IF(AND(M132&lt;N132,N132&lt;=P132),"True","False")</f>
        <v>False</v>
      </c>
    </row>
    <row r="133" spans="1:17" x14ac:dyDescent="0.3">
      <c r="A133" s="27"/>
      <c r="B133" s="15"/>
      <c r="C133" s="15"/>
      <c r="D133" s="551"/>
      <c r="E133" s="574"/>
      <c r="F133" s="574"/>
      <c r="G133" s="574"/>
      <c r="H133" s="16"/>
      <c r="J133" s="27"/>
      <c r="K133" s="15"/>
      <c r="L133" s="15"/>
      <c r="M133" s="551"/>
      <c r="N133" s="574"/>
      <c r="O133" s="574"/>
      <c r="P133" s="574"/>
      <c r="Q133" s="16"/>
    </row>
    <row r="134" spans="1:17" x14ac:dyDescent="0.3">
      <c r="A134" s="27"/>
      <c r="B134" s="15"/>
      <c r="C134" s="15"/>
      <c r="D134" s="551">
        <f>D131*G116/(0.062*C116*SQRT(G115))</f>
        <v>614.76866235555894</v>
      </c>
      <c r="E134" s="575" t="s">
        <v>42</v>
      </c>
      <c r="F134" s="574">
        <f>_xlfn.FLOOR.MATH(D134,10)</f>
        <v>610</v>
      </c>
      <c r="G134" s="6"/>
      <c r="H134" s="16"/>
      <c r="J134" s="27"/>
      <c r="K134" s="15"/>
      <c r="L134" s="15"/>
      <c r="M134" s="551">
        <f>M131*P116/(0.062*L116*SQRT(P115))</f>
        <v>512.30721862963242</v>
      </c>
      <c r="N134" s="575" t="s">
        <v>42</v>
      </c>
      <c r="O134" s="574">
        <f>_xlfn.FLOOR.MATH(M134,10)</f>
        <v>510</v>
      </c>
      <c r="P134" s="6"/>
      <c r="Q134" s="16"/>
    </row>
    <row r="135" spans="1:17" x14ac:dyDescent="0.3">
      <c r="A135" s="27"/>
      <c r="B135" s="15"/>
      <c r="C135" s="15"/>
      <c r="D135" s="551"/>
      <c r="E135" s="575"/>
      <c r="F135" s="574"/>
      <c r="G135" s="570" t="s">
        <v>143</v>
      </c>
      <c r="H135" s="571"/>
      <c r="J135" s="27"/>
      <c r="K135" s="15"/>
      <c r="L135" s="15"/>
      <c r="M135" s="551"/>
      <c r="N135" s="575"/>
      <c r="O135" s="574"/>
      <c r="P135" s="570" t="s">
        <v>143</v>
      </c>
      <c r="Q135" s="571"/>
    </row>
    <row r="136" spans="1:17" x14ac:dyDescent="0.3">
      <c r="A136" s="27"/>
      <c r="B136" s="15"/>
      <c r="C136" s="15"/>
      <c r="D136" s="551">
        <f>D131*G116/(0.35*C116)</f>
        <v>495.4736228571428</v>
      </c>
      <c r="E136" s="575" t="s">
        <v>42</v>
      </c>
      <c r="F136" s="574">
        <f>_xlfn.FLOOR.MATH(D136,10)</f>
        <v>490</v>
      </c>
      <c r="G136" s="18">
        <f>MIN(F134,F136,F138)</f>
        <v>130</v>
      </c>
      <c r="H136" s="278" t="s">
        <v>43</v>
      </c>
      <c r="J136" s="27"/>
      <c r="K136" s="15"/>
      <c r="L136" s="15"/>
      <c r="M136" s="551">
        <f>M131*P116/(0.35*L116)</f>
        <v>412.89468571428569</v>
      </c>
      <c r="N136" s="575" t="s">
        <v>42</v>
      </c>
      <c r="O136" s="574">
        <f>_xlfn.FLOOR.MATH(M136,10)</f>
        <v>410</v>
      </c>
      <c r="P136" s="18">
        <f>MIN(O134,O136,O138)</f>
        <v>160</v>
      </c>
      <c r="Q136" s="278" t="s">
        <v>43</v>
      </c>
    </row>
    <row r="137" spans="1:17" x14ac:dyDescent="0.3">
      <c r="A137" s="27"/>
      <c r="B137" s="15"/>
      <c r="C137" s="15"/>
      <c r="D137" s="551"/>
      <c r="E137" s="575"/>
      <c r="F137" s="574"/>
      <c r="G137" s="6"/>
      <c r="H137" s="16"/>
      <c r="J137" s="27"/>
      <c r="K137" s="15"/>
      <c r="L137" s="15"/>
      <c r="M137" s="551"/>
      <c r="N137" s="575"/>
      <c r="O137" s="574"/>
      <c r="P137" s="6"/>
      <c r="Q137" s="16"/>
    </row>
    <row r="138" spans="1:17" x14ac:dyDescent="0.3">
      <c r="A138" s="27"/>
      <c r="B138" s="15"/>
      <c r="C138" s="6"/>
      <c r="D138" s="551">
        <f>C115/2</f>
        <v>130</v>
      </c>
      <c r="E138" s="575" t="s">
        <v>42</v>
      </c>
      <c r="F138" s="574">
        <f>_xlfn.FLOOR.MATH(D138,10)</f>
        <v>130</v>
      </c>
      <c r="G138" s="6"/>
      <c r="H138" s="16"/>
      <c r="J138" s="27"/>
      <c r="K138" s="15"/>
      <c r="L138" s="6"/>
      <c r="M138" s="551">
        <f>L115/2</f>
        <v>160</v>
      </c>
      <c r="N138" s="575" t="s">
        <v>42</v>
      </c>
      <c r="O138" s="574">
        <f>_xlfn.FLOOR.MATH(M138,10)</f>
        <v>160</v>
      </c>
      <c r="P138" s="6"/>
      <c r="Q138" s="16"/>
    </row>
    <row r="139" spans="1:17" x14ac:dyDescent="0.3">
      <c r="A139" s="27"/>
      <c r="B139" s="15"/>
      <c r="C139" s="6"/>
      <c r="D139" s="551"/>
      <c r="E139" s="575"/>
      <c r="F139" s="574"/>
      <c r="G139" s="6"/>
      <c r="H139" s="16"/>
      <c r="J139" s="27"/>
      <c r="K139" s="15"/>
      <c r="L139" s="6"/>
      <c r="M139" s="551"/>
      <c r="N139" s="575"/>
      <c r="O139" s="574"/>
      <c r="P139" s="6"/>
      <c r="Q139" s="16"/>
    </row>
    <row r="140" spans="1:17" x14ac:dyDescent="0.3">
      <c r="A140" s="341" t="s">
        <v>144</v>
      </c>
      <c r="B140" s="6"/>
      <c r="C140" s="6"/>
      <c r="D140" s="17"/>
      <c r="E140" s="17"/>
      <c r="F140" s="6"/>
      <c r="G140" s="6"/>
      <c r="H140" s="16"/>
      <c r="J140" s="341" t="s">
        <v>144</v>
      </c>
      <c r="K140" s="6"/>
      <c r="L140" s="6"/>
      <c r="M140" s="17"/>
      <c r="N140" s="17"/>
      <c r="O140" s="6"/>
      <c r="P140" s="6"/>
      <c r="Q140" s="16"/>
    </row>
    <row r="141" spans="1:17" x14ac:dyDescent="0.3">
      <c r="A141" s="244"/>
      <c r="B141" s="15"/>
      <c r="C141" s="15"/>
      <c r="D141" s="245">
        <f>(C120/G117)-D125</f>
        <v>15.97745580593822</v>
      </c>
      <c r="E141" s="227" t="s">
        <v>138</v>
      </c>
      <c r="F141" s="246"/>
      <c r="G141" s="6"/>
      <c r="H141" s="16"/>
      <c r="J141" s="244"/>
      <c r="K141" s="15"/>
      <c r="L141" s="15"/>
      <c r="M141" s="245">
        <f>(L120/P117)-M125</f>
        <v>60.199523651847215</v>
      </c>
      <c r="N141" s="227" t="s">
        <v>138</v>
      </c>
      <c r="O141" s="246"/>
      <c r="P141" s="6"/>
      <c r="Q141" s="16"/>
    </row>
    <row r="142" spans="1:17" x14ac:dyDescent="0.3">
      <c r="A142" s="27"/>
      <c r="B142" s="15"/>
      <c r="C142" s="15"/>
      <c r="D142" s="241">
        <f>(C120/G117)-D125</f>
        <v>15.97745580593822</v>
      </c>
      <c r="E142" s="45" t="s">
        <v>552</v>
      </c>
      <c r="F142" s="11">
        <f>0.33*C116*C115*SQRT(G115)/1000</f>
        <v>97.591606964943452</v>
      </c>
      <c r="G142" s="6"/>
      <c r="H142" s="342" t="str">
        <f>IF(D142&lt;=F142,"True","False")</f>
        <v>True</v>
      </c>
      <c r="J142" s="27"/>
      <c r="K142" s="15"/>
      <c r="L142" s="15"/>
      <c r="M142" s="241">
        <f>(L120/P117)-M125</f>
        <v>60.199523651847215</v>
      </c>
      <c r="N142" s="45" t="s">
        <v>552</v>
      </c>
      <c r="O142" s="11">
        <f>0.33*L116*L115*SQRT(P115)/1000</f>
        <v>144.13529644053187</v>
      </c>
      <c r="P142" s="6"/>
      <c r="Q142" s="342" t="str">
        <f>IF(M142&lt;=O142,"True","False")</f>
        <v>True</v>
      </c>
    </row>
    <row r="143" spans="1:17" x14ac:dyDescent="0.3">
      <c r="A143" s="27"/>
      <c r="B143" s="15"/>
      <c r="C143" s="15"/>
      <c r="D143" s="241">
        <f>C120</f>
        <v>49.688940000000002</v>
      </c>
      <c r="E143" s="45" t="s">
        <v>552</v>
      </c>
      <c r="F143" s="12">
        <f>3*G117*D125</f>
        <v>113.11754443663901</v>
      </c>
      <c r="G143" s="6"/>
      <c r="H143" s="342" t="str">
        <f>IF(D143&lt;=F143,"True","False")</f>
        <v>True</v>
      </c>
      <c r="J143" s="27"/>
      <c r="K143" s="15"/>
      <c r="L143" s="15"/>
      <c r="M143" s="241">
        <f>L120</f>
        <v>100.83828</v>
      </c>
      <c r="N143" s="45" t="s">
        <v>552</v>
      </c>
      <c r="O143" s="12">
        <f>3*P117*M125</f>
        <v>167.06591178334378</v>
      </c>
      <c r="P143" s="6"/>
      <c r="Q143" s="342" t="str">
        <f>IF(M143&lt;=O143,"True","False")</f>
        <v>True</v>
      </c>
    </row>
    <row r="144" spans="1:17" x14ac:dyDescent="0.3">
      <c r="A144" s="27"/>
      <c r="B144" s="6"/>
      <c r="C144" s="6"/>
      <c r="D144" s="17"/>
      <c r="E144" s="17"/>
      <c r="F144" s="6"/>
      <c r="G144" s="6"/>
      <c r="H144" s="16"/>
      <c r="J144" s="27"/>
      <c r="K144" s="6"/>
      <c r="L144" s="6"/>
      <c r="M144" s="17"/>
      <c r="N144" s="17"/>
      <c r="O144" s="6"/>
      <c r="P144" s="6"/>
      <c r="Q144" s="16"/>
    </row>
    <row r="145" spans="1:17" x14ac:dyDescent="0.3">
      <c r="A145" s="27"/>
      <c r="B145" s="15"/>
      <c r="C145" s="15"/>
      <c r="D145" s="241">
        <f>D134</f>
        <v>614.76866235555894</v>
      </c>
      <c r="E145" s="20" t="s">
        <v>42</v>
      </c>
      <c r="F145" s="12">
        <f>_xlfn.FLOOR.MATH(D145,10)</f>
        <v>610</v>
      </c>
      <c r="G145" s="6"/>
      <c r="H145" s="16"/>
      <c r="J145" s="27"/>
      <c r="K145" s="15"/>
      <c r="L145" s="15"/>
      <c r="M145" s="241">
        <f>M134</f>
        <v>512.30721862963242</v>
      </c>
      <c r="N145" s="20" t="s">
        <v>42</v>
      </c>
      <c r="O145" s="12">
        <f>_xlfn.FLOOR.MATH(M145,10)</f>
        <v>510</v>
      </c>
      <c r="P145" s="6"/>
      <c r="Q145" s="16"/>
    </row>
    <row r="146" spans="1:17" x14ac:dyDescent="0.3">
      <c r="A146" s="27"/>
      <c r="B146" s="15"/>
      <c r="C146" s="15"/>
      <c r="D146" s="17"/>
      <c r="E146" s="17"/>
      <c r="F146" s="6"/>
      <c r="G146" s="6"/>
      <c r="H146" s="16"/>
      <c r="J146" s="27"/>
      <c r="K146" s="15"/>
      <c r="L146" s="15"/>
      <c r="M146" s="17"/>
      <c r="N146" s="17"/>
      <c r="O146" s="6"/>
      <c r="P146" s="6"/>
      <c r="Q146" s="16"/>
    </row>
    <row r="147" spans="1:17" x14ac:dyDescent="0.3">
      <c r="A147" s="27"/>
      <c r="B147" s="15"/>
      <c r="C147" s="15"/>
      <c r="D147" s="241">
        <f>D136</f>
        <v>495.4736228571428</v>
      </c>
      <c r="E147" s="20" t="s">
        <v>42</v>
      </c>
      <c r="F147" s="12">
        <f>_xlfn.FLOOR.MATH(D147,10)</f>
        <v>490</v>
      </c>
      <c r="G147" s="570" t="s">
        <v>143</v>
      </c>
      <c r="H147" s="571"/>
      <c r="J147" s="27"/>
      <c r="K147" s="15"/>
      <c r="L147" s="15"/>
      <c r="M147" s="241">
        <f>M136</f>
        <v>412.89468571428569</v>
      </c>
      <c r="N147" s="20" t="s">
        <v>42</v>
      </c>
      <c r="O147" s="12">
        <f>_xlfn.FLOOR.MATH(M147,10)</f>
        <v>410</v>
      </c>
      <c r="P147" s="570" t="s">
        <v>143</v>
      </c>
      <c r="Q147" s="571"/>
    </row>
    <row r="148" spans="1:17" x14ac:dyDescent="0.3">
      <c r="A148" s="27"/>
      <c r="B148" s="15"/>
      <c r="C148" s="15"/>
      <c r="D148" s="17"/>
      <c r="E148" s="17"/>
      <c r="F148" s="6"/>
      <c r="G148" s="18">
        <f>MIN(F145,F147,F149,F151)</f>
        <v>130</v>
      </c>
      <c r="H148" s="247" t="s">
        <v>43</v>
      </c>
      <c r="J148" s="27"/>
      <c r="K148" s="15"/>
      <c r="L148" s="15"/>
      <c r="M148" s="17"/>
      <c r="N148" s="17"/>
      <c r="O148" s="6"/>
      <c r="P148" s="18">
        <f>MIN(O145,O147,O149,O151)</f>
        <v>160</v>
      </c>
      <c r="Q148" s="247" t="s">
        <v>43</v>
      </c>
    </row>
    <row r="149" spans="1:17" x14ac:dyDescent="0.3">
      <c r="A149" s="27"/>
      <c r="B149" s="15"/>
      <c r="C149" s="15"/>
      <c r="D149" s="241">
        <f>ABS(D131*G116*C115/(D141*1000))</f>
        <v>705.49560937046124</v>
      </c>
      <c r="E149" s="20" t="s">
        <v>42</v>
      </c>
      <c r="F149" s="12">
        <f>_xlfn.FLOOR.MATH(D149,10)</f>
        <v>700</v>
      </c>
      <c r="G149" s="6"/>
      <c r="H149" s="16"/>
      <c r="J149" s="27"/>
      <c r="K149" s="15"/>
      <c r="L149" s="15"/>
      <c r="M149" s="241">
        <f>ABS(M131*P116*L115/(M141*1000))</f>
        <v>230.45467137303999</v>
      </c>
      <c r="N149" s="20" t="s">
        <v>42</v>
      </c>
      <c r="O149" s="12">
        <f>_xlfn.FLOOR.MATH(M149,10)</f>
        <v>230</v>
      </c>
      <c r="P149" s="6"/>
      <c r="Q149" s="16"/>
    </row>
    <row r="150" spans="1:17" x14ac:dyDescent="0.3">
      <c r="A150" s="27"/>
      <c r="B150" s="15"/>
      <c r="C150" s="15"/>
      <c r="D150" s="17"/>
      <c r="E150" s="17"/>
      <c r="F150" s="6"/>
      <c r="G150" s="6"/>
      <c r="H150" s="16"/>
      <c r="J150" s="27"/>
      <c r="K150" s="15"/>
      <c r="L150" s="15"/>
      <c r="M150" s="17"/>
      <c r="N150" s="17"/>
      <c r="O150" s="6"/>
      <c r="P150" s="6"/>
      <c r="Q150" s="16"/>
    </row>
    <row r="151" spans="1:17" x14ac:dyDescent="0.3">
      <c r="A151" s="27"/>
      <c r="B151" s="15"/>
      <c r="C151" s="6"/>
      <c r="D151" s="241">
        <f>D138</f>
        <v>130</v>
      </c>
      <c r="E151" s="20" t="s">
        <v>42</v>
      </c>
      <c r="F151" s="12">
        <f>_xlfn.FLOOR.MATH(D151,10)</f>
        <v>130</v>
      </c>
      <c r="G151" s="6"/>
      <c r="H151" s="16"/>
      <c r="J151" s="27"/>
      <c r="K151" s="15"/>
      <c r="L151" s="6"/>
      <c r="M151" s="241">
        <f>M138</f>
        <v>160</v>
      </c>
      <c r="N151" s="20" t="s">
        <v>42</v>
      </c>
      <c r="O151" s="12">
        <f>_xlfn.FLOOR.MATH(M151,10)</f>
        <v>160</v>
      </c>
      <c r="P151" s="6"/>
      <c r="Q151" s="16"/>
    </row>
    <row r="152" spans="1:17" x14ac:dyDescent="0.3">
      <c r="A152" s="27"/>
      <c r="B152" s="15"/>
      <c r="C152" s="6"/>
      <c r="D152" s="17"/>
      <c r="E152" s="17"/>
      <c r="F152" s="6"/>
      <c r="G152" s="6"/>
      <c r="H152" s="16"/>
      <c r="J152" s="27"/>
      <c r="K152" s="15"/>
      <c r="L152" s="6"/>
      <c r="M152" s="17"/>
      <c r="N152" s="17"/>
      <c r="O152" s="6"/>
      <c r="P152" s="6"/>
      <c r="Q152" s="16"/>
    </row>
    <row r="153" spans="1:17" x14ac:dyDescent="0.3">
      <c r="A153" s="341" t="s">
        <v>145</v>
      </c>
      <c r="B153" s="6"/>
      <c r="C153" s="6"/>
      <c r="D153" s="17"/>
      <c r="E153" s="17"/>
      <c r="F153" s="6"/>
      <c r="G153" s="6"/>
      <c r="H153" s="16"/>
      <c r="J153" s="341" t="s">
        <v>145</v>
      </c>
      <c r="K153" s="6"/>
      <c r="L153" s="6"/>
      <c r="M153" s="17"/>
      <c r="N153" s="17"/>
      <c r="O153" s="6"/>
      <c r="P153" s="6"/>
      <c r="Q153" s="16"/>
    </row>
    <row r="154" spans="1:17" x14ac:dyDescent="0.3">
      <c r="A154" s="27"/>
      <c r="B154" s="15"/>
      <c r="C154" s="15"/>
      <c r="D154" s="245">
        <f>D141</f>
        <v>15.97745580593822</v>
      </c>
      <c r="E154" s="227" t="s">
        <v>138</v>
      </c>
      <c r="F154" s="246"/>
      <c r="G154" s="6"/>
      <c r="H154" s="16"/>
      <c r="J154" s="27"/>
      <c r="K154" s="15"/>
      <c r="L154" s="15"/>
      <c r="M154" s="245">
        <f>M141</f>
        <v>60.199523651847215</v>
      </c>
      <c r="N154" s="227" t="s">
        <v>138</v>
      </c>
      <c r="O154" s="246"/>
      <c r="P154" s="6"/>
      <c r="Q154" s="16"/>
    </row>
    <row r="155" spans="1:17" x14ac:dyDescent="0.3">
      <c r="A155" s="248"/>
      <c r="B155" s="15"/>
      <c r="C155" s="15"/>
      <c r="D155" s="241">
        <f>F142</f>
        <v>97.591606964943452</v>
      </c>
      <c r="E155" s="572">
        <f>D141</f>
        <v>15.97745580593822</v>
      </c>
      <c r="F155" s="572"/>
      <c r="G155" s="12">
        <f>0.66*C116*C115*SQRT(G115)/1000</f>
        <v>195.1832139298869</v>
      </c>
      <c r="H155" s="342" t="str">
        <f>IF(AND(D155&lt;E155,E155&lt;=G155),"True","False")</f>
        <v>False</v>
      </c>
      <c r="J155" s="248"/>
      <c r="K155" s="15"/>
      <c r="L155" s="15"/>
      <c r="M155" s="241">
        <f>O142</f>
        <v>144.13529644053187</v>
      </c>
      <c r="N155" s="572">
        <f>M141</f>
        <v>60.199523651847215</v>
      </c>
      <c r="O155" s="572"/>
      <c r="P155" s="12">
        <f>0.66*L116*L115*SQRT(P115)/1000</f>
        <v>288.27059288106375</v>
      </c>
      <c r="Q155" s="342" t="str">
        <f>IF(AND(M155&lt;N155,N155&lt;=P155),"True","False")</f>
        <v>False</v>
      </c>
    </row>
    <row r="156" spans="1:17" x14ac:dyDescent="0.3">
      <c r="A156" s="27"/>
      <c r="B156" s="15"/>
      <c r="C156" s="15"/>
      <c r="D156" s="241">
        <f>F143</f>
        <v>113.11754443663901</v>
      </c>
      <c r="E156" s="566">
        <f>D143</f>
        <v>49.688940000000002</v>
      </c>
      <c r="F156" s="566"/>
      <c r="G156" s="12">
        <f>5*G117*D125</f>
        <v>188.52924072773166</v>
      </c>
      <c r="H156" s="342" t="str">
        <f>IF(AND(D156&lt;E156,E156&lt;=G156),"True","False")</f>
        <v>False</v>
      </c>
      <c r="J156" s="27"/>
      <c r="K156" s="15"/>
      <c r="L156" s="15"/>
      <c r="M156" s="241">
        <f>O143</f>
        <v>167.06591178334378</v>
      </c>
      <c r="N156" s="566">
        <f>M143</f>
        <v>100.83828</v>
      </c>
      <c r="O156" s="566"/>
      <c r="P156" s="12">
        <f>5*P117*M125</f>
        <v>278.44318630557297</v>
      </c>
      <c r="Q156" s="342" t="str">
        <f>IF(AND(M156&lt;N156,N156&lt;=P156),"True","False")</f>
        <v>False</v>
      </c>
    </row>
    <row r="157" spans="1:17" x14ac:dyDescent="0.3">
      <c r="A157" s="27"/>
      <c r="B157" s="6"/>
      <c r="C157" s="6"/>
      <c r="D157" s="17"/>
      <c r="E157" s="17"/>
      <c r="F157" s="6"/>
      <c r="G157" s="6"/>
      <c r="H157" s="16"/>
      <c r="J157" s="27"/>
      <c r="K157" s="6"/>
      <c r="L157" s="6"/>
      <c r="M157" s="17"/>
      <c r="N157" s="17"/>
      <c r="O157" s="6"/>
      <c r="P157" s="6"/>
      <c r="Q157" s="16"/>
    </row>
    <row r="158" spans="1:17" x14ac:dyDescent="0.3">
      <c r="A158" s="27"/>
      <c r="B158" s="15"/>
      <c r="C158" s="10" t="s">
        <v>32</v>
      </c>
      <c r="D158" s="241">
        <f>ABS(D149)</f>
        <v>705.49560937046124</v>
      </c>
      <c r="E158" s="249" t="s">
        <v>42</v>
      </c>
      <c r="F158" s="12">
        <f>_xlfn.FLOOR.MATH(D158,10)</f>
        <v>700</v>
      </c>
      <c r="G158" s="179" t="s">
        <v>143</v>
      </c>
      <c r="H158" s="16"/>
      <c r="J158" s="27"/>
      <c r="K158" s="15"/>
      <c r="L158" s="10" t="s">
        <v>32</v>
      </c>
      <c r="M158" s="241">
        <f>ABS(M149)</f>
        <v>230.45467137303999</v>
      </c>
      <c r="N158" s="249" t="s">
        <v>42</v>
      </c>
      <c r="O158" s="12">
        <f>_xlfn.FLOOR.MATH(M158,10)</f>
        <v>230</v>
      </c>
      <c r="P158" s="179" t="s">
        <v>143</v>
      </c>
      <c r="Q158" s="16"/>
    </row>
    <row r="159" spans="1:17" x14ac:dyDescent="0.3">
      <c r="A159" s="27"/>
      <c r="B159" s="15"/>
      <c r="C159" s="10"/>
      <c r="D159" s="17"/>
      <c r="E159" s="17"/>
      <c r="F159" s="6"/>
      <c r="G159" s="14">
        <f>MIN(F160,F158)</f>
        <v>60</v>
      </c>
      <c r="H159" s="16"/>
      <c r="J159" s="27"/>
      <c r="K159" s="15"/>
      <c r="L159" s="10"/>
      <c r="M159" s="17"/>
      <c r="N159" s="17"/>
      <c r="O159" s="6"/>
      <c r="P159" s="14">
        <f>MIN(O160,O158)</f>
        <v>80</v>
      </c>
      <c r="Q159" s="16"/>
    </row>
    <row r="160" spans="1:17" x14ac:dyDescent="0.3">
      <c r="A160" s="27"/>
      <c r="B160" s="15"/>
      <c r="C160" s="10" t="s">
        <v>32</v>
      </c>
      <c r="D160" s="241">
        <f>C115/4</f>
        <v>65</v>
      </c>
      <c r="E160" s="249" t="s">
        <v>42</v>
      </c>
      <c r="F160" s="12">
        <f>_xlfn.FLOOR.MATH(D160,10)</f>
        <v>60</v>
      </c>
      <c r="G160" s="6"/>
      <c r="H160" s="16"/>
      <c r="J160" s="27"/>
      <c r="K160" s="15"/>
      <c r="L160" s="10" t="s">
        <v>32</v>
      </c>
      <c r="M160" s="241">
        <f>L115/4</f>
        <v>80</v>
      </c>
      <c r="N160" s="249" t="s">
        <v>42</v>
      </c>
      <c r="O160" s="12">
        <f>_xlfn.FLOOR.MATH(M160,10)</f>
        <v>80</v>
      </c>
      <c r="P160" s="6"/>
      <c r="Q160" s="16"/>
    </row>
    <row r="161" spans="1:17" x14ac:dyDescent="0.3">
      <c r="A161" s="341" t="s">
        <v>146</v>
      </c>
      <c r="B161" s="6"/>
      <c r="C161" s="6"/>
      <c r="D161" s="17"/>
      <c r="E161" s="17"/>
      <c r="F161" s="6"/>
      <c r="G161" s="6"/>
      <c r="H161" s="16"/>
      <c r="J161" s="341" t="s">
        <v>146</v>
      </c>
      <c r="K161" s="6"/>
      <c r="L161" s="6"/>
      <c r="M161" s="17"/>
      <c r="N161" s="17"/>
      <c r="O161" s="6"/>
      <c r="P161" s="6"/>
      <c r="Q161" s="16"/>
    </row>
    <row r="162" spans="1:17" x14ac:dyDescent="0.3">
      <c r="A162" s="27"/>
      <c r="B162" s="179"/>
      <c r="C162" s="179"/>
      <c r="D162" s="241">
        <f>D154</f>
        <v>15.97745580593822</v>
      </c>
      <c r="E162" s="241">
        <f>G155</f>
        <v>195.1832139298869</v>
      </c>
      <c r="F162" s="11"/>
      <c r="G162" s="6"/>
      <c r="H162" s="342" t="str">
        <f>IF(D162&gt;E162,"True","False")</f>
        <v>False</v>
      </c>
      <c r="J162" s="27"/>
      <c r="K162" s="179"/>
      <c r="L162" s="179"/>
      <c r="M162" s="241">
        <f>M154</f>
        <v>60.199523651847215</v>
      </c>
      <c r="N162" s="241">
        <f>P155</f>
        <v>288.27059288106375</v>
      </c>
      <c r="O162" s="11"/>
      <c r="P162" s="6"/>
      <c r="Q162" s="342" t="str">
        <f>IF(M162&gt;N162,"True","False")</f>
        <v>False</v>
      </c>
    </row>
    <row r="163" spans="1:17" x14ac:dyDescent="0.3">
      <c r="A163" s="27"/>
      <c r="B163" s="15"/>
      <c r="C163" s="15"/>
      <c r="D163" s="241">
        <f>E156</f>
        <v>49.688940000000002</v>
      </c>
      <c r="E163" s="241">
        <f>G156</f>
        <v>188.52924072773166</v>
      </c>
      <c r="F163" s="12"/>
      <c r="G163" s="6"/>
      <c r="H163" s="342" t="str">
        <f>IF(D163&gt;E163,"True","False")</f>
        <v>False</v>
      </c>
      <c r="J163" s="27"/>
      <c r="K163" s="15"/>
      <c r="L163" s="15"/>
      <c r="M163" s="241">
        <f>N156</f>
        <v>100.83828</v>
      </c>
      <c r="N163" s="241">
        <f>P156</f>
        <v>278.44318630557297</v>
      </c>
      <c r="O163" s="12"/>
      <c r="P163" s="6"/>
      <c r="Q163" s="342" t="str">
        <f>IF(M163&gt;N163,"True","False")</f>
        <v>False</v>
      </c>
    </row>
    <row r="164" spans="1:17" x14ac:dyDescent="0.3">
      <c r="A164" s="27"/>
      <c r="B164" s="6"/>
      <c r="C164" s="6"/>
      <c r="D164" s="17"/>
      <c r="E164" s="17"/>
      <c r="F164" s="6"/>
      <c r="G164" s="6"/>
      <c r="H164" s="16"/>
      <c r="J164" s="27"/>
      <c r="K164" s="6"/>
      <c r="L164" s="6"/>
      <c r="M164" s="17"/>
      <c r="N164" s="17"/>
      <c r="O164" s="6"/>
      <c r="P164" s="6"/>
      <c r="Q164" s="16"/>
    </row>
    <row r="165" spans="1:17" x14ac:dyDescent="0.3">
      <c r="A165" s="27"/>
      <c r="B165" s="15"/>
      <c r="C165" s="15"/>
      <c r="D165" s="19"/>
      <c r="E165" s="19"/>
      <c r="F165" s="15"/>
      <c r="G165" s="6"/>
      <c r="H165" s="16"/>
      <c r="J165" s="27"/>
      <c r="K165" s="15"/>
      <c r="L165" s="15"/>
      <c r="M165" s="19"/>
      <c r="N165" s="19"/>
      <c r="O165" s="15"/>
      <c r="P165" s="6"/>
      <c r="Q165" s="16"/>
    </row>
    <row r="166" spans="1:17" x14ac:dyDescent="0.3">
      <c r="A166" s="27"/>
      <c r="B166" s="15"/>
      <c r="C166" s="15"/>
      <c r="D166" s="19"/>
      <c r="E166" s="19"/>
      <c r="F166" s="15"/>
      <c r="G166" s="6"/>
      <c r="H166" s="16"/>
      <c r="J166" s="27"/>
      <c r="K166" s="15"/>
      <c r="L166" s="15"/>
      <c r="M166" s="19"/>
      <c r="N166" s="19"/>
      <c r="O166" s="15"/>
      <c r="P166" s="6"/>
      <c r="Q166" s="16"/>
    </row>
    <row r="167" spans="1:17" ht="15" thickBot="1" x14ac:dyDescent="0.35">
      <c r="A167" s="567" t="s">
        <v>500</v>
      </c>
      <c r="B167" s="568"/>
      <c r="C167" s="568"/>
      <c r="D167" s="568"/>
      <c r="E167" s="568"/>
      <c r="F167" s="568"/>
      <c r="G167" s="568"/>
      <c r="H167" s="569"/>
      <c r="J167" s="567" t="s">
        <v>501</v>
      </c>
      <c r="K167" s="568"/>
      <c r="L167" s="568"/>
      <c r="M167" s="568"/>
      <c r="N167" s="568"/>
      <c r="O167" s="568"/>
      <c r="P167" s="568"/>
      <c r="Q167" s="569"/>
    </row>
  </sheetData>
  <mergeCells count="138">
    <mergeCell ref="A12:H12"/>
    <mergeCell ref="J12:Q12"/>
    <mergeCell ref="B13:C13"/>
    <mergeCell ref="K13:L13"/>
    <mergeCell ref="A1:H1"/>
    <mergeCell ref="J1:Q1"/>
    <mergeCell ref="A2:H2"/>
    <mergeCell ref="J2:Q2"/>
    <mergeCell ref="D20:D21"/>
    <mergeCell ref="E20:F21"/>
    <mergeCell ref="G20:G21"/>
    <mergeCell ref="M20:M21"/>
    <mergeCell ref="N20:O21"/>
    <mergeCell ref="P20:P21"/>
    <mergeCell ref="B15:C16"/>
    <mergeCell ref="K15:L16"/>
    <mergeCell ref="D17:G17"/>
    <mergeCell ref="M17:P17"/>
    <mergeCell ref="D24:D25"/>
    <mergeCell ref="E24:E25"/>
    <mergeCell ref="F24:F25"/>
    <mergeCell ref="M24:M25"/>
    <mergeCell ref="N24:N25"/>
    <mergeCell ref="O24:O25"/>
    <mergeCell ref="G23:H23"/>
    <mergeCell ref="P23:Q23"/>
    <mergeCell ref="D22:D23"/>
    <mergeCell ref="E22:E23"/>
    <mergeCell ref="F22:F23"/>
    <mergeCell ref="M22:M23"/>
    <mergeCell ref="N22:N23"/>
    <mergeCell ref="O22:O23"/>
    <mergeCell ref="E43:F43"/>
    <mergeCell ref="N43:O43"/>
    <mergeCell ref="G35:H35"/>
    <mergeCell ref="P35:Q35"/>
    <mergeCell ref="D26:D27"/>
    <mergeCell ref="E26:E27"/>
    <mergeCell ref="F26:F27"/>
    <mergeCell ref="M26:M27"/>
    <mergeCell ref="N26:N27"/>
    <mergeCell ref="O26:O27"/>
    <mergeCell ref="A57:H57"/>
    <mergeCell ref="J57:Q57"/>
    <mergeCell ref="A58:H58"/>
    <mergeCell ref="J58:Q58"/>
    <mergeCell ref="A68:H68"/>
    <mergeCell ref="J68:Q68"/>
    <mergeCell ref="E44:F44"/>
    <mergeCell ref="N44:O44"/>
    <mergeCell ref="A55:H55"/>
    <mergeCell ref="J55:Q55"/>
    <mergeCell ref="D76:D77"/>
    <mergeCell ref="E76:F77"/>
    <mergeCell ref="G76:G77"/>
    <mergeCell ref="M76:M77"/>
    <mergeCell ref="N76:O77"/>
    <mergeCell ref="P76:P77"/>
    <mergeCell ref="B69:C69"/>
    <mergeCell ref="K69:L69"/>
    <mergeCell ref="B71:C72"/>
    <mergeCell ref="K71:L72"/>
    <mergeCell ref="D73:G73"/>
    <mergeCell ref="M73:P73"/>
    <mergeCell ref="D82:D83"/>
    <mergeCell ref="E82:E83"/>
    <mergeCell ref="F82:F83"/>
    <mergeCell ref="M82:M83"/>
    <mergeCell ref="N82:N83"/>
    <mergeCell ref="O82:O83"/>
    <mergeCell ref="P79:Q79"/>
    <mergeCell ref="D80:D81"/>
    <mergeCell ref="E80:E81"/>
    <mergeCell ref="F80:F81"/>
    <mergeCell ref="M80:M81"/>
    <mergeCell ref="N80:N81"/>
    <mergeCell ref="O80:O81"/>
    <mergeCell ref="D78:D79"/>
    <mergeCell ref="E78:E79"/>
    <mergeCell ref="F78:F79"/>
    <mergeCell ref="M78:M79"/>
    <mergeCell ref="N78:N79"/>
    <mergeCell ref="O78:O79"/>
    <mergeCell ref="G79:H79"/>
    <mergeCell ref="A111:H111"/>
    <mergeCell ref="J111:Q111"/>
    <mergeCell ref="A113:H113"/>
    <mergeCell ref="J113:Q113"/>
    <mergeCell ref="A114:H114"/>
    <mergeCell ref="J114:Q114"/>
    <mergeCell ref="G91:H91"/>
    <mergeCell ref="P91:Q91"/>
    <mergeCell ref="E99:F99"/>
    <mergeCell ref="N99:O99"/>
    <mergeCell ref="E100:F100"/>
    <mergeCell ref="N100:O100"/>
    <mergeCell ref="D129:G129"/>
    <mergeCell ref="M129:P129"/>
    <mergeCell ref="D132:D133"/>
    <mergeCell ref="E132:F133"/>
    <mergeCell ref="G132:G133"/>
    <mergeCell ref="M132:M133"/>
    <mergeCell ref="N132:O133"/>
    <mergeCell ref="P132:P133"/>
    <mergeCell ref="A124:H124"/>
    <mergeCell ref="J124:Q124"/>
    <mergeCell ref="B125:C125"/>
    <mergeCell ref="K125:L125"/>
    <mergeCell ref="B127:C128"/>
    <mergeCell ref="K127:L128"/>
    <mergeCell ref="P135:Q135"/>
    <mergeCell ref="D136:D137"/>
    <mergeCell ref="E136:E137"/>
    <mergeCell ref="F136:F137"/>
    <mergeCell ref="M136:M137"/>
    <mergeCell ref="N136:N137"/>
    <mergeCell ref="O136:O137"/>
    <mergeCell ref="D134:D135"/>
    <mergeCell ref="E134:E135"/>
    <mergeCell ref="F134:F135"/>
    <mergeCell ref="M134:M135"/>
    <mergeCell ref="N134:N135"/>
    <mergeCell ref="O134:O135"/>
    <mergeCell ref="G135:H135"/>
    <mergeCell ref="A167:H167"/>
    <mergeCell ref="J167:Q167"/>
    <mergeCell ref="G147:H147"/>
    <mergeCell ref="P147:Q147"/>
    <mergeCell ref="E155:F155"/>
    <mergeCell ref="N155:O155"/>
    <mergeCell ref="E156:F156"/>
    <mergeCell ref="N156:O156"/>
    <mergeCell ref="D138:D139"/>
    <mergeCell ref="E138:E139"/>
    <mergeCell ref="F138:F139"/>
    <mergeCell ref="M138:M139"/>
    <mergeCell ref="N138:N139"/>
    <mergeCell ref="O138:O139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95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C78"/>
  <sheetViews>
    <sheetView showGridLines="0" view="pageBreakPreview" topLeftCell="A58" zoomScaleNormal="55" zoomScaleSheetLayoutView="100" zoomScalePageLayoutView="40" workbookViewId="0">
      <selection activeCell="A71" sqref="A71:I71"/>
    </sheetView>
  </sheetViews>
  <sheetFormatPr defaultColWidth="9.109375" defaultRowHeight="13.2" x14ac:dyDescent="0.25"/>
  <cols>
    <col min="1" max="1" width="9.109375" style="6"/>
    <col min="2" max="2" width="9.33203125" style="6" bestFit="1" customWidth="1"/>
    <col min="3" max="3" width="30.33203125" style="6" bestFit="1" customWidth="1"/>
    <col min="4" max="4" width="13.44140625" style="6" bestFit="1" customWidth="1"/>
    <col min="5" max="7" width="9.44140625" style="6" bestFit="1" customWidth="1"/>
    <col min="8" max="8" width="8.33203125" style="6" bestFit="1" customWidth="1"/>
    <col min="9" max="9" width="4.33203125" style="6" bestFit="1" customWidth="1"/>
    <col min="10" max="11" width="9.109375" style="6"/>
    <col min="12" max="12" width="30.33203125" style="6" customWidth="1"/>
    <col min="13" max="13" width="14.33203125" style="6" bestFit="1" customWidth="1"/>
    <col min="14" max="14" width="13.44140625" style="6" bestFit="1" customWidth="1"/>
    <col min="15" max="16" width="9.33203125" style="6" bestFit="1" customWidth="1"/>
    <col min="17" max="17" width="8.33203125" style="6" bestFit="1" customWidth="1"/>
    <col min="18" max="18" width="9" style="6" bestFit="1" customWidth="1"/>
    <col min="19" max="19" width="4.6640625" style="6" customWidth="1"/>
    <col min="20" max="20" width="9.109375" style="6"/>
    <col min="21" max="21" width="9.109375" style="6" customWidth="1"/>
    <col min="22" max="22" width="29.88671875" style="6" customWidth="1"/>
    <col min="23" max="26" width="9.109375" style="6"/>
    <col min="27" max="27" width="8.33203125" style="6" bestFit="1" customWidth="1"/>
    <col min="28" max="28" width="5.5546875" style="6" bestFit="1" customWidth="1"/>
    <col min="29" max="30" width="9.109375" style="6"/>
    <col min="31" max="31" width="30.33203125" style="6" bestFit="1" customWidth="1"/>
    <col min="32" max="35" width="9.109375" style="6"/>
    <col min="36" max="36" width="8.33203125" style="6" bestFit="1" customWidth="1"/>
    <col min="37" max="37" width="4.33203125" style="6" bestFit="1" customWidth="1"/>
    <col min="38" max="16384" width="9.109375" style="6"/>
  </cols>
  <sheetData>
    <row r="1" spans="1:29" s="354" customFormat="1" ht="19.8" x14ac:dyDescent="0.35">
      <c r="A1" s="580" t="s">
        <v>596</v>
      </c>
      <c r="B1" s="581"/>
      <c r="C1" s="581"/>
      <c r="D1" s="581"/>
      <c r="E1" s="581"/>
      <c r="F1" s="581"/>
      <c r="G1" s="581"/>
      <c r="H1" s="581"/>
      <c r="I1" s="582"/>
      <c r="K1" s="580" t="s">
        <v>599</v>
      </c>
      <c r="L1" s="581"/>
      <c r="M1" s="581"/>
      <c r="N1" s="581"/>
      <c r="O1" s="581"/>
      <c r="P1" s="581"/>
      <c r="Q1" s="581"/>
      <c r="R1" s="581"/>
      <c r="S1" s="582"/>
      <c r="U1" s="599" t="s">
        <v>601</v>
      </c>
      <c r="V1" s="600"/>
      <c r="W1" s="600"/>
      <c r="X1" s="600"/>
      <c r="Y1" s="600"/>
      <c r="Z1" s="600"/>
      <c r="AA1" s="600"/>
      <c r="AB1" s="600"/>
      <c r="AC1" s="601"/>
    </row>
    <row r="2" spans="1:29" ht="13.8" x14ac:dyDescent="0.25">
      <c r="A2" s="488" t="s">
        <v>23</v>
      </c>
      <c r="B2" s="592"/>
      <c r="C2" s="592"/>
      <c r="D2" s="592"/>
      <c r="E2" s="592"/>
      <c r="F2" s="592"/>
      <c r="G2" s="592"/>
      <c r="H2" s="592"/>
      <c r="I2" s="593"/>
      <c r="K2" s="488" t="s">
        <v>23</v>
      </c>
      <c r="L2" s="592"/>
      <c r="M2" s="592"/>
      <c r="N2" s="592"/>
      <c r="O2" s="592"/>
      <c r="P2" s="592"/>
      <c r="Q2" s="592"/>
      <c r="R2" s="592"/>
      <c r="S2" s="593"/>
      <c r="U2" s="488" t="s">
        <v>23</v>
      </c>
      <c r="V2" s="592"/>
      <c r="W2" s="592"/>
      <c r="X2" s="592"/>
      <c r="Y2" s="592"/>
      <c r="Z2" s="592"/>
      <c r="AA2" s="592"/>
      <c r="AB2" s="592"/>
      <c r="AC2" s="593"/>
    </row>
    <row r="3" spans="1:29" ht="14.4" x14ac:dyDescent="0.3">
      <c r="A3" s="24"/>
      <c r="B3"/>
      <c r="C3" s="45"/>
      <c r="D3"/>
      <c r="E3"/>
      <c r="F3"/>
      <c r="G3" s="46"/>
      <c r="H3" s="46"/>
      <c r="I3" s="47"/>
      <c r="K3" s="24"/>
      <c r="L3"/>
      <c r="M3" s="45"/>
      <c r="N3"/>
      <c r="O3"/>
      <c r="P3"/>
      <c r="Q3" s="46"/>
      <c r="R3" s="46"/>
      <c r="S3" s="47"/>
      <c r="U3" s="24"/>
      <c r="V3"/>
      <c r="W3" s="45"/>
      <c r="X3"/>
      <c r="Y3"/>
      <c r="Z3"/>
      <c r="AA3" s="46"/>
      <c r="AB3" s="46"/>
      <c r="AC3" s="47"/>
    </row>
    <row r="4" spans="1:29" x14ac:dyDescent="0.25">
      <c r="A4" s="26" t="s">
        <v>28</v>
      </c>
      <c r="B4" s="386">
        <v>27.6</v>
      </c>
      <c r="C4" s="56" t="s">
        <v>25</v>
      </c>
      <c r="D4" s="21"/>
      <c r="E4" s="21"/>
      <c r="F4" s="50"/>
      <c r="G4" s="48"/>
      <c r="H4" s="51"/>
      <c r="I4" s="52"/>
      <c r="K4" s="26" t="s">
        <v>28</v>
      </c>
      <c r="L4" s="386">
        <v>27.6</v>
      </c>
      <c r="M4" s="56" t="s">
        <v>25</v>
      </c>
      <c r="N4" s="21"/>
      <c r="O4" s="21"/>
      <c r="P4" s="50"/>
      <c r="Q4" s="48"/>
      <c r="R4" s="51"/>
      <c r="S4" s="52"/>
      <c r="U4" s="26" t="s">
        <v>28</v>
      </c>
      <c r="V4" s="386">
        <v>27.6</v>
      </c>
      <c r="W4" s="56" t="s">
        <v>25</v>
      </c>
      <c r="X4" s="21"/>
      <c r="Y4" s="21"/>
      <c r="Z4" s="50"/>
      <c r="AA4" s="48"/>
      <c r="AB4" s="51"/>
      <c r="AC4" s="52"/>
    </row>
    <row r="5" spans="1:29" ht="14.4" x14ac:dyDescent="0.3">
      <c r="A5" s="26" t="s">
        <v>24</v>
      </c>
      <c r="B5" s="386">
        <v>415</v>
      </c>
      <c r="C5" s="56" t="s">
        <v>25</v>
      </c>
      <c r="D5" s="51"/>
      <c r="E5" s="51"/>
      <c r="F5"/>
      <c r="G5"/>
      <c r="H5" s="51"/>
      <c r="I5" s="52"/>
      <c r="K5" s="26" t="s">
        <v>24</v>
      </c>
      <c r="L5" s="386">
        <v>415</v>
      </c>
      <c r="M5" s="56" t="s">
        <v>25</v>
      </c>
      <c r="N5" s="51"/>
      <c r="O5" s="51"/>
      <c r="P5"/>
      <c r="Q5"/>
      <c r="R5" s="51"/>
      <c r="S5" s="52"/>
      <c r="U5" s="26" t="s">
        <v>24</v>
      </c>
      <c r="V5" s="386">
        <v>415</v>
      </c>
      <c r="W5" s="56" t="s">
        <v>25</v>
      </c>
      <c r="X5" s="51"/>
      <c r="Y5" s="51"/>
      <c r="Z5"/>
      <c r="AA5"/>
      <c r="AB5" s="51"/>
      <c r="AC5" s="52"/>
    </row>
    <row r="6" spans="1:29" ht="14.4" x14ac:dyDescent="0.3">
      <c r="A6" s="55" t="s">
        <v>517</v>
      </c>
      <c r="B6" s="386">
        <v>0.65</v>
      </c>
      <c r="C6" s="49"/>
      <c r="D6" s="51"/>
      <c r="E6" s="51"/>
      <c r="F6"/>
      <c r="G6"/>
      <c r="H6" s="51"/>
      <c r="I6" s="52"/>
      <c r="K6" s="55" t="s">
        <v>517</v>
      </c>
      <c r="L6" s="386">
        <v>0.65</v>
      </c>
      <c r="M6" s="49"/>
      <c r="N6" s="51"/>
      <c r="O6" s="51"/>
      <c r="P6"/>
      <c r="Q6"/>
      <c r="R6" s="51"/>
      <c r="S6" s="52"/>
      <c r="U6" s="55" t="s">
        <v>517</v>
      </c>
      <c r="V6" s="386">
        <v>0.65</v>
      </c>
      <c r="W6" s="49"/>
      <c r="X6" s="51"/>
      <c r="Y6" s="51"/>
      <c r="Z6"/>
      <c r="AA6"/>
      <c r="AB6" s="51"/>
      <c r="AC6" s="52"/>
    </row>
    <row r="7" spans="1:29" x14ac:dyDescent="0.25">
      <c r="A7" s="596" t="s">
        <v>518</v>
      </c>
      <c r="B7" s="597"/>
      <c r="C7" s="48" t="s">
        <v>519</v>
      </c>
      <c r="D7" s="252">
        <v>84.92</v>
      </c>
      <c r="E7" s="48" t="s">
        <v>520</v>
      </c>
      <c r="F7" s="252">
        <v>11.7</v>
      </c>
      <c r="G7" s="15" t="s">
        <v>521</v>
      </c>
      <c r="H7" s="253">
        <f>PORTAL!X24</f>
        <v>35.262106958333334</v>
      </c>
      <c r="I7" s="52"/>
      <c r="K7" s="594" t="s">
        <v>518</v>
      </c>
      <c r="L7" s="595"/>
      <c r="M7" s="48" t="s">
        <v>519</v>
      </c>
      <c r="N7" s="252">
        <f>ABS('PRE GRASP SUMMARY 1'!H14)</f>
        <v>143.23249999999999</v>
      </c>
      <c r="O7" s="48" t="s">
        <v>520</v>
      </c>
      <c r="P7" s="252">
        <f>F46</f>
        <v>16.096699999999998</v>
      </c>
      <c r="Q7" s="15" t="s">
        <v>521</v>
      </c>
      <c r="R7" s="253">
        <f>H46</f>
        <v>35.262106958333334</v>
      </c>
      <c r="S7" s="52"/>
      <c r="U7" s="594" t="s">
        <v>518</v>
      </c>
      <c r="V7" s="595"/>
      <c r="W7" s="48" t="s">
        <v>519</v>
      </c>
      <c r="X7" s="252">
        <f>ABS('PRE GRASP SUMMARY 1'!G64)</f>
        <v>72.677700000000002</v>
      </c>
      <c r="Y7" s="48" t="s">
        <v>520</v>
      </c>
      <c r="Z7" s="252">
        <f>ABS('PRE GRASP SUMMARY 1'!G88)</f>
        <v>26.4876</v>
      </c>
      <c r="AA7" s="15" t="s">
        <v>521</v>
      </c>
      <c r="AB7" s="253">
        <f>PORTAL!AC53</f>
        <v>25.145301791666668</v>
      </c>
      <c r="AC7" s="52"/>
    </row>
    <row r="8" spans="1:29" x14ac:dyDescent="0.25">
      <c r="A8" s="596" t="s">
        <v>522</v>
      </c>
      <c r="B8" s="597"/>
      <c r="C8" s="48" t="s">
        <v>519</v>
      </c>
      <c r="D8" s="252">
        <f>ABS('JM GRASP SUMMARY'!F24)</f>
        <v>102.9038</v>
      </c>
      <c r="E8" s="48" t="s">
        <v>520</v>
      </c>
      <c r="F8" s="252">
        <f>ABS('JM GRASP SUMMARY'!G24)</f>
        <v>19.853200000000001</v>
      </c>
      <c r="G8" s="15" t="s">
        <v>521</v>
      </c>
      <c r="H8" s="254">
        <f>ABS([1]PORTAL!G24)</f>
        <v>51.034800000000004</v>
      </c>
      <c r="I8" s="52"/>
      <c r="K8" s="596" t="s">
        <v>522</v>
      </c>
      <c r="L8" s="597"/>
      <c r="M8" s="48" t="s">
        <v>519</v>
      </c>
      <c r="N8" s="252">
        <f>ABS('jm grasp 1'!G33)</f>
        <v>33.606099999999998</v>
      </c>
      <c r="O8" s="48" t="s">
        <v>520</v>
      </c>
      <c r="P8" s="252">
        <f>F47</f>
        <v>13.5624</v>
      </c>
      <c r="Q8" s="15" t="s">
        <v>521</v>
      </c>
      <c r="R8" s="254">
        <f>H47</f>
        <v>43.022700000000007</v>
      </c>
      <c r="S8" s="52"/>
      <c r="U8" s="596" t="s">
        <v>522</v>
      </c>
      <c r="V8" s="597"/>
      <c r="W8" s="48" t="s">
        <v>519</v>
      </c>
      <c r="X8" s="252">
        <f>ABS('jm grasp 1'!H36)</f>
        <v>72.337800000000001</v>
      </c>
      <c r="Y8" s="48" t="s">
        <v>520</v>
      </c>
      <c r="Z8" s="252">
        <f>ABS('jm grasp 1'!P36)</f>
        <v>29.779800000000002</v>
      </c>
      <c r="AA8" s="15" t="s">
        <v>521</v>
      </c>
      <c r="AB8" s="254">
        <f>ABS(PORTAL!J54)</f>
        <v>13.689600000000002</v>
      </c>
      <c r="AC8" s="52"/>
    </row>
    <row r="9" spans="1:29" ht="14.4" x14ac:dyDescent="0.3">
      <c r="A9" s="27"/>
      <c r="B9" s="598" t="s">
        <v>523</v>
      </c>
      <c r="C9" s="598"/>
      <c r="D9" s="12">
        <f>1.4*(D7+D8)</f>
        <v>262.95332000000002</v>
      </c>
      <c r="E9" s="6" t="s">
        <v>452</v>
      </c>
      <c r="I9" s="180"/>
      <c r="K9" s="27"/>
      <c r="L9" s="598" t="s">
        <v>523</v>
      </c>
      <c r="M9" s="598"/>
      <c r="N9" s="12">
        <f>1.4*(N7+N8)</f>
        <v>247.57403999999997</v>
      </c>
      <c r="O9" s="6" t="s">
        <v>452</v>
      </c>
      <c r="S9" s="180"/>
      <c r="U9" s="27"/>
      <c r="V9" s="598" t="s">
        <v>523</v>
      </c>
      <c r="W9" s="598"/>
      <c r="X9" s="12">
        <f>1.4*(X7+X8)</f>
        <v>203.02169999999998</v>
      </c>
      <c r="Y9" s="6" t="s">
        <v>452</v>
      </c>
      <c r="AC9" s="180"/>
    </row>
    <row r="10" spans="1:29" x14ac:dyDescent="0.25">
      <c r="A10" s="27"/>
      <c r="B10" s="590" t="s">
        <v>524</v>
      </c>
      <c r="C10" s="590"/>
      <c r="D10" s="12">
        <f>1.2*(D7+D8)+1.6*(F7+F8)</f>
        <v>275.87368000000004</v>
      </c>
      <c r="E10" s="6" t="s">
        <v>452</v>
      </c>
      <c r="I10" s="181"/>
      <c r="K10" s="27"/>
      <c r="L10" s="590" t="s">
        <v>524</v>
      </c>
      <c r="M10" s="590"/>
      <c r="N10" s="12">
        <f>1.2*(N7+N8)+1.6*(P7+P8)</f>
        <v>259.66087999999996</v>
      </c>
      <c r="O10" s="6" t="s">
        <v>452</v>
      </c>
      <c r="S10" s="181"/>
      <c r="U10" s="27"/>
      <c r="V10" s="590" t="s">
        <v>524</v>
      </c>
      <c r="W10" s="590"/>
      <c r="X10" s="12">
        <f>1.2*(X7+X8)+1.6*(Z7+Z8)</f>
        <v>264.04644000000002</v>
      </c>
      <c r="Y10" s="6" t="s">
        <v>452</v>
      </c>
      <c r="AC10" s="181"/>
    </row>
    <row r="11" spans="1:29" ht="14.4" x14ac:dyDescent="0.3">
      <c r="A11" s="27"/>
      <c r="B11" s="590" t="s">
        <v>588</v>
      </c>
      <c r="C11" s="590"/>
      <c r="D11" s="12">
        <f>1.2*(D7+D8)+(F7+F8)+1*(H7+H8)</f>
        <v>343.23866695833334</v>
      </c>
      <c r="E11" s="6" t="s">
        <v>452</v>
      </c>
      <c r="I11" s="4"/>
      <c r="K11" s="27"/>
      <c r="L11" s="590" t="s">
        <v>588</v>
      </c>
      <c r="M11" s="590"/>
      <c r="N11" s="12">
        <f>1.2*(N7+N8)+(P7+P8)+1*(R7+R8)</f>
        <v>320.15022695833329</v>
      </c>
      <c r="O11" s="6" t="s">
        <v>452</v>
      </c>
      <c r="S11" s="4"/>
      <c r="U11" s="27"/>
      <c r="V11" s="590" t="s">
        <v>588</v>
      </c>
      <c r="W11" s="590"/>
      <c r="X11" s="12">
        <f>1.2*(X7+X8)+(Z7+Z8)+1*(AB7+AB8)</f>
        <v>269.12090179166665</v>
      </c>
      <c r="Y11" s="6" t="s">
        <v>452</v>
      </c>
      <c r="AC11" s="4"/>
    </row>
    <row r="12" spans="1:29" x14ac:dyDescent="0.25">
      <c r="A12" s="27"/>
      <c r="B12" s="590" t="s">
        <v>525</v>
      </c>
      <c r="C12" s="590"/>
      <c r="D12" s="12">
        <f>0.9*(D7+D8)+1*(H7+H8)</f>
        <v>255.33832695833337</v>
      </c>
      <c r="E12" s="6" t="s">
        <v>452</v>
      </c>
      <c r="I12" s="52"/>
      <c r="K12" s="27"/>
      <c r="L12" s="590" t="s">
        <v>525</v>
      </c>
      <c r="M12" s="590"/>
      <c r="N12" s="12">
        <f>0.9*(N7+N8)+1*(R7+R8)</f>
        <v>237.43954695833335</v>
      </c>
      <c r="O12" s="6" t="s">
        <v>452</v>
      </c>
      <c r="S12" s="52"/>
      <c r="U12" s="27"/>
      <c r="V12" s="590" t="s">
        <v>525</v>
      </c>
      <c r="W12" s="590"/>
      <c r="X12" s="12">
        <f>0.9*(X7+X8)+1*(AB7+AB8)</f>
        <v>169.34885179166668</v>
      </c>
      <c r="Y12" s="6" t="s">
        <v>452</v>
      </c>
      <c r="AC12" s="52"/>
    </row>
    <row r="13" spans="1:29" x14ac:dyDescent="0.25">
      <c r="A13" s="25"/>
      <c r="C13" s="28" t="s">
        <v>101</v>
      </c>
      <c r="D13" s="388">
        <f>MAX(D9:D12)</f>
        <v>343.23866695833334</v>
      </c>
      <c r="E13" s="28" t="s">
        <v>452</v>
      </c>
      <c r="F13" s="51"/>
      <c r="G13" s="51"/>
      <c r="H13" s="51"/>
      <c r="I13" s="52"/>
      <c r="K13" s="25"/>
      <c r="M13" s="28" t="s">
        <v>101</v>
      </c>
      <c r="N13" s="388">
        <f>MAX(N9:N12)</f>
        <v>320.15022695833329</v>
      </c>
      <c r="O13" s="28" t="s">
        <v>452</v>
      </c>
      <c r="P13" s="51"/>
      <c r="Q13" s="51"/>
      <c r="R13" s="51"/>
      <c r="S13" s="52"/>
      <c r="U13" s="25"/>
      <c r="W13" s="28" t="s">
        <v>101</v>
      </c>
      <c r="X13" s="388">
        <f>MAX(X9:X12)</f>
        <v>269.12090179166665</v>
      </c>
      <c r="Y13" s="28" t="s">
        <v>452</v>
      </c>
      <c r="Z13" s="51"/>
      <c r="AA13" s="51"/>
      <c r="AB13" s="51"/>
      <c r="AC13" s="52"/>
    </row>
    <row r="14" spans="1:29" ht="14.4" x14ac:dyDescent="0.3">
      <c r="A14" s="25"/>
      <c r="B14" s="50"/>
      <c r="C14" s="49"/>
      <c r="D14" s="58" t="s">
        <v>129</v>
      </c>
      <c r="E14"/>
      <c r="F14" s="51"/>
      <c r="G14" s="51"/>
      <c r="H14" s="51"/>
      <c r="I14" s="52"/>
      <c r="K14" s="25"/>
      <c r="L14" s="50"/>
      <c r="M14" s="49"/>
      <c r="N14" s="58" t="s">
        <v>129</v>
      </c>
      <c r="O14"/>
      <c r="P14" s="51"/>
      <c r="Q14" s="51"/>
      <c r="R14" s="51"/>
      <c r="S14" s="52"/>
      <c r="U14" s="25"/>
      <c r="V14" s="50"/>
      <c r="W14" s="49"/>
      <c r="X14" s="58" t="s">
        <v>129</v>
      </c>
      <c r="Y14"/>
      <c r="Z14" s="51"/>
      <c r="AA14" s="51"/>
      <c r="AB14" s="51"/>
      <c r="AC14" s="52"/>
    </row>
    <row r="15" spans="1:29" ht="13.8" x14ac:dyDescent="0.25">
      <c r="A15" s="499" t="s">
        <v>153</v>
      </c>
      <c r="B15" s="500"/>
      <c r="C15" s="500"/>
      <c r="D15" s="500"/>
      <c r="E15" s="500"/>
      <c r="F15" s="500"/>
      <c r="G15" s="500"/>
      <c r="H15" s="500"/>
      <c r="I15" s="501"/>
      <c r="K15" s="499" t="s">
        <v>153</v>
      </c>
      <c r="L15" s="500"/>
      <c r="M15" s="500"/>
      <c r="N15" s="500"/>
      <c r="O15" s="500"/>
      <c r="P15" s="500"/>
      <c r="Q15" s="500"/>
      <c r="R15" s="500"/>
      <c r="S15" s="501"/>
      <c r="U15" s="499" t="s">
        <v>153</v>
      </c>
      <c r="V15" s="500"/>
      <c r="W15" s="500"/>
      <c r="X15" s="500"/>
      <c r="Y15" s="500"/>
      <c r="Z15" s="500"/>
      <c r="AA15" s="500"/>
      <c r="AB15" s="500"/>
      <c r="AC15" s="501"/>
    </row>
    <row r="16" spans="1:29" ht="13.8" x14ac:dyDescent="0.25">
      <c r="A16" s="94"/>
      <c r="B16" s="90"/>
      <c r="C16" s="90"/>
      <c r="D16" s="90"/>
      <c r="E16" s="90"/>
      <c r="F16" s="90"/>
      <c r="G16" s="90"/>
      <c r="H16" s="90"/>
      <c r="I16" s="178"/>
      <c r="K16" s="94"/>
      <c r="L16" s="90"/>
      <c r="M16" s="90"/>
      <c r="N16" s="90"/>
      <c r="O16" s="90"/>
      <c r="P16" s="90"/>
      <c r="Q16" s="90"/>
      <c r="R16" s="90"/>
      <c r="S16" s="178"/>
      <c r="U16" s="94"/>
      <c r="V16" s="90"/>
      <c r="W16" s="90"/>
      <c r="X16" s="90"/>
      <c r="Y16" s="90"/>
      <c r="Z16" s="90"/>
      <c r="AA16" s="90"/>
      <c r="AB16" s="90"/>
      <c r="AC16" s="178"/>
    </row>
    <row r="17" spans="1:29" ht="14.4" x14ac:dyDescent="0.3">
      <c r="A17" s="25"/>
      <c r="B17" s="50" t="s">
        <v>151</v>
      </c>
      <c r="C17" s="49" t="s">
        <v>152</v>
      </c>
      <c r="D17"/>
      <c r="F17" s="51"/>
      <c r="G17" s="51"/>
      <c r="H17" s="51"/>
      <c r="I17" s="52"/>
      <c r="K17" s="25"/>
      <c r="L17" s="50" t="s">
        <v>151</v>
      </c>
      <c r="M17" s="49" t="s">
        <v>152</v>
      </c>
      <c r="N17"/>
      <c r="P17" s="51"/>
      <c r="Q17" s="51"/>
      <c r="R17" s="51"/>
      <c r="S17" s="52"/>
      <c r="U17" s="25"/>
      <c r="V17" s="50" t="s">
        <v>151</v>
      </c>
      <c r="W17" s="49" t="s">
        <v>152</v>
      </c>
      <c r="X17"/>
      <c r="Z17" s="51"/>
      <c r="AA17" s="51"/>
      <c r="AB17" s="51"/>
      <c r="AC17" s="52"/>
    </row>
    <row r="18" spans="1:29" x14ac:dyDescent="0.25">
      <c r="A18" s="25"/>
      <c r="B18" s="50" t="s">
        <v>154</v>
      </c>
      <c r="C18" s="49">
        <f>D13*1000</f>
        <v>343238.66695833334</v>
      </c>
      <c r="D18" s="51" t="s">
        <v>155</v>
      </c>
      <c r="E18" s="51"/>
      <c r="F18" s="51"/>
      <c r="G18" s="51"/>
      <c r="H18" s="51"/>
      <c r="I18" s="52"/>
      <c r="K18" s="25"/>
      <c r="L18" s="50" t="s">
        <v>154</v>
      </c>
      <c r="M18" s="49">
        <f>N13*1000</f>
        <v>320150.22695833328</v>
      </c>
      <c r="N18" s="51" t="s">
        <v>155</v>
      </c>
      <c r="O18" s="51"/>
      <c r="P18" s="51"/>
      <c r="Q18" s="51"/>
      <c r="R18" s="51"/>
      <c r="S18" s="52"/>
      <c r="U18" s="25"/>
      <c r="V18" s="50" t="s">
        <v>154</v>
      </c>
      <c r="W18" s="385">
        <f>X13*1000</f>
        <v>269120.90179166663</v>
      </c>
      <c r="X18" s="51" t="s">
        <v>155</v>
      </c>
      <c r="Y18" s="51"/>
      <c r="Z18" s="51"/>
      <c r="AA18" s="51"/>
      <c r="AB18" s="51"/>
      <c r="AC18" s="52"/>
    </row>
    <row r="19" spans="1:29" x14ac:dyDescent="0.25">
      <c r="A19" s="25"/>
      <c r="B19" s="50" t="s">
        <v>154</v>
      </c>
      <c r="C19" s="49" t="s">
        <v>156</v>
      </c>
      <c r="D19" s="51"/>
      <c r="E19" s="51"/>
      <c r="F19" s="51"/>
      <c r="H19" s="51"/>
      <c r="I19" s="52"/>
      <c r="K19" s="25"/>
      <c r="L19" s="50" t="s">
        <v>154</v>
      </c>
      <c r="M19" s="49" t="s">
        <v>156</v>
      </c>
      <c r="N19" s="51"/>
      <c r="O19" s="51"/>
      <c r="P19" s="51"/>
      <c r="R19" s="51"/>
      <c r="S19" s="52"/>
      <c r="U19" s="25"/>
      <c r="V19" s="50" t="s">
        <v>154</v>
      </c>
      <c r="W19" s="49" t="s">
        <v>156</v>
      </c>
      <c r="X19" s="51"/>
      <c r="Y19" s="51"/>
      <c r="Z19" s="51"/>
      <c r="AB19" s="51"/>
      <c r="AC19" s="52"/>
    </row>
    <row r="20" spans="1:29" ht="13.8" x14ac:dyDescent="0.3">
      <c r="A20" s="25"/>
      <c r="B20" s="50" t="s">
        <v>157</v>
      </c>
      <c r="C20" s="49">
        <f>C18/(0.65*0.8*(((0.85*B4*(1-0.02))+(0.02*B5))))</f>
        <v>21094.838084525047</v>
      </c>
      <c r="D20" s="51" t="s">
        <v>158</v>
      </c>
      <c r="E20" s="51"/>
      <c r="F20" s="51"/>
      <c r="G20" s="51"/>
      <c r="H20" s="51"/>
      <c r="I20" s="52"/>
      <c r="K20" s="25"/>
      <c r="L20" s="50" t="s">
        <v>157</v>
      </c>
      <c r="M20" s="49">
        <f>M18/(0.65*0.8*(((0.85*L4*(1-0.02))+(0.02*L5))))</f>
        <v>19675.863620661985</v>
      </c>
      <c r="N20" s="51" t="s">
        <v>158</v>
      </c>
      <c r="O20" s="51"/>
      <c r="P20" s="51"/>
      <c r="Q20" s="51"/>
      <c r="R20" s="51"/>
      <c r="S20" s="52"/>
      <c r="U20" s="25"/>
      <c r="V20" s="50" t="s">
        <v>157</v>
      </c>
      <c r="W20" s="49">
        <f>W18/(0.65*0.8*(((0.85*V4*(1-0.02))+(0.02*V5))))</f>
        <v>16539.692042172301</v>
      </c>
      <c r="X20" s="51" t="s">
        <v>158</v>
      </c>
      <c r="Y20" s="51"/>
      <c r="Z20" s="51"/>
      <c r="AA20" s="51"/>
      <c r="AB20" s="51"/>
      <c r="AC20" s="52"/>
    </row>
    <row r="21" spans="1:29" x14ac:dyDescent="0.25">
      <c r="A21" s="25"/>
      <c r="B21" s="51"/>
      <c r="C21" s="49"/>
      <c r="D21" s="51"/>
      <c r="E21" s="51"/>
      <c r="F21" s="51"/>
      <c r="G21" s="51"/>
      <c r="H21" s="51"/>
      <c r="I21" s="52"/>
      <c r="K21" s="25"/>
      <c r="L21" s="51"/>
      <c r="M21" s="49"/>
      <c r="N21" s="51"/>
      <c r="O21" s="51"/>
      <c r="P21" s="51"/>
      <c r="Q21" s="51"/>
      <c r="R21" s="51"/>
      <c r="S21" s="52"/>
      <c r="U21" s="25"/>
      <c r="V21" s="51"/>
      <c r="W21" s="49"/>
      <c r="X21" s="51"/>
      <c r="Y21" s="51"/>
      <c r="Z21" s="51"/>
      <c r="AA21" s="51"/>
      <c r="AB21" s="51"/>
      <c r="AC21" s="52"/>
    </row>
    <row r="22" spans="1:29" ht="15" x14ac:dyDescent="0.25">
      <c r="A22" s="25"/>
      <c r="B22" s="50" t="s">
        <v>159</v>
      </c>
      <c r="C22" s="49">
        <f>C20</f>
        <v>21094.838084525047</v>
      </c>
      <c r="D22" s="51" t="s">
        <v>43</v>
      </c>
      <c r="E22" s="51"/>
      <c r="F22" s="51"/>
      <c r="G22" s="51"/>
      <c r="H22" s="51"/>
      <c r="I22" s="52"/>
      <c r="K22" s="25"/>
      <c r="L22" s="50" t="s">
        <v>159</v>
      </c>
      <c r="M22" s="49">
        <f>M20</f>
        <v>19675.863620661985</v>
      </c>
      <c r="N22" s="51" t="s">
        <v>43</v>
      </c>
      <c r="O22" s="51"/>
      <c r="P22" s="51"/>
      <c r="Q22" s="51"/>
      <c r="R22" s="51"/>
      <c r="S22" s="52"/>
      <c r="U22" s="25"/>
      <c r="V22" s="50" t="s">
        <v>159</v>
      </c>
      <c r="W22" s="49">
        <f>W20</f>
        <v>16539.692042172301</v>
      </c>
      <c r="X22" s="51" t="s">
        <v>43</v>
      </c>
      <c r="Y22" s="51"/>
      <c r="Z22" s="51"/>
      <c r="AA22" s="51"/>
      <c r="AB22" s="51"/>
      <c r="AC22" s="52"/>
    </row>
    <row r="23" spans="1:29" x14ac:dyDescent="0.25">
      <c r="A23" s="25"/>
      <c r="B23" s="50" t="s">
        <v>46</v>
      </c>
      <c r="C23" s="49">
        <f>C22^(0.5)</f>
        <v>145.24062133069057</v>
      </c>
      <c r="D23" s="51" t="s">
        <v>43</v>
      </c>
      <c r="F23" s="50" t="s">
        <v>526</v>
      </c>
      <c r="G23" s="387">
        <v>300</v>
      </c>
      <c r="H23" s="51" t="s">
        <v>43</v>
      </c>
      <c r="I23" s="52"/>
      <c r="K23" s="25"/>
      <c r="L23" s="50" t="s">
        <v>46</v>
      </c>
      <c r="M23" s="49">
        <f>M22^(0.5)</f>
        <v>140.27067983246531</v>
      </c>
      <c r="N23" s="51" t="s">
        <v>43</v>
      </c>
      <c r="P23" s="50" t="s">
        <v>526</v>
      </c>
      <c r="Q23" s="387">
        <v>300</v>
      </c>
      <c r="R23" s="51" t="s">
        <v>43</v>
      </c>
      <c r="S23" s="52"/>
      <c r="U23" s="25"/>
      <c r="V23" s="50" t="s">
        <v>46</v>
      </c>
      <c r="W23" s="49">
        <f>W22^(0.5)</f>
        <v>128.60673404675316</v>
      </c>
      <c r="X23" s="51" t="s">
        <v>43</v>
      </c>
      <c r="Z23" s="50" t="s">
        <v>526</v>
      </c>
      <c r="AA23" s="387">
        <v>300</v>
      </c>
      <c r="AB23" s="51" t="s">
        <v>43</v>
      </c>
      <c r="AC23" s="52"/>
    </row>
    <row r="24" spans="1:29" x14ac:dyDescent="0.25">
      <c r="A24" s="25"/>
      <c r="B24" s="51"/>
      <c r="C24" s="49"/>
      <c r="D24" s="51"/>
      <c r="E24" s="50"/>
      <c r="F24" s="48"/>
      <c r="G24" s="51"/>
      <c r="H24" s="51"/>
      <c r="I24" s="52"/>
      <c r="K24" s="25"/>
      <c r="L24" s="51"/>
      <c r="M24" s="49"/>
      <c r="N24" s="51"/>
      <c r="O24" s="50"/>
      <c r="P24" s="48"/>
      <c r="Q24" s="51"/>
      <c r="R24" s="51"/>
      <c r="S24" s="52"/>
      <c r="U24" s="25"/>
      <c r="V24" s="51"/>
      <c r="W24" s="49"/>
      <c r="X24" s="51"/>
      <c r="Y24" s="50"/>
      <c r="Z24" s="48"/>
      <c r="AA24" s="51"/>
      <c r="AB24" s="51"/>
      <c r="AC24" s="52"/>
    </row>
    <row r="25" spans="1:29" x14ac:dyDescent="0.25">
      <c r="A25" s="25"/>
      <c r="B25" s="48" t="s">
        <v>151</v>
      </c>
      <c r="C25" s="59" t="s">
        <v>152</v>
      </c>
      <c r="D25" s="60"/>
      <c r="E25" s="50" t="s">
        <v>101</v>
      </c>
      <c r="F25" s="48">
        <v>20</v>
      </c>
      <c r="G25" s="51" t="s">
        <v>527</v>
      </c>
      <c r="H25" s="51"/>
      <c r="I25" s="52"/>
      <c r="K25" s="25"/>
      <c r="L25" s="48" t="s">
        <v>151</v>
      </c>
      <c r="M25" s="59" t="s">
        <v>152</v>
      </c>
      <c r="N25" s="60"/>
      <c r="O25" s="50" t="s">
        <v>101</v>
      </c>
      <c r="P25" s="48">
        <v>20</v>
      </c>
      <c r="Q25" s="51" t="s">
        <v>527</v>
      </c>
      <c r="R25" s="51"/>
      <c r="S25" s="52"/>
      <c r="U25" s="25"/>
      <c r="V25" s="48" t="s">
        <v>151</v>
      </c>
      <c r="W25" s="59" t="s">
        <v>152</v>
      </c>
      <c r="X25" s="60"/>
      <c r="Y25" s="50" t="s">
        <v>101</v>
      </c>
      <c r="Z25" s="48">
        <v>20</v>
      </c>
      <c r="AA25" s="51" t="s">
        <v>527</v>
      </c>
      <c r="AB25" s="51"/>
      <c r="AC25" s="52"/>
    </row>
    <row r="26" spans="1:29" ht="13.8" x14ac:dyDescent="0.25">
      <c r="A26" s="25"/>
      <c r="B26" s="48" t="s">
        <v>151</v>
      </c>
      <c r="C26" s="56">
        <f>0.02*G23*G23</f>
        <v>1800</v>
      </c>
      <c r="D26" s="53"/>
      <c r="E26" s="50" t="s">
        <v>42</v>
      </c>
      <c r="F26" s="48">
        <f>ROUNDUP(C26,-1)</f>
        <v>1800</v>
      </c>
      <c r="G26" s="59" t="s">
        <v>158</v>
      </c>
      <c r="H26" s="51"/>
      <c r="I26" s="52"/>
      <c r="K26" s="25"/>
      <c r="L26" s="48" t="s">
        <v>151</v>
      </c>
      <c r="M26" s="56">
        <f>0.02*Q23*Q23</f>
        <v>1800</v>
      </c>
      <c r="N26" s="53"/>
      <c r="O26" s="50" t="s">
        <v>42</v>
      </c>
      <c r="P26" s="48">
        <f>ROUNDUP(M26,-1)</f>
        <v>1800</v>
      </c>
      <c r="Q26" s="59" t="s">
        <v>158</v>
      </c>
      <c r="R26" s="51"/>
      <c r="S26" s="52"/>
      <c r="U26" s="25"/>
      <c r="V26" s="48" t="s">
        <v>151</v>
      </c>
      <c r="W26" s="56">
        <f>0.02*AA23*AA23</f>
        <v>1800</v>
      </c>
      <c r="X26" s="53"/>
      <c r="Y26" s="50" t="s">
        <v>42</v>
      </c>
      <c r="Z26" s="48">
        <f>ROUNDUP(W26,-1)</f>
        <v>1800</v>
      </c>
      <c r="AA26" s="59" t="s">
        <v>158</v>
      </c>
      <c r="AB26" s="51"/>
      <c r="AC26" s="52"/>
    </row>
    <row r="27" spans="1:29" x14ac:dyDescent="0.25">
      <c r="A27" s="25"/>
      <c r="B27" s="51"/>
      <c r="C27" s="49"/>
      <c r="D27" s="51"/>
      <c r="E27" s="51"/>
      <c r="F27" s="51"/>
      <c r="G27" s="51"/>
      <c r="H27" s="51"/>
      <c r="I27" s="52"/>
      <c r="K27" s="25"/>
      <c r="L27" s="51"/>
      <c r="M27" s="49"/>
      <c r="N27" s="51"/>
      <c r="O27" s="51"/>
      <c r="P27" s="51"/>
      <c r="Q27" s="51"/>
      <c r="R27" s="51"/>
      <c r="S27" s="52"/>
      <c r="U27" s="25"/>
      <c r="V27" s="51"/>
      <c r="W27" s="49"/>
      <c r="X27" s="51"/>
      <c r="Y27" s="51"/>
      <c r="Z27" s="51"/>
      <c r="AA27" s="51"/>
      <c r="AB27" s="51"/>
      <c r="AC27" s="52"/>
    </row>
    <row r="28" spans="1:29" ht="13.8" x14ac:dyDescent="0.25">
      <c r="A28" s="25"/>
      <c r="B28" s="591" t="s">
        <v>160</v>
      </c>
      <c r="C28" s="591"/>
      <c r="D28" s="51"/>
      <c r="E28" s="50" t="s">
        <v>161</v>
      </c>
      <c r="F28" s="51">
        <f>(3.141592654/4)*(F25^2)</f>
        <v>314.15926539999998</v>
      </c>
      <c r="G28" s="59" t="s">
        <v>158</v>
      </c>
      <c r="H28" s="51"/>
      <c r="I28" s="52"/>
      <c r="K28" s="25"/>
      <c r="L28" s="591" t="s">
        <v>160</v>
      </c>
      <c r="M28" s="591"/>
      <c r="N28" s="51"/>
      <c r="O28" s="50" t="s">
        <v>161</v>
      </c>
      <c r="P28" s="51">
        <f>(3.141592654/4)*(P25^2)</f>
        <v>314.15926539999998</v>
      </c>
      <c r="Q28" s="59" t="s">
        <v>158</v>
      </c>
      <c r="R28" s="51"/>
      <c r="S28" s="52"/>
      <c r="U28" s="25"/>
      <c r="V28" s="591" t="s">
        <v>160</v>
      </c>
      <c r="W28" s="591"/>
      <c r="X28" s="51"/>
      <c r="Y28" s="50" t="s">
        <v>161</v>
      </c>
      <c r="Z28" s="51">
        <f>(3.141592654/4)*(Z25^2)</f>
        <v>314.15926539999998</v>
      </c>
      <c r="AA28" s="59" t="s">
        <v>158</v>
      </c>
      <c r="AB28" s="51"/>
      <c r="AC28" s="52"/>
    </row>
    <row r="29" spans="1:29" x14ac:dyDescent="0.25">
      <c r="A29" s="25"/>
      <c r="B29" s="50" t="s">
        <v>162</v>
      </c>
      <c r="C29" s="49" t="s">
        <v>163</v>
      </c>
      <c r="D29" s="51"/>
      <c r="E29" s="51"/>
      <c r="F29" s="51"/>
      <c r="G29" s="51"/>
      <c r="H29" s="51"/>
      <c r="I29" s="52"/>
      <c r="K29" s="25"/>
      <c r="L29" s="50" t="s">
        <v>162</v>
      </c>
      <c r="M29" s="49" t="s">
        <v>163</v>
      </c>
      <c r="N29" s="51"/>
      <c r="O29" s="51"/>
      <c r="P29" s="51"/>
      <c r="Q29" s="51"/>
      <c r="R29" s="51"/>
      <c r="S29" s="52"/>
      <c r="U29" s="25"/>
      <c r="V29" s="50" t="s">
        <v>162</v>
      </c>
      <c r="W29" s="49" t="s">
        <v>163</v>
      </c>
      <c r="X29" s="51"/>
      <c r="Y29" s="51"/>
      <c r="Z29" s="51"/>
      <c r="AA29" s="51"/>
      <c r="AB29" s="51"/>
      <c r="AC29" s="52"/>
    </row>
    <row r="30" spans="1:29" x14ac:dyDescent="0.25">
      <c r="A30" s="25"/>
      <c r="B30" s="50" t="s">
        <v>162</v>
      </c>
      <c r="C30" s="49">
        <f>F26/F28</f>
        <v>5.7295779505601052</v>
      </c>
      <c r="D30" s="51"/>
      <c r="E30" s="50" t="s">
        <v>42</v>
      </c>
      <c r="F30" s="54">
        <v>6</v>
      </c>
      <c r="G30" s="51" t="s">
        <v>164</v>
      </c>
      <c r="H30" s="51"/>
      <c r="I30" s="52"/>
      <c r="K30" s="25"/>
      <c r="L30" s="50" t="s">
        <v>162</v>
      </c>
      <c r="M30" s="49">
        <f>P26/P28</f>
        <v>5.7295779505601052</v>
      </c>
      <c r="N30" s="51"/>
      <c r="O30" s="50" t="s">
        <v>42</v>
      </c>
      <c r="P30" s="54">
        <v>6</v>
      </c>
      <c r="Q30" s="51" t="s">
        <v>164</v>
      </c>
      <c r="R30" s="51"/>
      <c r="S30" s="52"/>
      <c r="U30" s="25"/>
      <c r="V30" s="50" t="s">
        <v>162</v>
      </c>
      <c r="W30" s="49">
        <f>Z26/Z28</f>
        <v>5.7295779505601052</v>
      </c>
      <c r="X30" s="51"/>
      <c r="Y30" s="50" t="s">
        <v>42</v>
      </c>
      <c r="Z30" s="54">
        <v>6</v>
      </c>
      <c r="AA30" s="51" t="s">
        <v>164</v>
      </c>
      <c r="AB30" s="51"/>
      <c r="AC30" s="52"/>
    </row>
    <row r="31" spans="1:29" x14ac:dyDescent="0.25">
      <c r="A31" s="57"/>
      <c r="B31" s="51"/>
      <c r="C31" s="49"/>
      <c r="D31" s="51"/>
      <c r="E31" s="51"/>
      <c r="F31" s="51"/>
      <c r="G31" s="51"/>
      <c r="H31" s="51"/>
      <c r="I31" s="16"/>
      <c r="K31" s="57"/>
      <c r="L31" s="51"/>
      <c r="M31" s="49"/>
      <c r="N31" s="51"/>
      <c r="O31" s="51"/>
      <c r="P31" s="51"/>
      <c r="Q31" s="51"/>
      <c r="R31" s="51"/>
      <c r="S31" s="16"/>
      <c r="U31" s="57"/>
      <c r="V31" s="51"/>
      <c r="W31" s="49"/>
      <c r="X31" s="51"/>
      <c r="Y31" s="51"/>
      <c r="Z31" s="51"/>
      <c r="AA31" s="51"/>
      <c r="AB31" s="51"/>
      <c r="AC31" s="16"/>
    </row>
    <row r="32" spans="1:29" x14ac:dyDescent="0.25">
      <c r="A32" s="583" t="s">
        <v>595</v>
      </c>
      <c r="B32" s="584"/>
      <c r="C32" s="584"/>
      <c r="D32" s="584"/>
      <c r="E32" s="584"/>
      <c r="F32" s="584"/>
      <c r="G32" s="584"/>
      <c r="H32" s="584"/>
      <c r="I32" s="585"/>
      <c r="K32" s="583" t="s">
        <v>598</v>
      </c>
      <c r="L32" s="584"/>
      <c r="M32" s="584"/>
      <c r="N32" s="584"/>
      <c r="O32" s="584"/>
      <c r="P32" s="584"/>
      <c r="Q32" s="584"/>
      <c r="R32" s="584"/>
      <c r="S32" s="585"/>
      <c r="U32" s="583" t="s">
        <v>598</v>
      </c>
      <c r="V32" s="584"/>
      <c r="W32" s="584"/>
      <c r="X32" s="584"/>
      <c r="Y32" s="584"/>
      <c r="Z32" s="584"/>
      <c r="AA32" s="584"/>
      <c r="AB32" s="584"/>
      <c r="AC32" s="585"/>
    </row>
    <row r="33" spans="1:29" x14ac:dyDescent="0.25">
      <c r="A33" s="25"/>
      <c r="B33" s="51"/>
      <c r="C33" s="49"/>
      <c r="D33" s="51"/>
      <c r="E33" s="51"/>
      <c r="F33" s="51"/>
      <c r="G33" s="51"/>
      <c r="H33" s="51"/>
      <c r="I33" s="52"/>
      <c r="K33" s="25"/>
      <c r="L33" s="51"/>
      <c r="M33" s="49"/>
      <c r="N33" s="51"/>
      <c r="O33" s="51"/>
      <c r="P33" s="51"/>
      <c r="Q33" s="51"/>
      <c r="R33" s="51"/>
      <c r="S33" s="52"/>
      <c r="U33" s="25"/>
      <c r="V33" s="51"/>
      <c r="W33" s="49"/>
      <c r="X33" s="51"/>
      <c r="Y33" s="51"/>
      <c r="Z33" s="51"/>
      <c r="AA33" s="51"/>
      <c r="AB33" s="51"/>
      <c r="AC33" s="52"/>
    </row>
    <row r="34" spans="1:29" x14ac:dyDescent="0.25">
      <c r="A34" s="25"/>
      <c r="B34" s="61" t="s">
        <v>165</v>
      </c>
      <c r="C34" s="49"/>
      <c r="D34" s="51"/>
      <c r="E34" s="51"/>
      <c r="F34" s="51"/>
      <c r="G34" s="51"/>
      <c r="H34" s="51"/>
      <c r="I34" s="52"/>
      <c r="K34" s="25"/>
      <c r="L34" s="61" t="s">
        <v>165</v>
      </c>
      <c r="M34" s="49"/>
      <c r="N34" s="51"/>
      <c r="O34" s="51"/>
      <c r="P34" s="51"/>
      <c r="Q34" s="51"/>
      <c r="R34" s="51"/>
      <c r="S34" s="52"/>
      <c r="U34" s="25"/>
      <c r="V34" s="61" t="s">
        <v>165</v>
      </c>
      <c r="W34" s="49"/>
      <c r="X34" s="51"/>
      <c r="Y34" s="51"/>
      <c r="Z34" s="51"/>
      <c r="AA34" s="51"/>
      <c r="AB34" s="51"/>
      <c r="AC34" s="52"/>
    </row>
    <row r="35" spans="1:29" x14ac:dyDescent="0.25">
      <c r="A35" s="25"/>
      <c r="B35" s="586" t="s">
        <v>166</v>
      </c>
      <c r="C35" s="586"/>
      <c r="D35" s="586"/>
      <c r="E35" s="51">
        <f>16*F25</f>
        <v>320</v>
      </c>
      <c r="F35" s="51" t="s">
        <v>43</v>
      </c>
      <c r="G35" s="50" t="s">
        <v>42</v>
      </c>
      <c r="H35" s="386">
        <f>FLOOR(E35,10)</f>
        <v>320</v>
      </c>
      <c r="I35" s="52" t="s">
        <v>43</v>
      </c>
      <c r="K35" s="25"/>
      <c r="L35" s="586" t="s">
        <v>166</v>
      </c>
      <c r="M35" s="586"/>
      <c r="N35" s="586"/>
      <c r="O35" s="51">
        <f>16*P25</f>
        <v>320</v>
      </c>
      <c r="P35" s="51" t="s">
        <v>43</v>
      </c>
      <c r="Q35" s="50" t="s">
        <v>42</v>
      </c>
      <c r="R35" s="48">
        <f>FLOOR(O35,10)</f>
        <v>320</v>
      </c>
      <c r="S35" s="52" t="s">
        <v>43</v>
      </c>
      <c r="U35" s="25"/>
      <c r="V35" s="586" t="s">
        <v>166</v>
      </c>
      <c r="W35" s="586"/>
      <c r="X35" s="586"/>
      <c r="Y35" s="51">
        <f>16*Z25</f>
        <v>320</v>
      </c>
      <c r="Z35" s="51" t="s">
        <v>43</v>
      </c>
      <c r="AA35" s="50" t="s">
        <v>42</v>
      </c>
      <c r="AB35" s="386">
        <f>FLOOR(Y35,10)</f>
        <v>320</v>
      </c>
      <c r="AC35" s="52" t="s">
        <v>43</v>
      </c>
    </row>
    <row r="36" spans="1:29" x14ac:dyDescent="0.25">
      <c r="A36" s="25"/>
      <c r="B36" s="586" t="s">
        <v>167</v>
      </c>
      <c r="C36" s="586"/>
      <c r="D36" s="586"/>
      <c r="E36" s="51">
        <f>48*10</f>
        <v>480</v>
      </c>
      <c r="F36" s="51" t="s">
        <v>43</v>
      </c>
      <c r="G36" s="51"/>
      <c r="H36" s="51"/>
      <c r="I36" s="52"/>
      <c r="K36" s="25"/>
      <c r="L36" s="586" t="s">
        <v>167</v>
      </c>
      <c r="M36" s="586"/>
      <c r="N36" s="586"/>
      <c r="O36" s="51">
        <f>48*10</f>
        <v>480</v>
      </c>
      <c r="P36" s="51" t="s">
        <v>43</v>
      </c>
      <c r="Q36" s="51"/>
      <c r="R36" s="51"/>
      <c r="S36" s="52"/>
      <c r="U36" s="25"/>
      <c r="V36" s="586" t="s">
        <v>167</v>
      </c>
      <c r="W36" s="586"/>
      <c r="X36" s="586"/>
      <c r="Y36" s="51">
        <f>48*10</f>
        <v>480</v>
      </c>
      <c r="Z36" s="51" t="s">
        <v>43</v>
      </c>
      <c r="AA36" s="51"/>
      <c r="AB36" s="51"/>
      <c r="AC36" s="52"/>
    </row>
    <row r="37" spans="1:29" x14ac:dyDescent="0.25">
      <c r="A37" s="25"/>
      <c r="B37" s="586" t="s">
        <v>168</v>
      </c>
      <c r="C37" s="586"/>
      <c r="D37" s="586"/>
      <c r="E37" s="51">
        <f>G23</f>
        <v>300</v>
      </c>
      <c r="F37" s="51" t="s">
        <v>43</v>
      </c>
      <c r="G37" s="51"/>
      <c r="H37" s="51"/>
      <c r="I37" s="52"/>
      <c r="K37" s="25"/>
      <c r="L37" s="586" t="s">
        <v>168</v>
      </c>
      <c r="M37" s="586"/>
      <c r="N37" s="586"/>
      <c r="O37" s="51">
        <f>Q23</f>
        <v>300</v>
      </c>
      <c r="P37" s="51" t="s">
        <v>43</v>
      </c>
      <c r="Q37" s="51"/>
      <c r="R37" s="51"/>
      <c r="S37" s="52"/>
      <c r="U37" s="25"/>
      <c r="V37" s="586" t="s">
        <v>168</v>
      </c>
      <c r="W37" s="586"/>
      <c r="X37" s="586"/>
      <c r="Y37" s="51">
        <f>AA23</f>
        <v>300</v>
      </c>
      <c r="Z37" s="51" t="s">
        <v>43</v>
      </c>
      <c r="AA37" s="51"/>
      <c r="AB37" s="51"/>
      <c r="AC37" s="52"/>
    </row>
    <row r="38" spans="1:29" x14ac:dyDescent="0.25">
      <c r="A38" s="25"/>
      <c r="B38" s="51"/>
      <c r="C38" s="49"/>
      <c r="D38" s="51"/>
      <c r="E38" s="51"/>
      <c r="F38" s="51"/>
      <c r="G38" s="51"/>
      <c r="H38" s="51"/>
      <c r="I38" s="52"/>
      <c r="K38" s="25"/>
      <c r="L38" s="51"/>
      <c r="M38" s="49"/>
      <c r="N38" s="51"/>
      <c r="O38" s="51"/>
      <c r="P38" s="51"/>
      <c r="Q38" s="51"/>
      <c r="R38" s="51"/>
      <c r="S38" s="52"/>
      <c r="U38" s="25"/>
      <c r="V38" s="51"/>
      <c r="W38" s="49"/>
      <c r="X38" s="51"/>
      <c r="Y38" s="51"/>
      <c r="Z38" s="51"/>
      <c r="AA38" s="51"/>
      <c r="AB38" s="51"/>
      <c r="AC38" s="52"/>
    </row>
    <row r="39" spans="1:29" ht="13.8" thickBot="1" x14ac:dyDescent="0.3">
      <c r="A39" s="587" t="s">
        <v>684</v>
      </c>
      <c r="B39" s="588"/>
      <c r="C39" s="588"/>
      <c r="D39" s="588"/>
      <c r="E39" s="588"/>
      <c r="F39" s="588"/>
      <c r="G39" s="588"/>
      <c r="H39" s="588"/>
      <c r="I39" s="589"/>
      <c r="K39" s="587" t="s">
        <v>684</v>
      </c>
      <c r="L39" s="588"/>
      <c r="M39" s="588"/>
      <c r="N39" s="588"/>
      <c r="O39" s="588"/>
      <c r="P39" s="588"/>
      <c r="Q39" s="588"/>
      <c r="R39" s="588"/>
      <c r="S39" s="589"/>
      <c r="U39" s="587" t="s">
        <v>684</v>
      </c>
      <c r="V39" s="588"/>
      <c r="W39" s="588"/>
      <c r="X39" s="588"/>
      <c r="Y39" s="588"/>
      <c r="Z39" s="588"/>
      <c r="AA39" s="588"/>
      <c r="AB39" s="588"/>
      <c r="AC39" s="589"/>
    </row>
    <row r="40" spans="1:29" s="354" customFormat="1" ht="19.8" x14ac:dyDescent="0.35">
      <c r="A40" s="580" t="s">
        <v>597</v>
      </c>
      <c r="B40" s="581"/>
      <c r="C40" s="581"/>
      <c r="D40" s="581"/>
      <c r="E40" s="581"/>
      <c r="F40" s="581"/>
      <c r="G40" s="581"/>
      <c r="H40" s="581"/>
      <c r="I40" s="582"/>
      <c r="K40" s="580" t="s">
        <v>600</v>
      </c>
      <c r="L40" s="581"/>
      <c r="M40" s="581"/>
      <c r="N40" s="581"/>
      <c r="O40" s="581"/>
      <c r="P40" s="581"/>
      <c r="Q40" s="581"/>
      <c r="R40" s="581"/>
      <c r="S40" s="582"/>
      <c r="U40" s="580" t="s">
        <v>602</v>
      </c>
      <c r="V40" s="581"/>
      <c r="W40" s="581"/>
      <c r="X40" s="581"/>
      <c r="Y40" s="581"/>
      <c r="Z40" s="581"/>
      <c r="AA40" s="581"/>
      <c r="AB40" s="581"/>
      <c r="AC40" s="582"/>
    </row>
    <row r="41" spans="1:29" ht="13.8" x14ac:dyDescent="0.25">
      <c r="A41" s="488" t="s">
        <v>23</v>
      </c>
      <c r="B41" s="592"/>
      <c r="C41" s="592"/>
      <c r="D41" s="592"/>
      <c r="E41" s="592"/>
      <c r="F41" s="592"/>
      <c r="G41" s="592"/>
      <c r="H41" s="592"/>
      <c r="I41" s="593"/>
      <c r="K41" s="488" t="s">
        <v>23</v>
      </c>
      <c r="L41" s="592"/>
      <c r="M41" s="592"/>
      <c r="N41" s="592"/>
      <c r="O41" s="592"/>
      <c r="P41" s="592"/>
      <c r="Q41" s="592"/>
      <c r="R41" s="592"/>
      <c r="S41" s="593"/>
      <c r="U41" s="488" t="s">
        <v>23</v>
      </c>
      <c r="V41" s="592"/>
      <c r="W41" s="592"/>
      <c r="X41" s="592"/>
      <c r="Y41" s="592"/>
      <c r="Z41" s="592"/>
      <c r="AA41" s="592"/>
      <c r="AB41" s="592"/>
      <c r="AC41" s="593"/>
    </row>
    <row r="42" spans="1:29" ht="14.4" x14ac:dyDescent="0.3">
      <c r="A42" s="24"/>
      <c r="B42"/>
      <c r="C42" s="45"/>
      <c r="D42"/>
      <c r="E42"/>
      <c r="F42"/>
      <c r="G42" s="46"/>
      <c r="H42" s="46"/>
      <c r="I42" s="47"/>
      <c r="K42" s="24"/>
      <c r="L42"/>
      <c r="M42" s="45"/>
      <c r="N42"/>
      <c r="O42"/>
      <c r="P42"/>
      <c r="Q42" s="46"/>
      <c r="R42" s="46"/>
      <c r="S42" s="47"/>
      <c r="U42" s="24"/>
      <c r="V42"/>
      <c r="W42" s="45"/>
      <c r="X42"/>
      <c r="Y42"/>
      <c r="Z42"/>
      <c r="AA42" s="46"/>
      <c r="AB42" s="46"/>
      <c r="AC42" s="47"/>
    </row>
    <row r="43" spans="1:29" x14ac:dyDescent="0.25">
      <c r="A43" s="26" t="s">
        <v>28</v>
      </c>
      <c r="B43" s="386">
        <v>27.6</v>
      </c>
      <c r="C43" s="56" t="s">
        <v>25</v>
      </c>
      <c r="D43" s="21"/>
      <c r="E43" s="21"/>
      <c r="F43" s="50"/>
      <c r="G43" s="48"/>
      <c r="H43" s="51"/>
      <c r="I43" s="52"/>
      <c r="K43" s="26" t="s">
        <v>28</v>
      </c>
      <c r="L43" s="386">
        <v>27.6</v>
      </c>
      <c r="M43" s="56" t="s">
        <v>25</v>
      </c>
      <c r="N43" s="21"/>
      <c r="O43" s="21"/>
      <c r="P43" s="50"/>
      <c r="Q43" s="48"/>
      <c r="R43" s="51"/>
      <c r="S43" s="52"/>
      <c r="U43" s="26" t="s">
        <v>28</v>
      </c>
      <c r="V43" s="386">
        <v>27.6</v>
      </c>
      <c r="W43" s="56" t="s">
        <v>25</v>
      </c>
      <c r="X43" s="21"/>
      <c r="Y43" s="21"/>
      <c r="Z43" s="50"/>
      <c r="AA43" s="48"/>
      <c r="AB43" s="51"/>
      <c r="AC43" s="52"/>
    </row>
    <row r="44" spans="1:29" ht="14.4" x14ac:dyDescent="0.3">
      <c r="A44" s="26" t="s">
        <v>24</v>
      </c>
      <c r="B44" s="386">
        <v>415</v>
      </c>
      <c r="C44" s="56" t="s">
        <v>25</v>
      </c>
      <c r="D44" s="51"/>
      <c r="E44" s="51"/>
      <c r="F44"/>
      <c r="G44"/>
      <c r="H44" s="51"/>
      <c r="I44" s="52"/>
      <c r="K44" s="26" t="s">
        <v>24</v>
      </c>
      <c r="L44" s="386">
        <v>415</v>
      </c>
      <c r="M44" s="56" t="s">
        <v>25</v>
      </c>
      <c r="N44" s="51"/>
      <c r="O44" s="51"/>
      <c r="P44"/>
      <c r="Q44"/>
      <c r="R44" s="51"/>
      <c r="S44" s="52"/>
      <c r="U44" s="26" t="s">
        <v>24</v>
      </c>
      <c r="V44" s="386">
        <v>415</v>
      </c>
      <c r="W44" s="56" t="s">
        <v>25</v>
      </c>
      <c r="X44" s="51"/>
      <c r="Y44" s="51"/>
      <c r="Z44"/>
      <c r="AA44"/>
      <c r="AB44" s="51"/>
      <c r="AC44" s="52"/>
    </row>
    <row r="45" spans="1:29" ht="14.4" x14ac:dyDescent="0.3">
      <c r="A45" s="55" t="s">
        <v>517</v>
      </c>
      <c r="B45" s="386">
        <v>0.65</v>
      </c>
      <c r="C45" s="49"/>
      <c r="D45" s="51"/>
      <c r="E45" s="51"/>
      <c r="F45"/>
      <c r="G45"/>
      <c r="H45" s="51"/>
      <c r="I45" s="52"/>
      <c r="K45" s="55" t="s">
        <v>517</v>
      </c>
      <c r="L45" s="386">
        <v>0.65</v>
      </c>
      <c r="M45" s="49"/>
      <c r="N45" s="51"/>
      <c r="O45" s="51"/>
      <c r="P45"/>
      <c r="Q45"/>
      <c r="R45" s="51"/>
      <c r="S45" s="52"/>
      <c r="U45" s="55" t="s">
        <v>517</v>
      </c>
      <c r="V45" s="386">
        <v>0.65</v>
      </c>
      <c r="W45" s="49"/>
      <c r="X45" s="51"/>
      <c r="Y45" s="51"/>
      <c r="Z45"/>
      <c r="AA45"/>
      <c r="AB45" s="51"/>
      <c r="AC45" s="52"/>
    </row>
    <row r="46" spans="1:29" x14ac:dyDescent="0.25">
      <c r="A46" s="594" t="s">
        <v>518</v>
      </c>
      <c r="B46" s="595"/>
      <c r="C46" s="48" t="s">
        <v>519</v>
      </c>
      <c r="D46" s="252">
        <v>143.23249999999999</v>
      </c>
      <c r="E46" s="48" t="s">
        <v>520</v>
      </c>
      <c r="F46" s="252">
        <f>ABS('PRE GRASP SUMMARY 1'!G38)</f>
        <v>16.096699999999998</v>
      </c>
      <c r="G46" s="15" t="s">
        <v>521</v>
      </c>
      <c r="H46" s="253">
        <f>PORTAL!AC24</f>
        <v>35.262106958333334</v>
      </c>
      <c r="I46" s="52"/>
      <c r="K46" s="594" t="s">
        <v>518</v>
      </c>
      <c r="L46" s="595"/>
      <c r="M46" s="48" t="s">
        <v>519</v>
      </c>
      <c r="N46" s="252">
        <f>ABS('PRE GRASP SUMMARY 1'!H16)</f>
        <v>84.916499999999999</v>
      </c>
      <c r="O46" s="48" t="s">
        <v>520</v>
      </c>
      <c r="P46" s="252">
        <f>ABS('PRE GRASP SUMMARY 1'!H40)</f>
        <v>11.7033</v>
      </c>
      <c r="Q46" s="15" t="s">
        <v>521</v>
      </c>
      <c r="R46" s="253">
        <f>ABS(PORTAL!AL24)</f>
        <v>35.262106958333334</v>
      </c>
      <c r="S46" s="52"/>
      <c r="U46" s="594" t="s">
        <v>518</v>
      </c>
      <c r="V46" s="595"/>
      <c r="W46" s="48" t="s">
        <v>519</v>
      </c>
      <c r="X46" s="252">
        <f>ABS('PRE GRASP SUMMARY 1'!H65)</f>
        <v>90.319299999999998</v>
      </c>
      <c r="Y46" s="48" t="s">
        <v>520</v>
      </c>
      <c r="Z46" s="252">
        <f>ABS('PRE GRASP SUMMARY 1'!H89)</f>
        <v>26.341100000000001</v>
      </c>
      <c r="AA46" s="15" t="s">
        <v>521</v>
      </c>
      <c r="AB46" s="253">
        <f>PORTAL!AH53</f>
        <v>25.145301791666668</v>
      </c>
      <c r="AC46" s="52"/>
    </row>
    <row r="47" spans="1:29" x14ac:dyDescent="0.25">
      <c r="A47" s="596" t="s">
        <v>522</v>
      </c>
      <c r="B47" s="597"/>
      <c r="C47" s="48" t="s">
        <v>519</v>
      </c>
      <c r="D47" s="252">
        <f>ABS('jm grasp 1'!G33)</f>
        <v>33.606099999999998</v>
      </c>
      <c r="E47" s="48" t="s">
        <v>520</v>
      </c>
      <c r="F47" s="252">
        <f>ABS('jm grasp 1'!P33)</f>
        <v>13.5624</v>
      </c>
      <c r="G47" s="15" t="s">
        <v>521</v>
      </c>
      <c r="H47" s="254">
        <f>PORTAL!E54</f>
        <v>43.022700000000007</v>
      </c>
      <c r="I47" s="52"/>
      <c r="K47" s="596" t="s">
        <v>522</v>
      </c>
      <c r="L47" s="597"/>
      <c r="M47" s="48" t="s">
        <v>519</v>
      </c>
      <c r="N47" s="252">
        <f>ABS('jm grasp 1'!H15)</f>
        <v>91.898300000000006</v>
      </c>
      <c r="O47" s="48" t="s">
        <v>520</v>
      </c>
      <c r="P47" s="252">
        <f>ABS('jm grasp 1'!Q15)</f>
        <v>28.8367</v>
      </c>
      <c r="Q47" s="15" t="s">
        <v>521</v>
      </c>
      <c r="R47" s="254">
        <f>ABS(PORTAL!N83)</f>
        <v>24.3492</v>
      </c>
      <c r="S47" s="52"/>
      <c r="U47" s="596" t="s">
        <v>522</v>
      </c>
      <c r="V47" s="597"/>
      <c r="W47" s="48" t="s">
        <v>519</v>
      </c>
      <c r="X47" s="252">
        <f>ABS('jm grasp 1'!G36)</f>
        <v>72.337800000000001</v>
      </c>
      <c r="Y47" s="48" t="s">
        <v>520</v>
      </c>
      <c r="Z47" s="252">
        <f>ABS('jm grasp 1'!Q36)</f>
        <v>29.779800000000002</v>
      </c>
      <c r="AA47" s="15" t="s">
        <v>521</v>
      </c>
      <c r="AB47" s="254">
        <f>ABS(PORTAL!J54)</f>
        <v>13.689600000000002</v>
      </c>
      <c r="AC47" s="52"/>
    </row>
    <row r="48" spans="1:29" ht="14.4" x14ac:dyDescent="0.3">
      <c r="A48" s="27"/>
      <c r="B48" s="598" t="s">
        <v>523</v>
      </c>
      <c r="C48" s="598"/>
      <c r="D48" s="12">
        <f>1.4*(D46+D47)</f>
        <v>247.57403999999997</v>
      </c>
      <c r="E48" s="6" t="s">
        <v>452</v>
      </c>
      <c r="I48" s="180"/>
      <c r="K48" s="27"/>
      <c r="L48" s="598" t="s">
        <v>523</v>
      </c>
      <c r="M48" s="598"/>
      <c r="N48" s="12">
        <f>1.4*(N46+N47)</f>
        <v>247.54071999999996</v>
      </c>
      <c r="O48" s="6" t="s">
        <v>452</v>
      </c>
      <c r="S48" s="180"/>
      <c r="U48" s="27"/>
      <c r="V48" s="598" t="s">
        <v>523</v>
      </c>
      <c r="W48" s="598"/>
      <c r="X48" s="12">
        <f>1.4*(X46+X47)</f>
        <v>227.71994000000001</v>
      </c>
      <c r="Y48" s="6" t="s">
        <v>452</v>
      </c>
      <c r="AC48" s="180"/>
    </row>
    <row r="49" spans="1:29" x14ac:dyDescent="0.25">
      <c r="A49" s="27"/>
      <c r="B49" s="590" t="s">
        <v>524</v>
      </c>
      <c r="C49" s="590"/>
      <c r="D49" s="12">
        <f>1.2*(D46+D47)+1.6*(F46+F47)</f>
        <v>259.66087999999996</v>
      </c>
      <c r="E49" s="6" t="s">
        <v>452</v>
      </c>
      <c r="I49" s="181"/>
      <c r="K49" s="27"/>
      <c r="L49" s="590" t="s">
        <v>524</v>
      </c>
      <c r="M49" s="590"/>
      <c r="N49" s="12">
        <f>1.2*(N46+N47)+1.6*(P46+P47)</f>
        <v>277.04175999999995</v>
      </c>
      <c r="O49" s="6" t="s">
        <v>452</v>
      </c>
      <c r="S49" s="181"/>
      <c r="U49" s="27"/>
      <c r="V49" s="590" t="s">
        <v>524</v>
      </c>
      <c r="W49" s="590"/>
      <c r="X49" s="12">
        <f>1.2*(X46+X47)+1.6*(Z46+Z47)</f>
        <v>284.98196000000002</v>
      </c>
      <c r="Y49" s="6" t="s">
        <v>452</v>
      </c>
      <c r="AC49" s="181"/>
    </row>
    <row r="50" spans="1:29" ht="14.4" x14ac:dyDescent="0.3">
      <c r="A50" s="27"/>
      <c r="B50" s="590" t="s">
        <v>588</v>
      </c>
      <c r="C50" s="590"/>
      <c r="D50" s="12">
        <f>1.2*(D46+D47)+(F46+F47)+1*(H46+H47)</f>
        <v>320.15022695833329</v>
      </c>
      <c r="E50" s="6" t="s">
        <v>452</v>
      </c>
      <c r="I50" s="4"/>
      <c r="K50" s="27"/>
      <c r="L50" s="590" t="s">
        <v>588</v>
      </c>
      <c r="M50" s="590"/>
      <c r="N50" s="12">
        <f>1.2*(N46+N47)+(P46+P47)+1*(R46+R47)</f>
        <v>312.32906695833333</v>
      </c>
      <c r="O50" s="6" t="s">
        <v>452</v>
      </c>
      <c r="S50" s="4"/>
      <c r="U50" s="27"/>
      <c r="V50" s="590" t="s">
        <v>588</v>
      </c>
      <c r="W50" s="590"/>
      <c r="X50" s="12">
        <f>1.2*(X46+X47)+(Z46+Z47)+1*(AB46+AB47)</f>
        <v>290.1443217916667</v>
      </c>
      <c r="Y50" s="6" t="s">
        <v>452</v>
      </c>
      <c r="AC50" s="4"/>
    </row>
    <row r="51" spans="1:29" x14ac:dyDescent="0.25">
      <c r="A51" s="27"/>
      <c r="B51" s="590" t="s">
        <v>525</v>
      </c>
      <c r="C51" s="590"/>
      <c r="D51" s="12">
        <f>0.9*(D46+D47)+1*(H46+H47)</f>
        <v>237.43954695833335</v>
      </c>
      <c r="E51" s="6" t="s">
        <v>452</v>
      </c>
      <c r="I51" s="52"/>
      <c r="K51" s="27"/>
      <c r="L51" s="590" t="s">
        <v>525</v>
      </c>
      <c r="M51" s="590"/>
      <c r="N51" s="12">
        <f>0.9*(N46+N47)+1*(R46+R47)</f>
        <v>218.74462695833333</v>
      </c>
      <c r="O51" s="6" t="s">
        <v>452</v>
      </c>
      <c r="S51" s="52"/>
      <c r="U51" s="27"/>
      <c r="V51" s="590" t="s">
        <v>525</v>
      </c>
      <c r="W51" s="590"/>
      <c r="X51" s="12">
        <f>0.9*(X46+X47)+1*(AB46+AB47)</f>
        <v>185.22629179166671</v>
      </c>
      <c r="Y51" s="6" t="s">
        <v>452</v>
      </c>
      <c r="AC51" s="52"/>
    </row>
    <row r="52" spans="1:29" x14ac:dyDescent="0.25">
      <c r="A52" s="25"/>
      <c r="C52" s="28" t="s">
        <v>101</v>
      </c>
      <c r="D52" s="388">
        <f>MAX(D48:D51)</f>
        <v>320.15022695833329</v>
      </c>
      <c r="E52" s="28" t="s">
        <v>452</v>
      </c>
      <c r="F52" s="51"/>
      <c r="G52" s="51"/>
      <c r="H52" s="51"/>
      <c r="I52" s="52"/>
      <c r="K52" s="25"/>
      <c r="M52" s="28" t="s">
        <v>101</v>
      </c>
      <c r="N52" s="251">
        <f>MAX(N48:N51)</f>
        <v>312.32906695833333</v>
      </c>
      <c r="O52" s="28" t="s">
        <v>452</v>
      </c>
      <c r="P52" s="51"/>
      <c r="Q52" s="51"/>
      <c r="R52" s="51"/>
      <c r="S52" s="52"/>
      <c r="U52" s="25"/>
      <c r="W52" s="28" t="s">
        <v>101</v>
      </c>
      <c r="X52" s="388">
        <f>MAX(X48:X51)</f>
        <v>290.1443217916667</v>
      </c>
      <c r="Y52" s="28" t="s">
        <v>452</v>
      </c>
      <c r="Z52" s="51"/>
      <c r="AA52" s="51"/>
      <c r="AB52" s="51"/>
      <c r="AC52" s="52"/>
    </row>
    <row r="53" spans="1:29" ht="14.4" x14ac:dyDescent="0.3">
      <c r="A53" s="25"/>
      <c r="B53" s="50"/>
      <c r="C53" s="49"/>
      <c r="D53" s="58" t="s">
        <v>129</v>
      </c>
      <c r="E53"/>
      <c r="F53" s="51"/>
      <c r="G53" s="51"/>
      <c r="H53" s="51"/>
      <c r="I53" s="52"/>
      <c r="K53" s="25"/>
      <c r="L53" s="50"/>
      <c r="M53" s="49"/>
      <c r="N53" s="58" t="s">
        <v>129</v>
      </c>
      <c r="O53"/>
      <c r="P53" s="51"/>
      <c r="Q53" s="51"/>
      <c r="R53" s="51"/>
      <c r="S53" s="52"/>
      <c r="U53" s="25"/>
      <c r="V53" s="50"/>
      <c r="W53" s="49"/>
      <c r="X53" s="58" t="s">
        <v>129</v>
      </c>
      <c r="Y53"/>
      <c r="Z53" s="51"/>
      <c r="AA53" s="51"/>
      <c r="AB53" s="51"/>
      <c r="AC53" s="52"/>
    </row>
    <row r="54" spans="1:29" ht="13.8" x14ac:dyDescent="0.25">
      <c r="A54" s="499" t="s">
        <v>153</v>
      </c>
      <c r="B54" s="500"/>
      <c r="C54" s="500"/>
      <c r="D54" s="500"/>
      <c r="E54" s="500"/>
      <c r="F54" s="500"/>
      <c r="G54" s="500"/>
      <c r="H54" s="500"/>
      <c r="I54" s="501"/>
      <c r="K54" s="499" t="s">
        <v>153</v>
      </c>
      <c r="L54" s="500"/>
      <c r="M54" s="500"/>
      <c r="N54" s="500"/>
      <c r="O54" s="500"/>
      <c r="P54" s="500"/>
      <c r="Q54" s="500"/>
      <c r="R54" s="500"/>
      <c r="S54" s="501"/>
      <c r="U54" s="499" t="s">
        <v>153</v>
      </c>
      <c r="V54" s="500"/>
      <c r="W54" s="500"/>
      <c r="X54" s="500"/>
      <c r="Y54" s="500"/>
      <c r="Z54" s="500"/>
      <c r="AA54" s="500"/>
      <c r="AB54" s="500"/>
      <c r="AC54" s="501"/>
    </row>
    <row r="55" spans="1:29" ht="13.8" x14ac:dyDescent="0.25">
      <c r="A55" s="94"/>
      <c r="B55" s="90"/>
      <c r="C55" s="90"/>
      <c r="D55" s="90"/>
      <c r="E55" s="90"/>
      <c r="F55" s="90"/>
      <c r="G55" s="90"/>
      <c r="H55" s="90"/>
      <c r="I55" s="178"/>
      <c r="K55" s="94"/>
      <c r="L55" s="90"/>
      <c r="M55" s="90"/>
      <c r="N55" s="90"/>
      <c r="O55" s="90"/>
      <c r="P55" s="90"/>
      <c r="Q55" s="90"/>
      <c r="R55" s="90"/>
      <c r="S55" s="178"/>
      <c r="U55" s="94"/>
      <c r="V55" s="90"/>
      <c r="W55" s="90"/>
      <c r="X55" s="90"/>
      <c r="Y55" s="90"/>
      <c r="Z55" s="90"/>
      <c r="AA55" s="90"/>
      <c r="AB55" s="90"/>
      <c r="AC55" s="178"/>
    </row>
    <row r="56" spans="1:29" ht="14.4" x14ac:dyDescent="0.3">
      <c r="A56" s="25"/>
      <c r="B56" s="50" t="s">
        <v>151</v>
      </c>
      <c r="C56" s="49" t="s">
        <v>152</v>
      </c>
      <c r="D56"/>
      <c r="F56" s="51"/>
      <c r="G56" s="51"/>
      <c r="H56" s="51"/>
      <c r="I56" s="52"/>
      <c r="K56" s="25"/>
      <c r="L56" s="50" t="s">
        <v>151</v>
      </c>
      <c r="M56" s="49" t="s">
        <v>152</v>
      </c>
      <c r="N56"/>
      <c r="P56" s="51"/>
      <c r="Q56" s="51"/>
      <c r="R56" s="51"/>
      <c r="S56" s="52"/>
      <c r="U56" s="25"/>
      <c r="V56" s="50" t="s">
        <v>151</v>
      </c>
      <c r="W56" s="49" t="s">
        <v>152</v>
      </c>
      <c r="X56"/>
      <c r="Z56" s="51"/>
      <c r="AA56" s="51"/>
      <c r="AB56" s="51"/>
      <c r="AC56" s="52"/>
    </row>
    <row r="57" spans="1:29" x14ac:dyDescent="0.25">
      <c r="A57" s="25"/>
      <c r="B57" s="50" t="s">
        <v>154</v>
      </c>
      <c r="C57" s="49">
        <f>D52*1000</f>
        <v>320150.22695833328</v>
      </c>
      <c r="D57" s="51" t="s">
        <v>155</v>
      </c>
      <c r="E57" s="51"/>
      <c r="F57" s="51"/>
      <c r="G57" s="51"/>
      <c r="H57" s="51"/>
      <c r="I57" s="52"/>
      <c r="K57" s="25"/>
      <c r="L57" s="50" t="s">
        <v>154</v>
      </c>
      <c r="M57" s="49">
        <f>N52*1000</f>
        <v>312329.06695833331</v>
      </c>
      <c r="N57" s="51" t="s">
        <v>155</v>
      </c>
      <c r="O57" s="51"/>
      <c r="P57" s="51"/>
      <c r="Q57" s="51"/>
      <c r="R57" s="51"/>
      <c r="S57" s="52"/>
      <c r="U57" s="25"/>
      <c r="V57" s="50" t="s">
        <v>154</v>
      </c>
      <c r="W57" s="49">
        <f>X52*1000</f>
        <v>290144.32179166668</v>
      </c>
      <c r="X57" s="51" t="s">
        <v>155</v>
      </c>
      <c r="Y57" s="51"/>
      <c r="Z57" s="51"/>
      <c r="AA57" s="51"/>
      <c r="AB57" s="51"/>
      <c r="AC57" s="52"/>
    </row>
    <row r="58" spans="1:29" x14ac:dyDescent="0.25">
      <c r="A58" s="25"/>
      <c r="B58" s="50" t="s">
        <v>154</v>
      </c>
      <c r="C58" s="49" t="s">
        <v>156</v>
      </c>
      <c r="D58" s="51"/>
      <c r="E58" s="51"/>
      <c r="F58" s="51"/>
      <c r="H58" s="51"/>
      <c r="I58" s="52"/>
      <c r="K58" s="25"/>
      <c r="L58" s="50" t="s">
        <v>154</v>
      </c>
      <c r="M58" s="49" t="s">
        <v>156</v>
      </c>
      <c r="N58" s="51"/>
      <c r="O58" s="51"/>
      <c r="P58" s="51"/>
      <c r="R58" s="51"/>
      <c r="S58" s="52"/>
      <c r="U58" s="25"/>
      <c r="V58" s="50" t="s">
        <v>154</v>
      </c>
      <c r="W58" s="49" t="s">
        <v>156</v>
      </c>
      <c r="X58" s="51"/>
      <c r="Y58" s="51"/>
      <c r="Z58" s="51"/>
      <c r="AB58" s="51"/>
      <c r="AC58" s="52"/>
    </row>
    <row r="59" spans="1:29" ht="13.8" x14ac:dyDescent="0.3">
      <c r="A59" s="25"/>
      <c r="B59" s="50" t="s">
        <v>157</v>
      </c>
      <c r="C59" s="49">
        <f>C57/(0.65*0.8*(((0.85*B43*(1-0.02))+(0.02*B44))))</f>
        <v>19675.863620661985</v>
      </c>
      <c r="D59" s="51" t="s">
        <v>158</v>
      </c>
      <c r="E59" s="51"/>
      <c r="F59" s="51"/>
      <c r="G59" s="51"/>
      <c r="H59" s="51"/>
      <c r="I59" s="52"/>
      <c r="K59" s="25"/>
      <c r="L59" s="50" t="s">
        <v>157</v>
      </c>
      <c r="M59" s="49">
        <f>M57/(0.65*0.8*(((0.85*L43*(1-0.02))+(0.02*L44))))</f>
        <v>19195.189035554151</v>
      </c>
      <c r="N59" s="51" t="s">
        <v>158</v>
      </c>
      <c r="O59" s="51"/>
      <c r="P59" s="51"/>
      <c r="Q59" s="51"/>
      <c r="R59" s="51"/>
      <c r="S59" s="52"/>
      <c r="U59" s="25"/>
      <c r="V59" s="50" t="s">
        <v>157</v>
      </c>
      <c r="W59" s="49">
        <f>W57/(0.65*0.8*(((0.85*V43*(1-0.02))+(0.02*V44))))</f>
        <v>17831.75404909299</v>
      </c>
      <c r="X59" s="51" t="s">
        <v>158</v>
      </c>
      <c r="Y59" s="51"/>
      <c r="Z59" s="51"/>
      <c r="AA59" s="51"/>
      <c r="AB59" s="51"/>
      <c r="AC59" s="52"/>
    </row>
    <row r="60" spans="1:29" x14ac:dyDescent="0.25">
      <c r="A60" s="25"/>
      <c r="B60" s="51"/>
      <c r="C60" s="49"/>
      <c r="D60" s="51"/>
      <c r="E60" s="51"/>
      <c r="F60" s="51"/>
      <c r="G60" s="51"/>
      <c r="H60" s="51"/>
      <c r="I60" s="52"/>
      <c r="K60" s="25"/>
      <c r="L60" s="51"/>
      <c r="M60" s="49"/>
      <c r="N60" s="51"/>
      <c r="O60" s="51"/>
      <c r="P60" s="51"/>
      <c r="Q60" s="51"/>
      <c r="R60" s="51"/>
      <c r="S60" s="52"/>
      <c r="U60" s="25"/>
      <c r="V60" s="51"/>
      <c r="W60" s="49"/>
      <c r="X60" s="51"/>
      <c r="Y60" s="51"/>
      <c r="Z60" s="51"/>
      <c r="AA60" s="51"/>
      <c r="AB60" s="51"/>
      <c r="AC60" s="52"/>
    </row>
    <row r="61" spans="1:29" ht="15" x14ac:dyDescent="0.25">
      <c r="A61" s="25"/>
      <c r="B61" s="50" t="s">
        <v>159</v>
      </c>
      <c r="C61" s="49">
        <f>C59</f>
        <v>19675.863620661985</v>
      </c>
      <c r="D61" s="51" t="s">
        <v>43</v>
      </c>
      <c r="E61" s="51"/>
      <c r="F61" s="51"/>
      <c r="G61" s="51"/>
      <c r="H61" s="51"/>
      <c r="I61" s="52"/>
      <c r="K61" s="25"/>
      <c r="L61" s="50" t="s">
        <v>159</v>
      </c>
      <c r="M61" s="49">
        <f>M59</f>
        <v>19195.189035554151</v>
      </c>
      <c r="N61" s="51" t="s">
        <v>43</v>
      </c>
      <c r="O61" s="51"/>
      <c r="P61" s="51"/>
      <c r="Q61" s="51"/>
      <c r="R61" s="51"/>
      <c r="S61" s="52"/>
      <c r="U61" s="25"/>
      <c r="V61" s="50" t="s">
        <v>159</v>
      </c>
      <c r="W61" s="49">
        <f>W59</f>
        <v>17831.75404909299</v>
      </c>
      <c r="X61" s="51" t="s">
        <v>43</v>
      </c>
      <c r="Y61" s="51"/>
      <c r="Z61" s="51"/>
      <c r="AA61" s="51"/>
      <c r="AB61" s="51"/>
      <c r="AC61" s="52"/>
    </row>
    <row r="62" spans="1:29" x14ac:dyDescent="0.25">
      <c r="A62" s="25"/>
      <c r="B62" s="50" t="s">
        <v>46</v>
      </c>
      <c r="C62" s="49">
        <f>C61^(0.5)</f>
        <v>140.27067983246531</v>
      </c>
      <c r="D62" s="51" t="s">
        <v>43</v>
      </c>
      <c r="F62" s="50" t="s">
        <v>526</v>
      </c>
      <c r="G62" s="387">
        <v>300</v>
      </c>
      <c r="H62" s="51" t="s">
        <v>43</v>
      </c>
      <c r="I62" s="52"/>
      <c r="K62" s="25"/>
      <c r="L62" s="50" t="s">
        <v>46</v>
      </c>
      <c r="M62" s="49">
        <f>M61^(0.5)</f>
        <v>138.54670344527923</v>
      </c>
      <c r="N62" s="51" t="s">
        <v>43</v>
      </c>
      <c r="P62" s="50" t="s">
        <v>526</v>
      </c>
      <c r="Q62" s="387">
        <v>300</v>
      </c>
      <c r="R62" s="51" t="s">
        <v>43</v>
      </c>
      <c r="S62" s="52"/>
      <c r="U62" s="25"/>
      <c r="V62" s="50" t="s">
        <v>46</v>
      </c>
      <c r="W62" s="49">
        <f>W61^(0.5)</f>
        <v>133.53559094523447</v>
      </c>
      <c r="X62" s="51" t="s">
        <v>43</v>
      </c>
      <c r="Z62" s="50" t="s">
        <v>526</v>
      </c>
      <c r="AA62" s="387">
        <v>300</v>
      </c>
      <c r="AB62" s="51" t="s">
        <v>43</v>
      </c>
      <c r="AC62" s="52"/>
    </row>
    <row r="63" spans="1:29" x14ac:dyDescent="0.25">
      <c r="A63" s="25"/>
      <c r="B63" s="51"/>
      <c r="C63" s="49"/>
      <c r="D63" s="51"/>
      <c r="E63" s="50"/>
      <c r="F63" s="48"/>
      <c r="G63" s="51"/>
      <c r="H63" s="51"/>
      <c r="I63" s="52"/>
      <c r="K63" s="25"/>
      <c r="L63" s="51"/>
      <c r="M63" s="49"/>
      <c r="N63" s="51"/>
      <c r="O63" s="50"/>
      <c r="P63" s="48"/>
      <c r="Q63" s="51"/>
      <c r="R63" s="51"/>
      <c r="S63" s="52"/>
      <c r="U63" s="25"/>
      <c r="V63" s="51"/>
      <c r="W63" s="49"/>
      <c r="X63" s="51"/>
      <c r="Y63" s="50"/>
      <c r="Z63" s="48"/>
      <c r="AA63" s="51"/>
      <c r="AB63" s="51"/>
      <c r="AC63" s="52"/>
    </row>
    <row r="64" spans="1:29" x14ac:dyDescent="0.25">
      <c r="A64" s="25"/>
      <c r="B64" s="48" t="s">
        <v>151</v>
      </c>
      <c r="C64" s="59" t="s">
        <v>152</v>
      </c>
      <c r="D64" s="60"/>
      <c r="E64" s="50" t="s">
        <v>101</v>
      </c>
      <c r="F64" s="48">
        <v>20</v>
      </c>
      <c r="G64" s="51" t="s">
        <v>527</v>
      </c>
      <c r="H64" s="51"/>
      <c r="I64" s="52"/>
      <c r="K64" s="25"/>
      <c r="L64" s="48" t="s">
        <v>151</v>
      </c>
      <c r="M64" s="59" t="s">
        <v>152</v>
      </c>
      <c r="N64" s="60"/>
      <c r="O64" s="50" t="s">
        <v>101</v>
      </c>
      <c r="P64" s="48">
        <v>20</v>
      </c>
      <c r="Q64" s="51" t="s">
        <v>527</v>
      </c>
      <c r="R64" s="51"/>
      <c r="S64" s="52"/>
      <c r="U64" s="25"/>
      <c r="V64" s="48" t="s">
        <v>151</v>
      </c>
      <c r="W64" s="59" t="s">
        <v>152</v>
      </c>
      <c r="X64" s="60"/>
      <c r="Y64" s="50" t="s">
        <v>101</v>
      </c>
      <c r="Z64" s="48">
        <v>20</v>
      </c>
      <c r="AA64" s="51" t="s">
        <v>527</v>
      </c>
      <c r="AB64" s="51"/>
      <c r="AC64" s="52"/>
    </row>
    <row r="65" spans="1:29" ht="13.8" x14ac:dyDescent="0.25">
      <c r="A65" s="25"/>
      <c r="B65" s="48" t="s">
        <v>151</v>
      </c>
      <c r="C65" s="56">
        <f>0.02*G62*G62</f>
        <v>1800</v>
      </c>
      <c r="D65" s="53"/>
      <c r="E65" s="50" t="s">
        <v>42</v>
      </c>
      <c r="F65" s="48">
        <f>ROUNDUP(C65,-1)</f>
        <v>1800</v>
      </c>
      <c r="G65" s="59" t="s">
        <v>158</v>
      </c>
      <c r="H65" s="51"/>
      <c r="I65" s="52"/>
      <c r="K65" s="25"/>
      <c r="L65" s="48" t="s">
        <v>151</v>
      </c>
      <c r="M65" s="56">
        <f>0.02*Q62*Q62</f>
        <v>1800</v>
      </c>
      <c r="N65" s="53"/>
      <c r="O65" s="50" t="s">
        <v>42</v>
      </c>
      <c r="P65" s="48">
        <f>ROUNDUP(M65,-1)</f>
        <v>1800</v>
      </c>
      <c r="Q65" s="59" t="s">
        <v>158</v>
      </c>
      <c r="R65" s="51"/>
      <c r="S65" s="52"/>
      <c r="U65" s="25"/>
      <c r="V65" s="48" t="s">
        <v>151</v>
      </c>
      <c r="W65" s="56">
        <f>0.02*AA62*AA62</f>
        <v>1800</v>
      </c>
      <c r="X65" s="53"/>
      <c r="Y65" s="50" t="s">
        <v>42</v>
      </c>
      <c r="Z65" s="48">
        <f>ROUNDUP(W65,-1)</f>
        <v>1800</v>
      </c>
      <c r="AA65" s="59" t="s">
        <v>158</v>
      </c>
      <c r="AB65" s="51"/>
      <c r="AC65" s="52"/>
    </row>
    <row r="66" spans="1:29" x14ac:dyDescent="0.25">
      <c r="A66" s="25"/>
      <c r="B66" s="51"/>
      <c r="C66" s="49"/>
      <c r="D66" s="51"/>
      <c r="E66" s="51"/>
      <c r="F66" s="51"/>
      <c r="G66" s="51"/>
      <c r="H66" s="51"/>
      <c r="I66" s="52"/>
      <c r="K66" s="25"/>
      <c r="L66" s="51"/>
      <c r="M66" s="49"/>
      <c r="N66" s="51"/>
      <c r="O66" s="51"/>
      <c r="P66" s="51"/>
      <c r="Q66" s="51"/>
      <c r="R66" s="51"/>
      <c r="S66" s="52"/>
      <c r="U66" s="25"/>
      <c r="V66" s="51"/>
      <c r="W66" s="49"/>
      <c r="X66" s="51"/>
      <c r="Y66" s="51"/>
      <c r="Z66" s="51"/>
      <c r="AA66" s="51"/>
      <c r="AB66" s="51"/>
      <c r="AC66" s="52"/>
    </row>
    <row r="67" spans="1:29" ht="13.8" x14ac:dyDescent="0.25">
      <c r="A67" s="25"/>
      <c r="B67" s="591" t="s">
        <v>160</v>
      </c>
      <c r="C67" s="591"/>
      <c r="D67" s="51"/>
      <c r="E67" s="50" t="s">
        <v>161</v>
      </c>
      <c r="F67" s="51">
        <f>(3.141592654/4)*(F64^2)</f>
        <v>314.15926539999998</v>
      </c>
      <c r="G67" s="59" t="s">
        <v>158</v>
      </c>
      <c r="H67" s="51"/>
      <c r="I67" s="52"/>
      <c r="K67" s="25"/>
      <c r="L67" s="591" t="s">
        <v>160</v>
      </c>
      <c r="M67" s="591"/>
      <c r="N67" s="51"/>
      <c r="O67" s="50" t="s">
        <v>161</v>
      </c>
      <c r="P67" s="51">
        <f>(3.141592654/4)*(P64^2)</f>
        <v>314.15926539999998</v>
      </c>
      <c r="Q67" s="59" t="s">
        <v>158</v>
      </c>
      <c r="R67" s="51"/>
      <c r="S67" s="52"/>
      <c r="U67" s="25"/>
      <c r="V67" s="591" t="s">
        <v>160</v>
      </c>
      <c r="W67" s="591"/>
      <c r="X67" s="51"/>
      <c r="Y67" s="50" t="s">
        <v>161</v>
      </c>
      <c r="Z67" s="51">
        <f>(3.141592654/4)*(Z64^2)</f>
        <v>314.15926539999998</v>
      </c>
      <c r="AA67" s="59" t="s">
        <v>158</v>
      </c>
      <c r="AB67" s="51"/>
      <c r="AC67" s="52"/>
    </row>
    <row r="68" spans="1:29" x14ac:dyDescent="0.25">
      <c r="A68" s="25"/>
      <c r="B68" s="50" t="s">
        <v>162</v>
      </c>
      <c r="C68" s="49" t="s">
        <v>163</v>
      </c>
      <c r="D68" s="51"/>
      <c r="E68" s="51"/>
      <c r="F68" s="51"/>
      <c r="G68" s="51"/>
      <c r="H68" s="51"/>
      <c r="I68" s="52"/>
      <c r="K68" s="25"/>
      <c r="L68" s="50" t="s">
        <v>162</v>
      </c>
      <c r="M68" s="49" t="s">
        <v>163</v>
      </c>
      <c r="N68" s="51"/>
      <c r="O68" s="51"/>
      <c r="P68" s="51"/>
      <c r="Q68" s="51"/>
      <c r="R68" s="51"/>
      <c r="S68" s="52"/>
      <c r="U68" s="25"/>
      <c r="V68" s="50" t="s">
        <v>162</v>
      </c>
      <c r="W68" s="49" t="s">
        <v>163</v>
      </c>
      <c r="X68" s="51"/>
      <c r="Y68" s="51"/>
      <c r="Z68" s="51"/>
      <c r="AA68" s="51"/>
      <c r="AB68" s="51"/>
      <c r="AC68" s="52"/>
    </row>
    <row r="69" spans="1:29" x14ac:dyDescent="0.25">
      <c r="A69" s="25"/>
      <c r="B69" s="50" t="s">
        <v>162</v>
      </c>
      <c r="C69" s="49">
        <f>F65/F67</f>
        <v>5.7295779505601052</v>
      </c>
      <c r="D69" s="51"/>
      <c r="E69" s="50" t="s">
        <v>42</v>
      </c>
      <c r="F69" s="54">
        <v>6</v>
      </c>
      <c r="G69" s="51" t="s">
        <v>164</v>
      </c>
      <c r="H69" s="51"/>
      <c r="I69" s="52"/>
      <c r="K69" s="25"/>
      <c r="L69" s="50" t="s">
        <v>162</v>
      </c>
      <c r="M69" s="49">
        <f>P65/P67</f>
        <v>5.7295779505601052</v>
      </c>
      <c r="N69" s="51"/>
      <c r="O69" s="50" t="s">
        <v>42</v>
      </c>
      <c r="P69" s="54">
        <v>6</v>
      </c>
      <c r="Q69" s="51" t="s">
        <v>164</v>
      </c>
      <c r="R69" s="51"/>
      <c r="S69" s="52"/>
      <c r="U69" s="25"/>
      <c r="V69" s="50" t="s">
        <v>162</v>
      </c>
      <c r="W69" s="49">
        <f>Z65/Z67</f>
        <v>5.7295779505601052</v>
      </c>
      <c r="X69" s="51"/>
      <c r="Y69" s="50" t="s">
        <v>42</v>
      </c>
      <c r="Z69" s="54">
        <v>6</v>
      </c>
      <c r="AA69" s="51" t="s">
        <v>164</v>
      </c>
      <c r="AB69" s="51"/>
      <c r="AC69" s="52"/>
    </row>
    <row r="70" spans="1:29" x14ac:dyDescent="0.25">
      <c r="A70" s="57"/>
      <c r="B70" s="51"/>
      <c r="C70" s="49"/>
      <c r="D70" s="51"/>
      <c r="E70" s="51"/>
      <c r="F70" s="51"/>
      <c r="G70" s="51"/>
      <c r="H70" s="51"/>
      <c r="I70" s="16"/>
      <c r="K70" s="57"/>
      <c r="L70" s="51"/>
      <c r="M70" s="49"/>
      <c r="N70" s="51"/>
      <c r="O70" s="51"/>
      <c r="P70" s="51"/>
      <c r="Q70" s="51"/>
      <c r="R70" s="51"/>
      <c r="S70" s="16"/>
      <c r="U70" s="57"/>
      <c r="V70" s="51"/>
      <c r="W70" s="49"/>
      <c r="X70" s="51"/>
      <c r="Y70" s="51"/>
      <c r="Z70" s="51"/>
      <c r="AA70" s="51"/>
      <c r="AB70" s="51"/>
      <c r="AC70" s="16"/>
    </row>
    <row r="71" spans="1:29" x14ac:dyDescent="0.25">
      <c r="A71" s="583" t="s">
        <v>598</v>
      </c>
      <c r="B71" s="584"/>
      <c r="C71" s="584"/>
      <c r="D71" s="584"/>
      <c r="E71" s="584"/>
      <c r="F71" s="584"/>
      <c r="G71" s="584"/>
      <c r="H71" s="584"/>
      <c r="I71" s="585"/>
      <c r="K71" s="583" t="s">
        <v>564</v>
      </c>
      <c r="L71" s="584"/>
      <c r="M71" s="584"/>
      <c r="N71" s="584"/>
      <c r="O71" s="584"/>
      <c r="P71" s="584"/>
      <c r="Q71" s="584"/>
      <c r="R71" s="584"/>
      <c r="S71" s="585"/>
      <c r="U71" s="583" t="s">
        <v>564</v>
      </c>
      <c r="V71" s="584"/>
      <c r="W71" s="584"/>
      <c r="X71" s="584"/>
      <c r="Y71" s="584"/>
      <c r="Z71" s="584"/>
      <c r="AA71" s="584"/>
      <c r="AB71" s="584"/>
      <c r="AC71" s="585"/>
    </row>
    <row r="72" spans="1:29" x14ac:dyDescent="0.25">
      <c r="A72" s="25"/>
      <c r="B72" s="51"/>
      <c r="C72" s="49"/>
      <c r="D72" s="51"/>
      <c r="E72" s="51"/>
      <c r="F72" s="51"/>
      <c r="G72" s="51"/>
      <c r="H72" s="51"/>
      <c r="I72" s="52"/>
      <c r="K72" s="25"/>
      <c r="L72" s="51"/>
      <c r="M72" s="49"/>
      <c r="N72" s="51"/>
      <c r="O72" s="51"/>
      <c r="P72" s="51"/>
      <c r="Q72" s="51"/>
      <c r="R72" s="51"/>
      <c r="S72" s="52"/>
      <c r="U72" s="25"/>
      <c r="V72" s="51"/>
      <c r="W72" s="49"/>
      <c r="X72" s="51"/>
      <c r="Y72" s="51"/>
      <c r="Z72" s="51"/>
      <c r="AA72" s="51"/>
      <c r="AB72" s="51"/>
      <c r="AC72" s="52"/>
    </row>
    <row r="73" spans="1:29" x14ac:dyDescent="0.25">
      <c r="A73" s="25"/>
      <c r="B73" s="61" t="s">
        <v>165</v>
      </c>
      <c r="C73" s="49"/>
      <c r="D73" s="51"/>
      <c r="E73" s="51"/>
      <c r="F73" s="51"/>
      <c r="G73" s="51"/>
      <c r="H73" s="51"/>
      <c r="I73" s="52"/>
      <c r="K73" s="25"/>
      <c r="L73" s="61" t="s">
        <v>165</v>
      </c>
      <c r="M73" s="49"/>
      <c r="N73" s="51"/>
      <c r="O73" s="51"/>
      <c r="P73" s="51"/>
      <c r="Q73" s="51"/>
      <c r="R73" s="51"/>
      <c r="S73" s="52"/>
      <c r="U73" s="25"/>
      <c r="V73" s="61" t="s">
        <v>165</v>
      </c>
      <c r="W73" s="49"/>
      <c r="X73" s="51"/>
      <c r="Y73" s="51"/>
      <c r="Z73" s="51"/>
      <c r="AA73" s="51"/>
      <c r="AB73" s="51"/>
      <c r="AC73" s="52"/>
    </row>
    <row r="74" spans="1:29" x14ac:dyDescent="0.25">
      <c r="A74" s="25"/>
      <c r="B74" s="586" t="s">
        <v>166</v>
      </c>
      <c r="C74" s="586"/>
      <c r="D74" s="586"/>
      <c r="E74" s="51">
        <f>16*F64</f>
        <v>320</v>
      </c>
      <c r="F74" s="51" t="s">
        <v>43</v>
      </c>
      <c r="G74" s="50" t="s">
        <v>42</v>
      </c>
      <c r="H74" s="386">
        <f>FLOOR(E74,10)</f>
        <v>320</v>
      </c>
      <c r="I74" s="52" t="s">
        <v>43</v>
      </c>
      <c r="K74" s="25"/>
      <c r="L74" s="586" t="s">
        <v>166</v>
      </c>
      <c r="M74" s="586"/>
      <c r="N74" s="586"/>
      <c r="O74" s="51">
        <f>16*P64</f>
        <v>320</v>
      </c>
      <c r="P74" s="51" t="s">
        <v>43</v>
      </c>
      <c r="Q74" s="50" t="s">
        <v>42</v>
      </c>
      <c r="R74" s="386">
        <f>FLOOR(O74,10)</f>
        <v>320</v>
      </c>
      <c r="S74" s="52" t="s">
        <v>43</v>
      </c>
      <c r="U74" s="25"/>
      <c r="V74" s="586" t="s">
        <v>166</v>
      </c>
      <c r="W74" s="586"/>
      <c r="X74" s="586"/>
      <c r="Y74" s="51">
        <f>16*Z64</f>
        <v>320</v>
      </c>
      <c r="Z74" s="51" t="s">
        <v>43</v>
      </c>
      <c r="AA74" s="50" t="s">
        <v>42</v>
      </c>
      <c r="AB74" s="386">
        <f>FLOOR(Y74,10)</f>
        <v>320</v>
      </c>
      <c r="AC74" s="52" t="s">
        <v>43</v>
      </c>
    </row>
    <row r="75" spans="1:29" x14ac:dyDescent="0.25">
      <c r="A75" s="25"/>
      <c r="B75" s="586" t="s">
        <v>167</v>
      </c>
      <c r="C75" s="586"/>
      <c r="D75" s="586"/>
      <c r="E75" s="51">
        <f>48*10</f>
        <v>480</v>
      </c>
      <c r="F75" s="51" t="s">
        <v>43</v>
      </c>
      <c r="G75" s="51"/>
      <c r="H75" s="51"/>
      <c r="I75" s="52"/>
      <c r="K75" s="25"/>
      <c r="L75" s="586" t="s">
        <v>167</v>
      </c>
      <c r="M75" s="586"/>
      <c r="N75" s="586"/>
      <c r="O75" s="51">
        <f>48*10</f>
        <v>480</v>
      </c>
      <c r="P75" s="51" t="s">
        <v>43</v>
      </c>
      <c r="Q75" s="51"/>
      <c r="R75" s="51"/>
      <c r="S75" s="52"/>
      <c r="U75" s="25"/>
      <c r="V75" s="586" t="s">
        <v>167</v>
      </c>
      <c r="W75" s="586"/>
      <c r="X75" s="586"/>
      <c r="Y75" s="51">
        <f>48*10</f>
        <v>480</v>
      </c>
      <c r="Z75" s="51" t="s">
        <v>43</v>
      </c>
      <c r="AA75" s="51"/>
      <c r="AB75" s="51"/>
      <c r="AC75" s="52"/>
    </row>
    <row r="76" spans="1:29" x14ac:dyDescent="0.25">
      <c r="A76" s="25"/>
      <c r="B76" s="586" t="s">
        <v>168</v>
      </c>
      <c r="C76" s="586"/>
      <c r="D76" s="586"/>
      <c r="E76" s="51">
        <f>G62</f>
        <v>300</v>
      </c>
      <c r="F76" s="51" t="s">
        <v>43</v>
      </c>
      <c r="G76" s="51"/>
      <c r="H76" s="51"/>
      <c r="I76" s="52"/>
      <c r="K76" s="25"/>
      <c r="L76" s="586" t="s">
        <v>168</v>
      </c>
      <c r="M76" s="586"/>
      <c r="N76" s="586"/>
      <c r="O76" s="51">
        <f>Q62</f>
        <v>300</v>
      </c>
      <c r="P76" s="51" t="s">
        <v>43</v>
      </c>
      <c r="Q76" s="51"/>
      <c r="R76" s="51"/>
      <c r="S76" s="52"/>
      <c r="U76" s="25"/>
      <c r="V76" s="586" t="s">
        <v>168</v>
      </c>
      <c r="W76" s="586"/>
      <c r="X76" s="586"/>
      <c r="Y76" s="51">
        <f>AA62</f>
        <v>300</v>
      </c>
      <c r="Z76" s="51" t="s">
        <v>43</v>
      </c>
      <c r="AA76" s="51"/>
      <c r="AB76" s="51"/>
      <c r="AC76" s="52"/>
    </row>
    <row r="77" spans="1:29" x14ac:dyDescent="0.25">
      <c r="A77" s="25"/>
      <c r="B77" s="51"/>
      <c r="C77" s="49"/>
      <c r="D77" s="51"/>
      <c r="E77" s="51"/>
      <c r="F77" s="51"/>
      <c r="G77" s="51"/>
      <c r="H77" s="51"/>
      <c r="I77" s="52"/>
      <c r="K77" s="25"/>
      <c r="L77" s="51"/>
      <c r="M77" s="49"/>
      <c r="N77" s="51"/>
      <c r="O77" s="51"/>
      <c r="P77" s="51"/>
      <c r="Q77" s="51"/>
      <c r="R77" s="51"/>
      <c r="S77" s="52"/>
      <c r="U77" s="25"/>
      <c r="V77" s="51"/>
      <c r="W77" s="49"/>
      <c r="X77" s="51"/>
      <c r="Y77" s="51"/>
      <c r="Z77" s="51"/>
      <c r="AA77" s="51"/>
      <c r="AB77" s="51"/>
      <c r="AC77" s="52"/>
    </row>
    <row r="78" spans="1:29" ht="13.8" thickBot="1" x14ac:dyDescent="0.3">
      <c r="A78" s="587" t="s">
        <v>684</v>
      </c>
      <c r="B78" s="588"/>
      <c r="C78" s="588"/>
      <c r="D78" s="588"/>
      <c r="E78" s="588"/>
      <c r="F78" s="588"/>
      <c r="G78" s="588"/>
      <c r="H78" s="588"/>
      <c r="I78" s="589"/>
      <c r="K78" s="587" t="s">
        <v>684</v>
      </c>
      <c r="L78" s="588"/>
      <c r="M78" s="588"/>
      <c r="N78" s="588"/>
      <c r="O78" s="588"/>
      <c r="P78" s="588"/>
      <c r="Q78" s="588"/>
      <c r="R78" s="588"/>
      <c r="S78" s="589"/>
      <c r="U78" s="587" t="s">
        <v>684</v>
      </c>
      <c r="V78" s="588"/>
      <c r="W78" s="588"/>
      <c r="X78" s="588"/>
      <c r="Y78" s="588"/>
      <c r="Z78" s="588"/>
      <c r="AA78" s="588"/>
      <c r="AB78" s="588"/>
      <c r="AC78" s="589"/>
    </row>
  </sheetData>
  <mergeCells count="90">
    <mergeCell ref="L67:M67"/>
    <mergeCell ref="K71:S71"/>
    <mergeCell ref="L74:N74"/>
    <mergeCell ref="L75:N75"/>
    <mergeCell ref="L76:N76"/>
    <mergeCell ref="K78:S78"/>
    <mergeCell ref="A78:I78"/>
    <mergeCell ref="K40:S40"/>
    <mergeCell ref="K41:S41"/>
    <mergeCell ref="K46:L46"/>
    <mergeCell ref="K47:L47"/>
    <mergeCell ref="L48:M48"/>
    <mergeCell ref="L49:M49"/>
    <mergeCell ref="L50:M50"/>
    <mergeCell ref="L51:M51"/>
    <mergeCell ref="K54:S54"/>
    <mergeCell ref="A54:I54"/>
    <mergeCell ref="B67:C67"/>
    <mergeCell ref="A71:I71"/>
    <mergeCell ref="B74:D74"/>
    <mergeCell ref="B75:D75"/>
    <mergeCell ref="B76:D76"/>
    <mergeCell ref="A46:B46"/>
    <mergeCell ref="A47:B47"/>
    <mergeCell ref="B48:C48"/>
    <mergeCell ref="B49:C49"/>
    <mergeCell ref="B50:C50"/>
    <mergeCell ref="B51:C51"/>
    <mergeCell ref="A39:I39"/>
    <mergeCell ref="K39:S39"/>
    <mergeCell ref="A40:I40"/>
    <mergeCell ref="A41:I41"/>
    <mergeCell ref="B36:D36"/>
    <mergeCell ref="L36:N36"/>
    <mergeCell ref="B37:D37"/>
    <mergeCell ref="L37:N37"/>
    <mergeCell ref="A32:I32"/>
    <mergeCell ref="K32:S32"/>
    <mergeCell ref="B35:D35"/>
    <mergeCell ref="L35:N35"/>
    <mergeCell ref="A15:I15"/>
    <mergeCell ref="K15:S15"/>
    <mergeCell ref="B28:C28"/>
    <mergeCell ref="L28:M28"/>
    <mergeCell ref="B11:C11"/>
    <mergeCell ref="L11:M11"/>
    <mergeCell ref="B12:C12"/>
    <mergeCell ref="L12:M12"/>
    <mergeCell ref="B9:C9"/>
    <mergeCell ref="L9:M9"/>
    <mergeCell ref="B10:C10"/>
    <mergeCell ref="L10:M10"/>
    <mergeCell ref="A7:B7"/>
    <mergeCell ref="K7:L7"/>
    <mergeCell ref="A8:B8"/>
    <mergeCell ref="K8:L8"/>
    <mergeCell ref="A1:I1"/>
    <mergeCell ref="K1:S1"/>
    <mergeCell ref="A2:I2"/>
    <mergeCell ref="K2:S2"/>
    <mergeCell ref="U1:AC1"/>
    <mergeCell ref="U2:AC2"/>
    <mergeCell ref="U7:V7"/>
    <mergeCell ref="U8:V8"/>
    <mergeCell ref="V9:W9"/>
    <mergeCell ref="V10:W10"/>
    <mergeCell ref="V11:W11"/>
    <mergeCell ref="V12:W12"/>
    <mergeCell ref="U15:AC15"/>
    <mergeCell ref="V28:W28"/>
    <mergeCell ref="U32:AC32"/>
    <mergeCell ref="V35:X35"/>
    <mergeCell ref="V36:X36"/>
    <mergeCell ref="V37:X37"/>
    <mergeCell ref="U39:AC39"/>
    <mergeCell ref="U40:AC40"/>
    <mergeCell ref="U41:AC41"/>
    <mergeCell ref="U46:V46"/>
    <mergeCell ref="U47:V47"/>
    <mergeCell ref="V48:W48"/>
    <mergeCell ref="V49:W49"/>
    <mergeCell ref="V50:W50"/>
    <mergeCell ref="V51:W51"/>
    <mergeCell ref="U54:AC54"/>
    <mergeCell ref="V67:W67"/>
    <mergeCell ref="U71:AC71"/>
    <mergeCell ref="V74:X74"/>
    <mergeCell ref="V75:X75"/>
    <mergeCell ref="V76:X76"/>
    <mergeCell ref="U78:AC78"/>
  </mergeCells>
  <printOptions horizontalCentered="1"/>
  <pageMargins left="0.59055118110236227" right="0.39370078740157483" top="0.59055118110236227" bottom="0.39370078740157483" header="0.31496062992125984" footer="0.31496062992125984"/>
  <pageSetup paperSize="9" scale="71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K46"/>
  <sheetViews>
    <sheetView zoomScale="70" zoomScaleNormal="70" workbookViewId="0">
      <selection activeCell="G18" sqref="G18:J18"/>
    </sheetView>
  </sheetViews>
  <sheetFormatPr defaultRowHeight="13.8" x14ac:dyDescent="0.25"/>
  <cols>
    <col min="1" max="4" width="8.88671875" style="62"/>
    <col min="5" max="5" width="23.6640625" style="62" customWidth="1"/>
    <col min="6" max="6" width="37.109375" style="62" customWidth="1"/>
    <col min="7" max="7" width="8.88671875" style="62"/>
    <col min="8" max="8" width="10.5546875" style="62" customWidth="1"/>
    <col min="9" max="9" width="8.88671875" style="62"/>
    <col min="10" max="10" width="40.6640625" style="62" customWidth="1"/>
    <col min="11" max="16384" width="8.88671875" style="62"/>
  </cols>
  <sheetData>
    <row r="1" spans="1:10" ht="15" x14ac:dyDescent="0.25">
      <c r="A1" s="660" t="s">
        <v>606</v>
      </c>
      <c r="B1" s="660"/>
      <c r="C1" s="660"/>
      <c r="D1" s="660"/>
      <c r="E1" s="660"/>
      <c r="F1" s="660"/>
      <c r="G1" s="660"/>
      <c r="H1" s="660"/>
      <c r="I1" s="660"/>
      <c r="J1" s="660"/>
    </row>
    <row r="2" spans="1:10" ht="14.4" thickBot="1" x14ac:dyDescent="0.3"/>
    <row r="3" spans="1:10" ht="15.6" thickBot="1" x14ac:dyDescent="0.3">
      <c r="A3" s="661" t="s">
        <v>531</v>
      </c>
      <c r="B3" s="662"/>
      <c r="C3" s="661" t="s">
        <v>603</v>
      </c>
      <c r="D3" s="663"/>
      <c r="E3" s="664" t="s">
        <v>52</v>
      </c>
      <c r="F3" s="662"/>
      <c r="G3" s="661" t="s">
        <v>604</v>
      </c>
      <c r="H3" s="665"/>
      <c r="I3" s="665"/>
      <c r="J3" s="662"/>
    </row>
    <row r="4" spans="1:10" ht="14.4" thickBot="1" x14ac:dyDescent="0.3">
      <c r="A4" s="666" t="s">
        <v>363</v>
      </c>
      <c r="B4" s="667"/>
      <c r="C4" s="666" t="s">
        <v>638</v>
      </c>
      <c r="D4" s="667"/>
      <c r="E4" s="666" t="s">
        <v>688</v>
      </c>
      <c r="F4" s="667"/>
      <c r="G4" s="668" t="s">
        <v>635</v>
      </c>
      <c r="H4" s="669"/>
      <c r="I4" s="669"/>
      <c r="J4" s="670"/>
    </row>
    <row r="5" spans="1:10" ht="14.4" thickBot="1" x14ac:dyDescent="0.3">
      <c r="A5" s="666" t="s">
        <v>358</v>
      </c>
      <c r="B5" s="667"/>
      <c r="C5" s="666" t="s">
        <v>638</v>
      </c>
      <c r="D5" s="667"/>
      <c r="E5" s="666" t="s">
        <v>688</v>
      </c>
      <c r="F5" s="667"/>
      <c r="G5" s="668" t="s">
        <v>635</v>
      </c>
      <c r="H5" s="669"/>
      <c r="I5" s="669"/>
      <c r="J5" s="670"/>
    </row>
    <row r="6" spans="1:10" ht="14.4" thickBot="1" x14ac:dyDescent="0.3">
      <c r="A6" s="666" t="s">
        <v>292</v>
      </c>
      <c r="B6" s="667"/>
      <c r="C6" s="666" t="s">
        <v>607</v>
      </c>
      <c r="D6" s="667"/>
      <c r="E6" s="666" t="s">
        <v>687</v>
      </c>
      <c r="F6" s="667"/>
      <c r="G6" s="666" t="s">
        <v>605</v>
      </c>
      <c r="H6" s="671"/>
      <c r="I6" s="671"/>
      <c r="J6" s="667"/>
    </row>
    <row r="7" spans="1:10" ht="14.4" thickBot="1" x14ac:dyDescent="0.3"/>
    <row r="8" spans="1:10" ht="15.6" thickBot="1" x14ac:dyDescent="0.3">
      <c r="A8" s="661" t="s">
        <v>532</v>
      </c>
      <c r="B8" s="662"/>
      <c r="C8" s="661" t="s">
        <v>603</v>
      </c>
      <c r="D8" s="663"/>
      <c r="E8" s="664" t="s">
        <v>52</v>
      </c>
      <c r="F8" s="662"/>
      <c r="G8" s="661" t="s">
        <v>604</v>
      </c>
      <c r="H8" s="665"/>
      <c r="I8" s="665"/>
      <c r="J8" s="662"/>
    </row>
    <row r="9" spans="1:10" ht="14.4" thickBot="1" x14ac:dyDescent="0.3">
      <c r="A9" s="666" t="s">
        <v>363</v>
      </c>
      <c r="B9" s="667"/>
      <c r="C9" s="666" t="s">
        <v>638</v>
      </c>
      <c r="D9" s="667"/>
      <c r="E9" s="666" t="s">
        <v>688</v>
      </c>
      <c r="F9" s="667"/>
      <c r="G9" s="668" t="s">
        <v>635</v>
      </c>
      <c r="H9" s="669"/>
      <c r="I9" s="669"/>
      <c r="J9" s="670"/>
    </row>
    <row r="10" spans="1:10" ht="14.4" thickBot="1" x14ac:dyDescent="0.3">
      <c r="A10" s="666" t="s">
        <v>358</v>
      </c>
      <c r="B10" s="667"/>
      <c r="C10" s="666" t="s">
        <v>638</v>
      </c>
      <c r="D10" s="667"/>
      <c r="E10" s="666" t="s">
        <v>688</v>
      </c>
      <c r="F10" s="667"/>
      <c r="G10" s="668" t="s">
        <v>635</v>
      </c>
      <c r="H10" s="669"/>
      <c r="I10" s="669"/>
      <c r="J10" s="670"/>
    </row>
    <row r="11" spans="1:10" ht="14.4" thickBot="1" x14ac:dyDescent="0.3">
      <c r="A11" s="666" t="s">
        <v>292</v>
      </c>
      <c r="B11" s="667"/>
      <c r="C11" s="666" t="s">
        <v>607</v>
      </c>
      <c r="D11" s="667"/>
      <c r="E11" s="666" t="s">
        <v>687</v>
      </c>
      <c r="F11" s="667"/>
      <c r="G11" s="666" t="s">
        <v>605</v>
      </c>
      <c r="H11" s="671"/>
      <c r="I11" s="671"/>
      <c r="J11" s="667"/>
    </row>
    <row r="12" spans="1:10" ht="14.4" thickBot="1" x14ac:dyDescent="0.3"/>
    <row r="13" spans="1:10" ht="15.6" thickBot="1" x14ac:dyDescent="0.3">
      <c r="A13" s="661" t="s">
        <v>533</v>
      </c>
      <c r="B13" s="662"/>
      <c r="C13" s="661" t="s">
        <v>603</v>
      </c>
      <c r="D13" s="663"/>
      <c r="E13" s="664" t="s">
        <v>52</v>
      </c>
      <c r="F13" s="662"/>
      <c r="G13" s="661" t="s">
        <v>604</v>
      </c>
      <c r="H13" s="665"/>
      <c r="I13" s="665"/>
      <c r="J13" s="662"/>
    </row>
    <row r="14" spans="1:10" ht="14.4" thickBot="1" x14ac:dyDescent="0.3">
      <c r="A14" s="666" t="s">
        <v>363</v>
      </c>
      <c r="B14" s="667"/>
      <c r="C14" s="666" t="s">
        <v>638</v>
      </c>
      <c r="D14" s="667"/>
      <c r="E14" s="666" t="s">
        <v>688</v>
      </c>
      <c r="F14" s="667"/>
      <c r="G14" s="668" t="s">
        <v>635</v>
      </c>
      <c r="H14" s="669"/>
      <c r="I14" s="669"/>
      <c r="J14" s="670"/>
    </row>
    <row r="15" spans="1:10" ht="14.4" thickBot="1" x14ac:dyDescent="0.3">
      <c r="A15" s="666" t="s">
        <v>358</v>
      </c>
      <c r="B15" s="667"/>
      <c r="C15" s="666" t="s">
        <v>638</v>
      </c>
      <c r="D15" s="667"/>
      <c r="E15" s="666" t="s">
        <v>688</v>
      </c>
      <c r="F15" s="667"/>
      <c r="G15" s="668" t="s">
        <v>635</v>
      </c>
      <c r="H15" s="669"/>
      <c r="I15" s="669"/>
      <c r="J15" s="670"/>
    </row>
    <row r="16" spans="1:10" ht="14.4" thickBot="1" x14ac:dyDescent="0.3">
      <c r="A16" s="666" t="s">
        <v>292</v>
      </c>
      <c r="B16" s="667"/>
      <c r="C16" s="666" t="s">
        <v>607</v>
      </c>
      <c r="D16" s="667"/>
      <c r="E16" s="666" t="s">
        <v>687</v>
      </c>
      <c r="F16" s="667"/>
      <c r="G16" s="666" t="s">
        <v>605</v>
      </c>
      <c r="H16" s="671"/>
      <c r="I16" s="671"/>
      <c r="J16" s="667"/>
    </row>
    <row r="17" spans="1:10" ht="14.4" thickBot="1" x14ac:dyDescent="0.3"/>
    <row r="18" spans="1:10" ht="15.6" thickBot="1" x14ac:dyDescent="0.3">
      <c r="A18" s="661" t="s">
        <v>534</v>
      </c>
      <c r="B18" s="662"/>
      <c r="C18" s="661" t="s">
        <v>603</v>
      </c>
      <c r="D18" s="663"/>
      <c r="E18" s="664" t="s">
        <v>52</v>
      </c>
      <c r="F18" s="662"/>
      <c r="G18" s="661" t="s">
        <v>604</v>
      </c>
      <c r="H18" s="665"/>
      <c r="I18" s="665"/>
      <c r="J18" s="662"/>
    </row>
    <row r="19" spans="1:10" ht="14.4" thickBot="1" x14ac:dyDescent="0.3">
      <c r="A19" s="666" t="s">
        <v>363</v>
      </c>
      <c r="B19" s="667"/>
      <c r="C19" s="666" t="s">
        <v>638</v>
      </c>
      <c r="D19" s="667"/>
      <c r="E19" s="666" t="s">
        <v>633</v>
      </c>
      <c r="F19" s="667"/>
      <c r="G19" s="668" t="s">
        <v>635</v>
      </c>
      <c r="H19" s="669"/>
      <c r="I19" s="669"/>
      <c r="J19" s="670"/>
    </row>
    <row r="20" spans="1:10" ht="14.4" thickBot="1" x14ac:dyDescent="0.3">
      <c r="A20" s="666" t="s">
        <v>358</v>
      </c>
      <c r="B20" s="667"/>
      <c r="C20" s="666" t="s">
        <v>638</v>
      </c>
      <c r="D20" s="667"/>
      <c r="E20" s="666" t="s">
        <v>633</v>
      </c>
      <c r="F20" s="667"/>
      <c r="G20" s="668" t="s">
        <v>635</v>
      </c>
      <c r="H20" s="669"/>
      <c r="I20" s="669"/>
      <c r="J20" s="670"/>
    </row>
    <row r="21" spans="1:10" ht="14.4" thickBot="1" x14ac:dyDescent="0.3">
      <c r="A21" s="666" t="s">
        <v>292</v>
      </c>
      <c r="B21" s="667"/>
      <c r="C21" s="666" t="s">
        <v>607</v>
      </c>
      <c r="D21" s="667"/>
      <c r="E21" s="666" t="s">
        <v>634</v>
      </c>
      <c r="F21" s="667"/>
      <c r="G21" s="666" t="s">
        <v>605</v>
      </c>
      <c r="H21" s="671"/>
      <c r="I21" s="671"/>
      <c r="J21" s="667"/>
    </row>
    <row r="22" spans="1:10" ht="14.4" thickBot="1" x14ac:dyDescent="0.3"/>
    <row r="23" spans="1:10" ht="15.6" thickBot="1" x14ac:dyDescent="0.3">
      <c r="A23" s="661" t="s">
        <v>8</v>
      </c>
      <c r="B23" s="662"/>
      <c r="C23" s="661" t="s">
        <v>603</v>
      </c>
      <c r="D23" s="663"/>
      <c r="E23" s="664" t="s">
        <v>52</v>
      </c>
      <c r="F23" s="662"/>
      <c r="G23" s="661" t="s">
        <v>604</v>
      </c>
      <c r="H23" s="665"/>
      <c r="I23" s="665"/>
      <c r="J23" s="662"/>
    </row>
    <row r="24" spans="1:10" ht="14.4" thickBot="1" x14ac:dyDescent="0.3">
      <c r="A24" s="666" t="s">
        <v>363</v>
      </c>
      <c r="B24" s="667"/>
      <c r="C24" s="666" t="s">
        <v>638</v>
      </c>
      <c r="D24" s="667"/>
      <c r="E24" s="666" t="s">
        <v>688</v>
      </c>
      <c r="F24" s="667"/>
      <c r="G24" s="668" t="s">
        <v>636</v>
      </c>
      <c r="H24" s="669"/>
      <c r="I24" s="669"/>
      <c r="J24" s="670"/>
    </row>
    <row r="25" spans="1:10" ht="14.4" thickBot="1" x14ac:dyDescent="0.3">
      <c r="A25" s="666" t="s">
        <v>358</v>
      </c>
      <c r="B25" s="667"/>
      <c r="C25" s="666" t="s">
        <v>638</v>
      </c>
      <c r="D25" s="667"/>
      <c r="E25" s="666" t="s">
        <v>688</v>
      </c>
      <c r="F25" s="667"/>
      <c r="G25" s="668" t="s">
        <v>636</v>
      </c>
      <c r="H25" s="669"/>
      <c r="I25" s="669"/>
      <c r="J25" s="670"/>
    </row>
    <row r="26" spans="1:10" ht="14.4" thickBot="1" x14ac:dyDescent="0.3">
      <c r="A26" s="666" t="s">
        <v>292</v>
      </c>
      <c r="B26" s="667"/>
      <c r="C26" s="666" t="s">
        <v>607</v>
      </c>
      <c r="D26" s="667"/>
      <c r="E26" s="666" t="s">
        <v>687</v>
      </c>
      <c r="F26" s="667"/>
      <c r="G26" s="666" t="s">
        <v>608</v>
      </c>
      <c r="H26" s="671"/>
      <c r="I26" s="671"/>
      <c r="J26" s="667"/>
    </row>
    <row r="27" spans="1:10" ht="14.4" thickBot="1" x14ac:dyDescent="0.3"/>
    <row r="28" spans="1:10" ht="15.6" thickBot="1" x14ac:dyDescent="0.3">
      <c r="A28" s="661" t="s">
        <v>21</v>
      </c>
      <c r="B28" s="662"/>
      <c r="C28" s="661" t="s">
        <v>603</v>
      </c>
      <c r="D28" s="663"/>
      <c r="E28" s="664" t="s">
        <v>52</v>
      </c>
      <c r="F28" s="662"/>
      <c r="G28" s="661" t="s">
        <v>604</v>
      </c>
      <c r="H28" s="665"/>
      <c r="I28" s="665"/>
      <c r="J28" s="662"/>
    </row>
    <row r="29" spans="1:10" ht="14.4" thickBot="1" x14ac:dyDescent="0.3">
      <c r="A29" s="666" t="s">
        <v>363</v>
      </c>
      <c r="B29" s="667"/>
      <c r="C29" s="666" t="s">
        <v>638</v>
      </c>
      <c r="D29" s="667"/>
      <c r="E29" s="666" t="s">
        <v>688</v>
      </c>
      <c r="F29" s="667"/>
      <c r="G29" s="668" t="s">
        <v>637</v>
      </c>
      <c r="H29" s="669"/>
      <c r="I29" s="669"/>
      <c r="J29" s="670"/>
    </row>
    <row r="30" spans="1:10" ht="14.4" thickBot="1" x14ac:dyDescent="0.3">
      <c r="A30" s="666" t="s">
        <v>358</v>
      </c>
      <c r="B30" s="667"/>
      <c r="C30" s="666" t="s">
        <v>638</v>
      </c>
      <c r="D30" s="667"/>
      <c r="E30" s="666" t="s">
        <v>688</v>
      </c>
      <c r="F30" s="667"/>
      <c r="G30" s="668" t="s">
        <v>637</v>
      </c>
      <c r="H30" s="669"/>
      <c r="I30" s="669"/>
      <c r="J30" s="670"/>
    </row>
    <row r="31" spans="1:10" ht="14.4" thickBot="1" x14ac:dyDescent="0.3">
      <c r="A31" s="666" t="s">
        <v>292</v>
      </c>
      <c r="B31" s="667"/>
      <c r="C31" s="666" t="s">
        <v>607</v>
      </c>
      <c r="D31" s="667"/>
      <c r="E31" s="666" t="s">
        <v>687</v>
      </c>
      <c r="F31" s="667"/>
      <c r="G31" s="666" t="s">
        <v>608</v>
      </c>
      <c r="H31" s="671"/>
      <c r="I31" s="671"/>
      <c r="J31" s="667"/>
    </row>
    <row r="32" spans="1:10" ht="14.4" thickBot="1" x14ac:dyDescent="0.3"/>
    <row r="33" spans="1:11" ht="15.6" thickBot="1" x14ac:dyDescent="0.3">
      <c r="A33" s="661" t="s">
        <v>22</v>
      </c>
      <c r="B33" s="662"/>
      <c r="C33" s="661" t="s">
        <v>603</v>
      </c>
      <c r="D33" s="663"/>
      <c r="E33" s="664" t="s">
        <v>52</v>
      </c>
      <c r="F33" s="662"/>
      <c r="G33" s="661" t="s">
        <v>604</v>
      </c>
      <c r="H33" s="665"/>
      <c r="I33" s="665"/>
      <c r="J33" s="662"/>
    </row>
    <row r="34" spans="1:11" ht="14.4" thickBot="1" x14ac:dyDescent="0.3">
      <c r="A34" s="666" t="s">
        <v>363</v>
      </c>
      <c r="B34" s="667"/>
      <c r="C34" s="666" t="s">
        <v>638</v>
      </c>
      <c r="D34" s="667"/>
      <c r="E34" s="666" t="s">
        <v>688</v>
      </c>
      <c r="F34" s="667"/>
      <c r="G34" s="668" t="s">
        <v>636</v>
      </c>
      <c r="H34" s="669"/>
      <c r="I34" s="669"/>
      <c r="J34" s="670"/>
    </row>
    <row r="35" spans="1:11" ht="14.4" thickBot="1" x14ac:dyDescent="0.3">
      <c r="A35" s="666" t="s">
        <v>358</v>
      </c>
      <c r="B35" s="667"/>
      <c r="C35" s="666" t="s">
        <v>638</v>
      </c>
      <c r="D35" s="667"/>
      <c r="E35" s="666" t="s">
        <v>688</v>
      </c>
      <c r="F35" s="667"/>
      <c r="G35" s="668" t="s">
        <v>636</v>
      </c>
      <c r="H35" s="669"/>
      <c r="I35" s="669"/>
      <c r="J35" s="670"/>
    </row>
    <row r="36" spans="1:11" ht="14.4" thickBot="1" x14ac:dyDescent="0.3">
      <c r="A36" s="666" t="s">
        <v>292</v>
      </c>
      <c r="B36" s="667"/>
      <c r="C36" s="666" t="s">
        <v>607</v>
      </c>
      <c r="D36" s="667"/>
      <c r="E36" s="666" t="s">
        <v>687</v>
      </c>
      <c r="F36" s="667"/>
      <c r="G36" s="666" t="s">
        <v>608</v>
      </c>
      <c r="H36" s="671"/>
      <c r="I36" s="671"/>
      <c r="J36" s="667"/>
    </row>
    <row r="38" spans="1:11" ht="15" x14ac:dyDescent="0.25">
      <c r="A38" s="660" t="s">
        <v>609</v>
      </c>
      <c r="B38" s="660"/>
      <c r="C38" s="660"/>
      <c r="D38" s="660"/>
      <c r="E38" s="660"/>
      <c r="F38" s="660"/>
      <c r="G38" s="660"/>
      <c r="H38" s="660"/>
      <c r="I38" s="660"/>
      <c r="J38" s="660"/>
      <c r="K38" s="660"/>
    </row>
    <row r="39" spans="1:11" ht="14.4" thickBot="1" x14ac:dyDescent="0.3"/>
    <row r="40" spans="1:11" ht="14.4" thickBot="1" x14ac:dyDescent="0.3">
      <c r="A40" s="664" t="s">
        <v>369</v>
      </c>
      <c r="B40" s="662"/>
      <c r="C40" s="664" t="s">
        <v>610</v>
      </c>
      <c r="D40" s="662"/>
      <c r="E40" s="664" t="s">
        <v>611</v>
      </c>
      <c r="F40" s="662"/>
      <c r="G40" s="664" t="s">
        <v>612</v>
      </c>
      <c r="H40" s="665"/>
      <c r="I40" s="665"/>
      <c r="J40" s="662"/>
    </row>
    <row r="41" spans="1:11" ht="14.4" thickBot="1" x14ac:dyDescent="0.3">
      <c r="A41" s="666" t="s">
        <v>613</v>
      </c>
      <c r="B41" s="667"/>
      <c r="C41" s="666" t="s">
        <v>616</v>
      </c>
      <c r="D41" s="667"/>
      <c r="E41" s="666" t="s">
        <v>617</v>
      </c>
      <c r="F41" s="667"/>
      <c r="G41" s="666" t="s">
        <v>614</v>
      </c>
      <c r="H41" s="671"/>
      <c r="I41" s="671"/>
      <c r="J41" s="667"/>
    </row>
    <row r="42" spans="1:11" ht="14.4" thickBot="1" x14ac:dyDescent="0.3">
      <c r="A42" s="666" t="s">
        <v>615</v>
      </c>
      <c r="B42" s="667"/>
      <c r="C42" s="666" t="s">
        <v>616</v>
      </c>
      <c r="D42" s="667"/>
      <c r="E42" s="666" t="s">
        <v>617</v>
      </c>
      <c r="F42" s="667"/>
      <c r="G42" s="666" t="s">
        <v>614</v>
      </c>
      <c r="H42" s="671"/>
      <c r="I42" s="671"/>
      <c r="J42" s="667"/>
    </row>
    <row r="43" spans="1:11" ht="14.4" thickBot="1" x14ac:dyDescent="0.3"/>
    <row r="44" spans="1:11" ht="14.4" thickBot="1" x14ac:dyDescent="0.3">
      <c r="A44" s="664" t="s">
        <v>358</v>
      </c>
      <c r="B44" s="662"/>
      <c r="C44" s="664" t="s">
        <v>610</v>
      </c>
      <c r="D44" s="662"/>
      <c r="E44" s="664" t="s">
        <v>611</v>
      </c>
      <c r="F44" s="662"/>
      <c r="G44" s="664" t="s">
        <v>612</v>
      </c>
      <c r="H44" s="665"/>
      <c r="I44" s="665"/>
      <c r="J44" s="662"/>
    </row>
    <row r="45" spans="1:11" ht="14.4" thickBot="1" x14ac:dyDescent="0.3">
      <c r="A45" s="666" t="s">
        <v>613</v>
      </c>
      <c r="B45" s="667"/>
      <c r="C45" s="666" t="s">
        <v>616</v>
      </c>
      <c r="D45" s="667"/>
      <c r="E45" s="666" t="s">
        <v>617</v>
      </c>
      <c r="F45" s="667"/>
      <c r="G45" s="666" t="s">
        <v>614</v>
      </c>
      <c r="H45" s="671"/>
      <c r="I45" s="671"/>
      <c r="J45" s="667"/>
    </row>
    <row r="46" spans="1:11" ht="14.4" thickBot="1" x14ac:dyDescent="0.3">
      <c r="A46" s="666" t="s">
        <v>615</v>
      </c>
      <c r="B46" s="667"/>
      <c r="C46" s="666" t="s">
        <v>616</v>
      </c>
      <c r="D46" s="667"/>
      <c r="E46" s="666" t="s">
        <v>617</v>
      </c>
      <c r="F46" s="667"/>
      <c r="G46" s="666" t="s">
        <v>614</v>
      </c>
      <c r="H46" s="671"/>
      <c r="I46" s="671"/>
      <c r="J46" s="667"/>
    </row>
  </sheetData>
  <mergeCells count="138">
    <mergeCell ref="A6:B6"/>
    <mergeCell ref="C6:D6"/>
    <mergeCell ref="E6:F6"/>
    <mergeCell ref="G6:J6"/>
    <mergeCell ref="A1:J1"/>
    <mergeCell ref="A8:B8"/>
    <mergeCell ref="C8:D8"/>
    <mergeCell ref="E8:F8"/>
    <mergeCell ref="G8:J8"/>
    <mergeCell ref="A4:B4"/>
    <mergeCell ref="C4:D4"/>
    <mergeCell ref="E4:F4"/>
    <mergeCell ref="G4:J4"/>
    <mergeCell ref="A5:B5"/>
    <mergeCell ref="C5:D5"/>
    <mergeCell ref="E5:F5"/>
    <mergeCell ref="G5:J5"/>
    <mergeCell ref="A3:B3"/>
    <mergeCell ref="C3:D3"/>
    <mergeCell ref="E3:F3"/>
    <mergeCell ref="G3:J3"/>
    <mergeCell ref="A11:B11"/>
    <mergeCell ref="C11:D11"/>
    <mergeCell ref="E11:F11"/>
    <mergeCell ref="G11:J11"/>
    <mergeCell ref="A13:B13"/>
    <mergeCell ref="C13:D13"/>
    <mergeCell ref="E13:F13"/>
    <mergeCell ref="G13:J13"/>
    <mergeCell ref="A9:B9"/>
    <mergeCell ref="C9:D9"/>
    <mergeCell ref="E9:F9"/>
    <mergeCell ref="G9:J9"/>
    <mergeCell ref="A10:B10"/>
    <mergeCell ref="C10:D10"/>
    <mergeCell ref="E10:F10"/>
    <mergeCell ref="G10:J10"/>
    <mergeCell ref="A16:B16"/>
    <mergeCell ref="C16:D16"/>
    <mergeCell ref="E16:F16"/>
    <mergeCell ref="G16:J16"/>
    <mergeCell ref="A18:B18"/>
    <mergeCell ref="C18:D18"/>
    <mergeCell ref="E18:F18"/>
    <mergeCell ref="G18:J18"/>
    <mergeCell ref="A14:B14"/>
    <mergeCell ref="C14:D14"/>
    <mergeCell ref="E14:F14"/>
    <mergeCell ref="G14:J14"/>
    <mergeCell ref="A15:B15"/>
    <mergeCell ref="C15:D15"/>
    <mergeCell ref="E15:F15"/>
    <mergeCell ref="G15:J15"/>
    <mergeCell ref="A21:B21"/>
    <mergeCell ref="C21:D21"/>
    <mergeCell ref="E21:F21"/>
    <mergeCell ref="G21:J21"/>
    <mergeCell ref="A23:B23"/>
    <mergeCell ref="C23:D23"/>
    <mergeCell ref="E23:F23"/>
    <mergeCell ref="G23:J23"/>
    <mergeCell ref="A19:B19"/>
    <mergeCell ref="C19:D19"/>
    <mergeCell ref="E19:F19"/>
    <mergeCell ref="G19:J19"/>
    <mergeCell ref="A20:B20"/>
    <mergeCell ref="C20:D20"/>
    <mergeCell ref="E20:F20"/>
    <mergeCell ref="G20:J20"/>
    <mergeCell ref="A26:B26"/>
    <mergeCell ref="C26:D26"/>
    <mergeCell ref="E26:F26"/>
    <mergeCell ref="G26:J26"/>
    <mergeCell ref="A28:B28"/>
    <mergeCell ref="C28:D28"/>
    <mergeCell ref="E28:F28"/>
    <mergeCell ref="G28:J28"/>
    <mergeCell ref="A24:B24"/>
    <mergeCell ref="C24:D24"/>
    <mergeCell ref="E24:F24"/>
    <mergeCell ref="G24:J24"/>
    <mergeCell ref="A25:B25"/>
    <mergeCell ref="C25:D25"/>
    <mergeCell ref="E25:F25"/>
    <mergeCell ref="G25:J25"/>
    <mergeCell ref="A31:B31"/>
    <mergeCell ref="C31:D31"/>
    <mergeCell ref="E31:F31"/>
    <mergeCell ref="G31:J31"/>
    <mergeCell ref="A33:B33"/>
    <mergeCell ref="C33:D33"/>
    <mergeCell ref="E33:F33"/>
    <mergeCell ref="G33:J33"/>
    <mergeCell ref="A29:B29"/>
    <mergeCell ref="C29:D29"/>
    <mergeCell ref="E29:F29"/>
    <mergeCell ref="G29:J29"/>
    <mergeCell ref="A30:B30"/>
    <mergeCell ref="C30:D30"/>
    <mergeCell ref="E30:F30"/>
    <mergeCell ref="G30:J30"/>
    <mergeCell ref="A36:B36"/>
    <mergeCell ref="C36:D36"/>
    <mergeCell ref="E36:F36"/>
    <mergeCell ref="G36:J36"/>
    <mergeCell ref="A40:B40"/>
    <mergeCell ref="C40:D40"/>
    <mergeCell ref="G40:J40"/>
    <mergeCell ref="A41:B41"/>
    <mergeCell ref="A34:B34"/>
    <mergeCell ref="C34:D34"/>
    <mergeCell ref="E34:F34"/>
    <mergeCell ref="G34:J34"/>
    <mergeCell ref="A35:B35"/>
    <mergeCell ref="C35:D35"/>
    <mergeCell ref="E35:F35"/>
    <mergeCell ref="G35:J35"/>
    <mergeCell ref="E46:F46"/>
    <mergeCell ref="A46:B46"/>
    <mergeCell ref="C46:D46"/>
    <mergeCell ref="G46:J46"/>
    <mergeCell ref="A38:K38"/>
    <mergeCell ref="E40:F40"/>
    <mergeCell ref="E41:F41"/>
    <mergeCell ref="E42:F42"/>
    <mergeCell ref="E44:F44"/>
    <mergeCell ref="A44:B44"/>
    <mergeCell ref="C44:D44"/>
    <mergeCell ref="G44:J44"/>
    <mergeCell ref="A45:B45"/>
    <mergeCell ref="C45:D45"/>
    <mergeCell ref="G45:J45"/>
    <mergeCell ref="E45:F45"/>
    <mergeCell ref="C41:D41"/>
    <mergeCell ref="G41:J41"/>
    <mergeCell ref="A42:B42"/>
    <mergeCell ref="C42:D42"/>
    <mergeCell ref="G42:J42"/>
  </mergeCells>
  <printOptions horizontalCentered="1"/>
  <pageMargins left="0.7" right="0.7" top="0.75" bottom="0.75" header="0.3" footer="0.3"/>
  <pageSetup paperSize="9" scale="6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S51"/>
  <sheetViews>
    <sheetView zoomScale="70" zoomScaleNormal="70" workbookViewId="0">
      <selection activeCell="A51" sqref="A51:I51"/>
    </sheetView>
  </sheetViews>
  <sheetFormatPr defaultRowHeight="14.4" x14ac:dyDescent="0.3"/>
  <cols>
    <col min="1" max="1" width="13.5546875" customWidth="1"/>
    <col min="2" max="2" width="11.6640625" customWidth="1"/>
    <col min="10" max="10" width="8.88671875" style="637"/>
    <col min="11" max="11" width="12.88671875" customWidth="1"/>
    <col min="14" max="14" width="11.5546875" customWidth="1"/>
  </cols>
  <sheetData>
    <row r="1" spans="1:19" s="640" customFormat="1" ht="18" x14ac:dyDescent="0.35">
      <c r="A1" s="653" t="s">
        <v>619</v>
      </c>
      <c r="B1" s="653"/>
      <c r="C1" s="653"/>
      <c r="D1" s="653"/>
      <c r="E1" s="653"/>
      <c r="F1" s="653"/>
      <c r="G1" s="653"/>
      <c r="H1" s="653"/>
      <c r="I1" s="653"/>
      <c r="J1" s="652"/>
      <c r="K1" s="653" t="s">
        <v>619</v>
      </c>
      <c r="L1" s="653"/>
      <c r="M1" s="653"/>
      <c r="N1" s="653"/>
      <c r="O1" s="653"/>
      <c r="P1" s="653"/>
      <c r="Q1" s="653"/>
      <c r="R1" s="653"/>
      <c r="S1" s="653"/>
    </row>
    <row r="2" spans="1:19" ht="15" thickBot="1" x14ac:dyDescent="0.35">
      <c r="J2" s="640"/>
    </row>
    <row r="3" spans="1:19" x14ac:dyDescent="0.3">
      <c r="A3" s="654" t="s">
        <v>655</v>
      </c>
      <c r="B3" s="655"/>
      <c r="C3" s="655"/>
      <c r="D3" s="655"/>
      <c r="E3" s="655"/>
      <c r="F3" s="655"/>
      <c r="G3" s="655"/>
      <c r="H3" s="655"/>
      <c r="I3" s="656"/>
      <c r="J3" s="641"/>
      <c r="K3" s="654" t="s">
        <v>677</v>
      </c>
      <c r="L3" s="655"/>
      <c r="M3" s="655"/>
      <c r="N3" s="655"/>
      <c r="O3" s="655"/>
      <c r="P3" s="655"/>
      <c r="Q3" s="655"/>
      <c r="R3" s="655"/>
      <c r="S3" s="656"/>
    </row>
    <row r="4" spans="1:19" x14ac:dyDescent="0.3">
      <c r="A4" s="562" t="s">
        <v>628</v>
      </c>
      <c r="B4" s="642"/>
      <c r="C4" s="643" t="s">
        <v>629</v>
      </c>
      <c r="D4" s="622"/>
      <c r="E4" s="644"/>
      <c r="F4" s="645" t="s">
        <v>631</v>
      </c>
      <c r="G4" s="622"/>
      <c r="H4" s="622"/>
      <c r="I4" s="225"/>
      <c r="J4" s="638"/>
      <c r="K4" s="562" t="s">
        <v>664</v>
      </c>
      <c r="L4" s="642"/>
      <c r="M4" s="643">
        <v>2800</v>
      </c>
      <c r="N4" s="622" t="s">
        <v>43</v>
      </c>
      <c r="O4" s="644"/>
      <c r="P4" s="645"/>
      <c r="Q4" s="649" t="s">
        <v>672</v>
      </c>
      <c r="R4" s="649"/>
      <c r="S4" s="225"/>
    </row>
    <row r="5" spans="1:19" ht="18.75" customHeight="1" x14ac:dyDescent="0.3">
      <c r="A5" s="279"/>
      <c r="B5" s="646" t="s">
        <v>625</v>
      </c>
      <c r="C5" s="390">
        <v>10</v>
      </c>
      <c r="D5" s="643" t="s">
        <v>624</v>
      </c>
      <c r="E5" s="644"/>
      <c r="F5" s="647"/>
      <c r="G5" s="644"/>
      <c r="H5" s="644"/>
      <c r="I5" s="225"/>
      <c r="J5" s="638"/>
      <c r="K5" s="562" t="s">
        <v>665</v>
      </c>
      <c r="L5" s="642"/>
      <c r="M5" s="642"/>
      <c r="N5" s="643"/>
      <c r="O5" s="644"/>
      <c r="P5" s="647"/>
      <c r="Q5" s="644"/>
      <c r="R5" s="644"/>
      <c r="S5" s="225"/>
    </row>
    <row r="6" spans="1:19" x14ac:dyDescent="0.3">
      <c r="A6" s="279"/>
      <c r="B6" s="647" t="s">
        <v>620</v>
      </c>
      <c r="C6" s="648" t="s">
        <v>32</v>
      </c>
      <c r="D6" s="644">
        <v>85</v>
      </c>
      <c r="E6" s="643" t="s">
        <v>43</v>
      </c>
      <c r="F6" s="643" t="s">
        <v>627</v>
      </c>
      <c r="G6" s="644">
        <v>170</v>
      </c>
      <c r="H6" s="644" t="s">
        <v>43</v>
      </c>
      <c r="I6" s="225"/>
      <c r="J6" s="638"/>
      <c r="K6" s="603" t="s">
        <v>666</v>
      </c>
      <c r="L6" s="650"/>
      <c r="M6" s="650"/>
      <c r="N6" s="396">
        <v>300</v>
      </c>
      <c r="O6" s="643" t="s">
        <v>43</v>
      </c>
      <c r="P6" s="643"/>
      <c r="Q6" s="644"/>
      <c r="R6" s="644"/>
      <c r="S6" s="225"/>
    </row>
    <row r="7" spans="1:19" x14ac:dyDescent="0.3">
      <c r="A7" s="279"/>
      <c r="B7" s="647" t="s">
        <v>686</v>
      </c>
      <c r="C7" s="648" t="s">
        <v>32</v>
      </c>
      <c r="D7" s="644">
        <f>6*20</f>
        <v>120</v>
      </c>
      <c r="E7" s="643" t="s">
        <v>43</v>
      </c>
      <c r="F7" s="643"/>
      <c r="G7" s="644"/>
      <c r="H7" s="644"/>
      <c r="I7" s="225"/>
      <c r="J7" s="638"/>
      <c r="K7" s="279"/>
      <c r="L7" s="622"/>
      <c r="M7" s="644" t="s">
        <v>667</v>
      </c>
      <c r="N7" s="402">
        <f>M4/6</f>
        <v>466.66666666666669</v>
      </c>
      <c r="O7" s="643" t="s">
        <v>43</v>
      </c>
      <c r="P7" s="643"/>
      <c r="Q7" s="644"/>
      <c r="R7" s="644"/>
      <c r="S7" s="225" t="s">
        <v>672</v>
      </c>
    </row>
    <row r="8" spans="1:19" x14ac:dyDescent="0.3">
      <c r="A8" s="280"/>
      <c r="B8" s="647" t="s">
        <v>622</v>
      </c>
      <c r="C8" s="648" t="s">
        <v>32</v>
      </c>
      <c r="D8" s="644">
        <v>240</v>
      </c>
      <c r="E8" s="643" t="s">
        <v>43</v>
      </c>
      <c r="F8" s="643"/>
      <c r="G8" s="644"/>
      <c r="H8" s="644"/>
      <c r="I8" s="225"/>
      <c r="J8" s="638"/>
      <c r="K8" s="280"/>
      <c r="L8" s="647"/>
      <c r="M8" s="644" t="s">
        <v>668</v>
      </c>
      <c r="N8" s="403">
        <v>450</v>
      </c>
      <c r="O8" s="643" t="s">
        <v>43</v>
      </c>
      <c r="P8" s="643"/>
      <c r="Q8" s="644"/>
      <c r="R8" s="644"/>
      <c r="S8" s="4" t="s">
        <v>673</v>
      </c>
    </row>
    <row r="9" spans="1:19" x14ac:dyDescent="0.3">
      <c r="A9" s="280"/>
      <c r="B9" s="647" t="s">
        <v>623</v>
      </c>
      <c r="C9" s="648" t="s">
        <v>32</v>
      </c>
      <c r="D9" s="644">
        <v>300</v>
      </c>
      <c r="E9" s="643" t="s">
        <v>43</v>
      </c>
      <c r="F9" s="643"/>
      <c r="G9" s="644"/>
      <c r="H9" s="644"/>
      <c r="I9" s="225"/>
      <c r="J9" s="638"/>
      <c r="K9" s="280"/>
      <c r="L9" s="647"/>
      <c r="M9" s="648"/>
      <c r="N9" s="644"/>
      <c r="O9" s="643"/>
      <c r="P9" s="643"/>
      <c r="Q9" s="644"/>
      <c r="R9" s="644"/>
      <c r="S9" s="225" t="s">
        <v>674</v>
      </c>
    </row>
    <row r="10" spans="1:19" x14ac:dyDescent="0.3">
      <c r="A10" s="280"/>
      <c r="B10" s="647"/>
      <c r="C10" s="648" t="s">
        <v>626</v>
      </c>
      <c r="D10" s="250">
        <f>MIN(D6:D9)</f>
        <v>85</v>
      </c>
      <c r="E10" s="647" t="s">
        <v>43</v>
      </c>
      <c r="F10" s="643"/>
      <c r="G10" s="644"/>
      <c r="H10" s="644"/>
      <c r="I10" s="225"/>
      <c r="J10" s="638"/>
      <c r="K10" s="280"/>
      <c r="L10" s="647"/>
      <c r="M10" s="648"/>
      <c r="N10" s="644" t="s">
        <v>669</v>
      </c>
      <c r="O10" s="404">
        <f>CEILING(N7,10)</f>
        <v>470</v>
      </c>
      <c r="P10" s="643" t="s">
        <v>43</v>
      </c>
      <c r="Q10" s="644"/>
      <c r="R10" s="644"/>
      <c r="S10" s="225"/>
    </row>
    <row r="11" spans="1:19" ht="15" thickBot="1" x14ac:dyDescent="0.35">
      <c r="A11" s="657" t="s">
        <v>651</v>
      </c>
      <c r="B11" s="658"/>
      <c r="C11" s="658"/>
      <c r="D11" s="658"/>
      <c r="E11" s="658"/>
      <c r="F11" s="658"/>
      <c r="G11" s="658"/>
      <c r="H11" s="658"/>
      <c r="I11" s="659"/>
      <c r="J11" s="639"/>
      <c r="K11" s="406"/>
      <c r="L11" s="622"/>
      <c r="M11" s="622"/>
      <c r="N11" s="622"/>
      <c r="O11" s="622"/>
      <c r="P11" s="622"/>
      <c r="Q11" s="622"/>
      <c r="R11" s="622"/>
      <c r="S11" s="4"/>
    </row>
    <row r="12" spans="1:19" ht="15" thickBot="1" x14ac:dyDescent="0.35">
      <c r="K12" s="602" t="s">
        <v>670</v>
      </c>
      <c r="L12" s="651"/>
      <c r="M12" s="651"/>
      <c r="N12" s="622"/>
      <c r="O12" s="622"/>
      <c r="P12" s="622"/>
      <c r="Q12" s="622"/>
      <c r="R12" s="622"/>
      <c r="S12" s="4"/>
    </row>
    <row r="13" spans="1:19" x14ac:dyDescent="0.3">
      <c r="A13" s="654" t="s">
        <v>656</v>
      </c>
      <c r="B13" s="655"/>
      <c r="C13" s="655"/>
      <c r="D13" s="655"/>
      <c r="E13" s="655"/>
      <c r="F13" s="655"/>
      <c r="G13" s="655"/>
      <c r="H13" s="655"/>
      <c r="I13" s="656"/>
      <c r="J13" s="639"/>
      <c r="K13" s="406"/>
      <c r="L13" s="649" t="s">
        <v>671</v>
      </c>
      <c r="M13" s="649"/>
      <c r="N13" s="649"/>
      <c r="O13" s="405">
        <f>0.25*300</f>
        <v>75</v>
      </c>
      <c r="P13" s="622" t="s">
        <v>43</v>
      </c>
      <c r="Q13" s="622"/>
      <c r="R13" s="622"/>
      <c r="S13" s="4"/>
    </row>
    <row r="14" spans="1:19" x14ac:dyDescent="0.3">
      <c r="A14" s="562" t="s">
        <v>628</v>
      </c>
      <c r="B14" s="541"/>
      <c r="C14" s="227" t="s">
        <v>629</v>
      </c>
      <c r="E14" s="20"/>
      <c r="F14" s="394" t="s">
        <v>631</v>
      </c>
      <c r="I14" s="225"/>
      <c r="J14" s="638"/>
      <c r="K14" s="406"/>
      <c r="L14" s="622"/>
      <c r="M14" s="622"/>
      <c r="N14" s="622" t="s">
        <v>675</v>
      </c>
      <c r="O14" s="378">
        <f>6*20</f>
        <v>120</v>
      </c>
      <c r="P14" s="622" t="s">
        <v>43</v>
      </c>
      <c r="Q14" s="622"/>
      <c r="R14" s="622"/>
      <c r="S14" s="4"/>
    </row>
    <row r="15" spans="1:19" x14ac:dyDescent="0.3">
      <c r="A15" s="279"/>
      <c r="B15" s="228" t="s">
        <v>625</v>
      </c>
      <c r="C15" s="390">
        <v>10</v>
      </c>
      <c r="D15" s="227" t="s">
        <v>624</v>
      </c>
      <c r="E15" s="20"/>
      <c r="F15" s="238"/>
      <c r="G15" s="20"/>
      <c r="H15" s="20"/>
      <c r="I15" s="225"/>
      <c r="J15" s="638"/>
      <c r="K15" s="406"/>
      <c r="L15" s="622"/>
      <c r="M15" s="622"/>
      <c r="N15" s="622"/>
      <c r="O15" s="622"/>
      <c r="P15" s="622"/>
      <c r="Q15" s="622"/>
      <c r="R15" s="622"/>
      <c r="S15" s="4"/>
    </row>
    <row r="16" spans="1:19" x14ac:dyDescent="0.3">
      <c r="A16" s="279"/>
      <c r="B16" s="238" t="s">
        <v>620</v>
      </c>
      <c r="C16" s="13" t="s">
        <v>32</v>
      </c>
      <c r="D16" s="20">
        <v>72.5</v>
      </c>
      <c r="E16" s="227" t="s">
        <v>43</v>
      </c>
      <c r="F16" s="227" t="s">
        <v>627</v>
      </c>
      <c r="G16" s="20">
        <v>145</v>
      </c>
      <c r="H16" s="20" t="s">
        <v>43</v>
      </c>
      <c r="I16" s="225"/>
      <c r="J16" s="638"/>
      <c r="K16" s="602" t="s">
        <v>676</v>
      </c>
      <c r="L16" s="651"/>
      <c r="M16" s="651"/>
      <c r="N16" s="622"/>
      <c r="O16" s="622"/>
      <c r="P16" s="622"/>
      <c r="Q16" s="622"/>
      <c r="R16" s="622"/>
      <c r="S16" s="4"/>
    </row>
    <row r="17" spans="1:19" x14ac:dyDescent="0.3">
      <c r="A17" s="279"/>
      <c r="B17" s="238" t="s">
        <v>686</v>
      </c>
      <c r="C17" s="13" t="s">
        <v>32</v>
      </c>
      <c r="D17" s="20">
        <f>6*20</f>
        <v>120</v>
      </c>
      <c r="E17" s="227" t="s">
        <v>43</v>
      </c>
      <c r="F17" s="227" t="s">
        <v>626</v>
      </c>
      <c r="G17" s="20">
        <v>140</v>
      </c>
      <c r="H17" s="20" t="s">
        <v>43</v>
      </c>
      <c r="I17" s="225"/>
      <c r="J17" s="638"/>
      <c r="K17" s="406"/>
      <c r="L17" s="622"/>
      <c r="M17" s="622"/>
      <c r="N17" s="622" t="s">
        <v>675</v>
      </c>
      <c r="O17" s="378">
        <f>6*20</f>
        <v>120</v>
      </c>
      <c r="P17" s="622" t="s">
        <v>43</v>
      </c>
      <c r="Q17" s="622"/>
      <c r="R17" s="622"/>
      <c r="S17" s="4"/>
    </row>
    <row r="18" spans="1:19" x14ac:dyDescent="0.3">
      <c r="A18" s="280"/>
      <c r="B18" s="238" t="s">
        <v>622</v>
      </c>
      <c r="C18" s="13" t="s">
        <v>32</v>
      </c>
      <c r="D18" s="20">
        <v>240</v>
      </c>
      <c r="E18" s="227" t="s">
        <v>43</v>
      </c>
      <c r="F18" s="227"/>
      <c r="G18" s="20"/>
      <c r="H18" s="20"/>
      <c r="I18" s="225"/>
      <c r="J18" s="638"/>
      <c r="K18" s="406"/>
      <c r="L18" s="622"/>
      <c r="M18" s="622"/>
      <c r="N18" s="622" t="s">
        <v>678</v>
      </c>
      <c r="O18" s="378">
        <v>150</v>
      </c>
      <c r="P18" s="622" t="s">
        <v>43</v>
      </c>
      <c r="Q18" s="622"/>
      <c r="R18" s="622"/>
      <c r="S18" s="4"/>
    </row>
    <row r="19" spans="1:19" x14ac:dyDescent="0.3">
      <c r="A19" s="280"/>
      <c r="B19" s="238" t="s">
        <v>623</v>
      </c>
      <c r="C19" s="13" t="s">
        <v>32</v>
      </c>
      <c r="D19" s="20">
        <v>300</v>
      </c>
      <c r="E19" s="227" t="s">
        <v>43</v>
      </c>
      <c r="F19" s="227"/>
      <c r="G19" s="20"/>
      <c r="H19" s="20"/>
      <c r="I19" s="225"/>
      <c r="J19" s="638"/>
      <c r="K19" s="406"/>
      <c r="L19" s="622"/>
      <c r="M19" s="622"/>
      <c r="N19" s="622"/>
      <c r="O19" s="622"/>
      <c r="P19" s="622"/>
      <c r="Q19" s="622"/>
      <c r="R19" s="622"/>
      <c r="S19" s="4"/>
    </row>
    <row r="20" spans="1:19" x14ac:dyDescent="0.3">
      <c r="A20" s="280"/>
      <c r="B20" s="238"/>
      <c r="C20" s="13" t="s">
        <v>626</v>
      </c>
      <c r="D20" s="250">
        <v>70</v>
      </c>
      <c r="E20" s="238" t="s">
        <v>43</v>
      </c>
      <c r="F20" s="227"/>
      <c r="G20" s="20"/>
      <c r="H20" s="20"/>
      <c r="I20" s="225"/>
      <c r="J20" s="638"/>
      <c r="K20" s="407" t="s">
        <v>679</v>
      </c>
      <c r="L20" s="622"/>
      <c r="M20" s="622"/>
      <c r="N20" s="622"/>
      <c r="O20" s="622"/>
      <c r="P20" s="622"/>
      <c r="Q20" s="622"/>
      <c r="R20" s="622"/>
      <c r="S20" s="4"/>
    </row>
    <row r="21" spans="1:19" ht="15" thickBot="1" x14ac:dyDescent="0.35">
      <c r="A21" s="657" t="s">
        <v>663</v>
      </c>
      <c r="B21" s="658"/>
      <c r="C21" s="658"/>
      <c r="D21" s="658"/>
      <c r="E21" s="658"/>
      <c r="F21" s="658"/>
      <c r="G21" s="658"/>
      <c r="H21" s="658"/>
      <c r="I21" s="659"/>
      <c r="J21" s="639"/>
      <c r="K21" s="406"/>
      <c r="L21" s="645" t="s">
        <v>680</v>
      </c>
      <c r="M21" s="645">
        <v>450</v>
      </c>
      <c r="N21" s="645" t="s">
        <v>43</v>
      </c>
      <c r="O21" s="622"/>
      <c r="P21" s="622"/>
      <c r="Q21" s="622"/>
      <c r="R21" s="622"/>
      <c r="S21" s="4"/>
    </row>
    <row r="22" spans="1:19" ht="15" thickBot="1" x14ac:dyDescent="0.35">
      <c r="K22" s="406"/>
      <c r="L22" s="622" t="s">
        <v>681</v>
      </c>
      <c r="M22" s="622">
        <v>75</v>
      </c>
      <c r="N22" s="622" t="s">
        <v>682</v>
      </c>
      <c r="O22" s="622"/>
      <c r="P22" s="622"/>
      <c r="Q22" s="622"/>
      <c r="R22" s="622"/>
      <c r="S22" s="4"/>
    </row>
    <row r="23" spans="1:19" ht="15" thickBot="1" x14ac:dyDescent="0.35">
      <c r="A23" s="654" t="s">
        <v>657</v>
      </c>
      <c r="B23" s="655"/>
      <c r="C23" s="655"/>
      <c r="D23" s="655"/>
      <c r="E23" s="655"/>
      <c r="F23" s="655"/>
      <c r="G23" s="655"/>
      <c r="H23" s="655"/>
      <c r="I23" s="656"/>
      <c r="J23" s="639"/>
      <c r="K23" s="408"/>
      <c r="L23" s="322" t="s">
        <v>683</v>
      </c>
      <c r="M23" s="322">
        <v>120</v>
      </c>
      <c r="N23" s="322"/>
      <c r="O23" s="322"/>
      <c r="P23" s="322"/>
      <c r="Q23" s="322"/>
      <c r="R23" s="322"/>
      <c r="S23" s="323"/>
    </row>
    <row r="24" spans="1:19" x14ac:dyDescent="0.3">
      <c r="A24" s="562" t="s">
        <v>628</v>
      </c>
      <c r="B24" s="541"/>
      <c r="C24" s="227" t="s">
        <v>629</v>
      </c>
      <c r="E24" s="20"/>
      <c r="F24" s="394" t="s">
        <v>631</v>
      </c>
      <c r="I24" s="225"/>
      <c r="J24" s="638"/>
    </row>
    <row r="25" spans="1:19" x14ac:dyDescent="0.3">
      <c r="A25" s="279"/>
      <c r="B25" s="228" t="s">
        <v>625</v>
      </c>
      <c r="C25" s="390">
        <v>10</v>
      </c>
      <c r="D25" s="227" t="s">
        <v>624</v>
      </c>
      <c r="E25" s="20"/>
      <c r="F25" s="238"/>
      <c r="G25" s="20"/>
      <c r="H25" s="20"/>
      <c r="I25" s="225"/>
      <c r="J25" s="638"/>
    </row>
    <row r="26" spans="1:19" x14ac:dyDescent="0.3">
      <c r="A26" s="279"/>
      <c r="B26" s="238" t="s">
        <v>620</v>
      </c>
      <c r="C26" s="13" t="s">
        <v>32</v>
      </c>
      <c r="D26" s="20">
        <v>85</v>
      </c>
      <c r="E26" s="227" t="s">
        <v>43</v>
      </c>
      <c r="F26" s="227" t="s">
        <v>627</v>
      </c>
      <c r="G26" s="20">
        <v>160</v>
      </c>
      <c r="H26" s="20" t="s">
        <v>43</v>
      </c>
      <c r="I26" s="225"/>
      <c r="J26" s="638"/>
    </row>
    <row r="27" spans="1:19" x14ac:dyDescent="0.3">
      <c r="A27" s="279"/>
      <c r="B27" s="238" t="s">
        <v>686</v>
      </c>
      <c r="C27" s="13" t="s">
        <v>32</v>
      </c>
      <c r="D27" s="20">
        <f>6*20</f>
        <v>120</v>
      </c>
      <c r="E27" s="227" t="s">
        <v>43</v>
      </c>
      <c r="F27" s="227"/>
      <c r="G27" s="20"/>
      <c r="H27" s="20"/>
      <c r="I27" s="225"/>
      <c r="J27" s="638"/>
    </row>
    <row r="28" spans="1:19" x14ac:dyDescent="0.3">
      <c r="A28" s="280"/>
      <c r="B28" s="238" t="s">
        <v>622</v>
      </c>
      <c r="C28" s="13" t="s">
        <v>32</v>
      </c>
      <c r="D28" s="20">
        <v>240</v>
      </c>
      <c r="E28" s="227" t="s">
        <v>43</v>
      </c>
      <c r="F28" s="227"/>
      <c r="G28" s="20"/>
      <c r="H28" s="20"/>
      <c r="I28" s="225"/>
      <c r="J28" s="638"/>
    </row>
    <row r="29" spans="1:19" x14ac:dyDescent="0.3">
      <c r="A29" s="280"/>
      <c r="B29" s="238" t="s">
        <v>623</v>
      </c>
      <c r="C29" s="13" t="s">
        <v>32</v>
      </c>
      <c r="D29" s="20">
        <v>300</v>
      </c>
      <c r="E29" s="227" t="s">
        <v>43</v>
      </c>
      <c r="F29" s="227"/>
      <c r="G29" s="20"/>
      <c r="H29" s="20"/>
      <c r="I29" s="225"/>
      <c r="J29" s="638"/>
    </row>
    <row r="30" spans="1:19" x14ac:dyDescent="0.3">
      <c r="A30" s="280"/>
      <c r="B30" s="238"/>
      <c r="C30" s="13" t="s">
        <v>626</v>
      </c>
      <c r="D30" s="250">
        <f>MIN(D26:D29)</f>
        <v>85</v>
      </c>
      <c r="E30" s="238" t="s">
        <v>43</v>
      </c>
      <c r="F30" s="227"/>
      <c r="G30" s="20"/>
      <c r="H30" s="20"/>
      <c r="I30" s="225"/>
      <c r="J30" s="638"/>
    </row>
    <row r="31" spans="1:19" ht="15" thickBot="1" x14ac:dyDescent="0.35">
      <c r="A31" s="657" t="s">
        <v>661</v>
      </c>
      <c r="B31" s="658"/>
      <c r="C31" s="658"/>
      <c r="D31" s="658"/>
      <c r="E31" s="658"/>
      <c r="F31" s="658"/>
      <c r="G31" s="658"/>
      <c r="H31" s="658"/>
      <c r="I31" s="659"/>
      <c r="J31" s="639"/>
    </row>
    <row r="32" spans="1:19" ht="15" thickBot="1" x14ac:dyDescent="0.35"/>
    <row r="33" spans="1:10" x14ac:dyDescent="0.3">
      <c r="A33" s="654" t="s">
        <v>658</v>
      </c>
      <c r="B33" s="655"/>
      <c r="C33" s="655"/>
      <c r="D33" s="655"/>
      <c r="E33" s="655"/>
      <c r="F33" s="655"/>
      <c r="G33" s="655"/>
      <c r="H33" s="655"/>
      <c r="I33" s="656"/>
      <c r="J33" s="639"/>
    </row>
    <row r="34" spans="1:10" x14ac:dyDescent="0.3">
      <c r="A34" s="562" t="s">
        <v>628</v>
      </c>
      <c r="B34" s="541"/>
      <c r="C34" s="227" t="s">
        <v>629</v>
      </c>
      <c r="E34" s="20"/>
      <c r="F34" s="394" t="s">
        <v>631</v>
      </c>
      <c r="I34" s="225"/>
      <c r="J34" s="638"/>
    </row>
    <row r="35" spans="1:10" x14ac:dyDescent="0.3">
      <c r="A35" s="279"/>
      <c r="B35" s="228" t="s">
        <v>625</v>
      </c>
      <c r="C35" s="390">
        <v>10</v>
      </c>
      <c r="D35" s="227" t="s">
        <v>624</v>
      </c>
      <c r="E35" s="20"/>
      <c r="F35" s="238"/>
      <c r="G35" s="20"/>
      <c r="H35" s="20"/>
      <c r="I35" s="225"/>
      <c r="J35" s="638"/>
    </row>
    <row r="36" spans="1:10" x14ac:dyDescent="0.3">
      <c r="A36" s="279"/>
      <c r="B36" s="238" t="s">
        <v>620</v>
      </c>
      <c r="C36" s="13" t="s">
        <v>32</v>
      </c>
      <c r="D36" s="20">
        <v>85</v>
      </c>
      <c r="E36" s="227" t="s">
        <v>43</v>
      </c>
      <c r="F36" s="227" t="s">
        <v>627</v>
      </c>
      <c r="G36" s="20">
        <v>150</v>
      </c>
      <c r="H36" s="20" t="s">
        <v>43</v>
      </c>
      <c r="I36" s="225"/>
      <c r="J36" s="638"/>
    </row>
    <row r="37" spans="1:10" x14ac:dyDescent="0.3">
      <c r="A37" s="279"/>
      <c r="B37" s="238" t="s">
        <v>686</v>
      </c>
      <c r="C37" s="13" t="s">
        <v>32</v>
      </c>
      <c r="D37" s="20">
        <f>6*20</f>
        <v>120</v>
      </c>
      <c r="E37" s="227" t="s">
        <v>43</v>
      </c>
      <c r="F37" s="227"/>
      <c r="G37" s="20"/>
      <c r="H37" s="20"/>
      <c r="I37" s="225"/>
      <c r="J37" s="638"/>
    </row>
    <row r="38" spans="1:10" x14ac:dyDescent="0.3">
      <c r="A38" s="280"/>
      <c r="B38" s="238" t="s">
        <v>622</v>
      </c>
      <c r="C38" s="13" t="s">
        <v>32</v>
      </c>
      <c r="D38" s="20">
        <v>240</v>
      </c>
      <c r="E38" s="227" t="s">
        <v>43</v>
      </c>
      <c r="F38" s="227"/>
      <c r="G38" s="20"/>
      <c r="H38" s="20"/>
      <c r="I38" s="225"/>
      <c r="J38" s="638"/>
    </row>
    <row r="39" spans="1:10" x14ac:dyDescent="0.3">
      <c r="A39" s="280"/>
      <c r="B39" s="238" t="s">
        <v>623</v>
      </c>
      <c r="C39" s="13" t="s">
        <v>32</v>
      </c>
      <c r="D39" s="20">
        <v>300</v>
      </c>
      <c r="E39" s="227" t="s">
        <v>43</v>
      </c>
      <c r="F39" s="227"/>
      <c r="G39" s="20"/>
      <c r="H39" s="20"/>
      <c r="I39" s="225"/>
      <c r="J39" s="638"/>
    </row>
    <row r="40" spans="1:10" x14ac:dyDescent="0.3">
      <c r="A40" s="280"/>
      <c r="B40" s="238"/>
      <c r="C40" s="13" t="s">
        <v>626</v>
      </c>
      <c r="D40" s="250">
        <f>MIN(D36:D39)</f>
        <v>85</v>
      </c>
      <c r="E40" s="238" t="s">
        <v>43</v>
      </c>
      <c r="F40" s="227"/>
      <c r="G40" s="20"/>
      <c r="H40" s="20"/>
      <c r="I40" s="225"/>
      <c r="J40" s="638"/>
    </row>
    <row r="41" spans="1:10" ht="15" thickBot="1" x14ac:dyDescent="0.35">
      <c r="A41" s="657" t="s">
        <v>662</v>
      </c>
      <c r="B41" s="658"/>
      <c r="C41" s="658"/>
      <c r="D41" s="658"/>
      <c r="E41" s="658"/>
      <c r="F41" s="658"/>
      <c r="G41" s="658"/>
      <c r="H41" s="658"/>
      <c r="I41" s="659"/>
      <c r="J41" s="639"/>
    </row>
    <row r="42" spans="1:10" ht="15" thickBot="1" x14ac:dyDescent="0.35"/>
    <row r="43" spans="1:10" x14ac:dyDescent="0.3">
      <c r="A43" s="654" t="s">
        <v>659</v>
      </c>
      <c r="B43" s="655"/>
      <c r="C43" s="655"/>
      <c r="D43" s="655"/>
      <c r="E43" s="655"/>
      <c r="F43" s="655"/>
      <c r="G43" s="655"/>
      <c r="H43" s="655"/>
      <c r="I43" s="656"/>
      <c r="J43" s="639"/>
    </row>
    <row r="44" spans="1:10" x14ac:dyDescent="0.3">
      <c r="A44" s="562" t="s">
        <v>628</v>
      </c>
      <c r="B44" s="541"/>
      <c r="C44" s="227" t="s">
        <v>629</v>
      </c>
      <c r="E44" s="20"/>
      <c r="F44" s="394" t="s">
        <v>631</v>
      </c>
      <c r="I44" s="225"/>
      <c r="J44" s="638"/>
    </row>
    <row r="45" spans="1:10" x14ac:dyDescent="0.3">
      <c r="A45" s="279"/>
      <c r="B45" s="228" t="s">
        <v>625</v>
      </c>
      <c r="C45" s="390">
        <v>10</v>
      </c>
      <c r="D45" s="227" t="s">
        <v>624</v>
      </c>
      <c r="E45" s="20"/>
      <c r="F45" s="238"/>
      <c r="G45" s="20"/>
      <c r="H45" s="20"/>
      <c r="I45" s="225"/>
      <c r="J45" s="638"/>
    </row>
    <row r="46" spans="1:10" x14ac:dyDescent="0.3">
      <c r="A46" s="279"/>
      <c r="B46" s="238" t="s">
        <v>620</v>
      </c>
      <c r="C46" s="13" t="s">
        <v>32</v>
      </c>
      <c r="D46" s="40">
        <v>100</v>
      </c>
      <c r="E46" s="227" t="s">
        <v>43</v>
      </c>
      <c r="F46" s="227" t="s">
        <v>627</v>
      </c>
      <c r="G46" s="20">
        <v>145</v>
      </c>
      <c r="H46" s="20" t="s">
        <v>43</v>
      </c>
      <c r="I46" s="225"/>
      <c r="J46" s="638"/>
    </row>
    <row r="47" spans="1:10" x14ac:dyDescent="0.3">
      <c r="A47" s="279"/>
      <c r="B47" s="238" t="s">
        <v>686</v>
      </c>
      <c r="C47" s="13" t="s">
        <v>32</v>
      </c>
      <c r="D47" s="20">
        <f>6*20</f>
        <v>120</v>
      </c>
      <c r="E47" s="227" t="s">
        <v>43</v>
      </c>
      <c r="F47" s="227" t="s">
        <v>626</v>
      </c>
      <c r="G47" s="20">
        <v>130</v>
      </c>
      <c r="H47" s="20" t="s">
        <v>43</v>
      </c>
      <c r="I47" s="225"/>
      <c r="J47" s="638"/>
    </row>
    <row r="48" spans="1:10" x14ac:dyDescent="0.3">
      <c r="A48" s="280"/>
      <c r="B48" s="238" t="s">
        <v>622</v>
      </c>
      <c r="C48" s="13" t="s">
        <v>32</v>
      </c>
      <c r="D48" s="40">
        <v>240</v>
      </c>
      <c r="E48" s="227" t="s">
        <v>43</v>
      </c>
      <c r="F48" s="227"/>
      <c r="G48" s="20"/>
      <c r="H48" s="20"/>
      <c r="I48" s="225"/>
      <c r="J48" s="638"/>
    </row>
    <row r="49" spans="1:10" x14ac:dyDescent="0.3">
      <c r="A49" s="280"/>
      <c r="B49" s="238" t="s">
        <v>623</v>
      </c>
      <c r="C49" s="13" t="s">
        <v>32</v>
      </c>
      <c r="D49" s="40">
        <v>300</v>
      </c>
      <c r="E49" s="227" t="s">
        <v>43</v>
      </c>
      <c r="F49" s="227"/>
      <c r="G49" s="20"/>
      <c r="H49" s="20"/>
      <c r="I49" s="225"/>
      <c r="J49" s="638"/>
    </row>
    <row r="50" spans="1:10" x14ac:dyDescent="0.3">
      <c r="A50" s="280"/>
      <c r="B50" s="238"/>
      <c r="C50" s="13" t="s">
        <v>626</v>
      </c>
      <c r="D50" s="397">
        <v>100</v>
      </c>
      <c r="E50" s="238" t="s">
        <v>43</v>
      </c>
      <c r="F50" s="227"/>
      <c r="G50" s="20"/>
      <c r="H50" s="20"/>
      <c r="I50" s="225"/>
      <c r="J50" s="638"/>
    </row>
    <row r="51" spans="1:10" ht="15" thickBot="1" x14ac:dyDescent="0.35">
      <c r="A51" s="657" t="s">
        <v>660</v>
      </c>
      <c r="B51" s="658"/>
      <c r="C51" s="658"/>
      <c r="D51" s="658"/>
      <c r="E51" s="658"/>
      <c r="F51" s="658"/>
      <c r="G51" s="658"/>
      <c r="H51" s="658"/>
      <c r="I51" s="659"/>
      <c r="J51" s="639"/>
    </row>
  </sheetData>
  <mergeCells count="25">
    <mergeCell ref="A44:B44"/>
    <mergeCell ref="A51:I51"/>
    <mergeCell ref="K1:S1"/>
    <mergeCell ref="K3:S3"/>
    <mergeCell ref="K4:L4"/>
    <mergeCell ref="K5:M5"/>
    <mergeCell ref="K6:M6"/>
    <mergeCell ref="A23:I23"/>
    <mergeCell ref="A24:B24"/>
    <mergeCell ref="A31:I31"/>
    <mergeCell ref="A33:I33"/>
    <mergeCell ref="A34:B34"/>
    <mergeCell ref="A41:I41"/>
    <mergeCell ref="A3:I3"/>
    <mergeCell ref="A4:B4"/>
    <mergeCell ref="A1:I1"/>
    <mergeCell ref="K12:M12"/>
    <mergeCell ref="L13:N13"/>
    <mergeCell ref="Q4:R4"/>
    <mergeCell ref="K16:M16"/>
    <mergeCell ref="A43:I43"/>
    <mergeCell ref="A13:I13"/>
    <mergeCell ref="A14:B14"/>
    <mergeCell ref="A21:I21"/>
    <mergeCell ref="A11:I11"/>
  </mergeCells>
  <printOptions horizontalCentered="1"/>
  <pageMargins left="0.25" right="0.25" top="0.75" bottom="0.75" header="0.3" footer="0.3"/>
  <pageSetup paperSize="9" scale="97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F8"/>
  <sheetViews>
    <sheetView workbookViewId="0">
      <selection activeCell="E10" sqref="E10"/>
    </sheetView>
  </sheetViews>
  <sheetFormatPr defaultRowHeight="14.4" x14ac:dyDescent="0.3"/>
  <cols>
    <col min="2" max="2" width="12.88671875" customWidth="1"/>
    <col min="3" max="3" width="13.6640625" customWidth="1"/>
    <col min="4" max="4" width="13.5546875" customWidth="1"/>
    <col min="5" max="5" width="22.33203125" customWidth="1"/>
    <col min="6" max="6" width="22.6640625" customWidth="1"/>
    <col min="7" max="7" width="21.33203125" customWidth="1"/>
  </cols>
  <sheetData>
    <row r="1" spans="2:6" x14ac:dyDescent="0.3">
      <c r="B1" s="453" t="s">
        <v>639</v>
      </c>
      <c r="C1" s="453"/>
      <c r="D1" s="453"/>
      <c r="E1" s="453"/>
      <c r="F1" s="453"/>
    </row>
    <row r="2" spans="2:6" x14ac:dyDescent="0.3">
      <c r="B2" s="395" t="s">
        <v>640</v>
      </c>
      <c r="C2" s="395" t="s">
        <v>641</v>
      </c>
      <c r="D2" s="395" t="s">
        <v>642</v>
      </c>
      <c r="E2" s="395" t="s">
        <v>13</v>
      </c>
      <c r="F2" s="395" t="s">
        <v>14</v>
      </c>
    </row>
    <row r="3" spans="2:6" x14ac:dyDescent="0.3">
      <c r="B3" s="39" t="s">
        <v>643</v>
      </c>
      <c r="C3" s="39">
        <v>280</v>
      </c>
      <c r="D3" s="39">
        <v>400</v>
      </c>
      <c r="E3" s="39" t="s">
        <v>646</v>
      </c>
      <c r="F3" s="39" t="s">
        <v>648</v>
      </c>
    </row>
    <row r="4" spans="2:6" x14ac:dyDescent="0.3">
      <c r="E4" s="39" t="s">
        <v>647</v>
      </c>
      <c r="F4" s="39" t="s">
        <v>647</v>
      </c>
    </row>
    <row r="5" spans="2:6" x14ac:dyDescent="0.3">
      <c r="B5" s="39" t="s">
        <v>644</v>
      </c>
      <c r="C5" s="39">
        <v>280</v>
      </c>
      <c r="D5" s="39">
        <v>400</v>
      </c>
      <c r="E5" s="39" t="s">
        <v>646</v>
      </c>
      <c r="F5" s="39" t="s">
        <v>648</v>
      </c>
    </row>
    <row r="6" spans="2:6" x14ac:dyDescent="0.3">
      <c r="E6" s="39" t="s">
        <v>647</v>
      </c>
      <c r="F6" s="39" t="s">
        <v>647</v>
      </c>
    </row>
    <row r="7" spans="2:6" x14ac:dyDescent="0.3">
      <c r="B7" s="39" t="s">
        <v>645</v>
      </c>
      <c r="C7" s="39">
        <v>250</v>
      </c>
      <c r="D7" s="39">
        <v>350</v>
      </c>
      <c r="E7" s="39" t="s">
        <v>646</v>
      </c>
      <c r="F7" s="39" t="s">
        <v>648</v>
      </c>
    </row>
    <row r="8" spans="2:6" x14ac:dyDescent="0.3">
      <c r="E8" s="39" t="s">
        <v>647</v>
      </c>
      <c r="F8" s="39" t="s">
        <v>649</v>
      </c>
    </row>
  </sheetData>
  <mergeCells count="1"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19</vt:i4>
      </vt:variant>
    </vt:vector>
  </HeadingPairs>
  <TitlesOfParts>
    <vt:vector size="44" baseType="lpstr">
      <vt:lpstr>INTRO</vt:lpstr>
      <vt:lpstr>jm grasp 1</vt:lpstr>
      <vt:lpstr>jm grasp 2</vt:lpstr>
      <vt:lpstr>pre grasp 1</vt:lpstr>
      <vt:lpstr>jm grasp 3</vt:lpstr>
      <vt:lpstr>pre grasp 2</vt:lpstr>
      <vt:lpstr>PRINT --&gt;</vt:lpstr>
      <vt:lpstr>DL-LL</vt:lpstr>
      <vt:lpstr>JM GRASP SUMMARY</vt:lpstr>
      <vt:lpstr>PRE LOADS FOR GRASP</vt:lpstr>
      <vt:lpstr>PRE GRASP SUMMARY 1</vt:lpstr>
      <vt:lpstr>PRE GRASP SUMMARY 2</vt:lpstr>
      <vt:lpstr>STAIR</vt:lpstr>
      <vt:lpstr>SLAB</vt:lpstr>
      <vt:lpstr>JM LOAD EQ</vt:lpstr>
      <vt:lpstr>PRE LOAD EQ</vt:lpstr>
      <vt:lpstr>BASE SHEAR</vt:lpstr>
      <vt:lpstr>PORTAL</vt:lpstr>
      <vt:lpstr>BEAM EQ</vt:lpstr>
      <vt:lpstr>JM STIRRUP</vt:lpstr>
      <vt:lpstr>PRE STIRRUP</vt:lpstr>
      <vt:lpstr>COLUMN EQ</vt:lpstr>
      <vt:lpstr>DESIGN SUMMARY</vt:lpstr>
      <vt:lpstr>TIES &amp; STIRRUP EQ</vt:lpstr>
      <vt:lpstr>SCHEDULE</vt:lpstr>
      <vt:lpstr>'BASE SHEAR'!Print_Area</vt:lpstr>
      <vt:lpstr>'BEAM EQ'!Print_Area</vt:lpstr>
      <vt:lpstr>'COLUMN EQ'!Print_Area</vt:lpstr>
      <vt:lpstr>'DESIGN SUMMARY'!Print_Area</vt:lpstr>
      <vt:lpstr>'DL-LL'!Print_Area</vt:lpstr>
      <vt:lpstr>'jm grasp 2'!Print_Area</vt:lpstr>
      <vt:lpstr>'JM GRASP SUMMARY'!Print_Area</vt:lpstr>
      <vt:lpstr>'JM LOAD EQ'!Print_Area</vt:lpstr>
      <vt:lpstr>'JM STIRRUP'!Print_Area</vt:lpstr>
      <vt:lpstr>PORTAL!Print_Area</vt:lpstr>
      <vt:lpstr>'pre grasp 2'!Print_Area</vt:lpstr>
      <vt:lpstr>'PRE GRASP SUMMARY 1'!Print_Area</vt:lpstr>
      <vt:lpstr>'PRE GRASP SUMMARY 2'!Print_Area</vt:lpstr>
      <vt:lpstr>'PRE LOAD EQ'!Print_Area</vt:lpstr>
      <vt:lpstr>'PRE LOADS FOR GRASP'!Print_Area</vt:lpstr>
      <vt:lpstr>'PRE STIRRUP'!Print_Area</vt:lpstr>
      <vt:lpstr>SLAB!Print_Area</vt:lpstr>
      <vt:lpstr>STAIR!Print_Area</vt:lpstr>
      <vt:lpstr>'TIES &amp; STIRRUP EQ'!Print_Area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PRECIOUS MARY ANGELICA V. BARCENA</cp:lastModifiedBy>
  <cp:lastPrinted>2024-05-11T15:12:13Z</cp:lastPrinted>
  <dcterms:created xsi:type="dcterms:W3CDTF">2023-12-27T03:45:12Z</dcterms:created>
  <dcterms:modified xsi:type="dcterms:W3CDTF">2024-05-11T16:32:01Z</dcterms:modified>
</cp:coreProperties>
</file>