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ACER\Documents\Files ni Precious\excel ko\final version\github\"/>
    </mc:Choice>
  </mc:AlternateContent>
  <xr:revisionPtr revIDLastSave="0" documentId="13_ncr:1_{2AB20C7D-B8B3-43F0-A583-76A2F3B850D2}" xr6:coauthVersionLast="47" xr6:coauthVersionMax="47" xr10:uidLastSave="{00000000-0000-0000-0000-000000000000}"/>
  <bookViews>
    <workbookView xWindow="-108" yWindow="-108" windowWidth="23256" windowHeight="12720" tabRatio="847" firstSheet="2" activeTab="2" xr2:uid="{6C9D336E-3811-484B-849D-E0CF3A988800}"/>
  </bookViews>
  <sheets>
    <sheet name="DO NOT DELETE" sheetId="9" state="hidden" r:id="rId1"/>
    <sheet name="Sheet1" sheetId="6" state="hidden" r:id="rId2"/>
    <sheet name="column_w eq" sheetId="12" r:id="rId3"/>
  </sheets>
  <definedNames>
    <definedName name="_xlnm.Print_Area" localSheetId="2">'column_w eq'!$A$1:$G$71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2" l="1"/>
  <c r="C74" i="12"/>
  <c r="C61" i="12" l="1"/>
  <c r="C60" i="12"/>
  <c r="C62" i="12" s="1"/>
  <c r="C71" i="12" l="1"/>
  <c r="C55" i="12"/>
  <c r="C50" i="12"/>
  <c r="C49" i="12"/>
  <c r="C27" i="12" l="1"/>
  <c r="C26" i="12" l="1"/>
  <c r="C29" i="12"/>
  <c r="C28" i="12"/>
  <c r="C32" i="12" l="1"/>
  <c r="C38" i="12" s="1"/>
  <c r="C39" i="12" s="1"/>
  <c r="F39" i="12" s="1"/>
  <c r="C54" i="12" l="1"/>
  <c r="C56" i="12" s="1"/>
  <c r="C68" i="12" s="1"/>
  <c r="C64" i="12"/>
  <c r="C65" i="12"/>
  <c r="A31" i="12"/>
  <c r="C48" i="12"/>
  <c r="C51" i="12" s="1"/>
  <c r="F51" i="12" s="1"/>
  <c r="C42" i="12"/>
  <c r="C43" i="12" s="1"/>
  <c r="C44" i="12" s="1"/>
  <c r="F44" i="12" s="1"/>
  <c r="C70" i="12" l="1"/>
  <c r="C67" i="12"/>
</calcChain>
</file>

<file path=xl/sharedStrings.xml><?xml version="1.0" encoding="utf-8"?>
<sst xmlns="http://schemas.openxmlformats.org/spreadsheetml/2006/main" count="192" uniqueCount="119">
  <si>
    <t>f'c</t>
  </si>
  <si>
    <t>mm</t>
  </si>
  <si>
    <t>fy</t>
  </si>
  <si>
    <t>MPa</t>
  </si>
  <si>
    <t>KN</t>
  </si>
  <si>
    <t>mm^2</t>
  </si>
  <si>
    <t>=</t>
  </si>
  <si>
    <t>Clear cover</t>
  </si>
  <si>
    <t>Dead Load</t>
  </si>
  <si>
    <t>I. MATERIAL PROPERTIES</t>
  </si>
  <si>
    <t>II. SECTION PROPERTIES</t>
  </si>
  <si>
    <t>Width</t>
  </si>
  <si>
    <t>m^3</t>
  </si>
  <si>
    <t>KN/m^3</t>
  </si>
  <si>
    <t>Live Load</t>
  </si>
  <si>
    <t>h=(L/20)(fy factor)</t>
  </si>
  <si>
    <t>LRFD load combinations</t>
  </si>
  <si>
    <t>VI. DESIGN RESULTS</t>
  </si>
  <si>
    <t>mm OC</t>
  </si>
  <si>
    <t>fy used for main bars and temperature bars is the same</t>
  </si>
  <si>
    <t>h is rounded up to nearest 10</t>
  </si>
  <si>
    <t>s is rounded down to nearest 5</t>
  </si>
  <si>
    <t>GENERAL NOTES:</t>
  </si>
  <si>
    <t>TAKE OFF (DO NOT PRINT)</t>
  </si>
  <si>
    <t>bat mo inunhide???!!!</t>
  </si>
  <si>
    <t xml:space="preserve">support my other side project: </t>
  </si>
  <si>
    <t>https://youtube.com/@preexclamation</t>
  </si>
  <si>
    <t>if you received this file from anyone except someone named Precious, then please mag sori ka kay lord kasi you are stealing. or sa mama o if atheist ka</t>
  </si>
  <si>
    <t>preciousmaryangelicavbarcena@gmail.com</t>
  </si>
  <si>
    <t>no fr, thanks for supporting my ms excel side project. ive lost interest in my course and I only get my motivation to continue from my side projects.</t>
  </si>
  <si>
    <t>contact me at:</t>
  </si>
  <si>
    <t>Support condition</t>
  </si>
  <si>
    <t>Simply supported</t>
  </si>
  <si>
    <t>One end continuos</t>
  </si>
  <si>
    <t>Both end continuous</t>
  </si>
  <si>
    <t>Cantilever</t>
  </si>
  <si>
    <t>denominator</t>
  </si>
  <si>
    <t>h=(L/24)(fy factor)</t>
  </si>
  <si>
    <t>h=(L/28)(fy factor)</t>
  </si>
  <si>
    <t>h=(L/10)(fy factor)</t>
  </si>
  <si>
    <t>thickness</t>
  </si>
  <si>
    <t>SLAB THICKNESS</t>
  </si>
  <si>
    <t>MOMENT COEFFICIENT</t>
  </si>
  <si>
    <t>Negative moment - other face of any interior support</t>
  </si>
  <si>
    <t>Negative moment - interior face of exterior support intergral with beam support</t>
  </si>
  <si>
    <t>Negative moment - interior face of exterior support intergral with beam column</t>
  </si>
  <si>
    <t>Negative moment - exterior face of first interior support (2 spans)</t>
  </si>
  <si>
    <t>Negative moment - exterior face of first interior support (more than 2 spans)</t>
  </si>
  <si>
    <t>Mu=Wu(Ln)^2/11</t>
  </si>
  <si>
    <t>Mu=Wu(Ln)^2/14</t>
  </si>
  <si>
    <t>Mu=Wu(Ln)^2/16</t>
  </si>
  <si>
    <t>Mu=Wu(Lna)^2/11</t>
  </si>
  <si>
    <t>Mu=Wu(Lna)^2/19</t>
  </si>
  <si>
    <t>Mu=Wu(Lna)^2/10</t>
  </si>
  <si>
    <t>Mu=Wu(Lna)^2/24</t>
  </si>
  <si>
    <t>Mu=Wu(Lna)^2/16</t>
  </si>
  <si>
    <t>moment</t>
  </si>
  <si>
    <t>Positive moment - end span - discontinuous end unrestrained</t>
  </si>
  <si>
    <t>Positive moment - end span - discontinuous end integral with support</t>
  </si>
  <si>
    <t>Positive moment - interior span</t>
  </si>
  <si>
    <t>Mu=Wu(Lna)^2/12</t>
  </si>
  <si>
    <t>Negative moment - cantilever support</t>
  </si>
  <si>
    <t>Description</t>
  </si>
  <si>
    <r>
      <t>γ</t>
    </r>
    <r>
      <rPr>
        <sz val="12.65"/>
        <color theme="1"/>
        <rFont val="Arial"/>
        <family val="2"/>
      </rPr>
      <t>concrete</t>
    </r>
  </si>
  <si>
    <t>Weight = γ * volume</t>
  </si>
  <si>
    <t>TAKE OFF - GIVES OFF WEIGHT OF MEMBER AND WEIGHT OF MEMBER AS LOAD FOR LOAD TRANSFER</t>
  </si>
  <si>
    <t>Weight to line load = weight in KN / Length kung saan ipapatong</t>
  </si>
  <si>
    <t>Weight to floor load = weight in KN / Area kung saan ipapatong</t>
  </si>
  <si>
    <t>Stirrup diameter</t>
  </si>
  <si>
    <t>III. LOADINGS</t>
  </si>
  <si>
    <t>kNm</t>
  </si>
  <si>
    <t>Seismic Load</t>
  </si>
  <si>
    <t>IV. LOAD COMBINATION</t>
  </si>
  <si>
    <t>Governing load combination</t>
  </si>
  <si>
    <t>DIMENSION</t>
  </si>
  <si>
    <t>ndb</t>
  </si>
  <si>
    <t>pcs</t>
  </si>
  <si>
    <t>6db</t>
  </si>
  <si>
    <t>150mm</t>
  </si>
  <si>
    <t>indicates input value</t>
  </si>
  <si>
    <t>COLUMN 1</t>
  </si>
  <si>
    <t>Longitudnal bar diameter</t>
  </si>
  <si>
    <t>Pu max</t>
  </si>
  <si>
    <t>Pn</t>
  </si>
  <si>
    <t>Pu</t>
  </si>
  <si>
    <t>Pu = 1.4D</t>
  </si>
  <si>
    <t>Pu = 1.2D+1.6L</t>
  </si>
  <si>
    <t>Pu = 1.2D+1L+1E</t>
  </si>
  <si>
    <t>Pu = 0.9D+1E</t>
  </si>
  <si>
    <t>kN</t>
  </si>
  <si>
    <t>V. COLUMN DESIGN (AXIALLY LOADED)</t>
  </si>
  <si>
    <t>AXIALLY LOADED SHORT COLUMN DESIGN</t>
  </si>
  <si>
    <t>ρg</t>
  </si>
  <si>
    <t>Ag = Pu/φ0.80[0.85f'c (1-ρg) + ρgfy ] , φ=0.65</t>
  </si>
  <si>
    <t>b</t>
  </si>
  <si>
    <t>say, b = h =</t>
  </si>
  <si>
    <t>Ag provided = b^2</t>
  </si>
  <si>
    <t>As = ρg(Ag)</t>
  </si>
  <si>
    <t>LONGITUDINAL REINFORCEMENT</t>
  </si>
  <si>
    <t>LATERAL REINFORCEMENT AT CONFINED REGION</t>
  </si>
  <si>
    <t>Lo</t>
  </si>
  <si>
    <t>Largest column dimension</t>
  </si>
  <si>
    <t>Lu/6</t>
  </si>
  <si>
    <t>450mm</t>
  </si>
  <si>
    <t>Confined Region</t>
  </si>
  <si>
    <t>Unsupported length, Lu</t>
  </si>
  <si>
    <t>say, ndb =</t>
  </si>
  <si>
    <t>say, Lo =</t>
  </si>
  <si>
    <t>1/4 smallest column dimension</t>
  </si>
  <si>
    <t>Length of confined region</t>
  </si>
  <si>
    <t>Spacing of ties</t>
  </si>
  <si>
    <t>s</t>
  </si>
  <si>
    <t>LATERAL REINFORCEMENT AT UNCONFINED REGION</t>
  </si>
  <si>
    <t>Length</t>
  </si>
  <si>
    <t>Unconfined Region</t>
  </si>
  <si>
    <t>Longitudinal bars</t>
  </si>
  <si>
    <t>Ties</t>
  </si>
  <si>
    <t>Volume of column</t>
  </si>
  <si>
    <t>Weight of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</si>
</sst>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.65"/>
      <color theme="1"/>
      <name val="Arial"/>
      <family val="2"/>
    </font>
    <font>
      <b/>
      <sz val="22"/>
      <color theme="1"/>
      <name val="Arial"/>
      <family val="2"/>
    </font>
    <font>
      <b/>
      <sz val="16"/>
      <color rgb="FFFF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12" fillId="0" borderId="0" xfId="1"/>
    <xf numFmtId="0" fontId="5" fillId="2" borderId="0" xfId="0" applyFont="1" applyFill="1" applyAlignment="1">
      <alignment horizontal="left"/>
    </xf>
    <xf numFmtId="0" fontId="1" fillId="0" borderId="0" xfId="0" applyFont="1"/>
    <xf numFmtId="0" fontId="1" fillId="0" borderId="2" xfId="0" applyFont="1" applyBorder="1"/>
    <xf numFmtId="0" fontId="6" fillId="0" borderId="0" xfId="0" applyFont="1"/>
    <xf numFmtId="0" fontId="11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left" indent="1"/>
    </xf>
    <xf numFmtId="0" fontId="1" fillId="0" borderId="3" xfId="0" applyFont="1" applyBorder="1" applyAlignment="1" applyProtection="1">
      <alignment horizontal="left"/>
      <protection locked="0"/>
    </xf>
    <xf numFmtId="12" fontId="1" fillId="0" borderId="0" xfId="0" applyNumberFormat="1" applyFont="1"/>
    <xf numFmtId="0" fontId="1" fillId="0" borderId="4" xfId="0" applyFont="1" applyBorder="1"/>
    <xf numFmtId="0" fontId="1" fillId="0" borderId="4" xfId="0" applyFont="1" applyBorder="1" applyAlignment="1">
      <alignment horizontal="left" indent="1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0" xfId="0" quotePrefix="1" applyFont="1"/>
    <xf numFmtId="0" fontId="14" fillId="0" borderId="1" xfId="0" applyFont="1" applyBorder="1"/>
    <xf numFmtId="0" fontId="14" fillId="0" borderId="0" xfId="0" applyFont="1"/>
    <xf numFmtId="0" fontId="1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1" fillId="2" borderId="1" xfId="0" applyFont="1" applyFill="1" applyBorder="1" applyProtection="1">
      <protection locked="0"/>
    </xf>
    <xf numFmtId="0" fontId="1" fillId="2" borderId="0" xfId="0" quotePrefix="1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3"/>
    </xf>
    <xf numFmtId="0" fontId="1" fillId="2" borderId="0" xfId="0" quotePrefix="1" applyFont="1" applyFill="1" applyAlignment="1">
      <alignment horizontal="left"/>
    </xf>
    <xf numFmtId="0" fontId="16" fillId="2" borderId="0" xfId="0" applyFont="1" applyFill="1"/>
    <xf numFmtId="0" fontId="1" fillId="2" borderId="1" xfId="0" applyFont="1" applyFill="1" applyBorder="1"/>
    <xf numFmtId="0" fontId="13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3123211</xdr:colOff>
      <xdr:row>17</xdr:row>
      <xdr:rowOff>159444</xdr:rowOff>
    </xdr:from>
    <xdr:to>
      <xdr:col>15</xdr:col>
      <xdr:colOff>36616</xdr:colOff>
      <xdr:row>33</xdr:row>
      <xdr:rowOff>33646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81AFF3E-9690-062A-3C77-739128804CD3}"/>
            </a:ext>
          </a:extLst>
        </xdr:cNvPr>
        <xdr:cNvGrpSpPr/>
      </xdr:nvGrpSpPr>
      <xdr:grpSpPr>
        <a:xfrm>
          <a:off x="7063840" y="3174787"/>
          <a:ext cx="9464633" cy="2660945"/>
          <a:chOff x="0" y="3200517"/>
          <a:chExt cx="9252857" cy="26668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ED06426-F7F8-FF06-8C30-EAB43F50AC0F}"/>
              </a:ext>
            </a:extLst>
          </xdr:cNvPr>
          <xdr:cNvGrpSpPr/>
        </xdr:nvGrpSpPr>
        <xdr:grpSpPr>
          <a:xfrm>
            <a:off x="0" y="3200517"/>
            <a:ext cx="9252857" cy="2666883"/>
            <a:chOff x="498181" y="3167860"/>
            <a:chExt cx="8123941" cy="2261941"/>
          </a:xfrm>
        </xdr:grpSpPr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53D74FF2-402E-075B-3549-6EA2ACC809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312061" y="3167860"/>
              <a:ext cx="4349995" cy="1318510"/>
            </a:xfrm>
            <a:prstGeom prst="rect">
              <a:avLst/>
            </a:prstGeom>
          </xdr:spPr>
        </xdr:pic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39113BB-08D7-A7F9-4D0D-7C9E935F44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8181" y="4386943"/>
              <a:ext cx="8123941" cy="1042858"/>
            </a:xfrm>
            <a:prstGeom prst="rect">
              <a:avLst/>
            </a:prstGeom>
          </xdr:spPr>
        </xdr:pic>
      </xdr:grp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755486C-F46C-D570-C596-A6F8E84D9D68}"/>
              </a:ext>
            </a:extLst>
          </xdr:cNvPr>
          <xdr:cNvSpPr txBox="1"/>
        </xdr:nvSpPr>
        <xdr:spPr>
          <a:xfrm>
            <a:off x="3015342" y="4397829"/>
            <a:ext cx="2884027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SUPPORT</a:t>
            </a:r>
            <a:r>
              <a:rPr lang="en-PH" sz="1500" b="1" baseline="0"/>
              <a:t> CONDITIONS</a:t>
            </a:r>
            <a:endParaRPr lang="en-PH" sz="1500" b="1"/>
          </a:p>
        </xdr:txBody>
      </xdr:sp>
    </xdr:grpSp>
    <xdr:clientData/>
  </xdr:twoCellAnchor>
  <xdr:twoCellAnchor>
    <xdr:from>
      <xdr:col>0</xdr:col>
      <xdr:colOff>0</xdr:colOff>
      <xdr:row>16</xdr:row>
      <xdr:rowOff>126786</xdr:rowOff>
    </xdr:from>
    <xdr:to>
      <xdr:col>6</xdr:col>
      <xdr:colOff>1121570</xdr:colOff>
      <xdr:row>49</xdr:row>
      <xdr:rowOff>15504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DDFE69F-945A-A0EE-AC80-BFF45DEEC0D2}"/>
            </a:ext>
          </a:extLst>
        </xdr:cNvPr>
        <xdr:cNvGrpSpPr/>
      </xdr:nvGrpSpPr>
      <xdr:grpSpPr>
        <a:xfrm>
          <a:off x="0" y="2967957"/>
          <a:ext cx="10940484" cy="5636376"/>
          <a:chOff x="3614058" y="4931345"/>
          <a:chExt cx="10925640" cy="564231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BCA2DEE-1EE6-4620-A7F2-08D4DE394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14058" y="5061857"/>
            <a:ext cx="7646653" cy="1458402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A66C1C9-42BE-4A24-9DFD-17D52B167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717471" y="6360474"/>
            <a:ext cx="6908325" cy="1517768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101D99E2-AF79-42C8-91B6-EB520FE0E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736521" y="7806789"/>
            <a:ext cx="10803177" cy="141966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EEE49622-1940-45EB-BE29-EDDD91AB0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709307" y="9171463"/>
            <a:ext cx="10012136" cy="1402195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60A410B-3E14-4A77-B93D-C3FCCA706ECD}"/>
              </a:ext>
            </a:extLst>
          </xdr:cNvPr>
          <xdr:cNvSpPr txBox="1"/>
        </xdr:nvSpPr>
        <xdr:spPr>
          <a:xfrm>
            <a:off x="5747657" y="4931345"/>
            <a:ext cx="2884027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MOMENT COEFFICIENT</a:t>
            </a:r>
          </a:p>
        </xdr:txBody>
      </xdr:sp>
    </xdr:grpSp>
    <xdr:clientData/>
  </xdr:twoCellAnchor>
  <xdr:twoCellAnchor>
    <xdr:from>
      <xdr:col>0</xdr:col>
      <xdr:colOff>0</xdr:colOff>
      <xdr:row>51</xdr:row>
      <xdr:rowOff>102294</xdr:rowOff>
    </xdr:from>
    <xdr:to>
      <xdr:col>22</xdr:col>
      <xdr:colOff>405330</xdr:colOff>
      <xdr:row>108</xdr:row>
      <xdr:rowOff>171793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939A12A-F41B-FF70-D933-03D32E75156D}"/>
            </a:ext>
          </a:extLst>
        </xdr:cNvPr>
        <xdr:cNvGrpSpPr/>
      </xdr:nvGrpSpPr>
      <xdr:grpSpPr>
        <a:xfrm>
          <a:off x="0" y="9039465"/>
          <a:ext cx="21164387" cy="9997271"/>
          <a:chOff x="0" y="7817544"/>
          <a:chExt cx="20941230" cy="984214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8F4717FC-AA29-4C0B-BC7D-F326641EB77E}"/>
              </a:ext>
            </a:extLst>
          </xdr:cNvPr>
          <xdr:cNvGrpSpPr/>
        </xdr:nvGrpSpPr>
        <xdr:grpSpPr>
          <a:xfrm>
            <a:off x="0" y="8071757"/>
            <a:ext cx="20941230" cy="9587936"/>
            <a:chOff x="249382" y="3034146"/>
            <a:chExt cx="20946353" cy="1021426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B4B86EB8-59B1-B9B6-554D-BAC33245098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49382" y="3048000"/>
              <a:ext cx="7353300" cy="1020040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242C1741-C8A0-2BA7-F514-30CEC16E2B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633855" y="3034146"/>
              <a:ext cx="6766560" cy="954578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46D2A082-1E50-1AF8-DA80-ECEF7B168A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367164" y="3048001"/>
              <a:ext cx="6828571" cy="9457143"/>
            </a:xfrm>
            <a:prstGeom prst="rect">
              <a:avLst/>
            </a:prstGeom>
          </xdr:spPr>
        </xdr:pic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F960B13-CABE-43BB-9B41-974B07F99759}"/>
              </a:ext>
            </a:extLst>
          </xdr:cNvPr>
          <xdr:cNvSpPr txBox="1"/>
        </xdr:nvSpPr>
        <xdr:spPr>
          <a:xfrm>
            <a:off x="8457211" y="7817544"/>
            <a:ext cx="2879632" cy="288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PH" sz="1500" b="1"/>
              <a:t>NSCP LOADING CRITERIA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486AD-1ABE-4554-B847-5397DB78809A}" name="Table1" displayName="Table1" ref="A7:C11" totalsRowShown="0" headerRowDxfId="11" dataDxfId="9" headerRowBorderDxfId="10">
  <autoFilter ref="A7:C11" xr:uid="{FF9486AD-1ABE-4554-B847-5397DB78809A}"/>
  <tableColumns count="3">
    <tableColumn id="1" xr3:uid="{0A5252E9-A123-47CA-949D-A92094682E7A}" name="Support condition" dataDxfId="8"/>
    <tableColumn id="2" xr3:uid="{8CC4DF4D-2373-4254-8B0F-55E8BF141B9F}" name="denominator" dataDxfId="7"/>
    <tableColumn id="3" xr3:uid="{08DE1E12-9E50-48BF-87A5-D3D679B920AB}" name="thickness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07583-E3DE-49A5-A65E-6E6E2D0C9B2D}" name="Table2" displayName="Table2" ref="E7:G16" totalsRowShown="0" headerRowDxfId="5" dataDxfId="3" headerRowBorderDxfId="4">
  <autoFilter ref="E7:G16" xr:uid="{98107583-E3DE-49A5-A65E-6E6E2D0C9B2D}"/>
  <tableColumns count="3">
    <tableColumn id="1" xr3:uid="{ED61E29F-B721-43A7-BB7E-A7767F768B08}" name="Description" dataDxfId="2"/>
    <tableColumn id="2" xr3:uid="{51078EB4-5F6D-41C8-A4CE-88377B4556CD}" name="denominator" dataDxfId="1"/>
    <tableColumn id="3" xr3:uid="{13346ABB-D954-45DF-A742-360B68EE03BA}" name="mo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eciousmaryangelicavbarcen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8CF8-DF7D-44E9-872F-8EC623FB7D7E}">
  <sheetPr>
    <tabColor rgb="FFFF0000"/>
  </sheetPr>
  <dimension ref="A1:S16"/>
  <sheetViews>
    <sheetView zoomScale="70" zoomScaleNormal="70" workbookViewId="0">
      <selection activeCell="I7" sqref="I7"/>
    </sheetView>
  </sheetViews>
  <sheetFormatPr defaultRowHeight="13.8" x14ac:dyDescent="0.25"/>
  <cols>
    <col min="1" max="1" width="19.44140625" style="6" bestFit="1" customWidth="1"/>
    <col min="2" max="2" width="13.88671875" style="6" customWidth="1"/>
    <col min="3" max="3" width="18.5546875" style="6" bestFit="1" customWidth="1"/>
    <col min="4" max="4" width="5.44140625" style="6" customWidth="1"/>
    <col min="5" max="5" width="71.44140625" style="6" bestFit="1" customWidth="1"/>
    <col min="6" max="6" width="14.21875" style="6" bestFit="1" customWidth="1"/>
    <col min="7" max="7" width="17.5546875" style="6" bestFit="1" customWidth="1"/>
    <col min="8" max="8" width="14.44140625" style="6" customWidth="1"/>
    <col min="9" max="9" width="11.88671875" style="6" customWidth="1"/>
    <col min="10" max="16384" width="8.88671875" style="6"/>
  </cols>
  <sheetData>
    <row r="1" spans="1:19" x14ac:dyDescent="0.25">
      <c r="A1" s="2" t="s">
        <v>22</v>
      </c>
      <c r="B1" s="1"/>
      <c r="C1" s="1"/>
      <c r="D1" s="1"/>
      <c r="E1" s="2" t="s">
        <v>65</v>
      </c>
      <c r="F1" s="1"/>
      <c r="G1" s="1"/>
      <c r="H1" s="1"/>
      <c r="I1" s="18"/>
      <c r="J1" s="20" t="s">
        <v>79</v>
      </c>
      <c r="K1" s="19"/>
      <c r="O1" s="1"/>
      <c r="P1" s="1"/>
      <c r="Q1" s="1"/>
      <c r="R1" s="1"/>
      <c r="S1" s="1"/>
    </row>
    <row r="2" spans="1:19" ht="14.4" x14ac:dyDescent="0.3">
      <c r="A2" s="3" t="s">
        <v>19</v>
      </c>
      <c r="B2" s="1"/>
      <c r="C2" s="1"/>
      <c r="D2" s="1"/>
      <c r="E2" s="6" t="s">
        <v>64</v>
      </c>
      <c r="F2" s="1"/>
      <c r="G2" s="8"/>
      <c r="H2" s="1"/>
      <c r="I2" s="1"/>
      <c r="J2" s="1"/>
      <c r="K2" s="1"/>
      <c r="O2" s="1"/>
      <c r="P2" s="1"/>
      <c r="Q2" s="1"/>
      <c r="R2" s="1"/>
      <c r="S2" s="1"/>
    </row>
    <row r="3" spans="1:19" x14ac:dyDescent="0.25">
      <c r="A3" s="3" t="s">
        <v>20</v>
      </c>
      <c r="B3" s="1"/>
      <c r="C3" s="1"/>
      <c r="D3" s="1"/>
      <c r="E3" s="6" t="s">
        <v>67</v>
      </c>
      <c r="F3" s="1"/>
      <c r="G3" s="1"/>
      <c r="I3" s="1"/>
      <c r="J3" s="1"/>
      <c r="K3" s="1"/>
      <c r="O3" s="1"/>
      <c r="P3" s="1"/>
      <c r="Q3" s="1"/>
      <c r="R3" s="1"/>
      <c r="S3" s="1"/>
    </row>
    <row r="4" spans="1:19" x14ac:dyDescent="0.25">
      <c r="A4" s="3" t="s">
        <v>21</v>
      </c>
      <c r="B4" s="1"/>
      <c r="C4" s="1"/>
      <c r="D4" s="1"/>
      <c r="E4" s="6" t="s">
        <v>66</v>
      </c>
      <c r="F4" s="1"/>
      <c r="G4" s="1"/>
      <c r="I4" s="1"/>
      <c r="J4" s="1"/>
      <c r="K4" s="1"/>
      <c r="O4" s="1"/>
      <c r="P4" s="1"/>
      <c r="Q4" s="1"/>
      <c r="R4" s="1"/>
      <c r="S4" s="1"/>
    </row>
    <row r="5" spans="1:19" x14ac:dyDescent="0.25">
      <c r="A5" s="3"/>
      <c r="B5" s="1"/>
      <c r="C5" s="1"/>
      <c r="D5" s="1"/>
      <c r="F5" s="1"/>
      <c r="G5" s="1"/>
      <c r="I5" s="1"/>
      <c r="J5" s="1"/>
      <c r="K5" s="1"/>
      <c r="O5" s="1"/>
      <c r="P5" s="1"/>
      <c r="Q5" s="1"/>
      <c r="R5" s="1"/>
      <c r="S5" s="1"/>
    </row>
    <row r="6" spans="1:19" ht="14.4" thickBot="1" x14ac:dyDescent="0.3">
      <c r="A6" s="35" t="s">
        <v>41</v>
      </c>
      <c r="B6" s="35"/>
      <c r="C6" s="35"/>
      <c r="E6" s="35" t="s">
        <v>42</v>
      </c>
      <c r="F6" s="35"/>
      <c r="G6" s="35"/>
      <c r="M6" s="19"/>
    </row>
    <row r="7" spans="1:19" ht="14.4" thickBot="1" x14ac:dyDescent="0.3">
      <c r="A7" s="7" t="s">
        <v>31</v>
      </c>
      <c r="B7" s="7" t="s">
        <v>36</v>
      </c>
      <c r="C7" s="7" t="s">
        <v>40</v>
      </c>
      <c r="E7" s="7" t="s">
        <v>62</v>
      </c>
      <c r="F7" s="7" t="s">
        <v>36</v>
      </c>
      <c r="G7" s="7" t="s">
        <v>56</v>
      </c>
    </row>
    <row r="8" spans="1:19" x14ac:dyDescent="0.25">
      <c r="A8" s="10" t="s">
        <v>32</v>
      </c>
      <c r="B8" s="10">
        <v>20</v>
      </c>
      <c r="C8" s="11" t="s">
        <v>15</v>
      </c>
      <c r="E8" s="10" t="s">
        <v>57</v>
      </c>
      <c r="F8" s="10">
        <v>11</v>
      </c>
      <c r="G8" s="12" t="s">
        <v>48</v>
      </c>
      <c r="H8" s="13"/>
    </row>
    <row r="9" spans="1:19" x14ac:dyDescent="0.25">
      <c r="A9" s="10" t="s">
        <v>33</v>
      </c>
      <c r="B9" s="10">
        <v>24</v>
      </c>
      <c r="C9" s="11" t="s">
        <v>37</v>
      </c>
      <c r="E9" s="10" t="s">
        <v>58</v>
      </c>
      <c r="F9" s="10">
        <v>14</v>
      </c>
      <c r="G9" s="12" t="s">
        <v>49</v>
      </c>
    </row>
    <row r="10" spans="1:19" x14ac:dyDescent="0.25">
      <c r="A10" s="10" t="s">
        <v>34</v>
      </c>
      <c r="B10" s="10">
        <v>28</v>
      </c>
      <c r="C10" s="11" t="s">
        <v>38</v>
      </c>
      <c r="E10" s="10" t="s">
        <v>59</v>
      </c>
      <c r="F10" s="10">
        <v>16</v>
      </c>
      <c r="G10" s="12" t="s">
        <v>50</v>
      </c>
    </row>
    <row r="11" spans="1:19" ht="14.4" thickBot="1" x14ac:dyDescent="0.3">
      <c r="A11" s="14" t="s">
        <v>35</v>
      </c>
      <c r="B11" s="14">
        <v>10</v>
      </c>
      <c r="C11" s="15" t="s">
        <v>39</v>
      </c>
      <c r="E11" s="10" t="s">
        <v>46</v>
      </c>
      <c r="F11" s="10">
        <v>9</v>
      </c>
      <c r="G11" s="12" t="s">
        <v>52</v>
      </c>
    </row>
    <row r="12" spans="1:19" x14ac:dyDescent="0.25">
      <c r="E12" s="10" t="s">
        <v>47</v>
      </c>
      <c r="F12" s="10">
        <v>10</v>
      </c>
      <c r="G12" s="12" t="s">
        <v>53</v>
      </c>
    </row>
    <row r="13" spans="1:19" x14ac:dyDescent="0.25">
      <c r="E13" s="10" t="s">
        <v>43</v>
      </c>
      <c r="F13" s="10">
        <v>11</v>
      </c>
      <c r="G13" s="12" t="s">
        <v>51</v>
      </c>
    </row>
    <row r="14" spans="1:19" x14ac:dyDescent="0.25">
      <c r="E14" s="10" t="s">
        <v>44</v>
      </c>
      <c r="F14" s="10">
        <v>24</v>
      </c>
      <c r="G14" s="12" t="s">
        <v>54</v>
      </c>
    </row>
    <row r="15" spans="1:19" x14ac:dyDescent="0.25">
      <c r="E15" s="10" t="s">
        <v>45</v>
      </c>
      <c r="F15" s="10">
        <v>16</v>
      </c>
      <c r="G15" s="12" t="s">
        <v>55</v>
      </c>
    </row>
    <row r="16" spans="1:19" ht="14.4" thickBot="1" x14ac:dyDescent="0.3">
      <c r="E16" s="14" t="s">
        <v>61</v>
      </c>
      <c r="F16" s="14">
        <v>2</v>
      </c>
      <c r="G16" s="16" t="s">
        <v>60</v>
      </c>
    </row>
  </sheetData>
  <mergeCells count="2">
    <mergeCell ref="A6:C6"/>
    <mergeCell ref="E6:G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E03-F699-4114-87E0-5DF52302315C}">
  <dimension ref="A1:A13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t="s">
        <v>24</v>
      </c>
    </row>
    <row r="3" spans="1:1" x14ac:dyDescent="0.3">
      <c r="A3" t="s">
        <v>27</v>
      </c>
    </row>
    <row r="4" spans="1:1" x14ac:dyDescent="0.3">
      <c r="A4" t="s">
        <v>29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30</v>
      </c>
    </row>
    <row r="13" spans="1:1" x14ac:dyDescent="0.3">
      <c r="A13" s="4" t="s">
        <v>28</v>
      </c>
    </row>
  </sheetData>
  <hyperlinks>
    <hyperlink ref="A13" r:id="rId1" xr:uid="{EFA31C4A-9D93-4BA5-A065-3EB33C7DB3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1D8-19A3-4381-BF24-86E5A5B6432D}">
  <sheetPr>
    <pageSetUpPr fitToPage="1"/>
  </sheetPr>
  <dimension ref="A1:G75"/>
  <sheetViews>
    <sheetView tabSelected="1" view="pageBreakPreview" zoomScale="40" zoomScaleNormal="55" zoomScaleSheetLayoutView="40" workbookViewId="0">
      <selection activeCell="A2" sqref="A2:G2"/>
    </sheetView>
  </sheetViews>
  <sheetFormatPr defaultRowHeight="13.8" x14ac:dyDescent="0.25"/>
  <cols>
    <col min="1" max="1" width="66.44140625" style="6" bestFit="1" customWidth="1"/>
    <col min="2" max="2" width="8.88671875" style="6"/>
    <col min="3" max="3" width="12.88671875" style="6" bestFit="1" customWidth="1"/>
    <col min="4" max="4" width="8.88671875" style="6"/>
    <col min="5" max="5" width="11.5546875" style="6" bestFit="1" customWidth="1"/>
    <col min="6" max="6" width="4.6640625" style="6" bestFit="1" customWidth="1"/>
    <col min="7" max="16384" width="8.88671875" style="6"/>
  </cols>
  <sheetData>
    <row r="1" spans="1:7" ht="28.2" x14ac:dyDescent="0.5">
      <c r="A1" s="36" t="s">
        <v>91</v>
      </c>
      <c r="B1" s="36"/>
      <c r="C1" s="36"/>
      <c r="D1" s="36"/>
      <c r="E1" s="36"/>
      <c r="F1" s="36"/>
      <c r="G1" s="36"/>
    </row>
    <row r="2" spans="1:7" ht="21" x14ac:dyDescent="0.4">
      <c r="A2" s="37" t="s">
        <v>80</v>
      </c>
      <c r="B2" s="37"/>
      <c r="C2" s="37"/>
      <c r="D2" s="37"/>
      <c r="E2" s="37"/>
      <c r="F2" s="37"/>
      <c r="G2" s="37"/>
    </row>
    <row r="3" spans="1:7" ht="21" x14ac:dyDescent="0.4">
      <c r="A3" s="33"/>
      <c r="B3" s="22"/>
      <c r="C3" s="22"/>
      <c r="D3" s="22"/>
      <c r="E3" s="22"/>
      <c r="F3" s="22"/>
      <c r="G3" s="22"/>
    </row>
    <row r="4" spans="1:7" x14ac:dyDescent="0.25">
      <c r="A4" s="22" t="s">
        <v>105</v>
      </c>
      <c r="B4" s="22" t="s">
        <v>6</v>
      </c>
      <c r="C4" s="34">
        <v>2800</v>
      </c>
      <c r="D4" s="22" t="s">
        <v>1</v>
      </c>
      <c r="E4" s="22"/>
      <c r="F4" s="22"/>
      <c r="G4" s="22"/>
    </row>
    <row r="5" spans="1:7" x14ac:dyDescent="0.25">
      <c r="A5" s="22"/>
      <c r="B5" s="22"/>
      <c r="C5" s="22"/>
      <c r="D5" s="22"/>
      <c r="E5" s="22"/>
      <c r="F5" s="22"/>
      <c r="G5" s="22"/>
    </row>
    <row r="6" spans="1:7" x14ac:dyDescent="0.25">
      <c r="A6" s="5" t="s">
        <v>9</v>
      </c>
      <c r="B6" s="22"/>
      <c r="C6" s="24"/>
      <c r="D6" s="22"/>
      <c r="E6" s="22"/>
      <c r="F6" s="22"/>
      <c r="G6" s="22"/>
    </row>
    <row r="7" spans="1:7" ht="16.2" x14ac:dyDescent="0.3">
      <c r="A7" s="21" t="s">
        <v>63</v>
      </c>
      <c r="B7" s="27" t="s">
        <v>6</v>
      </c>
      <c r="C7" s="26">
        <v>24</v>
      </c>
      <c r="D7" s="22" t="s">
        <v>13</v>
      </c>
      <c r="E7" s="22"/>
      <c r="F7" s="22"/>
      <c r="G7" s="22"/>
    </row>
    <row r="8" spans="1:7" x14ac:dyDescent="0.25">
      <c r="A8" s="21" t="s">
        <v>0</v>
      </c>
      <c r="B8" s="27" t="s">
        <v>6</v>
      </c>
      <c r="C8" s="23">
        <v>27.6</v>
      </c>
      <c r="D8" s="22" t="s">
        <v>3</v>
      </c>
      <c r="E8" s="22"/>
      <c r="F8" s="22"/>
      <c r="G8" s="22"/>
    </row>
    <row r="9" spans="1:7" x14ac:dyDescent="0.25">
      <c r="A9" s="21" t="s">
        <v>2</v>
      </c>
      <c r="B9" s="27" t="s">
        <v>6</v>
      </c>
      <c r="C9" s="23">
        <v>415</v>
      </c>
      <c r="D9" s="22" t="s">
        <v>3</v>
      </c>
      <c r="E9" s="22"/>
      <c r="F9" s="22"/>
      <c r="G9" s="22"/>
    </row>
    <row r="10" spans="1:7" x14ac:dyDescent="0.25">
      <c r="A10" s="22"/>
      <c r="B10" s="22"/>
      <c r="C10" s="22"/>
      <c r="D10" s="22"/>
      <c r="E10" s="22"/>
      <c r="F10" s="22"/>
      <c r="G10" s="22"/>
    </row>
    <row r="11" spans="1:7" x14ac:dyDescent="0.25">
      <c r="A11" s="5" t="s">
        <v>10</v>
      </c>
      <c r="B11" s="22"/>
      <c r="C11" s="24"/>
      <c r="D11" s="22"/>
      <c r="E11" s="22"/>
      <c r="F11" s="22"/>
      <c r="G11" s="22"/>
    </row>
    <row r="12" spans="1:7" x14ac:dyDescent="0.25">
      <c r="A12" s="21" t="s">
        <v>7</v>
      </c>
      <c r="B12" s="27" t="s">
        <v>6</v>
      </c>
      <c r="C12" s="23">
        <v>40</v>
      </c>
      <c r="D12" s="22" t="s">
        <v>1</v>
      </c>
      <c r="E12" s="22"/>
      <c r="F12" s="22"/>
      <c r="G12" s="22"/>
    </row>
    <row r="13" spans="1:7" x14ac:dyDescent="0.25">
      <c r="A13" s="21" t="s">
        <v>81</v>
      </c>
      <c r="B13" s="27" t="s">
        <v>6</v>
      </c>
      <c r="C13" s="28">
        <v>20</v>
      </c>
      <c r="D13" s="22" t="s">
        <v>1</v>
      </c>
      <c r="E13" s="22"/>
      <c r="F13" s="22"/>
      <c r="G13" s="22"/>
    </row>
    <row r="14" spans="1:7" x14ac:dyDescent="0.25">
      <c r="A14" s="21" t="s">
        <v>68</v>
      </c>
      <c r="B14" s="27" t="s">
        <v>6</v>
      </c>
      <c r="C14" s="23">
        <v>10</v>
      </c>
      <c r="D14" s="22" t="s">
        <v>1</v>
      </c>
      <c r="E14" s="22"/>
      <c r="F14" s="22"/>
      <c r="G14" s="22"/>
    </row>
    <row r="15" spans="1:7" x14ac:dyDescent="0.25">
      <c r="A15" s="22"/>
      <c r="B15" s="22"/>
      <c r="C15" s="22"/>
      <c r="D15" s="22"/>
      <c r="E15" s="22"/>
      <c r="F15" s="22"/>
      <c r="G15" s="22"/>
    </row>
    <row r="16" spans="1:7" x14ac:dyDescent="0.25">
      <c r="A16" s="5" t="s">
        <v>69</v>
      </c>
      <c r="B16" s="22"/>
      <c r="C16" s="24"/>
      <c r="D16" s="22"/>
      <c r="E16" s="22"/>
      <c r="F16" s="22"/>
      <c r="G16" s="22"/>
    </row>
    <row r="17" spans="1:7" x14ac:dyDescent="0.25">
      <c r="A17" s="21" t="s">
        <v>8</v>
      </c>
      <c r="B17" s="21"/>
      <c r="C17" s="24"/>
      <c r="D17" s="22"/>
      <c r="E17" s="22"/>
      <c r="F17" s="22"/>
      <c r="G17" s="22"/>
    </row>
    <row r="18" spans="1:7" x14ac:dyDescent="0.25">
      <c r="A18" s="29" t="s">
        <v>83</v>
      </c>
      <c r="B18" s="27" t="s">
        <v>6</v>
      </c>
      <c r="C18" s="23">
        <v>187.82400000000001</v>
      </c>
      <c r="D18" s="22" t="s">
        <v>70</v>
      </c>
      <c r="E18" s="22"/>
      <c r="F18" s="22"/>
      <c r="G18" s="22"/>
    </row>
    <row r="19" spans="1:7" x14ac:dyDescent="0.25">
      <c r="A19" s="21" t="s">
        <v>14</v>
      </c>
      <c r="B19" s="21"/>
      <c r="C19" s="24"/>
      <c r="D19" s="22"/>
      <c r="E19" s="22"/>
      <c r="F19" s="22"/>
      <c r="G19" s="22"/>
    </row>
    <row r="20" spans="1:7" x14ac:dyDescent="0.25">
      <c r="A20" s="29" t="s">
        <v>83</v>
      </c>
      <c r="B20" s="27" t="s">
        <v>6</v>
      </c>
      <c r="C20" s="23">
        <v>31.553999999999998</v>
      </c>
      <c r="D20" s="22" t="s">
        <v>70</v>
      </c>
      <c r="E20" s="22"/>
      <c r="F20" s="22"/>
      <c r="G20" s="22"/>
    </row>
    <row r="21" spans="1:7" x14ac:dyDescent="0.25">
      <c r="A21" s="21" t="s">
        <v>71</v>
      </c>
      <c r="B21" s="21"/>
      <c r="C21" s="24"/>
      <c r="D21" s="22"/>
      <c r="E21" s="22"/>
      <c r="F21" s="22"/>
      <c r="G21" s="22"/>
    </row>
    <row r="22" spans="1:7" x14ac:dyDescent="0.25">
      <c r="A22" s="29" t="s">
        <v>83</v>
      </c>
      <c r="B22" s="27" t="s">
        <v>6</v>
      </c>
      <c r="C22" s="23">
        <v>86.3</v>
      </c>
      <c r="D22" s="22" t="s">
        <v>70</v>
      </c>
      <c r="E22" s="22"/>
      <c r="F22" s="22"/>
      <c r="G22" s="22"/>
    </row>
    <row r="23" spans="1:7" x14ac:dyDescent="0.25">
      <c r="A23" s="21"/>
      <c r="B23" s="24"/>
      <c r="C23" s="24"/>
      <c r="D23" s="22"/>
      <c r="E23" s="22"/>
      <c r="F23" s="22"/>
      <c r="G23" s="22"/>
    </row>
    <row r="24" spans="1:7" x14ac:dyDescent="0.25">
      <c r="A24" s="5" t="s">
        <v>72</v>
      </c>
      <c r="B24" s="22"/>
      <c r="C24" s="24"/>
      <c r="D24" s="22"/>
      <c r="E24" s="22"/>
      <c r="F24" s="22"/>
      <c r="G24" s="22"/>
    </row>
    <row r="25" spans="1:7" x14ac:dyDescent="0.25">
      <c r="A25" s="21" t="s">
        <v>16</v>
      </c>
      <c r="B25" s="22"/>
      <c r="C25" s="27" t="s">
        <v>84</v>
      </c>
      <c r="D25" s="22"/>
      <c r="E25" s="22"/>
      <c r="F25" s="22"/>
      <c r="G25" s="22"/>
    </row>
    <row r="26" spans="1:7" x14ac:dyDescent="0.25">
      <c r="A26" s="30" t="s">
        <v>85</v>
      </c>
      <c r="B26" s="22"/>
      <c r="C26" s="24">
        <f>1.4*C18</f>
        <v>262.95359999999999</v>
      </c>
      <c r="D26" s="22" t="s">
        <v>89</v>
      </c>
      <c r="E26" s="22"/>
      <c r="F26" s="22"/>
      <c r="G26" s="22"/>
    </row>
    <row r="27" spans="1:7" x14ac:dyDescent="0.25">
      <c r="A27" s="30" t="s">
        <v>86</v>
      </c>
      <c r="B27" s="22"/>
      <c r="C27" s="24">
        <f>(1.2*C18)+(1.6*C20)</f>
        <v>275.87520000000001</v>
      </c>
      <c r="D27" s="22" t="s">
        <v>89</v>
      </c>
      <c r="E27" s="22"/>
      <c r="F27" s="22"/>
      <c r="G27" s="22"/>
    </row>
    <row r="28" spans="1:7" x14ac:dyDescent="0.25">
      <c r="A28" s="30" t="s">
        <v>87</v>
      </c>
      <c r="B28" s="22"/>
      <c r="C28" s="24">
        <f>(1.2*C18)+(1*C20)+(1*C22)</f>
        <v>343.24279999999999</v>
      </c>
      <c r="D28" s="22" t="s">
        <v>89</v>
      </c>
      <c r="E28" s="22"/>
      <c r="F28" s="22"/>
      <c r="G28" s="22"/>
    </row>
    <row r="29" spans="1:7" x14ac:dyDescent="0.25">
      <c r="A29" s="30" t="s">
        <v>88</v>
      </c>
      <c r="B29" s="22"/>
      <c r="C29" s="24">
        <f>(0.9*C18)+C22</f>
        <v>255.34160000000003</v>
      </c>
      <c r="D29" s="22" t="s">
        <v>89</v>
      </c>
      <c r="E29" s="22"/>
      <c r="F29" s="22"/>
      <c r="G29" s="22"/>
    </row>
    <row r="30" spans="1:7" x14ac:dyDescent="0.25">
      <c r="A30" s="21" t="s">
        <v>73</v>
      </c>
      <c r="B30" s="22"/>
      <c r="C30" s="24"/>
      <c r="D30" s="22"/>
      <c r="E30" s="22"/>
      <c r="F30" s="22"/>
      <c r="G30" s="22"/>
    </row>
    <row r="31" spans="1:7" x14ac:dyDescent="0.25">
      <c r="A31" s="30" t="str">
        <f>_xlfn.XLOOKUP(C32,C26:C29,A26:A29)</f>
        <v>Pu = 1.2D+1L+1E</v>
      </c>
      <c r="B31" s="21"/>
      <c r="C31" s="24"/>
      <c r="D31" s="22"/>
      <c r="E31" s="22"/>
      <c r="F31" s="22"/>
      <c r="G31" s="22"/>
    </row>
    <row r="32" spans="1:7" x14ac:dyDescent="0.25">
      <c r="A32" s="31" t="s">
        <v>82</v>
      </c>
      <c r="B32" s="27" t="s">
        <v>6</v>
      </c>
      <c r="C32" s="24">
        <f>MAX(C26:C29)</f>
        <v>343.24279999999999</v>
      </c>
      <c r="D32" s="22" t="s">
        <v>70</v>
      </c>
      <c r="E32" s="22"/>
      <c r="F32" s="22"/>
      <c r="G32" s="22"/>
    </row>
    <row r="33" spans="1:7" x14ac:dyDescent="0.25">
      <c r="A33" s="22"/>
      <c r="B33" s="22"/>
      <c r="C33" s="22"/>
      <c r="D33" s="22"/>
      <c r="E33" s="22"/>
      <c r="F33" s="22"/>
      <c r="G33" s="22"/>
    </row>
    <row r="34" spans="1:7" x14ac:dyDescent="0.25">
      <c r="A34" s="5" t="s">
        <v>90</v>
      </c>
      <c r="B34" s="22"/>
      <c r="C34" s="22"/>
      <c r="D34" s="22"/>
      <c r="E34" s="22"/>
      <c r="F34" s="22"/>
      <c r="G34" s="22"/>
    </row>
    <row r="35" spans="1:7" x14ac:dyDescent="0.25">
      <c r="A35" s="22" t="s">
        <v>92</v>
      </c>
      <c r="B35" s="27" t="s">
        <v>6</v>
      </c>
      <c r="C35" s="34">
        <v>0.02</v>
      </c>
      <c r="D35" s="22"/>
      <c r="E35" s="22"/>
      <c r="F35" s="22"/>
      <c r="G35" s="22"/>
    </row>
    <row r="36" spans="1:7" x14ac:dyDescent="0.25">
      <c r="A36" s="22"/>
      <c r="B36" s="27"/>
      <c r="C36" s="22"/>
      <c r="D36" s="22"/>
      <c r="E36" s="22"/>
      <c r="F36" s="22"/>
      <c r="G36" s="22"/>
    </row>
    <row r="37" spans="1:7" x14ac:dyDescent="0.25">
      <c r="A37" s="25" t="s">
        <v>74</v>
      </c>
      <c r="B37" s="27"/>
      <c r="C37" s="22"/>
      <c r="D37" s="22"/>
      <c r="E37" s="22"/>
      <c r="F37" s="22"/>
      <c r="G37" s="22"/>
    </row>
    <row r="38" spans="1:7" x14ac:dyDescent="0.25">
      <c r="A38" s="30" t="s">
        <v>93</v>
      </c>
      <c r="B38" s="27" t="s">
        <v>6</v>
      </c>
      <c r="C38" s="22">
        <f>(C32*10^3)/((0.65*0.8)*((0.85*C8*(1-C35)+(C35*C9))))</f>
        <v>21095.092093916024</v>
      </c>
      <c r="D38" s="22" t="s">
        <v>5</v>
      </c>
      <c r="E38" s="22"/>
      <c r="F38" s="22"/>
      <c r="G38" s="22"/>
    </row>
    <row r="39" spans="1:7" x14ac:dyDescent="0.25">
      <c r="A39" s="30" t="s">
        <v>94</v>
      </c>
      <c r="B39" s="27" t="s">
        <v>6</v>
      </c>
      <c r="C39" s="22">
        <f>SQRT(C38)</f>
        <v>145.24149577140832</v>
      </c>
      <c r="D39" s="22" t="s">
        <v>1</v>
      </c>
      <c r="E39" s="22" t="s">
        <v>95</v>
      </c>
      <c r="F39" s="22">
        <f>IF(C39&gt;=300,ROUNDUP(C39/5, 0) * 5,300)</f>
        <v>300</v>
      </c>
      <c r="G39" s="22" t="s">
        <v>1</v>
      </c>
    </row>
    <row r="40" spans="1:7" x14ac:dyDescent="0.25">
      <c r="A40" s="22"/>
      <c r="B40" s="27"/>
      <c r="C40" s="22"/>
      <c r="D40" s="22"/>
      <c r="E40" s="22"/>
      <c r="F40" s="22"/>
      <c r="G40" s="22"/>
    </row>
    <row r="41" spans="1:7" x14ac:dyDescent="0.25">
      <c r="A41" s="25" t="s">
        <v>98</v>
      </c>
      <c r="B41" s="27"/>
      <c r="C41" s="22"/>
      <c r="D41" s="22"/>
      <c r="E41" s="22"/>
      <c r="F41" s="22"/>
      <c r="G41" s="22"/>
    </row>
    <row r="42" spans="1:7" x14ac:dyDescent="0.25">
      <c r="A42" s="30" t="s">
        <v>96</v>
      </c>
      <c r="B42" s="27" t="s">
        <v>6</v>
      </c>
      <c r="C42" s="22">
        <f>F39^2</f>
        <v>90000</v>
      </c>
      <c r="D42" s="22" t="s">
        <v>5</v>
      </c>
      <c r="E42" s="22"/>
      <c r="F42" s="22"/>
      <c r="G42" s="22"/>
    </row>
    <row r="43" spans="1:7" x14ac:dyDescent="0.25">
      <c r="A43" s="30" t="s">
        <v>97</v>
      </c>
      <c r="B43" s="27" t="s">
        <v>6</v>
      </c>
      <c r="C43" s="22">
        <f>C35*C42</f>
        <v>1800</v>
      </c>
      <c r="D43" s="22" t="s">
        <v>5</v>
      </c>
      <c r="E43" s="22"/>
      <c r="F43" s="22"/>
      <c r="G43" s="22"/>
    </row>
    <row r="44" spans="1:7" x14ac:dyDescent="0.25">
      <c r="A44" s="30" t="s">
        <v>75</v>
      </c>
      <c r="B44" s="27" t="s">
        <v>6</v>
      </c>
      <c r="C44" s="22">
        <f>(((4*C43)/(PI()*(C13^2))))</f>
        <v>5.7295779513082321</v>
      </c>
      <c r="D44" s="22" t="s">
        <v>5</v>
      </c>
      <c r="E44" s="22" t="s">
        <v>106</v>
      </c>
      <c r="F44" s="22">
        <f>_xlfn.CEILING.MATH(C44,2)</f>
        <v>6</v>
      </c>
      <c r="G44" s="22" t="s">
        <v>76</v>
      </c>
    </row>
    <row r="45" spans="1:7" x14ac:dyDescent="0.25">
      <c r="A45" s="22"/>
      <c r="B45" s="22"/>
      <c r="C45" s="22"/>
      <c r="D45" s="22"/>
      <c r="E45" s="22"/>
      <c r="F45" s="22"/>
      <c r="G45" s="22"/>
    </row>
    <row r="46" spans="1:7" x14ac:dyDescent="0.25">
      <c r="A46" s="25" t="s">
        <v>99</v>
      </c>
      <c r="B46" s="22"/>
      <c r="C46" s="22"/>
      <c r="D46" s="22"/>
      <c r="E46" s="22"/>
      <c r="F46" s="22"/>
      <c r="G46" s="22"/>
    </row>
    <row r="47" spans="1:7" x14ac:dyDescent="0.25">
      <c r="A47" s="22" t="s">
        <v>109</v>
      </c>
      <c r="B47" s="27"/>
      <c r="C47" s="22"/>
      <c r="D47" s="22"/>
      <c r="E47" s="22"/>
      <c r="F47" s="22"/>
      <c r="G47" s="22"/>
    </row>
    <row r="48" spans="1:7" x14ac:dyDescent="0.25">
      <c r="A48" s="30" t="s">
        <v>101</v>
      </c>
      <c r="B48" s="27" t="s">
        <v>6</v>
      </c>
      <c r="C48" s="22">
        <f>F39</f>
        <v>300</v>
      </c>
      <c r="D48" s="22" t="s">
        <v>1</v>
      </c>
      <c r="E48" s="22"/>
      <c r="F48" s="22"/>
      <c r="G48" s="22"/>
    </row>
    <row r="49" spans="1:7" x14ac:dyDescent="0.25">
      <c r="A49" s="30" t="s">
        <v>102</v>
      </c>
      <c r="B49" s="27" t="s">
        <v>6</v>
      </c>
      <c r="C49" s="22">
        <f>C4/6</f>
        <v>466.66666666666669</v>
      </c>
      <c r="D49" s="22" t="s">
        <v>1</v>
      </c>
      <c r="E49" s="22"/>
      <c r="F49" s="22"/>
      <c r="G49" s="22"/>
    </row>
    <row r="50" spans="1:7" x14ac:dyDescent="0.25">
      <c r="A50" s="30" t="s">
        <v>103</v>
      </c>
      <c r="B50" s="27" t="s">
        <v>6</v>
      </c>
      <c r="C50" s="22">
        <f>450</f>
        <v>450</v>
      </c>
      <c r="D50" s="22" t="s">
        <v>1</v>
      </c>
      <c r="E50" s="22"/>
      <c r="F50" s="22"/>
      <c r="G50" s="22"/>
    </row>
    <row r="51" spans="1:7" x14ac:dyDescent="0.25">
      <c r="A51" s="22" t="s">
        <v>100</v>
      </c>
      <c r="B51" s="27" t="s">
        <v>6</v>
      </c>
      <c r="C51" s="22">
        <f>MAX(C48:C50)</f>
        <v>466.66666666666669</v>
      </c>
      <c r="D51" s="22" t="s">
        <v>1</v>
      </c>
      <c r="E51" s="22" t="s">
        <v>107</v>
      </c>
      <c r="F51" s="22">
        <f>ROUNDUP(C51/5, 0) * 5</f>
        <v>470</v>
      </c>
      <c r="G51" s="22" t="s">
        <v>1</v>
      </c>
    </row>
    <row r="52" spans="1:7" x14ac:dyDescent="0.25">
      <c r="A52" s="22"/>
      <c r="B52" s="22"/>
      <c r="C52" s="22"/>
      <c r="D52" s="22"/>
      <c r="E52" s="22"/>
      <c r="F52" s="22"/>
      <c r="G52" s="22"/>
    </row>
    <row r="53" spans="1:7" x14ac:dyDescent="0.25">
      <c r="A53" s="22" t="s">
        <v>110</v>
      </c>
      <c r="B53" s="22"/>
      <c r="C53" s="22"/>
      <c r="D53" s="22"/>
      <c r="E53" s="22"/>
      <c r="F53" s="22"/>
      <c r="G53" s="22"/>
    </row>
    <row r="54" spans="1:7" x14ac:dyDescent="0.25">
      <c r="A54" s="30" t="s">
        <v>108</v>
      </c>
      <c r="B54" s="27" t="s">
        <v>6</v>
      </c>
      <c r="C54" s="22">
        <f>(1/4)*F39</f>
        <v>75</v>
      </c>
      <c r="D54" s="22" t="s">
        <v>1</v>
      </c>
      <c r="E54" s="22"/>
      <c r="F54" s="22"/>
      <c r="G54" s="22"/>
    </row>
    <row r="55" spans="1:7" x14ac:dyDescent="0.25">
      <c r="A55" s="30" t="s">
        <v>77</v>
      </c>
      <c r="B55" s="27" t="s">
        <v>6</v>
      </c>
      <c r="C55" s="22">
        <f>6*C13</f>
        <v>120</v>
      </c>
      <c r="D55" s="22" t="s">
        <v>1</v>
      </c>
      <c r="E55" s="22"/>
      <c r="F55" s="22"/>
      <c r="G55" s="22"/>
    </row>
    <row r="56" spans="1:7" x14ac:dyDescent="0.25">
      <c r="A56" s="22" t="s">
        <v>111</v>
      </c>
      <c r="B56" s="27" t="s">
        <v>6</v>
      </c>
      <c r="C56" s="22">
        <f>MIN(C54:C55)</f>
        <v>75</v>
      </c>
      <c r="D56" s="22" t="s">
        <v>1</v>
      </c>
      <c r="E56" s="22"/>
      <c r="F56" s="22"/>
      <c r="G56" s="22"/>
    </row>
    <row r="57" spans="1:7" x14ac:dyDescent="0.25">
      <c r="A57" s="22"/>
      <c r="B57" s="22"/>
      <c r="C57" s="22"/>
      <c r="D57" s="22"/>
      <c r="E57" s="22"/>
      <c r="F57" s="22"/>
      <c r="G57" s="22"/>
    </row>
    <row r="58" spans="1:7" x14ac:dyDescent="0.25">
      <c r="A58" s="25" t="s">
        <v>112</v>
      </c>
      <c r="B58" s="22"/>
      <c r="C58" s="22"/>
      <c r="D58" s="22"/>
      <c r="E58" s="22"/>
      <c r="F58" s="22"/>
      <c r="G58" s="22"/>
    </row>
    <row r="59" spans="1:7" x14ac:dyDescent="0.25">
      <c r="A59" s="22" t="s">
        <v>110</v>
      </c>
      <c r="B59" s="27"/>
      <c r="C59" s="22"/>
      <c r="D59" s="22"/>
      <c r="E59" s="22"/>
      <c r="F59" s="22"/>
      <c r="G59" s="22"/>
    </row>
    <row r="60" spans="1:7" x14ac:dyDescent="0.25">
      <c r="A60" s="30" t="s">
        <v>77</v>
      </c>
      <c r="B60" s="27" t="s">
        <v>6</v>
      </c>
      <c r="C60" s="22">
        <f>6*C13</f>
        <v>120</v>
      </c>
      <c r="D60" s="22" t="s">
        <v>1</v>
      </c>
      <c r="E60" s="22"/>
      <c r="F60" s="22"/>
      <c r="G60" s="22"/>
    </row>
    <row r="61" spans="1:7" x14ac:dyDescent="0.25">
      <c r="A61" s="30" t="s">
        <v>78</v>
      </c>
      <c r="B61" s="27" t="s">
        <v>6</v>
      </c>
      <c r="C61" s="22">
        <f>150</f>
        <v>150</v>
      </c>
      <c r="D61" s="22" t="s">
        <v>1</v>
      </c>
      <c r="E61" s="22"/>
      <c r="F61" s="22"/>
      <c r="G61" s="22"/>
    </row>
    <row r="62" spans="1:7" x14ac:dyDescent="0.25">
      <c r="A62" s="22" t="s">
        <v>111</v>
      </c>
      <c r="B62" s="27" t="s">
        <v>6</v>
      </c>
      <c r="C62" s="22">
        <f>MIN(C60:C61)</f>
        <v>120</v>
      </c>
      <c r="D62" s="22" t="s">
        <v>1</v>
      </c>
      <c r="E62" s="22"/>
      <c r="F62" s="22"/>
      <c r="G62" s="22"/>
    </row>
    <row r="63" spans="1:7" x14ac:dyDescent="0.25">
      <c r="A63" s="5" t="s">
        <v>17</v>
      </c>
      <c r="B63" s="22"/>
      <c r="C63" s="22"/>
      <c r="D63" s="22"/>
      <c r="E63" s="22"/>
      <c r="F63" s="22"/>
      <c r="G63" s="22"/>
    </row>
    <row r="64" spans="1:7" x14ac:dyDescent="0.25">
      <c r="A64" s="21" t="s">
        <v>113</v>
      </c>
      <c r="B64" s="32" t="s">
        <v>6</v>
      </c>
      <c r="C64" s="24">
        <f>F39</f>
        <v>300</v>
      </c>
      <c r="D64" s="22" t="s">
        <v>1</v>
      </c>
      <c r="E64" s="22"/>
      <c r="F64" s="22"/>
      <c r="G64" s="22"/>
    </row>
    <row r="65" spans="1:7" x14ac:dyDescent="0.25">
      <c r="A65" s="21" t="s">
        <v>11</v>
      </c>
      <c r="B65" s="32" t="s">
        <v>6</v>
      </c>
      <c r="C65" s="24">
        <f>F39</f>
        <v>300</v>
      </c>
      <c r="D65" s="22" t="s">
        <v>1</v>
      </c>
      <c r="E65" s="22"/>
      <c r="F65" s="22"/>
      <c r="G65" s="22"/>
    </row>
    <row r="66" spans="1:7" x14ac:dyDescent="0.25">
      <c r="A66" s="21" t="s">
        <v>104</v>
      </c>
      <c r="B66" s="32"/>
      <c r="C66" s="24"/>
      <c r="D66" s="22"/>
      <c r="E66" s="22"/>
      <c r="F66" s="22"/>
      <c r="G66" s="22"/>
    </row>
    <row r="67" spans="1:7" x14ac:dyDescent="0.25">
      <c r="A67" s="30" t="s">
        <v>115</v>
      </c>
      <c r="B67" s="32" t="s">
        <v>6</v>
      </c>
      <c r="C67" s="24">
        <f>F44</f>
        <v>6</v>
      </c>
      <c r="D67" s="22" t="s">
        <v>76</v>
      </c>
      <c r="E67" s="22"/>
      <c r="F67" s="22"/>
      <c r="G67" s="22"/>
    </row>
    <row r="68" spans="1:7" x14ac:dyDescent="0.25">
      <c r="A68" s="30" t="s">
        <v>116</v>
      </c>
      <c r="B68" s="32" t="s">
        <v>6</v>
      </c>
      <c r="C68" s="24">
        <f>C56</f>
        <v>75</v>
      </c>
      <c r="D68" s="22" t="s">
        <v>18</v>
      </c>
      <c r="E68" s="22"/>
      <c r="F68" s="22"/>
      <c r="G68" s="22"/>
    </row>
    <row r="69" spans="1:7" x14ac:dyDescent="0.25">
      <c r="A69" s="21" t="s">
        <v>114</v>
      </c>
      <c r="B69" s="32"/>
      <c r="C69" s="24"/>
      <c r="D69" s="22"/>
      <c r="E69" s="22"/>
      <c r="F69" s="22"/>
      <c r="G69" s="22"/>
    </row>
    <row r="70" spans="1:7" x14ac:dyDescent="0.25">
      <c r="A70" s="30" t="s">
        <v>115</v>
      </c>
      <c r="B70" s="32" t="s">
        <v>6</v>
      </c>
      <c r="C70" s="24">
        <f>F44</f>
        <v>6</v>
      </c>
      <c r="D70" s="22" t="s">
        <v>76</v>
      </c>
      <c r="E70" s="22"/>
      <c r="F70" s="22"/>
      <c r="G70" s="22"/>
    </row>
    <row r="71" spans="1:7" x14ac:dyDescent="0.25">
      <c r="A71" s="30" t="s">
        <v>116</v>
      </c>
      <c r="B71" s="22" t="s">
        <v>6</v>
      </c>
      <c r="C71" s="24">
        <f>C62</f>
        <v>120</v>
      </c>
      <c r="D71" s="22" t="s">
        <v>18</v>
      </c>
      <c r="E71" s="22"/>
      <c r="F71" s="22"/>
      <c r="G71" s="22"/>
    </row>
    <row r="73" spans="1:7" x14ac:dyDescent="0.25">
      <c r="A73" s="9" t="s">
        <v>23</v>
      </c>
    </row>
    <row r="74" spans="1:7" x14ac:dyDescent="0.25">
      <c r="A74" s="6" t="s">
        <v>117</v>
      </c>
      <c r="B74" s="17" t="s">
        <v>6</v>
      </c>
      <c r="C74" s="6">
        <f>C4*F39*F39/1000^3</f>
        <v>0.252</v>
      </c>
      <c r="D74" s="6" t="s">
        <v>12</v>
      </c>
    </row>
    <row r="75" spans="1:7" x14ac:dyDescent="0.25">
      <c r="A75" s="6" t="s">
        <v>118</v>
      </c>
      <c r="B75" s="17" t="s">
        <v>6</v>
      </c>
      <c r="C75" s="6">
        <f>C7/C74</f>
        <v>95.238095238095241</v>
      </c>
      <c r="D75" s="6" t="s">
        <v>4</v>
      </c>
    </row>
  </sheetData>
  <mergeCells count="2">
    <mergeCell ref="A1:G1"/>
    <mergeCell ref="A2:G2"/>
  </mergeCells>
  <phoneticPr fontId="7" type="noConversion"/>
  <dataValidations disablePrompts="1" count="11">
    <dataValidation allowBlank="1" showInputMessage="1" showErrorMessage="1" promptTitle="Specific Weight" prompt="Specific weight or unit weight of concrete." sqref="C7" xr:uid="{FE4C2420-38CD-4673-94EE-38550899F07F}"/>
    <dataValidation type="list" allowBlank="1" showInputMessage="1" showErrorMessage="1" sqref="C13" xr:uid="{464B688F-3118-4D77-962C-520E47CD8490}">
      <formula1>"16,20,25,28,32,36"</formula1>
    </dataValidation>
    <dataValidation type="list" allowBlank="1" showInputMessage="1" showErrorMessage="1" sqref="C14" xr:uid="{5DB92591-EEC1-4C8D-8077-D5D158D34CC8}">
      <formula1>"10,12"</formula1>
    </dataValidation>
    <dataValidation type="decimal" operator="greaterThanOrEqual" allowBlank="1" showInputMessage="1" showErrorMessage="1" sqref="C12" xr:uid="{2C922AAF-DED5-4E85-9B77-19832B6E00B8}">
      <formula1>40</formula1>
    </dataValidation>
    <dataValidation type="custom" allowBlank="1" showInputMessage="1" showErrorMessage="1" sqref="D30" xr:uid="{CFF7B383-6CAB-4932-9AF7-3AA0CBFEE14F}">
      <formula1>ABS(D30:D32)</formula1>
    </dataValidation>
    <dataValidation type="decimal" operator="greaterThanOrEqual" allowBlank="1" showInputMessage="1" showErrorMessage="1" errorTitle="Input error" error="Remove negative sign for positive moment." promptTitle="Nominal Dead Load" prompt="Includes all loads coming from all beams it carries." sqref="C18" xr:uid="{EE46C8AC-A9EA-40F3-B544-7DDBE8500ABF}">
      <formula1>0</formula1>
    </dataValidation>
    <dataValidation type="decimal" operator="greaterThanOrEqual" allowBlank="1" showInputMessage="1" showErrorMessage="1" errorTitle="Input error" error="Remove negative sign for positive moment." promptTitle="Nominal Live Load" prompt="Includes all loads coming from all beams it carries." sqref="C20" xr:uid="{DC440C32-FC5E-47B1-BC50-1BA5AC73F2F8}">
      <formula1>0</formula1>
    </dataValidation>
    <dataValidation type="decimal" operator="greaterThanOrEqual" allowBlank="1" showInputMessage="1" showErrorMessage="1" errorTitle="Input error" error="Remove negative sign for positive moment." promptTitle="Nominal Seismic Load" prompt="Includes all loads coming from all beams it carries." sqref="C22" xr:uid="{FD9C1B89-0859-4F1E-9E86-38052128A438}">
      <formula1>0</formula1>
    </dataValidation>
    <dataValidation type="decimal" allowBlank="1" showInputMessage="1" showErrorMessage="1" sqref="C36:C37" xr:uid="{7A3DBAAA-2E4F-446A-B63F-9D78F3679A93}">
      <formula1>0.01</formula1>
      <formula2>0.06</formula2>
    </dataValidation>
    <dataValidation allowBlank="1" showInputMessage="1" showErrorMessage="1" errorTitle="Input error" error="ρg must be between 0.01 and 0.06" sqref="A35" xr:uid="{1F412A1F-E331-49FF-811C-108D8250AC76}"/>
    <dataValidation type="decimal" allowBlank="1" showInputMessage="1" showErrorMessage="1" errorTitle="Input error" error="ρg must be between 0.01 and 0.06" sqref="C35" xr:uid="{232E6D0D-61C7-4A64-9BFE-7F1052BCD544}">
      <formula1>0.01</formula1>
      <formula2>0.06</formula2>
    </dataValidation>
  </dataValidations>
  <pageMargins left="0.7" right="0.7" top="0.75" bottom="0.75" header="0.3" footer="0.3"/>
  <pageSetup paperSize="9" scale="7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 NOT DELETE</vt:lpstr>
      <vt:lpstr>Sheet1</vt:lpstr>
      <vt:lpstr>column_w eq</vt:lpstr>
      <vt:lpstr>'column_w eq'!Print_Area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PRECIOUS MARY ANGELICA V. BARCENA</cp:lastModifiedBy>
  <cp:lastPrinted>2024-02-23T16:16:58Z</cp:lastPrinted>
  <dcterms:created xsi:type="dcterms:W3CDTF">2023-11-23T11:55:14Z</dcterms:created>
  <dcterms:modified xsi:type="dcterms:W3CDTF">2024-02-28T13:42:09Z</dcterms:modified>
</cp:coreProperties>
</file>